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2ND_OFF\2 Officer Work\2016 HYUNDAI JUPITER\C CALCS\"/>
    </mc:Choice>
  </mc:AlternateContent>
  <bookViews>
    <workbookView xWindow="630" yWindow="6105" windowWidth="19050" windowHeight="11445" activeTab="7"/>
  </bookViews>
  <sheets>
    <sheet name="TPP-QNG" sheetId="44" r:id="rId1"/>
    <sheet name="QNG-KOZ" sheetId="45" r:id="rId2"/>
    <sheet name="KOZ-HAW-KOZ" sheetId="46" r:id="rId3"/>
    <sheet name="KOZ-DAL-KOZ" sheetId="47" r:id="rId4"/>
    <sheet name="OKPO-" sheetId="48" r:id="rId5"/>
    <sheet name="OKPO- (2)" sheetId="49" r:id="rId6"/>
    <sheet name="OKPO-QIN (3)" sheetId="50" r:id="rId7"/>
    <sheet name="OO3E" sheetId="51" r:id="rId8"/>
  </sheets>
  <definedNames>
    <definedName name="_xlnm.Print_Area" localSheetId="3">'KOZ-DAL-KOZ'!$A$4:$AL$74</definedName>
    <definedName name="_xlnm.Print_Area" localSheetId="2">'KOZ-HAW-KOZ'!$A$4:$AL$74</definedName>
    <definedName name="_xlnm.Print_Area" localSheetId="4">'OKPO-'!$A$4:$AL$16</definedName>
    <definedName name="_xlnm.Print_Area" localSheetId="5">'OKPO- (2)'!$A$4:$AL$16</definedName>
    <definedName name="_xlnm.Print_Area" localSheetId="6">'OKPO-QIN (3)'!$A$4:$AX$16</definedName>
    <definedName name="_xlnm.Print_Area" localSheetId="7">OO3E!$A$4:$AX$16</definedName>
    <definedName name="_xlnm.Print_Area" localSheetId="1">'QNG-KOZ'!$A$4:$AL$74</definedName>
    <definedName name="_xlnm.Print_Area" localSheetId="0">'TPP-QNG'!$A$4:$AL$74</definedName>
  </definedNames>
  <calcPr calcId="152511"/>
</workbook>
</file>

<file path=xl/calcChain.xml><?xml version="1.0" encoding="utf-8"?>
<calcChain xmlns="http://schemas.openxmlformats.org/spreadsheetml/2006/main">
  <c r="J83" i="51" l="1"/>
  <c r="AY74" i="51"/>
  <c r="S74" i="51"/>
  <c r="AY72" i="51"/>
  <c r="S72" i="51"/>
  <c r="C72" i="51"/>
  <c r="B72" i="51"/>
  <c r="U71" i="51"/>
  <c r="T71" i="51"/>
  <c r="AY69" i="51"/>
  <c r="S69" i="51"/>
  <c r="AY67" i="51"/>
  <c r="S67" i="51"/>
  <c r="C67" i="51"/>
  <c r="B67" i="51"/>
  <c r="U66" i="51"/>
  <c r="T66" i="51"/>
  <c r="AY64" i="51"/>
  <c r="S64" i="51"/>
  <c r="AY62" i="51"/>
  <c r="S62" i="51"/>
  <c r="C62" i="51"/>
  <c r="B62" i="51"/>
  <c r="U61" i="51"/>
  <c r="T61" i="51"/>
  <c r="BA59" i="51"/>
  <c r="AZ59" i="51"/>
  <c r="AP59" i="51"/>
  <c r="AL59" i="51"/>
  <c r="AI59" i="51"/>
  <c r="AH59" i="51"/>
  <c r="AG59" i="51"/>
  <c r="AD59" i="51"/>
  <c r="X59" i="51"/>
  <c r="T59" i="51"/>
  <c r="S59" i="51"/>
  <c r="N59" i="51"/>
  <c r="M59" i="51"/>
  <c r="J59" i="51"/>
  <c r="I59" i="51"/>
  <c r="H59" i="51"/>
  <c r="AY59" i="51" s="1"/>
  <c r="BA58" i="51"/>
  <c r="AZ58" i="51"/>
  <c r="AP58" i="51"/>
  <c r="AL58" i="51"/>
  <c r="AI58" i="51"/>
  <c r="AH58" i="51"/>
  <c r="AG58" i="51"/>
  <c r="AD58" i="51"/>
  <c r="X58" i="51"/>
  <c r="T58" i="51"/>
  <c r="S58" i="51"/>
  <c r="N58" i="51"/>
  <c r="M58" i="51"/>
  <c r="J58" i="51"/>
  <c r="I58" i="51"/>
  <c r="H58" i="51"/>
  <c r="AY58" i="51" s="1"/>
  <c r="BA57" i="51"/>
  <c r="AZ57" i="51"/>
  <c r="AP57" i="51"/>
  <c r="AL57" i="51"/>
  <c r="AI57" i="51"/>
  <c r="AH57" i="51"/>
  <c r="AG57" i="51"/>
  <c r="AD57" i="51"/>
  <c r="X57" i="51"/>
  <c r="T57" i="51"/>
  <c r="S57" i="51"/>
  <c r="N57" i="51"/>
  <c r="M57" i="51"/>
  <c r="J57" i="51"/>
  <c r="I57" i="51"/>
  <c r="H57" i="51"/>
  <c r="AY57" i="51" s="1"/>
  <c r="BA56" i="51"/>
  <c r="AZ56" i="51"/>
  <c r="AP56" i="51"/>
  <c r="AL56" i="51"/>
  <c r="AI56" i="51"/>
  <c r="AH56" i="51"/>
  <c r="AG56" i="51"/>
  <c r="AD56" i="51"/>
  <c r="X56" i="51"/>
  <c r="T56" i="51"/>
  <c r="S56" i="51"/>
  <c r="N56" i="51"/>
  <c r="M56" i="51"/>
  <c r="I56" i="51"/>
  <c r="H56" i="51"/>
  <c r="AY56" i="51" s="1"/>
  <c r="BA55" i="51"/>
  <c r="AZ55" i="51"/>
  <c r="AP55" i="51"/>
  <c r="AL55" i="51"/>
  <c r="AI55" i="51"/>
  <c r="AH55" i="51"/>
  <c r="AG55" i="51"/>
  <c r="AD55" i="51"/>
  <c r="X55" i="51"/>
  <c r="T55" i="51"/>
  <c r="S55" i="51"/>
  <c r="N55" i="51"/>
  <c r="M55" i="51"/>
  <c r="I55" i="51"/>
  <c r="H55" i="51"/>
  <c r="AY55" i="51" s="1"/>
  <c r="BA54" i="51"/>
  <c r="AZ54" i="51"/>
  <c r="AP54" i="51"/>
  <c r="AL54" i="51"/>
  <c r="AI54" i="51"/>
  <c r="AH54" i="51"/>
  <c r="AG54" i="51"/>
  <c r="AD54" i="51"/>
  <c r="X54" i="51"/>
  <c r="T54" i="51"/>
  <c r="S54" i="51"/>
  <c r="K69" i="51"/>
  <c r="AC64" i="51"/>
  <c r="AS69" i="51"/>
  <c r="AX64" i="51"/>
  <c r="E66" i="51"/>
  <c r="U74" i="51"/>
  <c r="R64" i="51"/>
  <c r="AN64" i="51"/>
  <c r="AR74" i="51"/>
  <c r="AX74" i="51"/>
  <c r="AA69" i="51"/>
  <c r="F74" i="51"/>
  <c r="AA74" i="51"/>
  <c r="AB69" i="51"/>
  <c r="K64" i="51"/>
  <c r="AF74" i="51"/>
  <c r="AX69" i="51"/>
  <c r="AM69" i="51"/>
  <c r="AT64" i="51"/>
  <c r="K61" i="51"/>
  <c r="AR69" i="51"/>
  <c r="V69" i="51"/>
  <c r="K71" i="51"/>
  <c r="W64" i="51"/>
  <c r="E71" i="51"/>
  <c r="AO64" i="51"/>
  <c r="AV69" i="51"/>
  <c r="D74" i="51"/>
  <c r="AM74" i="51"/>
  <c r="K66" i="51"/>
  <c r="E69" i="51"/>
  <c r="AJ55" i="51" l="1"/>
  <c r="AJ54" i="51"/>
  <c r="AJ56" i="51"/>
  <c r="AJ57" i="51"/>
  <c r="AJ58" i="51"/>
  <c r="AJ59" i="51"/>
  <c r="N54" i="51"/>
  <c r="M54" i="51"/>
  <c r="AB64" i="51"/>
  <c r="V64" i="51"/>
  <c r="W74" i="51"/>
  <c r="AA64" i="51"/>
  <c r="AB74" i="51"/>
  <c r="AS64" i="51"/>
  <c r="AT74" i="51"/>
  <c r="AW74" i="51"/>
  <c r="D69" i="51"/>
  <c r="U64" i="51"/>
  <c r="R74" i="51"/>
  <c r="Q69" i="51"/>
  <c r="AM64" i="51"/>
  <c r="Z74" i="51"/>
  <c r="AR64" i="51"/>
  <c r="AS74" i="51"/>
  <c r="AC74" i="51"/>
  <c r="P69" i="51"/>
  <c r="AW69" i="51"/>
  <c r="F69" i="51"/>
  <c r="R69" i="51"/>
  <c r="AN69" i="51"/>
  <c r="AF64" i="51"/>
  <c r="AW64" i="51"/>
  <c r="U69" i="51"/>
  <c r="AV64" i="51"/>
  <c r="V74" i="51"/>
  <c r="Z69" i="51"/>
  <c r="AF69" i="51"/>
  <c r="AC69" i="51"/>
  <c r="W69" i="51"/>
  <c r="E64" i="51"/>
  <c r="AV74" i="51"/>
  <c r="F64" i="51"/>
  <c r="E74" i="51"/>
  <c r="K74" i="51"/>
  <c r="Z64" i="51"/>
  <c r="AO74" i="51"/>
  <c r="AO69" i="51"/>
  <c r="AN74" i="51"/>
  <c r="AT69" i="51"/>
  <c r="H54" i="51" l="1"/>
  <c r="BA53" i="51"/>
  <c r="AZ53" i="51"/>
  <c r="AP53" i="51"/>
  <c r="AL53" i="51"/>
  <c r="AI53" i="51"/>
  <c r="AH53" i="51"/>
  <c r="AG53" i="51"/>
  <c r="AD53" i="51"/>
  <c r="X53" i="51"/>
  <c r="T53" i="51"/>
  <c r="S53" i="51"/>
  <c r="P74" i="51"/>
  <c r="Q74" i="51"/>
  <c r="AJ53" i="51" l="1"/>
  <c r="AY54" i="51"/>
  <c r="I54" i="51"/>
  <c r="N53" i="51"/>
  <c r="M53" i="51"/>
  <c r="I53" i="51"/>
  <c r="H53" i="51"/>
  <c r="AY53" i="51" s="1"/>
  <c r="BA52" i="51"/>
  <c r="AZ52" i="51"/>
  <c r="AP52" i="51"/>
  <c r="AL52" i="51"/>
  <c r="AI52" i="51"/>
  <c r="AH52" i="51"/>
  <c r="AG52" i="51"/>
  <c r="AD52" i="51"/>
  <c r="X52" i="51"/>
  <c r="T52" i="51"/>
  <c r="S52" i="51"/>
  <c r="N52" i="51"/>
  <c r="M52" i="51"/>
  <c r="I52" i="51"/>
  <c r="H52" i="51"/>
  <c r="AY52" i="51" s="1"/>
  <c r="BA51" i="51"/>
  <c r="AZ51" i="51"/>
  <c r="AP51" i="51"/>
  <c r="AL51" i="51"/>
  <c r="AI51" i="51"/>
  <c r="AH51" i="51"/>
  <c r="AG51" i="51"/>
  <c r="AD51" i="51"/>
  <c r="X51" i="51"/>
  <c r="T51" i="51"/>
  <c r="S51" i="51"/>
  <c r="N51" i="51"/>
  <c r="M51" i="51"/>
  <c r="I51" i="51"/>
  <c r="H51" i="51"/>
  <c r="AY51" i="51" s="1"/>
  <c r="BA50" i="51"/>
  <c r="AZ50" i="51"/>
  <c r="AP50" i="51"/>
  <c r="AL50" i="51"/>
  <c r="AI50" i="51"/>
  <c r="AH50" i="51"/>
  <c r="AG50" i="51"/>
  <c r="AD50" i="51"/>
  <c r="X50" i="51"/>
  <c r="T50" i="51"/>
  <c r="S50" i="51"/>
  <c r="N50" i="51"/>
  <c r="M50" i="51"/>
  <c r="I50" i="51"/>
  <c r="H50" i="51"/>
  <c r="AY50" i="51" s="1"/>
  <c r="BA49" i="51"/>
  <c r="AZ49" i="51"/>
  <c r="AP49" i="51"/>
  <c r="AL49" i="51"/>
  <c r="AI49" i="51"/>
  <c r="AH49" i="51"/>
  <c r="AG49" i="51"/>
  <c r="AD49" i="51"/>
  <c r="X49" i="51"/>
  <c r="T49" i="51"/>
  <c r="S49" i="51"/>
  <c r="M49" i="51"/>
  <c r="N49" i="51" s="1"/>
  <c r="H49" i="51"/>
  <c r="AY49" i="51" s="1"/>
  <c r="BA48" i="51"/>
  <c r="AZ48" i="51"/>
  <c r="AP48" i="51"/>
  <c r="AL48" i="51"/>
  <c r="AI48" i="51"/>
  <c r="AH48" i="51"/>
  <c r="AG48" i="51"/>
  <c r="AD48" i="51"/>
  <c r="X48" i="51"/>
  <c r="T48" i="51"/>
  <c r="S48" i="51"/>
  <c r="AL74" i="51"/>
  <c r="AI74" i="51"/>
  <c r="AP74" i="51"/>
  <c r="AH74" i="51"/>
  <c r="X74" i="51"/>
  <c r="AD74" i="51"/>
  <c r="AJ74" i="51"/>
  <c r="AG74" i="51"/>
  <c r="AJ52" i="51" l="1"/>
  <c r="AJ50" i="51"/>
  <c r="AJ48" i="51"/>
  <c r="AJ49" i="51"/>
  <c r="AJ51" i="51"/>
  <c r="I49" i="51"/>
  <c r="M48" i="51"/>
  <c r="M74" i="51"/>
  <c r="N74" i="51" l="1"/>
  <c r="N48" i="51"/>
  <c r="H48" i="51"/>
  <c r="I48" i="51" s="1"/>
  <c r="BA47" i="51"/>
  <c r="AZ47" i="51"/>
  <c r="AP47" i="51"/>
  <c r="AL47" i="51"/>
  <c r="AI47" i="51"/>
  <c r="AH47" i="51"/>
  <c r="AG47" i="51"/>
  <c r="AD47" i="51"/>
  <c r="X47" i="51"/>
  <c r="T47" i="51"/>
  <c r="S47" i="51"/>
  <c r="H74" i="51"/>
  <c r="AJ47" i="51" l="1"/>
  <c r="I74" i="51"/>
  <c r="AY48" i="51"/>
  <c r="N47" i="51"/>
  <c r="M47" i="51"/>
  <c r="I47" i="51"/>
  <c r="H47" i="51"/>
  <c r="AY47" i="51" s="1"/>
  <c r="BA46" i="51"/>
  <c r="AZ46" i="51"/>
  <c r="AP46" i="51"/>
  <c r="AL46" i="51"/>
  <c r="AI46" i="51"/>
  <c r="AH46" i="51"/>
  <c r="AG46" i="51"/>
  <c r="AD46" i="51"/>
  <c r="X46" i="51"/>
  <c r="T46" i="51"/>
  <c r="S46" i="51"/>
  <c r="N46" i="51"/>
  <c r="M46" i="51"/>
  <c r="I46" i="51"/>
  <c r="H46" i="51"/>
  <c r="BA45" i="51"/>
  <c r="AZ45" i="51"/>
  <c r="AP45" i="51"/>
  <c r="AL45" i="51"/>
  <c r="AI45" i="51"/>
  <c r="AH45" i="51"/>
  <c r="AG45" i="51"/>
  <c r="AD45" i="51"/>
  <c r="X45" i="51"/>
  <c r="T45" i="51"/>
  <c r="S45" i="51"/>
  <c r="M45" i="51"/>
  <c r="N45" i="51" s="1"/>
  <c r="J45" i="51"/>
  <c r="H45" i="51"/>
  <c r="AY45" i="51" s="1"/>
  <c r="BA44" i="51"/>
  <c r="AZ44" i="51"/>
  <c r="AP44" i="51"/>
  <c r="AL44" i="51"/>
  <c r="AI44" i="51"/>
  <c r="AH44" i="51"/>
  <c r="AG44" i="51"/>
  <c r="AJ44" i="51" s="1"/>
  <c r="AD44" i="51"/>
  <c r="X44" i="51"/>
  <c r="T44" i="51"/>
  <c r="S44" i="51"/>
  <c r="N44" i="51"/>
  <c r="M44" i="51"/>
  <c r="J44" i="51"/>
  <c r="I44" i="51"/>
  <c r="H44" i="51"/>
  <c r="AY44" i="51" s="1"/>
  <c r="BA43" i="51"/>
  <c r="AZ43" i="51"/>
  <c r="AP43" i="51"/>
  <c r="AL43" i="51"/>
  <c r="AI43" i="51"/>
  <c r="AH43" i="51"/>
  <c r="AG43" i="51"/>
  <c r="AJ43" i="51" s="1"/>
  <c r="AD43" i="51"/>
  <c r="X43" i="51"/>
  <c r="T43" i="51"/>
  <c r="S43" i="51"/>
  <c r="N43" i="51"/>
  <c r="M43" i="51"/>
  <c r="J43" i="51"/>
  <c r="I43" i="51"/>
  <c r="H43" i="51"/>
  <c r="AY43" i="51" s="1"/>
  <c r="BA42" i="51"/>
  <c r="AZ42" i="51"/>
  <c r="AP42" i="51"/>
  <c r="AL42" i="51"/>
  <c r="AI42" i="51"/>
  <c r="AH42" i="51"/>
  <c r="AG42" i="51"/>
  <c r="AJ42" i="51" s="1"/>
  <c r="AD42" i="51"/>
  <c r="X42" i="51"/>
  <c r="T42" i="51"/>
  <c r="S42" i="51"/>
  <c r="N42" i="51"/>
  <c r="M42" i="51"/>
  <c r="J42" i="51"/>
  <c r="I42" i="51"/>
  <c r="H42" i="51"/>
  <c r="AY42" i="51" s="1"/>
  <c r="BA41" i="51"/>
  <c r="AZ41" i="51"/>
  <c r="AP41" i="51"/>
  <c r="AL41" i="51"/>
  <c r="AI41" i="51"/>
  <c r="AH41" i="51"/>
  <c r="AG41" i="51"/>
  <c r="AJ41" i="51" s="1"/>
  <c r="AD41" i="51"/>
  <c r="X41" i="51"/>
  <c r="T41" i="51"/>
  <c r="S41" i="51"/>
  <c r="N41" i="51"/>
  <c r="M41" i="51"/>
  <c r="J41" i="51"/>
  <c r="I41" i="51"/>
  <c r="H41" i="51"/>
  <c r="AY41" i="51" s="1"/>
  <c r="BA40" i="51"/>
  <c r="AZ40" i="51"/>
  <c r="AP40" i="51"/>
  <c r="AL40" i="51"/>
  <c r="AI40" i="51"/>
  <c r="AH40" i="51"/>
  <c r="AG40" i="51"/>
  <c r="AJ40" i="51" s="1"/>
  <c r="AD40" i="51"/>
  <c r="X40" i="51"/>
  <c r="T40" i="51"/>
  <c r="S40" i="51"/>
  <c r="N40" i="51"/>
  <c r="M40" i="51"/>
  <c r="J40" i="51"/>
  <c r="I40" i="51"/>
  <c r="H40" i="51"/>
  <c r="AY40" i="51" s="1"/>
  <c r="BA39" i="51"/>
  <c r="AZ39" i="51"/>
  <c r="AP39" i="51"/>
  <c r="AL39" i="51"/>
  <c r="AI39" i="51"/>
  <c r="AH39" i="51"/>
  <c r="AG39" i="51"/>
  <c r="AJ39" i="51" s="1"/>
  <c r="AD39" i="51"/>
  <c r="X39" i="51"/>
  <c r="T39" i="51"/>
  <c r="S39" i="51"/>
  <c r="N39" i="51"/>
  <c r="M39" i="51"/>
  <c r="J39" i="51"/>
  <c r="I39" i="51"/>
  <c r="H39" i="51"/>
  <c r="AY39" i="51" s="1"/>
  <c r="BA38" i="51"/>
  <c r="AZ38" i="51"/>
  <c r="AP38" i="51"/>
  <c r="AL38" i="51"/>
  <c r="AI38" i="51"/>
  <c r="AH38" i="51"/>
  <c r="AG38" i="51"/>
  <c r="AJ38" i="51" s="1"/>
  <c r="AD38" i="51"/>
  <c r="X38" i="51"/>
  <c r="T38" i="51"/>
  <c r="S38" i="51"/>
  <c r="N38" i="51"/>
  <c r="M38" i="51"/>
  <c r="J38" i="51"/>
  <c r="I38" i="51"/>
  <c r="H38" i="51"/>
  <c r="AY38" i="51" s="1"/>
  <c r="BA37" i="51"/>
  <c r="AZ37" i="51"/>
  <c r="AP37" i="51"/>
  <c r="AL37" i="51"/>
  <c r="AI37" i="51"/>
  <c r="AH37" i="51"/>
  <c r="AG37" i="51"/>
  <c r="AJ37" i="51" s="1"/>
  <c r="AD37" i="51"/>
  <c r="X37" i="51"/>
  <c r="T37" i="51"/>
  <c r="S37" i="51"/>
  <c r="N37" i="51"/>
  <c r="M37" i="51"/>
  <c r="J37" i="51"/>
  <c r="I37" i="51"/>
  <c r="H37" i="51"/>
  <c r="AY37" i="51" s="1"/>
  <c r="BA36" i="51"/>
  <c r="AZ36" i="51"/>
  <c r="AP36" i="51"/>
  <c r="AL36" i="51"/>
  <c r="AI36" i="51"/>
  <c r="AH36" i="51"/>
  <c r="AG36" i="51"/>
  <c r="AJ36" i="51" s="1"/>
  <c r="AD36" i="51"/>
  <c r="X36" i="51"/>
  <c r="T36" i="51"/>
  <c r="S36" i="51"/>
  <c r="N36" i="51"/>
  <c r="M36" i="51"/>
  <c r="J36" i="51"/>
  <c r="I36" i="51"/>
  <c r="H36" i="51"/>
  <c r="AY36" i="51" s="1"/>
  <c r="BA35" i="51"/>
  <c r="AZ35" i="51"/>
  <c r="AP35" i="51"/>
  <c r="AL35" i="51"/>
  <c r="AI35" i="51"/>
  <c r="AH35" i="51"/>
  <c r="AG35" i="51"/>
  <c r="AJ35" i="51" s="1"/>
  <c r="AD35" i="51"/>
  <c r="X35" i="51"/>
  <c r="T35" i="51"/>
  <c r="S35" i="51"/>
  <c r="N35" i="51"/>
  <c r="M35" i="51"/>
  <c r="J35" i="51"/>
  <c r="I35" i="51"/>
  <c r="H35" i="51"/>
  <c r="AY35" i="51" s="1"/>
  <c r="BA34" i="51"/>
  <c r="AZ34" i="51"/>
  <c r="AP34" i="51"/>
  <c r="AL34" i="51"/>
  <c r="AI34" i="51"/>
  <c r="AH34" i="51"/>
  <c r="AG34" i="51"/>
  <c r="AJ34" i="51" s="1"/>
  <c r="AD34" i="51"/>
  <c r="X34" i="51"/>
  <c r="T34" i="51"/>
  <c r="S34" i="51"/>
  <c r="N34" i="51"/>
  <c r="M34" i="51"/>
  <c r="J34" i="51"/>
  <c r="I34" i="51"/>
  <c r="H34" i="51"/>
  <c r="AY34" i="51" s="1"/>
  <c r="BA33" i="51"/>
  <c r="AZ33" i="51"/>
  <c r="AP33" i="51"/>
  <c r="AL33" i="51"/>
  <c r="AI33" i="51"/>
  <c r="AH33" i="51"/>
  <c r="AG33" i="51"/>
  <c r="AJ33" i="51" s="1"/>
  <c r="AD33" i="51"/>
  <c r="X33" i="51"/>
  <c r="T33" i="51"/>
  <c r="S33" i="51"/>
  <c r="N33" i="51"/>
  <c r="M33" i="51"/>
  <c r="J33" i="51"/>
  <c r="I33" i="51"/>
  <c r="H33" i="51"/>
  <c r="AY33" i="51" s="1"/>
  <c r="BA32" i="51"/>
  <c r="AZ32" i="51"/>
  <c r="AP32" i="51"/>
  <c r="AL32" i="51"/>
  <c r="AI32" i="51"/>
  <c r="AH32" i="51"/>
  <c r="AG32" i="51"/>
  <c r="AJ32" i="51" s="1"/>
  <c r="AD32" i="51"/>
  <c r="X32" i="51"/>
  <c r="T32" i="51"/>
  <c r="S32" i="51"/>
  <c r="N32" i="51"/>
  <c r="M32" i="51"/>
  <c r="J32" i="51"/>
  <c r="I32" i="51"/>
  <c r="H32" i="51"/>
  <c r="AY32" i="51" s="1"/>
  <c r="BA31" i="51"/>
  <c r="AZ31" i="51"/>
  <c r="AP31" i="51"/>
  <c r="AL31" i="51"/>
  <c r="AI31" i="51"/>
  <c r="AH31" i="51"/>
  <c r="AG31" i="51"/>
  <c r="AJ31" i="51" s="1"/>
  <c r="AD31" i="51"/>
  <c r="X31" i="51"/>
  <c r="T31" i="51"/>
  <c r="S31" i="51"/>
  <c r="N31" i="51"/>
  <c r="M31" i="51"/>
  <c r="J31" i="51"/>
  <c r="I31" i="51"/>
  <c r="H31" i="51"/>
  <c r="AY31" i="51" s="1"/>
  <c r="BA30" i="51"/>
  <c r="AZ30" i="51"/>
  <c r="AP30" i="51"/>
  <c r="AL30" i="51"/>
  <c r="AI30" i="51"/>
  <c r="AH30" i="51"/>
  <c r="AG30" i="51"/>
  <c r="AJ30" i="51" s="1"/>
  <c r="AD30" i="51"/>
  <c r="X30" i="51"/>
  <c r="T30" i="51"/>
  <c r="S30" i="51"/>
  <c r="N30" i="51"/>
  <c r="M30" i="51"/>
  <c r="J30" i="51"/>
  <c r="I30" i="51"/>
  <c r="H30" i="51"/>
  <c r="AY30" i="51" s="1"/>
  <c r="BA29" i="51"/>
  <c r="AZ29" i="51"/>
  <c r="AP29" i="51"/>
  <c r="AL29" i="51"/>
  <c r="AI29" i="51"/>
  <c r="AH29" i="51"/>
  <c r="AG29" i="51"/>
  <c r="AJ29" i="51" s="1"/>
  <c r="AD29" i="51"/>
  <c r="X29" i="51"/>
  <c r="T29" i="51"/>
  <c r="S29" i="51"/>
  <c r="N29" i="51"/>
  <c r="M29" i="51"/>
  <c r="J29" i="51"/>
  <c r="I29" i="51"/>
  <c r="H29" i="51"/>
  <c r="AY29" i="51" s="1"/>
  <c r="BA28" i="51"/>
  <c r="AZ28" i="51"/>
  <c r="AP28" i="51"/>
  <c r="AL28" i="51"/>
  <c r="AI28" i="51"/>
  <c r="AH28" i="51"/>
  <c r="AG28" i="51"/>
  <c r="AJ28" i="51" s="1"/>
  <c r="AD28" i="51"/>
  <c r="X28" i="51"/>
  <c r="T28" i="51"/>
  <c r="S28" i="51"/>
  <c r="N28" i="51"/>
  <c r="M28" i="51"/>
  <c r="J28" i="51"/>
  <c r="I28" i="51"/>
  <c r="H28" i="51"/>
  <c r="AY28" i="51" s="1"/>
  <c r="BA27" i="51"/>
  <c r="AZ27" i="51"/>
  <c r="AP27" i="51"/>
  <c r="AL27" i="51"/>
  <c r="AI27" i="51"/>
  <c r="AH27" i="51"/>
  <c r="AG27" i="51"/>
  <c r="AJ27" i="51" s="1"/>
  <c r="AD27" i="51"/>
  <c r="X27" i="51"/>
  <c r="T27" i="51"/>
  <c r="S27" i="51"/>
  <c r="N27" i="51"/>
  <c r="M27" i="51"/>
  <c r="J27" i="51"/>
  <c r="I27" i="51"/>
  <c r="H27" i="51"/>
  <c r="AY27" i="51" s="1"/>
  <c r="BA26" i="51"/>
  <c r="AZ26" i="51"/>
  <c r="AP26" i="51"/>
  <c r="AL26" i="51"/>
  <c r="AI26" i="51"/>
  <c r="AH26" i="51"/>
  <c r="AG26" i="51"/>
  <c r="AJ26" i="51" s="1"/>
  <c r="AD26" i="51"/>
  <c r="X26" i="51"/>
  <c r="T26" i="51"/>
  <c r="S26" i="51"/>
  <c r="N26" i="51"/>
  <c r="M26" i="51"/>
  <c r="J26" i="51"/>
  <c r="I26" i="51"/>
  <c r="H26" i="51"/>
  <c r="AY26" i="51" s="1"/>
  <c r="BA25" i="51"/>
  <c r="AZ25" i="51"/>
  <c r="AP25" i="51"/>
  <c r="AL25" i="51"/>
  <c r="AI25" i="51"/>
  <c r="AH25" i="51"/>
  <c r="AG25" i="51"/>
  <c r="AJ25" i="51" s="1"/>
  <c r="AD25" i="51"/>
  <c r="X25" i="51"/>
  <c r="T25" i="51"/>
  <c r="S25" i="51"/>
  <c r="N25" i="51"/>
  <c r="M25" i="51"/>
  <c r="J25" i="51"/>
  <c r="I25" i="51"/>
  <c r="H25" i="51"/>
  <c r="AY25" i="51" s="1"/>
  <c r="BA24" i="51"/>
  <c r="AZ24" i="51"/>
  <c r="AP24" i="51"/>
  <c r="AL24" i="51"/>
  <c r="AI24" i="51"/>
  <c r="AH24" i="51"/>
  <c r="AG24" i="51"/>
  <c r="AJ24" i="51" s="1"/>
  <c r="AD24" i="51"/>
  <c r="X24" i="51"/>
  <c r="T24" i="51"/>
  <c r="S24" i="51"/>
  <c r="N24" i="51"/>
  <c r="M24" i="51"/>
  <c r="J24" i="51"/>
  <c r="I24" i="51"/>
  <c r="H24" i="51"/>
  <c r="AY24" i="51" s="1"/>
  <c r="BA23" i="51"/>
  <c r="AZ23" i="51"/>
  <c r="AP23" i="51"/>
  <c r="AL23" i="51"/>
  <c r="AI23" i="51"/>
  <c r="AH23" i="51"/>
  <c r="AG23" i="51"/>
  <c r="AJ23" i="51" s="1"/>
  <c r="AD23" i="51"/>
  <c r="X23" i="51"/>
  <c r="T23" i="51"/>
  <c r="S23" i="51"/>
  <c r="N23" i="51"/>
  <c r="M23" i="51"/>
  <c r="J23" i="51"/>
  <c r="I23" i="51"/>
  <c r="H23" i="51"/>
  <c r="AY23" i="51" s="1"/>
  <c r="BA22" i="51"/>
  <c r="AZ22" i="51"/>
  <c r="AP22" i="51"/>
  <c r="AL22" i="51"/>
  <c r="AI22" i="51"/>
  <c r="AH22" i="51"/>
  <c r="AG22" i="51"/>
  <c r="AJ22" i="51" s="1"/>
  <c r="AD22" i="51"/>
  <c r="X22" i="51"/>
  <c r="T22" i="51"/>
  <c r="S22" i="51"/>
  <c r="N22" i="51"/>
  <c r="M22" i="51"/>
  <c r="J22" i="51"/>
  <c r="I22" i="51"/>
  <c r="H22" i="51"/>
  <c r="AY22" i="51" s="1"/>
  <c r="BA21" i="51"/>
  <c r="AZ21" i="51"/>
  <c r="AP21" i="51"/>
  <c r="AL21" i="51"/>
  <c r="AI21" i="51"/>
  <c r="AH21" i="51"/>
  <c r="AG21" i="51"/>
  <c r="AJ21" i="51" s="1"/>
  <c r="AD21" i="51"/>
  <c r="X21" i="51"/>
  <c r="T21" i="51"/>
  <c r="S21" i="51"/>
  <c r="N21" i="51"/>
  <c r="M21" i="51"/>
  <c r="J21" i="51"/>
  <c r="I21" i="51"/>
  <c r="H21" i="51"/>
  <c r="AY21" i="51" s="1"/>
  <c r="BA20" i="51"/>
  <c r="AZ20" i="51"/>
  <c r="AP20" i="51"/>
  <c r="AL20" i="51"/>
  <c r="AI20" i="51"/>
  <c r="AH20" i="51"/>
  <c r="AG20" i="51"/>
  <c r="AJ20" i="51" s="1"/>
  <c r="AD20" i="51"/>
  <c r="X20" i="51"/>
  <c r="T20" i="51"/>
  <c r="S20" i="51"/>
  <c r="N20" i="51"/>
  <c r="M20" i="51"/>
  <c r="J20" i="51"/>
  <c r="I20" i="51"/>
  <c r="H20" i="51"/>
  <c r="AY20" i="51" s="1"/>
  <c r="BA19" i="51"/>
  <c r="AZ19" i="51"/>
  <c r="AP19" i="51"/>
  <c r="AL19" i="51"/>
  <c r="AI19" i="51"/>
  <c r="AH19" i="51"/>
  <c r="AG19" i="51"/>
  <c r="AJ19" i="51" s="1"/>
  <c r="AD19" i="51"/>
  <c r="X19" i="51"/>
  <c r="T19" i="51"/>
  <c r="S19" i="51"/>
  <c r="N19" i="51"/>
  <c r="M19" i="51"/>
  <c r="J19" i="51"/>
  <c r="I19" i="51"/>
  <c r="H19" i="51"/>
  <c r="AY19" i="51" s="1"/>
  <c r="BA18" i="51"/>
  <c r="AZ18" i="51"/>
  <c r="AP18" i="51"/>
  <c r="AL18" i="51"/>
  <c r="AI18" i="51"/>
  <c r="AH18" i="51"/>
  <c r="AG18" i="51"/>
  <c r="AJ18" i="51" s="1"/>
  <c r="AD18" i="51"/>
  <c r="X18" i="51"/>
  <c r="T18" i="51"/>
  <c r="S18" i="51"/>
  <c r="N18" i="51"/>
  <c r="M18" i="51"/>
  <c r="J18" i="51"/>
  <c r="I18" i="51"/>
  <c r="H18" i="51"/>
  <c r="AY18" i="51" s="1"/>
  <c r="BA17" i="51"/>
  <c r="AZ17" i="51"/>
  <c r="AP17" i="51"/>
  <c r="AL17" i="51"/>
  <c r="AI17" i="51"/>
  <c r="AH17" i="51"/>
  <c r="AG17" i="51"/>
  <c r="AJ17" i="51" s="1"/>
  <c r="AD17" i="51"/>
  <c r="X17" i="51"/>
  <c r="T17" i="51"/>
  <c r="S17" i="51"/>
  <c r="N17" i="51"/>
  <c r="M17" i="51"/>
  <c r="J17" i="51"/>
  <c r="I17" i="51"/>
  <c r="H17" i="51"/>
  <c r="AY17" i="51" s="1"/>
  <c r="BA16" i="51"/>
  <c r="AZ16" i="51"/>
  <c r="AP16" i="51"/>
  <c r="AL16" i="51"/>
  <c r="AI16" i="51"/>
  <c r="AH16" i="51"/>
  <c r="AG16" i="51"/>
  <c r="AJ16" i="51" s="1"/>
  <c r="AD16" i="51"/>
  <c r="X16" i="51"/>
  <c r="T16" i="51"/>
  <c r="S16" i="51"/>
  <c r="N16" i="51"/>
  <c r="M16" i="51"/>
  <c r="J16" i="51"/>
  <c r="I16" i="51"/>
  <c r="H16" i="51"/>
  <c r="AY16" i="51" s="1"/>
  <c r="BA15" i="51"/>
  <c r="AZ15" i="51"/>
  <c r="AP15" i="51"/>
  <c r="AL15" i="51"/>
  <c r="AI15" i="51"/>
  <c r="AH15" i="51"/>
  <c r="AG15" i="51"/>
  <c r="AJ15" i="51" s="1"/>
  <c r="AD15" i="51"/>
  <c r="X15" i="51"/>
  <c r="T15" i="51"/>
  <c r="S15" i="51"/>
  <c r="N15" i="51"/>
  <c r="M15" i="51"/>
  <c r="J15" i="51"/>
  <c r="I15" i="51"/>
  <c r="H15" i="51"/>
  <c r="AY15" i="51" s="1"/>
  <c r="BA14" i="51"/>
  <c r="AZ14" i="51"/>
  <c r="AP14" i="51"/>
  <c r="AL14" i="51"/>
  <c r="AI14" i="51"/>
  <c r="AH14" i="51"/>
  <c r="AG14" i="51"/>
  <c r="AJ14" i="51" s="1"/>
  <c r="AD14" i="51"/>
  <c r="X14" i="51"/>
  <c r="T14" i="51"/>
  <c r="S14" i="51"/>
  <c r="N14" i="51"/>
  <c r="M14" i="51"/>
  <c r="J14" i="51"/>
  <c r="I14" i="51"/>
  <c r="H14" i="51"/>
  <c r="AY14" i="51" s="1"/>
  <c r="BA13" i="51"/>
  <c r="AZ13" i="51"/>
  <c r="AP13" i="51"/>
  <c r="AL13" i="51"/>
  <c r="AI13" i="51"/>
  <c r="AH13" i="51"/>
  <c r="AG13" i="51"/>
  <c r="AJ13" i="51" s="1"/>
  <c r="AD13" i="51"/>
  <c r="X13" i="51"/>
  <c r="T13" i="51"/>
  <c r="S13" i="51"/>
  <c r="N13" i="51"/>
  <c r="M13" i="51"/>
  <c r="J13" i="51"/>
  <c r="I13" i="51"/>
  <c r="H13" i="51"/>
  <c r="AY13" i="51" s="1"/>
  <c r="BA12" i="51"/>
  <c r="AZ12" i="51"/>
  <c r="AP12" i="51"/>
  <c r="AL12" i="51"/>
  <c r="AI12" i="51"/>
  <c r="AH12" i="51"/>
  <c r="AG12" i="51"/>
  <c r="AJ12" i="51" s="1"/>
  <c r="AD12" i="51"/>
  <c r="X12" i="51"/>
  <c r="T12" i="51"/>
  <c r="S12" i="51"/>
  <c r="N12" i="51"/>
  <c r="M12" i="51"/>
  <c r="J12" i="51"/>
  <c r="I12" i="51"/>
  <c r="H12" i="51"/>
  <c r="AY12" i="51" s="1"/>
  <c r="BA11" i="51"/>
  <c r="AZ11" i="51"/>
  <c r="AP11" i="51"/>
  <c r="AL11" i="51"/>
  <c r="AI11" i="51"/>
  <c r="AH11" i="51"/>
  <c r="AG11" i="51"/>
  <c r="AD11" i="51"/>
  <c r="X11" i="51"/>
  <c r="T11" i="51"/>
  <c r="S11" i="51"/>
  <c r="N11" i="51"/>
  <c r="M11" i="51"/>
  <c r="H11" i="51"/>
  <c r="AY11" i="51" s="1"/>
  <c r="BA10" i="51"/>
  <c r="AZ10" i="51"/>
  <c r="AP10" i="51"/>
  <c r="AL10" i="51"/>
  <c r="AI10" i="51"/>
  <c r="AH10" i="51"/>
  <c r="AG10" i="51"/>
  <c r="AD10" i="51"/>
  <c r="X10" i="51"/>
  <c r="T10" i="51"/>
  <c r="S10" i="51"/>
  <c r="M10" i="51"/>
  <c r="N10" i="51" s="1"/>
  <c r="I10" i="51"/>
  <c r="H10" i="51"/>
  <c r="AY10" i="51" s="1"/>
  <c r="BA9" i="51"/>
  <c r="AZ9" i="51"/>
  <c r="AP9" i="51"/>
  <c r="AL9" i="51"/>
  <c r="AI9" i="51"/>
  <c r="AH9" i="51"/>
  <c r="AG9" i="51"/>
  <c r="AD9" i="51"/>
  <c r="X9" i="51"/>
  <c r="T9" i="51"/>
  <c r="S9" i="51"/>
  <c r="M9" i="51"/>
  <c r="N9" i="51" s="1"/>
  <c r="I9" i="51"/>
  <c r="H9" i="51"/>
  <c r="AY9" i="51" s="1"/>
  <c r="BA8" i="51"/>
  <c r="AZ8" i="51"/>
  <c r="AP8" i="51"/>
  <c r="AL8" i="51"/>
  <c r="AI8" i="51"/>
  <c r="AH8" i="51"/>
  <c r="AG8" i="51"/>
  <c r="AD8" i="51"/>
  <c r="X8" i="51"/>
  <c r="T8" i="51"/>
  <c r="S8" i="51"/>
  <c r="M8" i="51"/>
  <c r="N8" i="51" s="1"/>
  <c r="I8" i="51"/>
  <c r="H8" i="51"/>
  <c r="BA7" i="51"/>
  <c r="AZ7" i="51"/>
  <c r="AU7" i="51"/>
  <c r="AP7" i="51"/>
  <c r="AQ7" i="51" s="1"/>
  <c r="AL7" i="51"/>
  <c r="AI7" i="51"/>
  <c r="AH7" i="51"/>
  <c r="AG7" i="51"/>
  <c r="AD7" i="51"/>
  <c r="AE7" i="51" s="1"/>
  <c r="X7" i="51"/>
  <c r="Y7" i="51" s="1"/>
  <c r="T7" i="51"/>
  <c r="S7" i="51"/>
  <c r="N7" i="51"/>
  <c r="M7" i="51"/>
  <c r="I7" i="51"/>
  <c r="H7" i="51"/>
  <c r="AY7" i="51" s="1"/>
  <c r="BA6" i="51"/>
  <c r="AZ6" i="51"/>
  <c r="AP6" i="51"/>
  <c r="AL6" i="51"/>
  <c r="AK6" i="51"/>
  <c r="AI6" i="51"/>
  <c r="AH6" i="51"/>
  <c r="AG6" i="51"/>
  <c r="AD6" i="51"/>
  <c r="X6" i="51"/>
  <c r="T6" i="51"/>
  <c r="S6" i="51"/>
  <c r="O5" i="51"/>
  <c r="O45" i="51" s="1"/>
  <c r="J83" i="50"/>
  <c r="AY74" i="50"/>
  <c r="AY72" i="50"/>
  <c r="AY69" i="50"/>
  <c r="AY67" i="50"/>
  <c r="AY64" i="50"/>
  <c r="AY62" i="50"/>
  <c r="AH7" i="50"/>
  <c r="AI7" i="50"/>
  <c r="AH8" i="50"/>
  <c r="AI8" i="50"/>
  <c r="AH9" i="50"/>
  <c r="AI9" i="50"/>
  <c r="AH10" i="50"/>
  <c r="AI10" i="50"/>
  <c r="AH11" i="50"/>
  <c r="AI11" i="50"/>
  <c r="AH12" i="50"/>
  <c r="AI12" i="50"/>
  <c r="AH13" i="50"/>
  <c r="AI13" i="50"/>
  <c r="AH14" i="50"/>
  <c r="AI14" i="50"/>
  <c r="AH15" i="50"/>
  <c r="AI15" i="50"/>
  <c r="AH16" i="50"/>
  <c r="AI16" i="50"/>
  <c r="AH17" i="50"/>
  <c r="AI17" i="50"/>
  <c r="AH18" i="50"/>
  <c r="AI18" i="50"/>
  <c r="AH19" i="50"/>
  <c r="AI19" i="50"/>
  <c r="AH20" i="50"/>
  <c r="AI20" i="50"/>
  <c r="AH21" i="50"/>
  <c r="AI21" i="50"/>
  <c r="AH22" i="50"/>
  <c r="AI22" i="50"/>
  <c r="AH23" i="50"/>
  <c r="AI23" i="50"/>
  <c r="AH24" i="50"/>
  <c r="AI24" i="50"/>
  <c r="AH25" i="50"/>
  <c r="AI25" i="50"/>
  <c r="AH26" i="50"/>
  <c r="AI26" i="50"/>
  <c r="AH27" i="50"/>
  <c r="AI27" i="50"/>
  <c r="AH28" i="50"/>
  <c r="AI28" i="50"/>
  <c r="AH29" i="50"/>
  <c r="AI29" i="50"/>
  <c r="AH30" i="50"/>
  <c r="AI30" i="50"/>
  <c r="AH31" i="50"/>
  <c r="AI31" i="50"/>
  <c r="AH32" i="50"/>
  <c r="AJ32" i="50" s="1"/>
  <c r="AI32" i="50"/>
  <c r="AH33" i="50"/>
  <c r="AI33" i="50"/>
  <c r="AH34" i="50"/>
  <c r="AI34" i="50"/>
  <c r="AH35" i="50"/>
  <c r="AI35" i="50"/>
  <c r="AH36" i="50"/>
  <c r="AI36" i="50"/>
  <c r="AH37" i="50"/>
  <c r="AI37" i="50"/>
  <c r="AH38" i="50"/>
  <c r="AI38" i="50"/>
  <c r="AH39" i="50"/>
  <c r="AI39" i="50"/>
  <c r="AJ39" i="50" s="1"/>
  <c r="AH40" i="50"/>
  <c r="AI40" i="50"/>
  <c r="AH41" i="50"/>
  <c r="AI41" i="50"/>
  <c r="AH42" i="50"/>
  <c r="AI42" i="50"/>
  <c r="AH43" i="50"/>
  <c r="AI43" i="50"/>
  <c r="AJ43" i="50" s="1"/>
  <c r="AH44" i="50"/>
  <c r="AI44" i="50"/>
  <c r="AH45" i="50"/>
  <c r="AI45" i="50"/>
  <c r="AH46" i="50"/>
  <c r="AI46" i="50"/>
  <c r="AH47" i="50"/>
  <c r="AI47" i="50"/>
  <c r="AJ47" i="50" s="1"/>
  <c r="AH48" i="50"/>
  <c r="AJ48" i="50" s="1"/>
  <c r="AI48" i="50"/>
  <c r="AH49" i="50"/>
  <c r="AI49" i="50"/>
  <c r="AH50" i="50"/>
  <c r="AI50" i="50"/>
  <c r="AH51" i="50"/>
  <c r="AI51" i="50"/>
  <c r="AH52" i="50"/>
  <c r="AJ52" i="50" s="1"/>
  <c r="AI52" i="50"/>
  <c r="AH53" i="50"/>
  <c r="AI53" i="50"/>
  <c r="AH54" i="50"/>
  <c r="AI54" i="50"/>
  <c r="AH55" i="50"/>
  <c r="AI55" i="50"/>
  <c r="AH56" i="50"/>
  <c r="AJ56" i="50" s="1"/>
  <c r="AI56" i="50"/>
  <c r="AH57" i="50"/>
  <c r="AI57" i="50"/>
  <c r="AH58" i="50"/>
  <c r="AJ58" i="50" s="1"/>
  <c r="AI58" i="50"/>
  <c r="AH59" i="50"/>
  <c r="AI59" i="50"/>
  <c r="AJ59" i="50" s="1"/>
  <c r="AH6" i="50"/>
  <c r="AI6" i="50"/>
  <c r="AG23" i="50"/>
  <c r="AG24" i="50"/>
  <c r="AG25" i="50"/>
  <c r="AG26" i="50"/>
  <c r="AG27" i="50"/>
  <c r="AG28" i="50"/>
  <c r="AG29" i="50"/>
  <c r="AG30" i="50"/>
  <c r="AG31" i="50"/>
  <c r="AG32" i="50"/>
  <c r="AG33" i="50"/>
  <c r="AG34" i="50"/>
  <c r="AG35" i="50"/>
  <c r="AG36" i="50"/>
  <c r="AG37" i="50"/>
  <c r="AG38" i="50"/>
  <c r="AG39" i="50"/>
  <c r="AG40" i="50"/>
  <c r="AG41" i="50"/>
  <c r="AG42" i="50"/>
  <c r="AG43" i="50"/>
  <c r="AG44" i="50"/>
  <c r="AG45" i="50"/>
  <c r="AG46" i="50"/>
  <c r="AG47" i="50"/>
  <c r="AG48" i="50"/>
  <c r="AG49" i="50"/>
  <c r="AG50" i="50"/>
  <c r="AG51" i="50"/>
  <c r="AG52" i="50"/>
  <c r="AG53" i="50"/>
  <c r="AJ53" i="50" s="1"/>
  <c r="AG54" i="50"/>
  <c r="AG55" i="50"/>
  <c r="AG56" i="50"/>
  <c r="AG57" i="50"/>
  <c r="AJ57" i="50" s="1"/>
  <c r="AG58" i="50"/>
  <c r="AG59" i="50"/>
  <c r="AG6" i="50"/>
  <c r="AG7" i="50"/>
  <c r="AJ7" i="50" s="1"/>
  <c r="AG8" i="50"/>
  <c r="AJ8" i="50" s="1"/>
  <c r="AG9" i="50"/>
  <c r="AG10" i="50"/>
  <c r="AG11" i="50"/>
  <c r="AG12" i="50"/>
  <c r="AG13" i="50"/>
  <c r="AG14" i="50"/>
  <c r="AG15" i="50"/>
  <c r="AG16" i="50"/>
  <c r="AJ16" i="50" s="1"/>
  <c r="AG17" i="50"/>
  <c r="AG18" i="50"/>
  <c r="AG19" i="50"/>
  <c r="AG20" i="50"/>
  <c r="AG21" i="50"/>
  <c r="AJ31" i="50"/>
  <c r="AJ54" i="50"/>
  <c r="AG22" i="50"/>
  <c r="AL7" i="50"/>
  <c r="AL8" i="50"/>
  <c r="AL9" i="50"/>
  <c r="AL10" i="50"/>
  <c r="AL11" i="50"/>
  <c r="AL12" i="50"/>
  <c r="AL13" i="50"/>
  <c r="AL14" i="50"/>
  <c r="AL15" i="50"/>
  <c r="AL16" i="50"/>
  <c r="AL17" i="50"/>
  <c r="AL18" i="50"/>
  <c r="AL19" i="50"/>
  <c r="AL20" i="50"/>
  <c r="AL21" i="50"/>
  <c r="AL22" i="50"/>
  <c r="AL23" i="50"/>
  <c r="AL24" i="50"/>
  <c r="AL25" i="50"/>
  <c r="AL26" i="50"/>
  <c r="AL27" i="50"/>
  <c r="AL28" i="50"/>
  <c r="AL29" i="50"/>
  <c r="AL30" i="50"/>
  <c r="AL31" i="50"/>
  <c r="AL32" i="50"/>
  <c r="AL33" i="50"/>
  <c r="AL34" i="50"/>
  <c r="AL35" i="50"/>
  <c r="AL36" i="50"/>
  <c r="AL37" i="50"/>
  <c r="AL38" i="50"/>
  <c r="AL39" i="50"/>
  <c r="AL40" i="50"/>
  <c r="AL41" i="50"/>
  <c r="AL42" i="50"/>
  <c r="AL43" i="50"/>
  <c r="AL44" i="50"/>
  <c r="AL45" i="50"/>
  <c r="AL46" i="50"/>
  <c r="AL47" i="50"/>
  <c r="AL48" i="50"/>
  <c r="AL49" i="50"/>
  <c r="AL50" i="50"/>
  <c r="AL51" i="50"/>
  <c r="AL52" i="50"/>
  <c r="AL53" i="50"/>
  <c r="AL54" i="50"/>
  <c r="AL55" i="50"/>
  <c r="AL56" i="50"/>
  <c r="AL57" i="50"/>
  <c r="AL58" i="50"/>
  <c r="AL59" i="50"/>
  <c r="AL6" i="50"/>
  <c r="AK6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49" i="50"/>
  <c r="AD50" i="50"/>
  <c r="AD51" i="50"/>
  <c r="AD52" i="50"/>
  <c r="AD53" i="50"/>
  <c r="AD54" i="50"/>
  <c r="AD55" i="50"/>
  <c r="AD56" i="50"/>
  <c r="AD57" i="50"/>
  <c r="AD58" i="50"/>
  <c r="AD59" i="50"/>
  <c r="AD22" i="50"/>
  <c r="AD21" i="50"/>
  <c r="AD20" i="50"/>
  <c r="AD19" i="50"/>
  <c r="AD18" i="50"/>
  <c r="AD17" i="50"/>
  <c r="AD16" i="50"/>
  <c r="AD15" i="50"/>
  <c r="AD14" i="50"/>
  <c r="AD13" i="50"/>
  <c r="AD12" i="50"/>
  <c r="AD11" i="50"/>
  <c r="AD10" i="50"/>
  <c r="AD9" i="50"/>
  <c r="AD8" i="50"/>
  <c r="AD7" i="50"/>
  <c r="AE7" i="50" s="1"/>
  <c r="AD6" i="50"/>
  <c r="S74" i="50"/>
  <c r="S72" i="50"/>
  <c r="C72" i="50"/>
  <c r="B72" i="50"/>
  <c r="U71" i="50"/>
  <c r="T71" i="50"/>
  <c r="S69" i="50"/>
  <c r="S67" i="50"/>
  <c r="C67" i="50"/>
  <c r="B67" i="50"/>
  <c r="U66" i="50"/>
  <c r="T66" i="50"/>
  <c r="S64" i="50"/>
  <c r="S62" i="50"/>
  <c r="C62" i="50"/>
  <c r="B62" i="50"/>
  <c r="U61" i="50"/>
  <c r="T61" i="50"/>
  <c r="BA59" i="50"/>
  <c r="AZ59" i="50"/>
  <c r="AP59" i="50"/>
  <c r="X59" i="50"/>
  <c r="T59" i="50"/>
  <c r="S59" i="50"/>
  <c r="N59" i="50"/>
  <c r="M59" i="50"/>
  <c r="J59" i="50"/>
  <c r="J46" i="51"/>
  <c r="J47" i="51"/>
  <c r="J48" i="51"/>
  <c r="J49" i="51"/>
  <c r="J50" i="51"/>
  <c r="J51" i="51"/>
  <c r="J52" i="51"/>
  <c r="J53" i="51"/>
  <c r="J54" i="51"/>
  <c r="J55" i="51"/>
  <c r="J56" i="51"/>
  <c r="O46" i="51"/>
  <c r="O47" i="51"/>
  <c r="O48" i="51"/>
  <c r="O49" i="51"/>
  <c r="O50" i="51"/>
  <c r="O51" i="51"/>
  <c r="O52" i="51"/>
  <c r="O53" i="51"/>
  <c r="O54" i="51"/>
  <c r="O55" i="51"/>
  <c r="O56" i="51"/>
  <c r="AG64" i="50"/>
  <c r="AG69" i="51"/>
  <c r="AO69" i="50"/>
  <c r="AC69" i="50"/>
  <c r="E71" i="50"/>
  <c r="AH69" i="51"/>
  <c r="AI74" i="50"/>
  <c r="W69" i="50"/>
  <c r="AN64" i="50"/>
  <c r="AV74" i="50"/>
  <c r="AA74" i="50"/>
  <c r="AF69" i="50"/>
  <c r="X64" i="51"/>
  <c r="AG74" i="50"/>
  <c r="AD64" i="50"/>
  <c r="AS74" i="50"/>
  <c r="Z64" i="50"/>
  <c r="K74" i="50"/>
  <c r="AL69" i="51"/>
  <c r="AH74" i="50"/>
  <c r="AP69" i="51"/>
  <c r="AT69" i="50"/>
  <c r="AX69" i="50"/>
  <c r="E74" i="50"/>
  <c r="M64" i="51"/>
  <c r="K61" i="50"/>
  <c r="K64" i="50"/>
  <c r="F64" i="50"/>
  <c r="AD64" i="51"/>
  <c r="AL64" i="50"/>
  <c r="AV64" i="50"/>
  <c r="AA69" i="50"/>
  <c r="AS64" i="50"/>
  <c r="AM64" i="50"/>
  <c r="AW64" i="50"/>
  <c r="AH69" i="50"/>
  <c r="AI69" i="50"/>
  <c r="AH64" i="51"/>
  <c r="AI69" i="51"/>
  <c r="Z69" i="50"/>
  <c r="J11" i="51"/>
  <c r="AV69" i="50"/>
  <c r="AX64" i="50"/>
  <c r="R69" i="50"/>
  <c r="AW69" i="50"/>
  <c r="AG64" i="51"/>
  <c r="J8" i="51"/>
  <c r="AR74" i="50"/>
  <c r="J7" i="51"/>
  <c r="J9" i="51"/>
  <c r="U69" i="50"/>
  <c r="AW74" i="50"/>
  <c r="F74" i="50"/>
  <c r="R64" i="50"/>
  <c r="AR69" i="50"/>
  <c r="K66" i="50"/>
  <c r="AO74" i="50"/>
  <c r="AS69" i="50"/>
  <c r="H69" i="51"/>
  <c r="M69" i="51"/>
  <c r="AD69" i="50"/>
  <c r="AL69" i="50"/>
  <c r="AN69" i="50"/>
  <c r="AB69" i="50"/>
  <c r="AN74" i="50"/>
  <c r="D69" i="50"/>
  <c r="AO64" i="50"/>
  <c r="AA64" i="50"/>
  <c r="AD74" i="50"/>
  <c r="H64" i="51"/>
  <c r="V69" i="50"/>
  <c r="U74" i="50"/>
  <c r="W64" i="50"/>
  <c r="AX74" i="50"/>
  <c r="AB74" i="50"/>
  <c r="X69" i="51"/>
  <c r="AI64" i="50"/>
  <c r="AB64" i="50"/>
  <c r="E69" i="50"/>
  <c r="K71" i="50"/>
  <c r="R74" i="50"/>
  <c r="W74" i="50"/>
  <c r="AH64" i="50"/>
  <c r="AF74" i="50"/>
  <c r="AT74" i="50"/>
  <c r="E66" i="50"/>
  <c r="AI64" i="51"/>
  <c r="V64" i="50"/>
  <c r="K69" i="50"/>
  <c r="V74" i="50"/>
  <c r="AD69" i="51"/>
  <c r="AP64" i="51"/>
  <c r="AG69" i="50"/>
  <c r="AM69" i="50"/>
  <c r="AM74" i="50"/>
  <c r="D74" i="50"/>
  <c r="AR64" i="50"/>
  <c r="AF64" i="50"/>
  <c r="J10" i="51"/>
  <c r="E64" i="50"/>
  <c r="AC74" i="50"/>
  <c r="AT64" i="50"/>
  <c r="AL64" i="51"/>
  <c r="F69" i="50"/>
  <c r="U64" i="50"/>
  <c r="AC64" i="50"/>
  <c r="AL74" i="50"/>
  <c r="I69" i="51" l="1"/>
  <c r="AJ18" i="50"/>
  <c r="AJ45" i="50"/>
  <c r="AJ41" i="50"/>
  <c r="AJ37" i="50"/>
  <c r="AJ46" i="50"/>
  <c r="AJ44" i="50"/>
  <c r="AJ40" i="50"/>
  <c r="AJ36" i="50"/>
  <c r="AY8" i="51"/>
  <c r="AJ14" i="50"/>
  <c r="AJ35" i="50"/>
  <c r="I11" i="51"/>
  <c r="AJ20" i="50"/>
  <c r="AJ12" i="50"/>
  <c r="AJ42" i="50"/>
  <c r="AJ38" i="50"/>
  <c r="AJ11" i="51"/>
  <c r="AJ10" i="51"/>
  <c r="AJ9" i="51"/>
  <c r="AJ8" i="51"/>
  <c r="AJ7" i="51"/>
  <c r="AK7" i="51" s="1"/>
  <c r="AK8" i="51" s="1"/>
  <c r="AK9" i="51" s="1"/>
  <c r="AK10" i="51" s="1"/>
  <c r="AK11" i="51" s="1"/>
  <c r="AK12" i="51" s="1"/>
  <c r="AK13" i="51" s="1"/>
  <c r="AK14" i="51" s="1"/>
  <c r="AK15" i="51" s="1"/>
  <c r="AK16" i="51" s="1"/>
  <c r="AK17" i="51" s="1"/>
  <c r="AK18" i="51" s="1"/>
  <c r="AK19" i="51" s="1"/>
  <c r="AK20" i="51" s="1"/>
  <c r="AK21" i="51" s="1"/>
  <c r="AK22" i="51" s="1"/>
  <c r="AK23" i="51" s="1"/>
  <c r="AK24" i="51" s="1"/>
  <c r="AK25" i="51" s="1"/>
  <c r="AK26" i="51" s="1"/>
  <c r="AK27" i="51" s="1"/>
  <c r="AK28" i="51" s="1"/>
  <c r="AK29" i="51" s="1"/>
  <c r="AK30" i="51" s="1"/>
  <c r="AK31" i="51" s="1"/>
  <c r="AK32" i="51" s="1"/>
  <c r="AK33" i="51" s="1"/>
  <c r="AK34" i="51" s="1"/>
  <c r="AK35" i="51" s="1"/>
  <c r="AK36" i="51" s="1"/>
  <c r="AK37" i="51" s="1"/>
  <c r="AK38" i="51" s="1"/>
  <c r="AK39" i="51" s="1"/>
  <c r="AK40" i="51" s="1"/>
  <c r="AK41" i="51" s="1"/>
  <c r="AK42" i="51" s="1"/>
  <c r="AK43" i="51" s="1"/>
  <c r="AK44" i="51" s="1"/>
  <c r="AK45" i="51" s="1"/>
  <c r="AK46" i="51" s="1"/>
  <c r="AK47" i="51" s="1"/>
  <c r="AK48" i="51" s="1"/>
  <c r="AJ45" i="51"/>
  <c r="AJ46" i="51"/>
  <c r="N69" i="51"/>
  <c r="N64" i="51"/>
  <c r="I64" i="51"/>
  <c r="AQ8" i="51"/>
  <c r="AE8" i="51"/>
  <c r="Y8" i="51"/>
  <c r="AJ6" i="51"/>
  <c r="O12" i="51"/>
  <c r="O13" i="51"/>
  <c r="O14" i="51"/>
  <c r="O15" i="51"/>
  <c r="O16" i="51"/>
  <c r="O17" i="51"/>
  <c r="O18" i="51"/>
  <c r="O19" i="51"/>
  <c r="O20" i="51"/>
  <c r="O21" i="51"/>
  <c r="O22" i="51"/>
  <c r="O23" i="51"/>
  <c r="O24" i="51"/>
  <c r="O25" i="51"/>
  <c r="O26" i="51"/>
  <c r="O27" i="51"/>
  <c r="O28" i="51"/>
  <c r="O29" i="51"/>
  <c r="O30" i="51"/>
  <c r="O31" i="51"/>
  <c r="O32" i="51"/>
  <c r="O33" i="51"/>
  <c r="O34" i="51"/>
  <c r="O35" i="51"/>
  <c r="O36" i="51"/>
  <c r="O37" i="51"/>
  <c r="O38" i="51"/>
  <c r="O39" i="51"/>
  <c r="O40" i="51"/>
  <c r="O41" i="51"/>
  <c r="O42" i="51"/>
  <c r="O43" i="51"/>
  <c r="O44" i="51"/>
  <c r="I45" i="51"/>
  <c r="O59" i="51"/>
  <c r="O58" i="51"/>
  <c r="O57" i="51"/>
  <c r="AY46" i="51"/>
  <c r="AU8" i="51"/>
  <c r="AJ55" i="50"/>
  <c r="AJ51" i="50"/>
  <c r="AJ50" i="50"/>
  <c r="AJ49" i="50"/>
  <c r="AE8" i="50"/>
  <c r="AJ6" i="50"/>
  <c r="AJ34" i="50"/>
  <c r="AJ33" i="50"/>
  <c r="AJ30" i="50"/>
  <c r="AJ29" i="50"/>
  <c r="AJ28" i="50"/>
  <c r="AJ27" i="50"/>
  <c r="AJ26" i="50"/>
  <c r="AJ25" i="50"/>
  <c r="AJ24" i="50"/>
  <c r="AJ23" i="50"/>
  <c r="AJ21" i="50"/>
  <c r="AJ19" i="50"/>
  <c r="AJ15" i="50"/>
  <c r="AJ13" i="50"/>
  <c r="AJ11" i="50"/>
  <c r="AJ9" i="50"/>
  <c r="AJ17" i="50"/>
  <c r="AJ10" i="50"/>
  <c r="AK7" i="50"/>
  <c r="AJ22" i="50"/>
  <c r="AK8" i="50"/>
  <c r="I59" i="50"/>
  <c r="H59" i="50"/>
  <c r="BA58" i="50"/>
  <c r="AZ58" i="50"/>
  <c r="AP58" i="50"/>
  <c r="X58" i="50"/>
  <c r="T58" i="50"/>
  <c r="S58" i="50"/>
  <c r="Y64" i="51"/>
  <c r="AU64" i="51"/>
  <c r="P69" i="50"/>
  <c r="Q74" i="50"/>
  <c r="AQ74" i="51"/>
  <c r="AJ64" i="50"/>
  <c r="AK64" i="51"/>
  <c r="Y74" i="51"/>
  <c r="AJ64" i="51"/>
  <c r="AJ74" i="50"/>
  <c r="AJ69" i="50"/>
  <c r="O8" i="51"/>
  <c r="AK74" i="51"/>
  <c r="AE64" i="51"/>
  <c r="AE74" i="51"/>
  <c r="P74" i="50"/>
  <c r="AU74" i="51"/>
  <c r="O11" i="51"/>
  <c r="O10" i="51"/>
  <c r="Z74" i="50"/>
  <c r="O9" i="51"/>
  <c r="O7" i="51"/>
  <c r="Q69" i="50"/>
  <c r="AQ64" i="51"/>
  <c r="AJ69" i="51"/>
  <c r="AQ9" i="51" l="1"/>
  <c r="AQ10" i="51" s="1"/>
  <c r="AQ11" i="51" s="1"/>
  <c r="AQ12" i="51" s="1"/>
  <c r="AQ13" i="51" s="1"/>
  <c r="AQ14" i="51" s="1"/>
  <c r="AQ15" i="51" s="1"/>
  <c r="AQ16" i="51" s="1"/>
  <c r="AQ17" i="51" s="1"/>
  <c r="AQ18" i="51" s="1"/>
  <c r="AQ19" i="51" s="1"/>
  <c r="AQ20" i="51" s="1"/>
  <c r="AQ21" i="51" s="1"/>
  <c r="AQ22" i="51" s="1"/>
  <c r="AQ23" i="51" s="1"/>
  <c r="AQ24" i="51" s="1"/>
  <c r="AQ25" i="51" s="1"/>
  <c r="AQ26" i="51" s="1"/>
  <c r="AQ27" i="51" s="1"/>
  <c r="AQ28" i="51" s="1"/>
  <c r="AQ29" i="51" s="1"/>
  <c r="AQ30" i="51" s="1"/>
  <c r="AQ31" i="51" s="1"/>
  <c r="AQ32" i="51" s="1"/>
  <c r="AQ33" i="51" s="1"/>
  <c r="AQ34" i="51" s="1"/>
  <c r="AQ35" i="51" s="1"/>
  <c r="AQ36" i="51" s="1"/>
  <c r="AQ37" i="51" s="1"/>
  <c r="AQ38" i="51" s="1"/>
  <c r="AQ39" i="51" s="1"/>
  <c r="AQ40" i="51" s="1"/>
  <c r="AQ41" i="51" s="1"/>
  <c r="AQ42" i="51" s="1"/>
  <c r="AQ43" i="51" s="1"/>
  <c r="AQ44" i="51" s="1"/>
  <c r="AQ45" i="51" s="1"/>
  <c r="AQ46" i="51" s="1"/>
  <c r="AQ47" i="51" s="1"/>
  <c r="AQ48" i="51" s="1"/>
  <c r="AE9" i="51"/>
  <c r="AE10" i="51" s="1"/>
  <c r="AE11" i="51" s="1"/>
  <c r="AE12" i="51" s="1"/>
  <c r="AE13" i="51" s="1"/>
  <c r="AE14" i="51" s="1"/>
  <c r="AE15" i="51" s="1"/>
  <c r="AE16" i="51" s="1"/>
  <c r="AE17" i="51" s="1"/>
  <c r="AE18" i="51" s="1"/>
  <c r="AE19" i="51" s="1"/>
  <c r="AE20" i="51" s="1"/>
  <c r="AE21" i="51" s="1"/>
  <c r="AE22" i="51" s="1"/>
  <c r="AE23" i="51" s="1"/>
  <c r="AE24" i="51" s="1"/>
  <c r="AE25" i="51" s="1"/>
  <c r="AE26" i="51" s="1"/>
  <c r="AE27" i="51" s="1"/>
  <c r="AE28" i="51" s="1"/>
  <c r="AE29" i="51" s="1"/>
  <c r="AE30" i="51" s="1"/>
  <c r="AE31" i="51" s="1"/>
  <c r="AE32" i="51" s="1"/>
  <c r="AE33" i="51" s="1"/>
  <c r="AE34" i="51" s="1"/>
  <c r="AE35" i="51" s="1"/>
  <c r="AE36" i="51" s="1"/>
  <c r="AE37" i="51" s="1"/>
  <c r="AE38" i="51" s="1"/>
  <c r="AE39" i="51" s="1"/>
  <c r="AE40" i="51" s="1"/>
  <c r="AE41" i="51" s="1"/>
  <c r="AE42" i="51" s="1"/>
  <c r="AE43" i="51" s="1"/>
  <c r="AE44" i="51" s="1"/>
  <c r="AE45" i="51" s="1"/>
  <c r="AE46" i="51" s="1"/>
  <c r="AE47" i="51" s="1"/>
  <c r="AE48" i="51" s="1"/>
  <c r="AE49" i="51" s="1"/>
  <c r="AE50" i="51" s="1"/>
  <c r="AE51" i="51" s="1"/>
  <c r="AE52" i="51" s="1"/>
  <c r="AE53" i="51" s="1"/>
  <c r="AE54" i="51" s="1"/>
  <c r="AE55" i="51" s="1"/>
  <c r="AE56" i="51" s="1"/>
  <c r="AU9" i="51"/>
  <c r="AU10" i="51" s="1"/>
  <c r="AU11" i="51" s="1"/>
  <c r="AU12" i="51" s="1"/>
  <c r="AU13" i="51" s="1"/>
  <c r="AU14" i="51" s="1"/>
  <c r="AU15" i="51" s="1"/>
  <c r="AU16" i="51" s="1"/>
  <c r="AU17" i="51" s="1"/>
  <c r="AU18" i="51" s="1"/>
  <c r="AU19" i="51" s="1"/>
  <c r="AU20" i="51" s="1"/>
  <c r="AU21" i="51" s="1"/>
  <c r="AU22" i="51" s="1"/>
  <c r="AU23" i="51" s="1"/>
  <c r="AU24" i="51" s="1"/>
  <c r="AU25" i="51" s="1"/>
  <c r="AU26" i="51" s="1"/>
  <c r="AU27" i="51" s="1"/>
  <c r="AU28" i="51" s="1"/>
  <c r="AU29" i="51" s="1"/>
  <c r="AU30" i="51" s="1"/>
  <c r="AU31" i="51" s="1"/>
  <c r="AU32" i="51" s="1"/>
  <c r="AU33" i="51" s="1"/>
  <c r="AU34" i="51" s="1"/>
  <c r="AU35" i="51" s="1"/>
  <c r="AU36" i="51" s="1"/>
  <c r="AU37" i="51" s="1"/>
  <c r="AU38" i="51" s="1"/>
  <c r="AU39" i="51" s="1"/>
  <c r="AU40" i="51" s="1"/>
  <c r="AU41" i="51" s="1"/>
  <c r="AU42" i="51" s="1"/>
  <c r="AU43" i="51" s="1"/>
  <c r="AU44" i="51" s="1"/>
  <c r="AU45" i="51" s="1"/>
  <c r="AU46" i="51" s="1"/>
  <c r="AU47" i="51" s="1"/>
  <c r="AU48" i="51" s="1"/>
  <c r="AU49" i="51" s="1"/>
  <c r="AU50" i="51" s="1"/>
  <c r="AU51" i="51" s="1"/>
  <c r="AU52" i="51" s="1"/>
  <c r="AU53" i="51" s="1"/>
  <c r="AU54" i="51" s="1"/>
  <c r="AU55" i="51" s="1"/>
  <c r="AU56" i="51" s="1"/>
  <c r="Y9" i="51"/>
  <c r="Y10" i="51" s="1"/>
  <c r="Y11" i="51" s="1"/>
  <c r="Y12" i="51" s="1"/>
  <c r="Y13" i="51" s="1"/>
  <c r="Y14" i="51" s="1"/>
  <c r="Y15" i="51" s="1"/>
  <c r="Y16" i="51" s="1"/>
  <c r="Y17" i="51" s="1"/>
  <c r="Y18" i="51" s="1"/>
  <c r="Y19" i="51" s="1"/>
  <c r="Y20" i="51" s="1"/>
  <c r="Y21" i="51" s="1"/>
  <c r="Y22" i="51" s="1"/>
  <c r="Y23" i="51" s="1"/>
  <c r="Y24" i="51" s="1"/>
  <c r="Y25" i="51" s="1"/>
  <c r="Y26" i="51" s="1"/>
  <c r="Y27" i="51" s="1"/>
  <c r="Y28" i="51" s="1"/>
  <c r="Y29" i="51" s="1"/>
  <c r="Y30" i="51" s="1"/>
  <c r="Y31" i="51" s="1"/>
  <c r="Y32" i="51" s="1"/>
  <c r="Y33" i="51" s="1"/>
  <c r="Y34" i="51" s="1"/>
  <c r="Y35" i="51" s="1"/>
  <c r="Y36" i="51" s="1"/>
  <c r="Y37" i="51" s="1"/>
  <c r="Y38" i="51" s="1"/>
  <c r="Y39" i="51" s="1"/>
  <c r="Y40" i="51" s="1"/>
  <c r="Y41" i="51" s="1"/>
  <c r="Y42" i="51" s="1"/>
  <c r="Y43" i="51" s="1"/>
  <c r="Y44" i="51" s="1"/>
  <c r="Y45" i="51" s="1"/>
  <c r="Y46" i="51" s="1"/>
  <c r="Y47" i="51" s="1"/>
  <c r="Y48" i="51" s="1"/>
  <c r="AK49" i="51"/>
  <c r="AK50" i="51" s="1"/>
  <c r="AK51" i="51" s="1"/>
  <c r="AK52" i="51" s="1"/>
  <c r="AK53" i="51" s="1"/>
  <c r="AK54" i="51" s="1"/>
  <c r="AK55" i="51" s="1"/>
  <c r="AK56" i="51" s="1"/>
  <c r="Y49" i="51"/>
  <c r="Y50" i="51" s="1"/>
  <c r="Y51" i="51" s="1"/>
  <c r="Y52" i="51" s="1"/>
  <c r="Y53" i="51" s="1"/>
  <c r="Y54" i="51" s="1"/>
  <c r="Y55" i="51" s="1"/>
  <c r="Y56" i="51" s="1"/>
  <c r="AQ49" i="51"/>
  <c r="AQ50" i="51" s="1"/>
  <c r="AQ51" i="51" s="1"/>
  <c r="AQ52" i="51" s="1"/>
  <c r="AQ53" i="51" s="1"/>
  <c r="AQ54" i="51" s="1"/>
  <c r="AQ55" i="51" s="1"/>
  <c r="AQ56" i="51" s="1"/>
  <c r="AE9" i="50"/>
  <c r="AE10" i="50" s="1"/>
  <c r="AE11" i="50" s="1"/>
  <c r="AE12" i="50" s="1"/>
  <c r="AE13" i="50" s="1"/>
  <c r="AE14" i="50" s="1"/>
  <c r="AE15" i="50" s="1"/>
  <c r="AE16" i="50" s="1"/>
  <c r="AE17" i="50" s="1"/>
  <c r="AE18" i="50" s="1"/>
  <c r="AE19" i="50" s="1"/>
  <c r="AE20" i="50" s="1"/>
  <c r="AE21" i="50" s="1"/>
  <c r="AE22" i="50" s="1"/>
  <c r="AE23" i="50" s="1"/>
  <c r="AE24" i="50" s="1"/>
  <c r="AE25" i="50" s="1"/>
  <c r="AE26" i="50" s="1"/>
  <c r="AE27" i="50" s="1"/>
  <c r="AE28" i="50" s="1"/>
  <c r="AE29" i="50" s="1"/>
  <c r="AE30" i="50" s="1"/>
  <c r="AE31" i="50" s="1"/>
  <c r="AE32" i="50" s="1"/>
  <c r="AE33" i="50" s="1"/>
  <c r="AE34" i="50" s="1"/>
  <c r="AE35" i="50" s="1"/>
  <c r="AE36" i="50" s="1"/>
  <c r="AE37" i="50" s="1"/>
  <c r="AE38" i="50" s="1"/>
  <c r="AE39" i="50" s="1"/>
  <c r="AE40" i="50" s="1"/>
  <c r="AE41" i="50" s="1"/>
  <c r="AE42" i="50" s="1"/>
  <c r="AE43" i="50" s="1"/>
  <c r="AE44" i="50" s="1"/>
  <c r="AE45" i="50" s="1"/>
  <c r="AK9" i="50"/>
  <c r="AK10" i="50" s="1"/>
  <c r="AK11" i="50" s="1"/>
  <c r="AK12" i="50" s="1"/>
  <c r="AK13" i="50" s="1"/>
  <c r="AK14" i="50" s="1"/>
  <c r="AK15" i="50" s="1"/>
  <c r="AK16" i="50" s="1"/>
  <c r="AK17" i="50" s="1"/>
  <c r="AK18" i="50" s="1"/>
  <c r="AK19" i="50" s="1"/>
  <c r="AK20" i="50" s="1"/>
  <c r="AK21" i="50" s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K36" i="50" s="1"/>
  <c r="AK37" i="50" s="1"/>
  <c r="AK38" i="50" s="1"/>
  <c r="AK39" i="50" s="1"/>
  <c r="AK40" i="50" s="1"/>
  <c r="AK41" i="50" s="1"/>
  <c r="AK42" i="50" s="1"/>
  <c r="AK43" i="50" s="1"/>
  <c r="AK44" i="50" s="1"/>
  <c r="AK45" i="50" s="1"/>
  <c r="AY59" i="50"/>
  <c r="N58" i="50"/>
  <c r="M58" i="50"/>
  <c r="I58" i="50"/>
  <c r="H58" i="50"/>
  <c r="AY58" i="50" s="1"/>
  <c r="BA57" i="50"/>
  <c r="AZ57" i="50"/>
  <c r="AP57" i="50"/>
  <c r="X57" i="50"/>
  <c r="T57" i="50"/>
  <c r="S57" i="50"/>
  <c r="N57" i="50"/>
  <c r="M57" i="50"/>
  <c r="I57" i="50"/>
  <c r="H57" i="50"/>
  <c r="AY57" i="50" s="1"/>
  <c r="BA56" i="50"/>
  <c r="AZ56" i="50"/>
  <c r="AP56" i="50"/>
  <c r="X56" i="50"/>
  <c r="T56" i="50"/>
  <c r="S56" i="50"/>
  <c r="M56" i="50"/>
  <c r="N56" i="50" s="1"/>
  <c r="I56" i="50"/>
  <c r="H56" i="50"/>
  <c r="AY56" i="50" s="1"/>
  <c r="BA55" i="50"/>
  <c r="AZ55" i="50"/>
  <c r="AP55" i="50"/>
  <c r="X55" i="50"/>
  <c r="T55" i="50"/>
  <c r="S55" i="50"/>
  <c r="M55" i="50"/>
  <c r="N55" i="50" s="1"/>
  <c r="I55" i="50"/>
  <c r="H55" i="50"/>
  <c r="AY55" i="50" s="1"/>
  <c r="BA54" i="50"/>
  <c r="AZ54" i="50"/>
  <c r="AP54" i="50"/>
  <c r="X54" i="50"/>
  <c r="T54" i="50"/>
  <c r="S54" i="50"/>
  <c r="M54" i="50"/>
  <c r="N54" i="50" s="1"/>
  <c r="I54" i="50"/>
  <c r="H54" i="50"/>
  <c r="AY54" i="50" s="1"/>
  <c r="BA53" i="50"/>
  <c r="AZ53" i="50"/>
  <c r="AP53" i="50"/>
  <c r="X53" i="50"/>
  <c r="T53" i="50"/>
  <c r="S53" i="50"/>
  <c r="N53" i="50"/>
  <c r="M53" i="50"/>
  <c r="I53" i="50"/>
  <c r="H53" i="50"/>
  <c r="AY53" i="50" s="1"/>
  <c r="BA52" i="50"/>
  <c r="AZ52" i="50"/>
  <c r="AP52" i="50"/>
  <c r="X52" i="50"/>
  <c r="T52" i="50"/>
  <c r="S52" i="50"/>
  <c r="N52" i="50"/>
  <c r="M52" i="50"/>
  <c r="I52" i="50"/>
  <c r="H52" i="50"/>
  <c r="AY52" i="50" s="1"/>
  <c r="BA51" i="50"/>
  <c r="AZ51" i="50"/>
  <c r="AP51" i="50"/>
  <c r="X51" i="50"/>
  <c r="T51" i="50"/>
  <c r="S51" i="50"/>
  <c r="N51" i="50"/>
  <c r="M51" i="50"/>
  <c r="I51" i="50"/>
  <c r="H51" i="50"/>
  <c r="AY51" i="50" s="1"/>
  <c r="BA50" i="50"/>
  <c r="AZ50" i="50"/>
  <c r="AP50" i="50"/>
  <c r="X50" i="50"/>
  <c r="T50" i="50"/>
  <c r="S50" i="50"/>
  <c r="N50" i="50"/>
  <c r="M50" i="50"/>
  <c r="I50" i="50"/>
  <c r="H50" i="50"/>
  <c r="AY50" i="50" s="1"/>
  <c r="BA49" i="50"/>
  <c r="AZ49" i="50"/>
  <c r="AP49" i="50"/>
  <c r="X49" i="50"/>
  <c r="T49" i="50"/>
  <c r="S49" i="50"/>
  <c r="M49" i="50"/>
  <c r="N49" i="50" s="1"/>
  <c r="I49" i="50"/>
  <c r="H49" i="50"/>
  <c r="AY49" i="50" s="1"/>
  <c r="BA48" i="50"/>
  <c r="AZ48" i="50"/>
  <c r="AP48" i="50"/>
  <c r="X48" i="50"/>
  <c r="T48" i="50"/>
  <c r="S48" i="50"/>
  <c r="M48" i="50"/>
  <c r="N48" i="50" s="1"/>
  <c r="H48" i="50"/>
  <c r="AY48" i="50" s="1"/>
  <c r="BA47" i="50"/>
  <c r="AZ47" i="50"/>
  <c r="AP47" i="50"/>
  <c r="X47" i="50"/>
  <c r="T47" i="50"/>
  <c r="S47" i="50"/>
  <c r="M47" i="50"/>
  <c r="N47" i="50" s="1"/>
  <c r="H47" i="50"/>
  <c r="AY47" i="50" s="1"/>
  <c r="BA46" i="50"/>
  <c r="AZ46" i="50"/>
  <c r="AP46" i="50"/>
  <c r="X46" i="50"/>
  <c r="T46" i="50"/>
  <c r="S46" i="50"/>
  <c r="M46" i="50"/>
  <c r="N46" i="50" s="1"/>
  <c r="I46" i="50"/>
  <c r="H46" i="50"/>
  <c r="AY46" i="50" s="1"/>
  <c r="BA45" i="50"/>
  <c r="AZ45" i="50"/>
  <c r="AP45" i="50"/>
  <c r="X45" i="50"/>
  <c r="T45" i="50"/>
  <c r="S45" i="50"/>
  <c r="M45" i="50"/>
  <c r="N45" i="50" s="1"/>
  <c r="I45" i="50"/>
  <c r="H45" i="50"/>
  <c r="AY45" i="50" s="1"/>
  <c r="BA44" i="50"/>
  <c r="AZ44" i="50"/>
  <c r="AP44" i="50"/>
  <c r="X44" i="50"/>
  <c r="T44" i="50"/>
  <c r="S44" i="50"/>
  <c r="N44" i="50"/>
  <c r="M44" i="50"/>
  <c r="I44" i="50"/>
  <c r="H44" i="50"/>
  <c r="AY44" i="50" s="1"/>
  <c r="BA43" i="50"/>
  <c r="AZ43" i="50"/>
  <c r="AP43" i="50"/>
  <c r="X43" i="50"/>
  <c r="T43" i="50"/>
  <c r="S43" i="50"/>
  <c r="N43" i="50"/>
  <c r="M43" i="50"/>
  <c r="I43" i="50"/>
  <c r="H43" i="50"/>
  <c r="AY43" i="50" s="1"/>
  <c r="BA42" i="50"/>
  <c r="AZ42" i="50"/>
  <c r="AP42" i="50"/>
  <c r="X42" i="50"/>
  <c r="T42" i="50"/>
  <c r="S42" i="50"/>
  <c r="N42" i="50"/>
  <c r="M42" i="50"/>
  <c r="I42" i="50"/>
  <c r="H42" i="50"/>
  <c r="AY42" i="50" s="1"/>
  <c r="BA41" i="50"/>
  <c r="AZ41" i="50"/>
  <c r="AP41" i="50"/>
  <c r="X41" i="50"/>
  <c r="T41" i="50"/>
  <c r="S41" i="50"/>
  <c r="N41" i="50"/>
  <c r="M41" i="50"/>
  <c r="I41" i="50"/>
  <c r="H41" i="50"/>
  <c r="AY41" i="50" s="1"/>
  <c r="BA40" i="50"/>
  <c r="AZ40" i="50"/>
  <c r="AP40" i="50"/>
  <c r="X40" i="50"/>
  <c r="T40" i="50"/>
  <c r="S40" i="50"/>
  <c r="N40" i="50"/>
  <c r="M40" i="50"/>
  <c r="I40" i="50"/>
  <c r="H40" i="50"/>
  <c r="AY40" i="50" s="1"/>
  <c r="BA39" i="50"/>
  <c r="AZ39" i="50"/>
  <c r="AP39" i="50"/>
  <c r="X39" i="50"/>
  <c r="T39" i="50"/>
  <c r="S39" i="50"/>
  <c r="N39" i="50"/>
  <c r="M39" i="50"/>
  <c r="I39" i="50"/>
  <c r="H39" i="50"/>
  <c r="AY39" i="50" s="1"/>
  <c r="BA38" i="50"/>
  <c r="AZ38" i="50"/>
  <c r="AP38" i="50"/>
  <c r="X38" i="50"/>
  <c r="T38" i="50"/>
  <c r="S38" i="50"/>
  <c r="N38" i="50"/>
  <c r="M38" i="50"/>
  <c r="I38" i="50"/>
  <c r="H38" i="50"/>
  <c r="AY38" i="50" s="1"/>
  <c r="BA37" i="50"/>
  <c r="AZ37" i="50"/>
  <c r="AP37" i="50"/>
  <c r="X37" i="50"/>
  <c r="T37" i="50"/>
  <c r="S37" i="50"/>
  <c r="N37" i="50"/>
  <c r="M37" i="50"/>
  <c r="I37" i="50"/>
  <c r="H37" i="50"/>
  <c r="AY37" i="50" s="1"/>
  <c r="BA36" i="50"/>
  <c r="AZ36" i="50"/>
  <c r="AP36" i="50"/>
  <c r="X36" i="50"/>
  <c r="T36" i="50"/>
  <c r="S36" i="50"/>
  <c r="N36" i="50"/>
  <c r="M36" i="50"/>
  <c r="I36" i="50"/>
  <c r="H36" i="50"/>
  <c r="AY36" i="50" s="1"/>
  <c r="BA35" i="50"/>
  <c r="AZ35" i="50"/>
  <c r="AP35" i="50"/>
  <c r="X35" i="50"/>
  <c r="T35" i="50"/>
  <c r="S35" i="50"/>
  <c r="N35" i="50"/>
  <c r="M35" i="50"/>
  <c r="I35" i="50"/>
  <c r="H35" i="50"/>
  <c r="AY35" i="50" s="1"/>
  <c r="BA34" i="50"/>
  <c r="AZ34" i="50"/>
  <c r="AP34" i="50"/>
  <c r="X34" i="50"/>
  <c r="T34" i="50"/>
  <c r="S34" i="50"/>
  <c r="N34" i="50"/>
  <c r="M34" i="50"/>
  <c r="I34" i="50"/>
  <c r="H34" i="50"/>
  <c r="AY34" i="50" s="1"/>
  <c r="BA33" i="50"/>
  <c r="AZ33" i="50"/>
  <c r="AP33" i="50"/>
  <c r="X33" i="50"/>
  <c r="T33" i="50"/>
  <c r="S33" i="50"/>
  <c r="N33" i="50"/>
  <c r="M33" i="50"/>
  <c r="I33" i="50"/>
  <c r="H33" i="50"/>
  <c r="AY33" i="50" s="1"/>
  <c r="BA32" i="50"/>
  <c r="AZ32" i="50"/>
  <c r="AP32" i="50"/>
  <c r="X32" i="50"/>
  <c r="T32" i="50"/>
  <c r="S32" i="50"/>
  <c r="N32" i="50"/>
  <c r="M32" i="50"/>
  <c r="I32" i="50"/>
  <c r="H32" i="50"/>
  <c r="AY32" i="50" s="1"/>
  <c r="BA31" i="50"/>
  <c r="AZ31" i="50"/>
  <c r="AP31" i="50"/>
  <c r="X31" i="50"/>
  <c r="T31" i="50"/>
  <c r="S31" i="50"/>
  <c r="N31" i="50"/>
  <c r="M31" i="50"/>
  <c r="I31" i="50"/>
  <c r="H31" i="50"/>
  <c r="AY31" i="50" s="1"/>
  <c r="BA30" i="50"/>
  <c r="AZ30" i="50"/>
  <c r="AP30" i="50"/>
  <c r="X30" i="50"/>
  <c r="T30" i="50"/>
  <c r="S30" i="50"/>
  <c r="N30" i="50"/>
  <c r="M30" i="50"/>
  <c r="I30" i="50"/>
  <c r="H30" i="50"/>
  <c r="AY30" i="50" s="1"/>
  <c r="BA29" i="50"/>
  <c r="AZ29" i="50"/>
  <c r="AP29" i="50"/>
  <c r="X29" i="50"/>
  <c r="T29" i="50"/>
  <c r="S29" i="50"/>
  <c r="N29" i="50"/>
  <c r="M29" i="50"/>
  <c r="I29" i="50"/>
  <c r="H29" i="50"/>
  <c r="AY29" i="50" s="1"/>
  <c r="BA28" i="50"/>
  <c r="AZ28" i="50"/>
  <c r="AP28" i="50"/>
  <c r="X28" i="50"/>
  <c r="T28" i="50"/>
  <c r="S28" i="50"/>
  <c r="N28" i="50"/>
  <c r="M28" i="50"/>
  <c r="I28" i="50"/>
  <c r="H28" i="50"/>
  <c r="AY28" i="50" s="1"/>
  <c r="BA27" i="50"/>
  <c r="AZ27" i="50"/>
  <c r="AP27" i="50"/>
  <c r="X27" i="50"/>
  <c r="T27" i="50"/>
  <c r="S27" i="50"/>
  <c r="N27" i="50"/>
  <c r="M27" i="50"/>
  <c r="I27" i="50"/>
  <c r="H27" i="50"/>
  <c r="AY27" i="50" s="1"/>
  <c r="BA26" i="50"/>
  <c r="AZ26" i="50"/>
  <c r="AP26" i="50"/>
  <c r="X26" i="50"/>
  <c r="T26" i="50"/>
  <c r="S26" i="50"/>
  <c r="N26" i="50"/>
  <c r="M26" i="50"/>
  <c r="I26" i="50"/>
  <c r="H26" i="50"/>
  <c r="AY26" i="50" s="1"/>
  <c r="BA25" i="50"/>
  <c r="AZ25" i="50"/>
  <c r="AP25" i="50"/>
  <c r="X25" i="50"/>
  <c r="T25" i="50"/>
  <c r="S25" i="50"/>
  <c r="N25" i="50"/>
  <c r="M25" i="50"/>
  <c r="I25" i="50"/>
  <c r="H25" i="50"/>
  <c r="AY25" i="50" s="1"/>
  <c r="BA24" i="50"/>
  <c r="AZ24" i="50"/>
  <c r="AP24" i="50"/>
  <c r="X24" i="50"/>
  <c r="T24" i="50"/>
  <c r="S24" i="50"/>
  <c r="N24" i="50"/>
  <c r="M24" i="50"/>
  <c r="I24" i="50"/>
  <c r="H24" i="50"/>
  <c r="AY24" i="50" s="1"/>
  <c r="BA23" i="50"/>
  <c r="AZ23" i="50"/>
  <c r="AP23" i="50"/>
  <c r="X23" i="50"/>
  <c r="T23" i="50"/>
  <c r="S23" i="50"/>
  <c r="N23" i="50"/>
  <c r="M23" i="50"/>
  <c r="I23" i="50"/>
  <c r="H23" i="50"/>
  <c r="AY23" i="50" s="1"/>
  <c r="BA22" i="50"/>
  <c r="AZ22" i="50"/>
  <c r="AP22" i="50"/>
  <c r="X22" i="50"/>
  <c r="T22" i="50"/>
  <c r="S22" i="50"/>
  <c r="N22" i="50"/>
  <c r="M22" i="50"/>
  <c r="I22" i="50"/>
  <c r="H22" i="50"/>
  <c r="AY22" i="50" s="1"/>
  <c r="BA21" i="50"/>
  <c r="AZ21" i="50"/>
  <c r="AP21" i="50"/>
  <c r="X21" i="50"/>
  <c r="T21" i="50"/>
  <c r="S21" i="50"/>
  <c r="N21" i="50"/>
  <c r="M21" i="50"/>
  <c r="I21" i="50"/>
  <c r="H21" i="50"/>
  <c r="AY21" i="50" s="1"/>
  <c r="BA20" i="50"/>
  <c r="AZ20" i="50"/>
  <c r="AP20" i="50"/>
  <c r="X20" i="50"/>
  <c r="T20" i="50"/>
  <c r="S20" i="50"/>
  <c r="N20" i="50"/>
  <c r="M20" i="50"/>
  <c r="I20" i="50"/>
  <c r="H20" i="50"/>
  <c r="AY20" i="50" s="1"/>
  <c r="BA19" i="50"/>
  <c r="AZ19" i="50"/>
  <c r="AP19" i="50"/>
  <c r="X19" i="50"/>
  <c r="T19" i="50"/>
  <c r="S19" i="50"/>
  <c r="N19" i="50"/>
  <c r="M19" i="50"/>
  <c r="I19" i="50"/>
  <c r="H19" i="50"/>
  <c r="AY19" i="50" s="1"/>
  <c r="BA18" i="50"/>
  <c r="AZ18" i="50"/>
  <c r="AP18" i="50"/>
  <c r="X18" i="50"/>
  <c r="T18" i="50"/>
  <c r="S18" i="50"/>
  <c r="N18" i="50"/>
  <c r="M18" i="50"/>
  <c r="I18" i="50"/>
  <c r="H18" i="50"/>
  <c r="AY18" i="50" s="1"/>
  <c r="BA17" i="50"/>
  <c r="AZ17" i="50"/>
  <c r="AP17" i="50"/>
  <c r="X17" i="50"/>
  <c r="T17" i="50"/>
  <c r="S17" i="50"/>
  <c r="N17" i="50"/>
  <c r="M17" i="50"/>
  <c r="I17" i="50"/>
  <c r="H17" i="50"/>
  <c r="AY17" i="50" s="1"/>
  <c r="BA16" i="50"/>
  <c r="AZ16" i="50"/>
  <c r="AP16" i="50"/>
  <c r="X16" i="50"/>
  <c r="T16" i="50"/>
  <c r="S16" i="50"/>
  <c r="N16" i="50"/>
  <c r="M16" i="50"/>
  <c r="I16" i="50"/>
  <c r="H16" i="50"/>
  <c r="AY16" i="50" s="1"/>
  <c r="BA15" i="50"/>
  <c r="AZ15" i="50"/>
  <c r="AP15" i="50"/>
  <c r="X15" i="50"/>
  <c r="T15" i="50"/>
  <c r="S15" i="50"/>
  <c r="N15" i="50"/>
  <c r="M15" i="50"/>
  <c r="I15" i="50"/>
  <c r="H15" i="50"/>
  <c r="AY15" i="50" s="1"/>
  <c r="BA14" i="50"/>
  <c r="AZ14" i="50"/>
  <c r="AP14" i="50"/>
  <c r="X14" i="50"/>
  <c r="T14" i="50"/>
  <c r="S14" i="50"/>
  <c r="N14" i="50"/>
  <c r="M14" i="50"/>
  <c r="I14" i="50"/>
  <c r="H14" i="50"/>
  <c r="AY14" i="50" s="1"/>
  <c r="BA13" i="50"/>
  <c r="AZ13" i="50"/>
  <c r="AP13" i="50"/>
  <c r="X13" i="50"/>
  <c r="T13" i="50"/>
  <c r="S13" i="50"/>
  <c r="N13" i="50"/>
  <c r="M13" i="50"/>
  <c r="I13" i="50"/>
  <c r="H13" i="50"/>
  <c r="AY13" i="50" s="1"/>
  <c r="BA12" i="50"/>
  <c r="AZ12" i="50"/>
  <c r="AP12" i="50"/>
  <c r="X12" i="50"/>
  <c r="T12" i="50"/>
  <c r="S12" i="50"/>
  <c r="N12" i="50"/>
  <c r="M12" i="50"/>
  <c r="I12" i="50"/>
  <c r="H12" i="50"/>
  <c r="AY12" i="50" s="1"/>
  <c r="BA11" i="50"/>
  <c r="AZ11" i="50"/>
  <c r="AP11" i="50"/>
  <c r="X11" i="50"/>
  <c r="T11" i="50"/>
  <c r="S11" i="50"/>
  <c r="N11" i="50"/>
  <c r="M11" i="50"/>
  <c r="I11" i="50"/>
  <c r="H11" i="50"/>
  <c r="AY11" i="50" s="1"/>
  <c r="BA10" i="50"/>
  <c r="AZ10" i="50"/>
  <c r="AP10" i="50"/>
  <c r="X10" i="50"/>
  <c r="T10" i="50"/>
  <c r="S10" i="50"/>
  <c r="N10" i="50"/>
  <c r="M10" i="50"/>
  <c r="I10" i="50"/>
  <c r="H10" i="50"/>
  <c r="AY10" i="50" s="1"/>
  <c r="BA9" i="50"/>
  <c r="AZ9" i="50"/>
  <c r="AP9" i="50"/>
  <c r="X9" i="50"/>
  <c r="T9" i="50"/>
  <c r="S9" i="50"/>
  <c r="N9" i="50"/>
  <c r="M9" i="50"/>
  <c r="I9" i="50"/>
  <c r="H9" i="50"/>
  <c r="AY9" i="50" s="1"/>
  <c r="BA8" i="50"/>
  <c r="AZ8" i="50"/>
  <c r="AP8" i="50"/>
  <c r="X8" i="50"/>
  <c r="T8" i="50"/>
  <c r="S8" i="50"/>
  <c r="N8" i="50"/>
  <c r="M8" i="50"/>
  <c r="I8" i="50"/>
  <c r="H8" i="50"/>
  <c r="BA7" i="50"/>
  <c r="AZ7" i="50"/>
  <c r="AU7" i="50"/>
  <c r="AP7" i="50"/>
  <c r="X7" i="50"/>
  <c r="Y7" i="50" s="1"/>
  <c r="T7" i="50"/>
  <c r="S7" i="50"/>
  <c r="J57" i="50"/>
  <c r="J58" i="50"/>
  <c r="J45" i="50"/>
  <c r="J44" i="50"/>
  <c r="J43" i="50"/>
  <c r="J36" i="50"/>
  <c r="J37" i="50"/>
  <c r="J41" i="50"/>
  <c r="J35" i="50"/>
  <c r="J39" i="50"/>
  <c r="J40" i="50"/>
  <c r="J38" i="50"/>
  <c r="J42" i="50"/>
  <c r="H69" i="50"/>
  <c r="J47" i="50"/>
  <c r="J52" i="50"/>
  <c r="AQ69" i="51"/>
  <c r="AU69" i="51"/>
  <c r="J50" i="50"/>
  <c r="J56" i="50"/>
  <c r="AK64" i="50"/>
  <c r="J53" i="50"/>
  <c r="X74" i="50"/>
  <c r="AE64" i="50"/>
  <c r="AE69" i="51"/>
  <c r="AK69" i="51"/>
  <c r="J46" i="50"/>
  <c r="X69" i="50"/>
  <c r="Y69" i="51"/>
  <c r="AP74" i="50"/>
  <c r="J54" i="50"/>
  <c r="J49" i="50"/>
  <c r="AP69" i="50"/>
  <c r="J48" i="50"/>
  <c r="J55" i="50"/>
  <c r="J51" i="50"/>
  <c r="I48" i="50" l="1"/>
  <c r="I47" i="50"/>
  <c r="AQ57" i="51"/>
  <c r="AQ58" i="51" s="1"/>
  <c r="AQ59" i="51" s="1"/>
  <c r="AK57" i="51"/>
  <c r="AK58" i="51" s="1"/>
  <c r="AK59" i="51" s="1"/>
  <c r="AU57" i="51"/>
  <c r="AU58" i="51" s="1"/>
  <c r="AU59" i="51" s="1"/>
  <c r="Y57" i="51"/>
  <c r="Y58" i="51" s="1"/>
  <c r="Y59" i="51" s="1"/>
  <c r="AE57" i="51"/>
  <c r="AE58" i="51" s="1"/>
  <c r="AE59" i="51" s="1"/>
  <c r="AE46" i="50"/>
  <c r="AK46" i="50"/>
  <c r="I69" i="50"/>
  <c r="AY8" i="50"/>
  <c r="AQ7" i="50"/>
  <c r="AU8" i="50"/>
  <c r="Y8" i="50"/>
  <c r="Y9" i="50" s="1"/>
  <c r="Y10" i="50" s="1"/>
  <c r="Y11" i="50" s="1"/>
  <c r="Y12" i="50" s="1"/>
  <c r="Y13" i="50" s="1"/>
  <c r="Y14" i="50" s="1"/>
  <c r="Y15" i="50" s="1"/>
  <c r="Y16" i="50" s="1"/>
  <c r="Y17" i="50" s="1"/>
  <c r="Y18" i="50" s="1"/>
  <c r="Y19" i="50" s="1"/>
  <c r="Y20" i="50" s="1"/>
  <c r="Y21" i="50" s="1"/>
  <c r="Y22" i="50" s="1"/>
  <c r="Y23" i="50" s="1"/>
  <c r="Y24" i="50" s="1"/>
  <c r="Y25" i="50" s="1"/>
  <c r="Y26" i="50" s="1"/>
  <c r="Y27" i="50" s="1"/>
  <c r="Y28" i="50" s="1"/>
  <c r="Y29" i="50" s="1"/>
  <c r="Y30" i="50" s="1"/>
  <c r="Y31" i="50" s="1"/>
  <c r="Y32" i="50" s="1"/>
  <c r="Y33" i="50" s="1"/>
  <c r="Y34" i="50" s="1"/>
  <c r="Y35" i="50" s="1"/>
  <c r="Y36" i="50" s="1"/>
  <c r="Y37" i="50" s="1"/>
  <c r="Y38" i="50" s="1"/>
  <c r="Y39" i="50" s="1"/>
  <c r="Y40" i="50" s="1"/>
  <c r="Y41" i="50" s="1"/>
  <c r="Y42" i="50" s="1"/>
  <c r="Y43" i="50" s="1"/>
  <c r="Y44" i="50" s="1"/>
  <c r="Y45" i="50" s="1"/>
  <c r="N7" i="50"/>
  <c r="M7" i="50"/>
  <c r="Y64" i="50"/>
  <c r="M69" i="50"/>
  <c r="M64" i="50"/>
  <c r="M74" i="50"/>
  <c r="AQ64" i="50"/>
  <c r="Y46" i="50" l="1"/>
  <c r="Y47" i="50" s="1"/>
  <c r="Y48" i="50" s="1"/>
  <c r="AE47" i="50"/>
  <c r="AK47" i="50"/>
  <c r="AQ8" i="50"/>
  <c r="AU9" i="50"/>
  <c r="AU10" i="50" s="1"/>
  <c r="AU11" i="50" s="1"/>
  <c r="AU12" i="50" s="1"/>
  <c r="AU13" i="50" s="1"/>
  <c r="AU14" i="50" s="1"/>
  <c r="AU15" i="50" s="1"/>
  <c r="AU16" i="50" s="1"/>
  <c r="AU17" i="50" s="1"/>
  <c r="AU18" i="50" s="1"/>
  <c r="AU19" i="50" s="1"/>
  <c r="AU20" i="50" s="1"/>
  <c r="AU21" i="50" s="1"/>
  <c r="AU22" i="50" s="1"/>
  <c r="AU23" i="50" s="1"/>
  <c r="AU24" i="50" s="1"/>
  <c r="AU25" i="50" s="1"/>
  <c r="AU26" i="50" s="1"/>
  <c r="AU27" i="50" s="1"/>
  <c r="AU28" i="50" s="1"/>
  <c r="AU29" i="50" s="1"/>
  <c r="AU30" i="50" s="1"/>
  <c r="AU31" i="50" s="1"/>
  <c r="AU32" i="50" s="1"/>
  <c r="AU33" i="50" s="1"/>
  <c r="AU34" i="50" s="1"/>
  <c r="AU35" i="50" s="1"/>
  <c r="AU36" i="50" s="1"/>
  <c r="AU37" i="50" s="1"/>
  <c r="AU38" i="50" s="1"/>
  <c r="AU39" i="50" s="1"/>
  <c r="AU40" i="50" s="1"/>
  <c r="AU41" i="50" s="1"/>
  <c r="AU42" i="50" s="1"/>
  <c r="AU43" i="50" s="1"/>
  <c r="AU44" i="50" s="1"/>
  <c r="AU45" i="50" s="1"/>
  <c r="N69" i="50"/>
  <c r="N74" i="50"/>
  <c r="N64" i="50"/>
  <c r="I7" i="50"/>
  <c r="H7" i="50"/>
  <c r="BA6" i="50"/>
  <c r="AZ6" i="50"/>
  <c r="AP6" i="50"/>
  <c r="X6" i="50"/>
  <c r="T6" i="50"/>
  <c r="S6" i="50"/>
  <c r="O5" i="50"/>
  <c r="O58" i="50" s="1"/>
  <c r="S74" i="49"/>
  <c r="S72" i="49"/>
  <c r="C72" i="49"/>
  <c r="B72" i="49"/>
  <c r="U71" i="49"/>
  <c r="T71" i="49"/>
  <c r="J11" i="50"/>
  <c r="J24" i="50"/>
  <c r="J23" i="50"/>
  <c r="J31" i="50"/>
  <c r="O26" i="50"/>
  <c r="J34" i="50"/>
  <c r="O19" i="50"/>
  <c r="J13" i="50"/>
  <c r="J20" i="50"/>
  <c r="J17" i="50"/>
  <c r="O9" i="50"/>
  <c r="J22" i="50"/>
  <c r="J25" i="50"/>
  <c r="J28" i="50"/>
  <c r="J14" i="50"/>
  <c r="J19" i="50"/>
  <c r="J27" i="50"/>
  <c r="O10" i="50"/>
  <c r="O16" i="50"/>
  <c r="J26" i="50"/>
  <c r="J30" i="50"/>
  <c r="J15" i="50"/>
  <c r="J12" i="50"/>
  <c r="J21" i="50"/>
  <c r="J33" i="50"/>
  <c r="O34" i="50"/>
  <c r="J9" i="50"/>
  <c r="J32" i="50"/>
  <c r="J7" i="50"/>
  <c r="O15" i="50"/>
  <c r="J29" i="50"/>
  <c r="J8" i="50"/>
  <c r="O38" i="50"/>
  <c r="J10" i="50"/>
  <c r="J16" i="50"/>
  <c r="J18" i="50"/>
  <c r="O14" i="50"/>
  <c r="O20" i="50"/>
  <c r="AP64" i="50"/>
  <c r="H74" i="50"/>
  <c r="X64" i="50"/>
  <c r="AU64" i="50"/>
  <c r="O46" i="50"/>
  <c r="H64" i="50"/>
  <c r="AF74" i="49"/>
  <c r="E71" i="49"/>
  <c r="K71" i="49"/>
  <c r="O22" i="50" l="1"/>
  <c r="O13" i="50"/>
  <c r="O45" i="50"/>
  <c r="O28" i="50"/>
  <c r="O30" i="50"/>
  <c r="O32" i="50"/>
  <c r="O29" i="50"/>
  <c r="O21" i="50"/>
  <c r="Y49" i="50"/>
  <c r="Y50" i="50" s="1"/>
  <c r="AE48" i="50"/>
  <c r="AK48" i="50"/>
  <c r="AU46" i="50"/>
  <c r="O37" i="50"/>
  <c r="O31" i="50"/>
  <c r="O7" i="50"/>
  <c r="O23" i="50"/>
  <c r="O8" i="50"/>
  <c r="O11" i="50"/>
  <c r="O18" i="50"/>
  <c r="O41" i="50"/>
  <c r="O24" i="50"/>
  <c r="O27" i="50"/>
  <c r="O36" i="50"/>
  <c r="O17" i="50"/>
  <c r="O33" i="50"/>
  <c r="O42" i="50"/>
  <c r="O25" i="50"/>
  <c r="O12" i="50"/>
  <c r="O57" i="50"/>
  <c r="O59" i="50"/>
  <c r="AQ9" i="50"/>
  <c r="AQ10" i="50" s="1"/>
  <c r="AQ11" i="50" s="1"/>
  <c r="AQ12" i="50" s="1"/>
  <c r="AQ13" i="50" s="1"/>
  <c r="AQ14" i="50" s="1"/>
  <c r="AQ15" i="50" s="1"/>
  <c r="AQ16" i="50" s="1"/>
  <c r="AQ17" i="50" s="1"/>
  <c r="AQ18" i="50" s="1"/>
  <c r="AQ19" i="50" s="1"/>
  <c r="AQ20" i="50" s="1"/>
  <c r="AQ21" i="50" s="1"/>
  <c r="AQ22" i="50" s="1"/>
  <c r="AQ23" i="50" s="1"/>
  <c r="AQ24" i="50" s="1"/>
  <c r="AQ25" i="50" s="1"/>
  <c r="AQ26" i="50" s="1"/>
  <c r="AQ27" i="50" s="1"/>
  <c r="AQ28" i="50" s="1"/>
  <c r="AQ29" i="50" s="1"/>
  <c r="AQ30" i="50" s="1"/>
  <c r="AQ31" i="50" s="1"/>
  <c r="AQ32" i="50" s="1"/>
  <c r="AQ33" i="50" s="1"/>
  <c r="AQ34" i="50" s="1"/>
  <c r="AQ35" i="50" s="1"/>
  <c r="AQ36" i="50" s="1"/>
  <c r="AQ37" i="50" s="1"/>
  <c r="AQ38" i="50" s="1"/>
  <c r="AQ39" i="50" s="1"/>
  <c r="AQ40" i="50" s="1"/>
  <c r="AQ41" i="50" s="1"/>
  <c r="AQ42" i="50" s="1"/>
  <c r="AQ43" i="50" s="1"/>
  <c r="AQ44" i="50" s="1"/>
  <c r="AQ45" i="50" s="1"/>
  <c r="AQ46" i="50" s="1"/>
  <c r="AQ47" i="50" s="1"/>
  <c r="AQ48" i="50" s="1"/>
  <c r="AQ49" i="50" s="1"/>
  <c r="AQ50" i="50" s="1"/>
  <c r="AQ51" i="50" s="1"/>
  <c r="AQ52" i="50" s="1"/>
  <c r="AQ53" i="50" s="1"/>
  <c r="AQ54" i="50" s="1"/>
  <c r="AQ55" i="50" s="1"/>
  <c r="AQ56" i="50" s="1"/>
  <c r="I74" i="50"/>
  <c r="I64" i="50"/>
  <c r="AY7" i="50"/>
  <c r="S69" i="49"/>
  <c r="S67" i="49"/>
  <c r="C67" i="49"/>
  <c r="B67" i="49"/>
  <c r="U66" i="49"/>
  <c r="T66" i="49"/>
  <c r="S64" i="49"/>
  <c r="S62" i="49"/>
  <c r="C62" i="49"/>
  <c r="B62" i="49"/>
  <c r="U61" i="49"/>
  <c r="T61" i="49"/>
  <c r="O44" i="50"/>
  <c r="O43" i="50"/>
  <c r="O35" i="50"/>
  <c r="O40" i="50"/>
  <c r="O39" i="50"/>
  <c r="W74" i="49"/>
  <c r="AK64" i="49"/>
  <c r="AF64" i="49"/>
  <c r="O51" i="50"/>
  <c r="K66" i="49"/>
  <c r="E74" i="49"/>
  <c r="O56" i="50"/>
  <c r="O53" i="50"/>
  <c r="O48" i="50"/>
  <c r="O55" i="50"/>
  <c r="E66" i="49"/>
  <c r="Z74" i="49"/>
  <c r="AH74" i="49"/>
  <c r="AH64" i="49"/>
  <c r="AL74" i="49"/>
  <c r="AC74" i="49"/>
  <c r="O49" i="50"/>
  <c r="O54" i="50"/>
  <c r="V64" i="49"/>
  <c r="Z64" i="49"/>
  <c r="AG74" i="49"/>
  <c r="AB74" i="49"/>
  <c r="AA74" i="49"/>
  <c r="E64" i="49"/>
  <c r="AC64" i="49"/>
  <c r="AL69" i="49"/>
  <c r="R64" i="49"/>
  <c r="R74" i="49"/>
  <c r="AG64" i="49"/>
  <c r="W64" i="49"/>
  <c r="K61" i="49"/>
  <c r="AJ74" i="49"/>
  <c r="V74" i="49"/>
  <c r="O52" i="50"/>
  <c r="U74" i="49"/>
  <c r="O47" i="50"/>
  <c r="AK74" i="49"/>
  <c r="O50" i="50"/>
  <c r="AQ74" i="50"/>
  <c r="AQ69" i="50"/>
  <c r="AB69" i="49"/>
  <c r="AJ69" i="49"/>
  <c r="AQ57" i="50" l="1"/>
  <c r="AQ58" i="50" s="1"/>
  <c r="AQ59" i="50" s="1"/>
  <c r="Y51" i="50"/>
  <c r="Y52" i="50" s="1"/>
  <c r="Y53" i="50" s="1"/>
  <c r="Y54" i="50" s="1"/>
  <c r="Y55" i="50" s="1"/>
  <c r="Y56" i="50" s="1"/>
  <c r="AE49" i="50"/>
  <c r="AE50" i="50" s="1"/>
  <c r="AK49" i="50"/>
  <c r="AK50" i="50" s="1"/>
  <c r="AU47" i="50"/>
  <c r="AO59" i="49"/>
  <c r="AN59" i="49"/>
  <c r="AD59" i="49"/>
  <c r="X59" i="49"/>
  <c r="T59" i="49"/>
  <c r="S59" i="49"/>
  <c r="N59" i="49"/>
  <c r="M59" i="49"/>
  <c r="I59" i="49"/>
  <c r="H59" i="49"/>
  <c r="AM59" i="49" s="1"/>
  <c r="AO58" i="49"/>
  <c r="AN58" i="49"/>
  <c r="AD58" i="49"/>
  <c r="X58" i="49"/>
  <c r="T58" i="49"/>
  <c r="S58" i="49"/>
  <c r="N58" i="49"/>
  <c r="M58" i="49"/>
  <c r="I58" i="49"/>
  <c r="H58" i="49"/>
  <c r="AM58" i="49" s="1"/>
  <c r="AO57" i="49"/>
  <c r="AN57" i="49"/>
  <c r="AD57" i="49"/>
  <c r="X57" i="49"/>
  <c r="T57" i="49"/>
  <c r="S57" i="49"/>
  <c r="N57" i="49"/>
  <c r="M57" i="49"/>
  <c r="I57" i="49"/>
  <c r="H57" i="49"/>
  <c r="AM57" i="49" s="1"/>
  <c r="AO56" i="49"/>
  <c r="AN56" i="49"/>
  <c r="AD56" i="49"/>
  <c r="X56" i="49"/>
  <c r="T56" i="49"/>
  <c r="S56" i="49"/>
  <c r="N56" i="49"/>
  <c r="M56" i="49"/>
  <c r="I56" i="49"/>
  <c r="H56" i="49"/>
  <c r="AM56" i="49" s="1"/>
  <c r="AO55" i="49"/>
  <c r="AN55" i="49"/>
  <c r="AD55" i="49"/>
  <c r="X55" i="49"/>
  <c r="T55" i="49"/>
  <c r="S55" i="49"/>
  <c r="N55" i="49"/>
  <c r="M55" i="49"/>
  <c r="I55" i="49"/>
  <c r="H55" i="49"/>
  <c r="AM55" i="49" s="1"/>
  <c r="AO54" i="49"/>
  <c r="AN54" i="49"/>
  <c r="AD54" i="49"/>
  <c r="X54" i="49"/>
  <c r="T54" i="49"/>
  <c r="S54" i="49"/>
  <c r="N54" i="49"/>
  <c r="M54" i="49"/>
  <c r="I54" i="49"/>
  <c r="H54" i="49"/>
  <c r="AM54" i="49" s="1"/>
  <c r="AO53" i="49"/>
  <c r="AN53" i="49"/>
  <c r="AD53" i="49"/>
  <c r="X53" i="49"/>
  <c r="T53" i="49"/>
  <c r="S53" i="49"/>
  <c r="N53" i="49"/>
  <c r="M53" i="49"/>
  <c r="I53" i="49"/>
  <c r="H53" i="49"/>
  <c r="AM53" i="49" s="1"/>
  <c r="AO52" i="49"/>
  <c r="AN52" i="49"/>
  <c r="AD52" i="49"/>
  <c r="X52" i="49"/>
  <c r="T52" i="49"/>
  <c r="S52" i="49"/>
  <c r="N52" i="49"/>
  <c r="M52" i="49"/>
  <c r="I52" i="49"/>
  <c r="H52" i="49"/>
  <c r="AM52" i="49" s="1"/>
  <c r="AO51" i="49"/>
  <c r="AN51" i="49"/>
  <c r="AD51" i="49"/>
  <c r="X51" i="49"/>
  <c r="T51" i="49"/>
  <c r="S51" i="49"/>
  <c r="N51" i="49"/>
  <c r="M51" i="49"/>
  <c r="I51" i="49"/>
  <c r="H51" i="49"/>
  <c r="AM51" i="49" s="1"/>
  <c r="AO50" i="49"/>
  <c r="AN50" i="49"/>
  <c r="AD50" i="49"/>
  <c r="X50" i="49"/>
  <c r="T50" i="49"/>
  <c r="S50" i="49"/>
  <c r="N50" i="49"/>
  <c r="M50" i="49"/>
  <c r="I50" i="49"/>
  <c r="H50" i="49"/>
  <c r="AM50" i="49" s="1"/>
  <c r="AO49" i="49"/>
  <c r="AN49" i="49"/>
  <c r="AD49" i="49"/>
  <c r="X49" i="49"/>
  <c r="T49" i="49"/>
  <c r="S49" i="49"/>
  <c r="N49" i="49"/>
  <c r="M49" i="49"/>
  <c r="I49" i="49"/>
  <c r="H49" i="49"/>
  <c r="AM49" i="49" s="1"/>
  <c r="AO48" i="49"/>
  <c r="AN48" i="49"/>
  <c r="AD48" i="49"/>
  <c r="X48" i="49"/>
  <c r="T48" i="49"/>
  <c r="S48" i="49"/>
  <c r="N48" i="49"/>
  <c r="M48" i="49"/>
  <c r="I48" i="49"/>
  <c r="H48" i="49"/>
  <c r="AM48" i="49" s="1"/>
  <c r="AO47" i="49"/>
  <c r="AN47" i="49"/>
  <c r="AD47" i="49"/>
  <c r="X47" i="49"/>
  <c r="T47" i="49"/>
  <c r="S47" i="49"/>
  <c r="N47" i="49"/>
  <c r="M47" i="49"/>
  <c r="I47" i="49"/>
  <c r="H47" i="49"/>
  <c r="AM47" i="49" s="1"/>
  <c r="AO46" i="49"/>
  <c r="AN46" i="49"/>
  <c r="AD46" i="49"/>
  <c r="X46" i="49"/>
  <c r="T46" i="49"/>
  <c r="S46" i="49"/>
  <c r="N46" i="49"/>
  <c r="M46" i="49"/>
  <c r="I46" i="49"/>
  <c r="H46" i="49"/>
  <c r="AM46" i="49" s="1"/>
  <c r="AO45" i="49"/>
  <c r="AN45" i="49"/>
  <c r="AD45" i="49"/>
  <c r="X45" i="49"/>
  <c r="T45" i="49"/>
  <c r="S45" i="49"/>
  <c r="N45" i="49"/>
  <c r="M45" i="49"/>
  <c r="I45" i="49"/>
  <c r="H45" i="49"/>
  <c r="AM45" i="49" s="1"/>
  <c r="AO44" i="49"/>
  <c r="AN44" i="49"/>
  <c r="AD44" i="49"/>
  <c r="X44" i="49"/>
  <c r="T44" i="49"/>
  <c r="S44" i="49"/>
  <c r="N44" i="49"/>
  <c r="M44" i="49"/>
  <c r="I44" i="49"/>
  <c r="H44" i="49"/>
  <c r="AM44" i="49" s="1"/>
  <c r="AO43" i="49"/>
  <c r="AN43" i="49"/>
  <c r="AD43" i="49"/>
  <c r="X43" i="49"/>
  <c r="T43" i="49"/>
  <c r="S43" i="49"/>
  <c r="N43" i="49"/>
  <c r="M43" i="49"/>
  <c r="I43" i="49"/>
  <c r="H43" i="49"/>
  <c r="AM43" i="49" s="1"/>
  <c r="AO42" i="49"/>
  <c r="AN42" i="49"/>
  <c r="AD42" i="49"/>
  <c r="X42" i="49"/>
  <c r="T42" i="49"/>
  <c r="S42" i="49"/>
  <c r="N42" i="49"/>
  <c r="M42" i="49"/>
  <c r="I42" i="49"/>
  <c r="H42" i="49"/>
  <c r="AM42" i="49" s="1"/>
  <c r="AO41" i="49"/>
  <c r="AN41" i="49"/>
  <c r="AD41" i="49"/>
  <c r="X41" i="49"/>
  <c r="T41" i="49"/>
  <c r="S41" i="49"/>
  <c r="N41" i="49"/>
  <c r="M41" i="49"/>
  <c r="I41" i="49"/>
  <c r="H41" i="49"/>
  <c r="AM41" i="49" s="1"/>
  <c r="AO40" i="49"/>
  <c r="AN40" i="49"/>
  <c r="AD40" i="49"/>
  <c r="X40" i="49"/>
  <c r="T40" i="49"/>
  <c r="S40" i="49"/>
  <c r="N40" i="49"/>
  <c r="M40" i="49"/>
  <c r="I40" i="49"/>
  <c r="H40" i="49"/>
  <c r="AM40" i="49" s="1"/>
  <c r="AO39" i="49"/>
  <c r="AN39" i="49"/>
  <c r="AD39" i="49"/>
  <c r="X39" i="49"/>
  <c r="T39" i="49"/>
  <c r="S39" i="49"/>
  <c r="N39" i="49"/>
  <c r="M39" i="49"/>
  <c r="I39" i="49"/>
  <c r="H39" i="49"/>
  <c r="AM39" i="49" s="1"/>
  <c r="AO38" i="49"/>
  <c r="AN38" i="49"/>
  <c r="AD38" i="49"/>
  <c r="X38" i="49"/>
  <c r="T38" i="49"/>
  <c r="S38" i="49"/>
  <c r="N38" i="49"/>
  <c r="M38" i="49"/>
  <c r="AF69" i="49"/>
  <c r="AH69" i="49"/>
  <c r="R69" i="49"/>
  <c r="W69" i="49"/>
  <c r="AK69" i="49"/>
  <c r="AJ64" i="49"/>
  <c r="AD69" i="49"/>
  <c r="AA69" i="49"/>
  <c r="AC69" i="49"/>
  <c r="V69" i="49"/>
  <c r="X69" i="49"/>
  <c r="Y69" i="50"/>
  <c r="U64" i="49"/>
  <c r="AL64" i="49"/>
  <c r="AB64" i="49"/>
  <c r="Z69" i="49"/>
  <c r="U69" i="49"/>
  <c r="AA64" i="49"/>
  <c r="M69" i="49"/>
  <c r="AG69" i="49"/>
  <c r="E69" i="49"/>
  <c r="Y74" i="50"/>
  <c r="Y57" i="50" l="1"/>
  <c r="Y58" i="50" s="1"/>
  <c r="Y59" i="50" s="1"/>
  <c r="AK51" i="50"/>
  <c r="AK52" i="50" s="1"/>
  <c r="AK53" i="50" s="1"/>
  <c r="AK54" i="50" s="1"/>
  <c r="AK55" i="50" s="1"/>
  <c r="AK56" i="50" s="1"/>
  <c r="AE51" i="50"/>
  <c r="AE52" i="50" s="1"/>
  <c r="AE53" i="50" s="1"/>
  <c r="AE54" i="50" s="1"/>
  <c r="AE55" i="50" s="1"/>
  <c r="AE56" i="50" s="1"/>
  <c r="AU48" i="50"/>
  <c r="N69" i="49"/>
  <c r="I38" i="49"/>
  <c r="H38" i="49"/>
  <c r="AO37" i="49"/>
  <c r="AN37" i="49"/>
  <c r="AD37" i="49"/>
  <c r="X37" i="49"/>
  <c r="T37" i="49"/>
  <c r="S37" i="49"/>
  <c r="AK74" i="50"/>
  <c r="AE69" i="50"/>
  <c r="H69" i="49"/>
  <c r="AK69" i="50"/>
  <c r="AE74" i="50"/>
  <c r="AK57" i="50" l="1"/>
  <c r="AK58" i="50" s="1"/>
  <c r="AK59" i="50" s="1"/>
  <c r="AE57" i="50"/>
  <c r="AE58" i="50" s="1"/>
  <c r="AE59" i="50" s="1"/>
  <c r="AU49" i="50"/>
  <c r="AU50" i="50" s="1"/>
  <c r="I69" i="49"/>
  <c r="AM38" i="49"/>
  <c r="N37" i="49"/>
  <c r="M37" i="49"/>
  <c r="I37" i="49"/>
  <c r="H37" i="49"/>
  <c r="AM37" i="49" s="1"/>
  <c r="AO36" i="49"/>
  <c r="AN36" i="49"/>
  <c r="AD36" i="49"/>
  <c r="X36" i="49"/>
  <c r="T36" i="49"/>
  <c r="S36" i="49"/>
  <c r="N36" i="49"/>
  <c r="M36" i="49"/>
  <c r="I36" i="49"/>
  <c r="H36" i="49"/>
  <c r="AM36" i="49" s="1"/>
  <c r="AO35" i="49"/>
  <c r="AN35" i="49"/>
  <c r="AD35" i="49"/>
  <c r="X35" i="49"/>
  <c r="T35" i="49"/>
  <c r="S35" i="49"/>
  <c r="N35" i="49"/>
  <c r="M35" i="49"/>
  <c r="I35" i="49"/>
  <c r="H35" i="49"/>
  <c r="AM35" i="49" s="1"/>
  <c r="AO34" i="49"/>
  <c r="AN34" i="49"/>
  <c r="AD34" i="49"/>
  <c r="X34" i="49"/>
  <c r="T34" i="49"/>
  <c r="S34" i="49"/>
  <c r="N34" i="49"/>
  <c r="M34" i="49"/>
  <c r="I34" i="49"/>
  <c r="H34" i="49"/>
  <c r="AM34" i="49" s="1"/>
  <c r="AO33" i="49"/>
  <c r="AN33" i="49"/>
  <c r="AD33" i="49"/>
  <c r="X33" i="49"/>
  <c r="T33" i="49"/>
  <c r="S33" i="49"/>
  <c r="N33" i="49"/>
  <c r="M33" i="49"/>
  <c r="I33" i="49"/>
  <c r="H33" i="49"/>
  <c r="AM33" i="49" s="1"/>
  <c r="AO32" i="49"/>
  <c r="AN32" i="49"/>
  <c r="AD32" i="49"/>
  <c r="X32" i="49"/>
  <c r="T32" i="49"/>
  <c r="S32" i="49"/>
  <c r="N32" i="49"/>
  <c r="M32" i="49"/>
  <c r="I32" i="49"/>
  <c r="H32" i="49"/>
  <c r="AM32" i="49" s="1"/>
  <c r="AO31" i="49"/>
  <c r="AN31" i="49"/>
  <c r="AD31" i="49"/>
  <c r="X31" i="49"/>
  <c r="T31" i="49"/>
  <c r="S31" i="49"/>
  <c r="N31" i="49"/>
  <c r="M31" i="49"/>
  <c r="I31" i="49"/>
  <c r="H31" i="49"/>
  <c r="AM31" i="49" s="1"/>
  <c r="AO30" i="49"/>
  <c r="AN30" i="49"/>
  <c r="AD30" i="49"/>
  <c r="X30" i="49"/>
  <c r="T30" i="49"/>
  <c r="S30" i="49"/>
  <c r="N30" i="49"/>
  <c r="M30" i="49"/>
  <c r="I30" i="49"/>
  <c r="H30" i="49"/>
  <c r="AM30" i="49" s="1"/>
  <c r="AO29" i="49"/>
  <c r="AN29" i="49"/>
  <c r="AD29" i="49"/>
  <c r="X29" i="49"/>
  <c r="T29" i="49"/>
  <c r="S29" i="49"/>
  <c r="N29" i="49"/>
  <c r="M29" i="49"/>
  <c r="I29" i="49"/>
  <c r="H29" i="49"/>
  <c r="AM29" i="49" s="1"/>
  <c r="AO28" i="49"/>
  <c r="AN28" i="49"/>
  <c r="AD28" i="49"/>
  <c r="X28" i="49"/>
  <c r="T28" i="49"/>
  <c r="S28" i="49"/>
  <c r="N28" i="49"/>
  <c r="M28" i="49"/>
  <c r="I28" i="49"/>
  <c r="H28" i="49"/>
  <c r="AM28" i="49" s="1"/>
  <c r="AO27" i="49"/>
  <c r="AN27" i="49"/>
  <c r="AD27" i="49"/>
  <c r="X27" i="49"/>
  <c r="T27" i="49"/>
  <c r="S27" i="49"/>
  <c r="N27" i="49"/>
  <c r="M27" i="49"/>
  <c r="I27" i="49"/>
  <c r="H27" i="49"/>
  <c r="AM27" i="49" s="1"/>
  <c r="AO26" i="49"/>
  <c r="AN26" i="49"/>
  <c r="AD26" i="49"/>
  <c r="X26" i="49"/>
  <c r="T26" i="49"/>
  <c r="S26" i="49"/>
  <c r="N26" i="49"/>
  <c r="M26" i="49"/>
  <c r="I26" i="49"/>
  <c r="H26" i="49"/>
  <c r="AM26" i="49" s="1"/>
  <c r="AO25" i="49"/>
  <c r="AN25" i="49"/>
  <c r="AD25" i="49"/>
  <c r="X25" i="49"/>
  <c r="T25" i="49"/>
  <c r="S25" i="49"/>
  <c r="N25" i="49"/>
  <c r="M25" i="49"/>
  <c r="I25" i="49"/>
  <c r="H25" i="49"/>
  <c r="AM25" i="49" s="1"/>
  <c r="AO24" i="49"/>
  <c r="AN24" i="49"/>
  <c r="AD24" i="49"/>
  <c r="X24" i="49"/>
  <c r="T24" i="49"/>
  <c r="S24" i="49"/>
  <c r="N24" i="49"/>
  <c r="M24" i="49"/>
  <c r="I24" i="49"/>
  <c r="H24" i="49"/>
  <c r="AM24" i="49" s="1"/>
  <c r="AO23" i="49"/>
  <c r="AN23" i="49"/>
  <c r="AD23" i="49"/>
  <c r="X23" i="49"/>
  <c r="T23" i="49"/>
  <c r="S23" i="49"/>
  <c r="N23" i="49"/>
  <c r="M23" i="49"/>
  <c r="I23" i="49"/>
  <c r="H23" i="49"/>
  <c r="AM23" i="49" s="1"/>
  <c r="AO22" i="49"/>
  <c r="AN22" i="49"/>
  <c r="AD22" i="49"/>
  <c r="X22" i="49"/>
  <c r="T22" i="49"/>
  <c r="S22" i="49"/>
  <c r="N22" i="49"/>
  <c r="M22" i="49"/>
  <c r="I22" i="49"/>
  <c r="H22" i="49"/>
  <c r="AM22" i="49" s="1"/>
  <c r="AO21" i="49"/>
  <c r="AN21" i="49"/>
  <c r="AD21" i="49"/>
  <c r="X21" i="49"/>
  <c r="T21" i="49"/>
  <c r="S21" i="49"/>
  <c r="N21" i="49"/>
  <c r="M21" i="49"/>
  <c r="I21" i="49"/>
  <c r="H21" i="49"/>
  <c r="AM21" i="49" s="1"/>
  <c r="AO20" i="49"/>
  <c r="AN20" i="49"/>
  <c r="AD20" i="49"/>
  <c r="X20" i="49"/>
  <c r="T20" i="49"/>
  <c r="S20" i="49"/>
  <c r="N20" i="49"/>
  <c r="M20" i="49"/>
  <c r="I20" i="49"/>
  <c r="H20" i="49"/>
  <c r="AM20" i="49" s="1"/>
  <c r="AO19" i="49"/>
  <c r="AN19" i="49"/>
  <c r="AD19" i="49"/>
  <c r="X19" i="49"/>
  <c r="T19" i="49"/>
  <c r="S19" i="49"/>
  <c r="N19" i="49"/>
  <c r="M19" i="49"/>
  <c r="I19" i="49"/>
  <c r="H19" i="49"/>
  <c r="AM19" i="49" s="1"/>
  <c r="AO18" i="49"/>
  <c r="AN18" i="49"/>
  <c r="AD18" i="49"/>
  <c r="X18" i="49"/>
  <c r="T18" i="49"/>
  <c r="S18" i="49"/>
  <c r="N18" i="49"/>
  <c r="M18" i="49"/>
  <c r="I18" i="49"/>
  <c r="H18" i="49"/>
  <c r="AM18" i="49" s="1"/>
  <c r="AO17" i="49"/>
  <c r="AN17" i="49"/>
  <c r="AD17" i="49"/>
  <c r="X17" i="49"/>
  <c r="T17" i="49"/>
  <c r="S17" i="49"/>
  <c r="N17" i="49"/>
  <c r="M17" i="49"/>
  <c r="I17" i="49"/>
  <c r="H17" i="49"/>
  <c r="AM17" i="49" s="1"/>
  <c r="AO16" i="49"/>
  <c r="AN16" i="49"/>
  <c r="AD16" i="49"/>
  <c r="X16" i="49"/>
  <c r="T16" i="49"/>
  <c r="S16" i="49"/>
  <c r="N16" i="49"/>
  <c r="M16" i="49"/>
  <c r="I16" i="49"/>
  <c r="H16" i="49"/>
  <c r="AM16" i="49" s="1"/>
  <c r="AO15" i="49"/>
  <c r="AN15" i="49"/>
  <c r="AD15" i="49"/>
  <c r="X15" i="49"/>
  <c r="T15" i="49"/>
  <c r="S15" i="49"/>
  <c r="M15" i="49"/>
  <c r="N15" i="49" s="1"/>
  <c r="H15" i="49"/>
  <c r="AM15" i="49" s="1"/>
  <c r="AO14" i="49"/>
  <c r="AN14" i="49"/>
  <c r="AD14" i="49"/>
  <c r="X14" i="49"/>
  <c r="T14" i="49"/>
  <c r="S14" i="49"/>
  <c r="AU51" i="50" l="1"/>
  <c r="AU52" i="50" s="1"/>
  <c r="AU53" i="50" s="1"/>
  <c r="AU54" i="50" s="1"/>
  <c r="AU55" i="50" s="1"/>
  <c r="AU56" i="50" s="1"/>
  <c r="I15" i="49"/>
  <c r="M14" i="49"/>
  <c r="N14" i="49" s="1"/>
  <c r="H14" i="49"/>
  <c r="AM14" i="49" s="1"/>
  <c r="AO13" i="49"/>
  <c r="AN13" i="49"/>
  <c r="AD13" i="49"/>
  <c r="X13" i="49"/>
  <c r="T13" i="49"/>
  <c r="S13" i="49"/>
  <c r="AU74" i="50"/>
  <c r="AU69" i="50"/>
  <c r="AU57" i="50" l="1"/>
  <c r="AU58" i="50" s="1"/>
  <c r="AU59" i="50" s="1"/>
  <c r="I14" i="49"/>
  <c r="M13" i="49"/>
  <c r="N13" i="49" s="1"/>
  <c r="H13" i="49"/>
  <c r="I13" i="49" s="1"/>
  <c r="AO12" i="49"/>
  <c r="AN12" i="49"/>
  <c r="AD12" i="49"/>
  <c r="X12" i="49"/>
  <c r="T12" i="49"/>
  <c r="S12" i="49"/>
  <c r="N12" i="49"/>
  <c r="M12" i="49"/>
  <c r="I12" i="49"/>
  <c r="H12" i="49"/>
  <c r="AM12" i="49" s="1"/>
  <c r="AO11" i="49"/>
  <c r="AN11" i="49"/>
  <c r="AD11" i="49"/>
  <c r="X11" i="49"/>
  <c r="T11" i="49"/>
  <c r="S11" i="49"/>
  <c r="N11" i="49"/>
  <c r="M11" i="49"/>
  <c r="I11" i="49"/>
  <c r="H11" i="49"/>
  <c r="AM11" i="49" s="1"/>
  <c r="AO10" i="49"/>
  <c r="AN10" i="49"/>
  <c r="AD10" i="49"/>
  <c r="X10" i="49"/>
  <c r="T10" i="49"/>
  <c r="S10" i="49"/>
  <c r="N10" i="49"/>
  <c r="M10" i="49"/>
  <c r="I10" i="49"/>
  <c r="H10" i="49"/>
  <c r="AM10" i="49" s="1"/>
  <c r="AO9" i="49"/>
  <c r="AN9" i="49"/>
  <c r="AD9" i="49"/>
  <c r="X9" i="49"/>
  <c r="T9" i="49"/>
  <c r="S9" i="49"/>
  <c r="N9" i="49"/>
  <c r="M9" i="49"/>
  <c r="I9" i="49"/>
  <c r="H9" i="49"/>
  <c r="AM9" i="49" s="1"/>
  <c r="AO8" i="49"/>
  <c r="AN8" i="49"/>
  <c r="AD8" i="49"/>
  <c r="X8" i="49"/>
  <c r="T8" i="49"/>
  <c r="S8" i="49"/>
  <c r="N8" i="49"/>
  <c r="M8" i="49"/>
  <c r="I8" i="49"/>
  <c r="H8" i="49"/>
  <c r="AM8" i="49" s="1"/>
  <c r="AO7" i="49"/>
  <c r="AN7" i="49"/>
  <c r="AI7" i="49"/>
  <c r="AI8" i="49" s="1"/>
  <c r="AI9" i="49" s="1"/>
  <c r="AI10" i="49" s="1"/>
  <c r="AI11" i="49" s="1"/>
  <c r="AI12" i="49" s="1"/>
  <c r="AI13" i="49" s="1"/>
  <c r="AI14" i="49" s="1"/>
  <c r="AI15" i="49" s="1"/>
  <c r="AI16" i="49" s="1"/>
  <c r="AI17" i="49" s="1"/>
  <c r="AI18" i="49" s="1"/>
  <c r="AI19" i="49" s="1"/>
  <c r="AI20" i="49" s="1"/>
  <c r="AI21" i="49" s="1"/>
  <c r="AI22" i="49" s="1"/>
  <c r="AI23" i="49" s="1"/>
  <c r="AI24" i="49" s="1"/>
  <c r="AI25" i="49" s="1"/>
  <c r="AI26" i="49" s="1"/>
  <c r="AI27" i="49" s="1"/>
  <c r="AI28" i="49" s="1"/>
  <c r="AI29" i="49" s="1"/>
  <c r="AI30" i="49" s="1"/>
  <c r="AI31" i="49" s="1"/>
  <c r="AI32" i="49" s="1"/>
  <c r="AI33" i="49" s="1"/>
  <c r="AI34" i="49" s="1"/>
  <c r="AI35" i="49" s="1"/>
  <c r="AI36" i="49" s="1"/>
  <c r="AI37" i="49" s="1"/>
  <c r="AI38" i="49" s="1"/>
  <c r="AI39" i="49" s="1"/>
  <c r="AI40" i="49" s="1"/>
  <c r="AD7" i="49"/>
  <c r="X7" i="49"/>
  <c r="T7" i="49"/>
  <c r="S7" i="49"/>
  <c r="N7" i="49"/>
  <c r="M7" i="49"/>
  <c r="I7" i="49"/>
  <c r="H7" i="49"/>
  <c r="AO6" i="49"/>
  <c r="AN6" i="49"/>
  <c r="AD6" i="49"/>
  <c r="X6" i="49"/>
  <c r="T6" i="49"/>
  <c r="S6" i="49"/>
  <c r="O5" i="49"/>
  <c r="AD7" i="48"/>
  <c r="AD8" i="48"/>
  <c r="AD9" i="48"/>
  <c r="AD10" i="48"/>
  <c r="AD11" i="48"/>
  <c r="AD12" i="48"/>
  <c r="AD13" i="48"/>
  <c r="AD14" i="48"/>
  <c r="AD15" i="48"/>
  <c r="AD16" i="48"/>
  <c r="AD17" i="48"/>
  <c r="AD18" i="48"/>
  <c r="AD19" i="48"/>
  <c r="AD20" i="48"/>
  <c r="AD21" i="48"/>
  <c r="AD22" i="48"/>
  <c r="AD23" i="48"/>
  <c r="AD24" i="48"/>
  <c r="AD25" i="48"/>
  <c r="AD26" i="48"/>
  <c r="AD27" i="48"/>
  <c r="AD28" i="48"/>
  <c r="AD29" i="48"/>
  <c r="AD30" i="48"/>
  <c r="AD31" i="48"/>
  <c r="AD32" i="48"/>
  <c r="AD33" i="48"/>
  <c r="AD34" i="48"/>
  <c r="AD35" i="48"/>
  <c r="AD36" i="48"/>
  <c r="AD37" i="48"/>
  <c r="AD38" i="48"/>
  <c r="AD39" i="48"/>
  <c r="AD40" i="48"/>
  <c r="AD41" i="48"/>
  <c r="AD42" i="48"/>
  <c r="AD43" i="48"/>
  <c r="AD44" i="48"/>
  <c r="AD45" i="48"/>
  <c r="AD46" i="48"/>
  <c r="AD47" i="48"/>
  <c r="AD48" i="48"/>
  <c r="AD49" i="48"/>
  <c r="AD50" i="48"/>
  <c r="AD51" i="48"/>
  <c r="AD52" i="48"/>
  <c r="AD53" i="48"/>
  <c r="AD54" i="48"/>
  <c r="AD55" i="48"/>
  <c r="AD56" i="48"/>
  <c r="AD57" i="48"/>
  <c r="AD58" i="48"/>
  <c r="AD59" i="48"/>
  <c r="AI7" i="48"/>
  <c r="AI8" i="48" s="1"/>
  <c r="AI9" i="48" s="1"/>
  <c r="AI10" i="48" s="1"/>
  <c r="AI11" i="48" s="1"/>
  <c r="AI12" i="48" s="1"/>
  <c r="AI13" i="48" s="1"/>
  <c r="AI14" i="48" s="1"/>
  <c r="AI15" i="48" s="1"/>
  <c r="AI16" i="48" s="1"/>
  <c r="AI17" i="48" s="1"/>
  <c r="AI18" i="48" s="1"/>
  <c r="AI19" i="48" s="1"/>
  <c r="AI20" i="48" s="1"/>
  <c r="AI21" i="48" s="1"/>
  <c r="AI22" i="48" s="1"/>
  <c r="AI23" i="48" s="1"/>
  <c r="AI24" i="48" s="1"/>
  <c r="AI25" i="48" s="1"/>
  <c r="AI26" i="48" s="1"/>
  <c r="AI27" i="48" s="1"/>
  <c r="AI28" i="48" s="1"/>
  <c r="AI29" i="48" s="1"/>
  <c r="AI30" i="48" s="1"/>
  <c r="AI31" i="48" s="1"/>
  <c r="AI32" i="48" s="1"/>
  <c r="AI33" i="48" s="1"/>
  <c r="AI34" i="48" s="1"/>
  <c r="AI35" i="48" s="1"/>
  <c r="AI36" i="48" s="1"/>
  <c r="AI37" i="48" s="1"/>
  <c r="AI38" i="48" s="1"/>
  <c r="AI39" i="48" s="1"/>
  <c r="AI40" i="48" s="1"/>
  <c r="AI41" i="48" s="1"/>
  <c r="AI42" i="48" s="1"/>
  <c r="AI43" i="48" s="1"/>
  <c r="AI44" i="48" s="1"/>
  <c r="AI45" i="48" s="1"/>
  <c r="AI46" i="48" s="1"/>
  <c r="AI47" i="48" s="1"/>
  <c r="AI48" i="48" s="1"/>
  <c r="AI49" i="48" s="1"/>
  <c r="AI50" i="48" s="1"/>
  <c r="AI51" i="48" s="1"/>
  <c r="AI52" i="48" s="1"/>
  <c r="AI53" i="48" s="1"/>
  <c r="AI54" i="48" s="1"/>
  <c r="AI55" i="48" s="1"/>
  <c r="AI56" i="48" s="1"/>
  <c r="AI57" i="48" s="1"/>
  <c r="AI58" i="48" s="1"/>
  <c r="AI59" i="48" s="1"/>
  <c r="AE7" i="48"/>
  <c r="AD6" i="48"/>
  <c r="X8" i="48"/>
  <c r="X9" i="48"/>
  <c r="X10" i="48"/>
  <c r="X11" i="48"/>
  <c r="X12" i="48"/>
  <c r="X13" i="48"/>
  <c r="X14" i="48"/>
  <c r="X15" i="48"/>
  <c r="X16" i="48"/>
  <c r="X17" i="48"/>
  <c r="X18" i="48"/>
  <c r="X19" i="48"/>
  <c r="X20" i="48"/>
  <c r="X21" i="48"/>
  <c r="X22" i="48"/>
  <c r="X23" i="48"/>
  <c r="X24" i="48"/>
  <c r="X25" i="48"/>
  <c r="X26" i="48"/>
  <c r="X27" i="48"/>
  <c r="X28" i="48"/>
  <c r="X29" i="48"/>
  <c r="X30" i="48"/>
  <c r="X31" i="48"/>
  <c r="X32" i="48"/>
  <c r="X33" i="48"/>
  <c r="X34" i="48"/>
  <c r="X35" i="48"/>
  <c r="X36" i="48"/>
  <c r="X37" i="48"/>
  <c r="X38" i="48"/>
  <c r="X39" i="48"/>
  <c r="X40" i="48"/>
  <c r="X41" i="48"/>
  <c r="X42" i="48"/>
  <c r="X43" i="48"/>
  <c r="X44" i="48"/>
  <c r="X45" i="48"/>
  <c r="X46" i="48"/>
  <c r="X47" i="48"/>
  <c r="X48" i="48"/>
  <c r="X49" i="48"/>
  <c r="X50" i="48"/>
  <c r="X51" i="48"/>
  <c r="X52" i="48"/>
  <c r="X53" i="48"/>
  <c r="X54" i="48"/>
  <c r="X55" i="48"/>
  <c r="X56" i="48"/>
  <c r="X57" i="48"/>
  <c r="X58" i="48"/>
  <c r="X59" i="48"/>
  <c r="X6" i="48"/>
  <c r="X7" i="48"/>
  <c r="Y7" i="48" s="1"/>
  <c r="Y8" i="48" s="1"/>
  <c r="Y9" i="48" s="1"/>
  <c r="S74" i="48"/>
  <c r="S72" i="48"/>
  <c r="C72" i="48"/>
  <c r="B72" i="48"/>
  <c r="U71" i="48"/>
  <c r="T71" i="48"/>
  <c r="S69" i="48"/>
  <c r="S67" i="48"/>
  <c r="C67" i="48"/>
  <c r="B67" i="48"/>
  <c r="U66" i="48"/>
  <c r="T66" i="48"/>
  <c r="S64" i="48"/>
  <c r="S62" i="48"/>
  <c r="C62" i="48"/>
  <c r="B62" i="48"/>
  <c r="U61" i="48"/>
  <c r="T61" i="48"/>
  <c r="AO59" i="48"/>
  <c r="AN59" i="48"/>
  <c r="T59" i="48"/>
  <c r="S59" i="48"/>
  <c r="H64" i="49"/>
  <c r="H74" i="49"/>
  <c r="J24" i="49"/>
  <c r="Z74" i="48"/>
  <c r="J9" i="49"/>
  <c r="J54" i="49"/>
  <c r="M64" i="49"/>
  <c r="J50" i="49"/>
  <c r="J33" i="49"/>
  <c r="E74" i="48"/>
  <c r="J18" i="49"/>
  <c r="J16" i="49"/>
  <c r="J26" i="49"/>
  <c r="J19" i="49"/>
  <c r="AD74" i="49"/>
  <c r="J7" i="49"/>
  <c r="J25" i="49"/>
  <c r="J51" i="49"/>
  <c r="E64" i="48"/>
  <c r="J36" i="49"/>
  <c r="J29" i="49"/>
  <c r="J59" i="49"/>
  <c r="O19" i="49"/>
  <c r="X74" i="49"/>
  <c r="K71" i="48"/>
  <c r="J41" i="49"/>
  <c r="J22" i="49"/>
  <c r="J44" i="49"/>
  <c r="J56" i="49"/>
  <c r="J40" i="49"/>
  <c r="J45" i="49"/>
  <c r="K61" i="48"/>
  <c r="J8" i="49"/>
  <c r="J11" i="49"/>
  <c r="J21" i="49"/>
  <c r="J27" i="49"/>
  <c r="J39" i="49"/>
  <c r="M74" i="49"/>
  <c r="K66" i="48"/>
  <c r="O23" i="49"/>
  <c r="AD64" i="49"/>
  <c r="J52" i="49"/>
  <c r="J58" i="49"/>
  <c r="J48" i="49"/>
  <c r="J10" i="49"/>
  <c r="J47" i="49"/>
  <c r="J49" i="49"/>
  <c r="J38" i="49"/>
  <c r="O59" i="49"/>
  <c r="J46" i="49"/>
  <c r="X64" i="49"/>
  <c r="J32" i="49"/>
  <c r="J35" i="49"/>
  <c r="E71" i="48"/>
  <c r="J30" i="49"/>
  <c r="AF64" i="48"/>
  <c r="Z64" i="48"/>
  <c r="AF74" i="48"/>
  <c r="J14" i="49"/>
  <c r="J15" i="49"/>
  <c r="J57" i="49"/>
  <c r="J42" i="49"/>
  <c r="J31" i="49"/>
  <c r="J53" i="49"/>
  <c r="J17" i="49"/>
  <c r="O24" i="49"/>
  <c r="O32" i="49"/>
  <c r="J20" i="49"/>
  <c r="O45" i="49"/>
  <c r="O34" i="49"/>
  <c r="J37" i="49"/>
  <c r="J12" i="49"/>
  <c r="J13" i="49"/>
  <c r="J23" i="49"/>
  <c r="J28" i="49"/>
  <c r="J43" i="49"/>
  <c r="J34" i="49"/>
  <c r="O48" i="49"/>
  <c r="J55" i="49"/>
  <c r="E66" i="48"/>
  <c r="O26" i="49"/>
  <c r="Z69" i="48"/>
  <c r="I74" i="49" l="1"/>
  <c r="I64" i="49"/>
  <c r="AE8" i="48"/>
  <c r="AE9" i="48" s="1"/>
  <c r="AE10" i="48" s="1"/>
  <c r="AE11" i="48" s="1"/>
  <c r="AE12" i="48" s="1"/>
  <c r="AE13" i="48" s="1"/>
  <c r="Y7" i="49"/>
  <c r="Y8" i="49" s="1"/>
  <c r="Y9" i="49" s="1"/>
  <c r="Y10" i="49" s="1"/>
  <c r="Y11" i="49" s="1"/>
  <c r="Y12" i="49" s="1"/>
  <c r="Y13" i="49" s="1"/>
  <c r="Y14" i="49" s="1"/>
  <c r="Y15" i="49" s="1"/>
  <c r="Y16" i="49" s="1"/>
  <c r="Y17" i="49" s="1"/>
  <c r="Y18" i="49" s="1"/>
  <c r="Y19" i="49" s="1"/>
  <c r="Y20" i="49" s="1"/>
  <c r="Y21" i="49" s="1"/>
  <c r="Y22" i="49" s="1"/>
  <c r="Y23" i="49" s="1"/>
  <c r="Y24" i="49" s="1"/>
  <c r="Y25" i="49" s="1"/>
  <c r="Y26" i="49" s="1"/>
  <c r="Y27" i="49" s="1"/>
  <c r="Y28" i="49" s="1"/>
  <c r="Y29" i="49" s="1"/>
  <c r="Y30" i="49" s="1"/>
  <c r="Y31" i="49" s="1"/>
  <c r="Y32" i="49" s="1"/>
  <c r="Y33" i="49" s="1"/>
  <c r="Y34" i="49" s="1"/>
  <c r="Y35" i="49" s="1"/>
  <c r="Y36" i="49" s="1"/>
  <c r="Y37" i="49" s="1"/>
  <c r="Y38" i="49" s="1"/>
  <c r="Y39" i="49" s="1"/>
  <c r="Y40" i="49" s="1"/>
  <c r="Y41" i="49" s="1"/>
  <c r="Y42" i="49" s="1"/>
  <c r="Y43" i="49" s="1"/>
  <c r="Y44" i="49" s="1"/>
  <c r="Y45" i="49" s="1"/>
  <c r="Y46" i="49" s="1"/>
  <c r="Y47" i="49" s="1"/>
  <c r="Y48" i="49" s="1"/>
  <c r="Y49" i="49" s="1"/>
  <c r="Y50" i="49" s="1"/>
  <c r="Y51" i="49" s="1"/>
  <c r="Y52" i="49" s="1"/>
  <c r="Y53" i="49" s="1"/>
  <c r="Y54" i="49" s="1"/>
  <c r="Y55" i="49" s="1"/>
  <c r="Y56" i="49" s="1"/>
  <c r="Y57" i="49" s="1"/>
  <c r="Y58" i="49" s="1"/>
  <c r="AE7" i="49"/>
  <c r="AE8" i="49" s="1"/>
  <c r="AE9" i="49" s="1"/>
  <c r="AE10" i="49" s="1"/>
  <c r="AE11" i="49" s="1"/>
  <c r="AE12" i="49" s="1"/>
  <c r="AE13" i="49" s="1"/>
  <c r="AE14" i="49" s="1"/>
  <c r="AE15" i="49" s="1"/>
  <c r="AE16" i="49" s="1"/>
  <c r="AE17" i="49" s="1"/>
  <c r="AE18" i="49" s="1"/>
  <c r="AE19" i="49" s="1"/>
  <c r="AE20" i="49" s="1"/>
  <c r="AE21" i="49" s="1"/>
  <c r="AE22" i="49" s="1"/>
  <c r="AE23" i="49" s="1"/>
  <c r="AE24" i="49" s="1"/>
  <c r="AE25" i="49" s="1"/>
  <c r="AE26" i="49" s="1"/>
  <c r="AE27" i="49" s="1"/>
  <c r="AE28" i="49" s="1"/>
  <c r="AE29" i="49" s="1"/>
  <c r="AE30" i="49" s="1"/>
  <c r="AE31" i="49" s="1"/>
  <c r="AE32" i="49" s="1"/>
  <c r="AE33" i="49" s="1"/>
  <c r="AE34" i="49" s="1"/>
  <c r="AE35" i="49" s="1"/>
  <c r="AE36" i="49" s="1"/>
  <c r="AE37" i="49" s="1"/>
  <c r="AE38" i="49" s="1"/>
  <c r="AE39" i="49" s="1"/>
  <c r="AE40" i="49" s="1"/>
  <c r="AE41" i="49" s="1"/>
  <c r="AE42" i="49" s="1"/>
  <c r="AE43" i="49" s="1"/>
  <c r="AE44" i="49" s="1"/>
  <c r="AE45" i="49" s="1"/>
  <c r="AE46" i="49" s="1"/>
  <c r="AE47" i="49" s="1"/>
  <c r="AE48" i="49" s="1"/>
  <c r="AE49" i="49" s="1"/>
  <c r="AE50" i="49" s="1"/>
  <c r="AE51" i="49" s="1"/>
  <c r="AE52" i="49" s="1"/>
  <c r="AE53" i="49" s="1"/>
  <c r="AE54" i="49" s="1"/>
  <c r="AE55" i="49" s="1"/>
  <c r="AE56" i="49" s="1"/>
  <c r="AE57" i="49" s="1"/>
  <c r="AE58" i="49" s="1"/>
  <c r="AM7" i="49"/>
  <c r="N74" i="49"/>
  <c r="N64" i="49"/>
  <c r="AI41" i="49"/>
  <c r="AI42" i="49" s="1"/>
  <c r="AI43" i="49" s="1"/>
  <c r="AI44" i="49" s="1"/>
  <c r="AI45" i="49" s="1"/>
  <c r="AI46" i="49" s="1"/>
  <c r="AI47" i="49" s="1"/>
  <c r="AI48" i="49" s="1"/>
  <c r="AI49" i="49" s="1"/>
  <c r="AI50" i="49" s="1"/>
  <c r="AI51" i="49" s="1"/>
  <c r="AI52" i="49" s="1"/>
  <c r="AI53" i="49" s="1"/>
  <c r="AI54" i="49" s="1"/>
  <c r="AI55" i="49" s="1"/>
  <c r="AI56" i="49" s="1"/>
  <c r="AI57" i="49" s="1"/>
  <c r="AI58" i="49" s="1"/>
  <c r="AM13" i="49"/>
  <c r="AE14" i="48"/>
  <c r="AE15" i="48" s="1"/>
  <c r="AE16" i="48" s="1"/>
  <c r="AE17" i="48" s="1"/>
  <c r="AE18" i="48" s="1"/>
  <c r="AE19" i="48" s="1"/>
  <c r="AE20" i="48" s="1"/>
  <c r="AE21" i="48" s="1"/>
  <c r="AE22" i="48" s="1"/>
  <c r="AE23" i="48" s="1"/>
  <c r="AE24" i="48" s="1"/>
  <c r="AE25" i="48" s="1"/>
  <c r="AE26" i="48" s="1"/>
  <c r="AE27" i="48" s="1"/>
  <c r="AE28" i="48" s="1"/>
  <c r="AE29" i="48" s="1"/>
  <c r="AE30" i="48" s="1"/>
  <c r="AE31" i="48" s="1"/>
  <c r="AE32" i="48" s="1"/>
  <c r="AE33" i="48" s="1"/>
  <c r="AE34" i="48" s="1"/>
  <c r="AE35" i="48" s="1"/>
  <c r="AE36" i="48" s="1"/>
  <c r="AE37" i="48" s="1"/>
  <c r="AE38" i="48" s="1"/>
  <c r="AE39" i="48" s="1"/>
  <c r="AE40" i="48" s="1"/>
  <c r="AE41" i="48" s="1"/>
  <c r="AE42" i="48" s="1"/>
  <c r="AE43" i="48" s="1"/>
  <c r="AE44" i="48" s="1"/>
  <c r="AE45" i="48" s="1"/>
  <c r="AE46" i="48" s="1"/>
  <c r="AE47" i="48" s="1"/>
  <c r="AE48" i="48" s="1"/>
  <c r="AE49" i="48" s="1"/>
  <c r="AE50" i="48" s="1"/>
  <c r="AE51" i="48" s="1"/>
  <c r="AE52" i="48" s="1"/>
  <c r="AE53" i="48" s="1"/>
  <c r="AE54" i="48" s="1"/>
  <c r="AE55" i="48" s="1"/>
  <c r="AE56" i="48" s="1"/>
  <c r="AE57" i="48" s="1"/>
  <c r="AE58" i="48" s="1"/>
  <c r="AE59" i="48" s="1"/>
  <c r="Y10" i="48"/>
  <c r="Y11" i="48" s="1"/>
  <c r="Y12" i="48" s="1"/>
  <c r="Y13" i="48" s="1"/>
  <c r="Y14" i="48" s="1"/>
  <c r="Y15" i="48" s="1"/>
  <c r="Y16" i="48" s="1"/>
  <c r="Y17" i="48" s="1"/>
  <c r="Y18" i="48" s="1"/>
  <c r="Y19" i="48" s="1"/>
  <c r="Y20" i="48" s="1"/>
  <c r="Y21" i="48" s="1"/>
  <c r="Y22" i="48" s="1"/>
  <c r="Y23" i="48" s="1"/>
  <c r="Y24" i="48" s="1"/>
  <c r="Y25" i="48" s="1"/>
  <c r="Y26" i="48" s="1"/>
  <c r="Y27" i="48" s="1"/>
  <c r="Y28" i="48" s="1"/>
  <c r="Y29" i="48" s="1"/>
  <c r="Y30" i="48" s="1"/>
  <c r="Y31" i="48" s="1"/>
  <c r="Y32" i="48" s="1"/>
  <c r="Y33" i="48" s="1"/>
  <c r="Y34" i="48" s="1"/>
  <c r="Y35" i="48" s="1"/>
  <c r="Y36" i="48" s="1"/>
  <c r="Y37" i="48" s="1"/>
  <c r="Y38" i="48" s="1"/>
  <c r="Y39" i="48" s="1"/>
  <c r="Y40" i="48" s="1"/>
  <c r="Y41" i="48" s="1"/>
  <c r="Y42" i="48" s="1"/>
  <c r="Y43" i="48" s="1"/>
  <c r="Y44" i="48" s="1"/>
  <c r="Y45" i="48" s="1"/>
  <c r="Y46" i="48" s="1"/>
  <c r="Y47" i="48" s="1"/>
  <c r="Y48" i="48" s="1"/>
  <c r="Y49" i="48" s="1"/>
  <c r="Y50" i="48" s="1"/>
  <c r="Y51" i="48" s="1"/>
  <c r="Y52" i="48" s="1"/>
  <c r="Y53" i="48" s="1"/>
  <c r="Y54" i="48" s="1"/>
  <c r="Y55" i="48" s="1"/>
  <c r="Y56" i="48" s="1"/>
  <c r="Y57" i="48" s="1"/>
  <c r="Y58" i="48" s="1"/>
  <c r="Y59" i="48" s="1"/>
  <c r="M59" i="48"/>
  <c r="N59" i="48" s="1"/>
  <c r="I59" i="48"/>
  <c r="H59" i="48"/>
  <c r="AM59" i="48" s="1"/>
  <c r="AO58" i="48"/>
  <c r="AN58" i="48"/>
  <c r="T58" i="48"/>
  <c r="S58" i="48"/>
  <c r="O54" i="49"/>
  <c r="AF69" i="48"/>
  <c r="O36" i="49"/>
  <c r="O52" i="49"/>
  <c r="O25" i="49"/>
  <c r="O9" i="49"/>
  <c r="O14" i="49"/>
  <c r="O31" i="49"/>
  <c r="O13" i="49"/>
  <c r="O20" i="49"/>
  <c r="O29" i="49"/>
  <c r="O56" i="49"/>
  <c r="O22" i="49"/>
  <c r="O8" i="49"/>
  <c r="O46" i="49"/>
  <c r="O51" i="49"/>
  <c r="O12" i="49"/>
  <c r="O47" i="49"/>
  <c r="O28" i="49"/>
  <c r="O49" i="49"/>
  <c r="O53" i="49"/>
  <c r="E69" i="48"/>
  <c r="O21" i="49"/>
  <c r="O11" i="49"/>
  <c r="O17" i="49"/>
  <c r="O38" i="49"/>
  <c r="O50" i="49"/>
  <c r="O37" i="49"/>
  <c r="O7" i="49"/>
  <c r="AI64" i="49"/>
  <c r="O43" i="49"/>
  <c r="Y64" i="49"/>
  <c r="O58" i="49"/>
  <c r="O18" i="49"/>
  <c r="O55" i="49"/>
  <c r="O10" i="49"/>
  <c r="O39" i="49"/>
  <c r="O40" i="49"/>
  <c r="O42" i="49"/>
  <c r="O30" i="49"/>
  <c r="O27" i="49"/>
  <c r="O44" i="49"/>
  <c r="O41" i="49"/>
  <c r="O35" i="49"/>
  <c r="O57" i="49"/>
  <c r="O16" i="49"/>
  <c r="O15" i="49"/>
  <c r="O33" i="49"/>
  <c r="AE64" i="49"/>
  <c r="AE59" i="49" l="1"/>
  <c r="Y59" i="49"/>
  <c r="AI59" i="49"/>
  <c r="M58" i="48"/>
  <c r="N58" i="48" s="1"/>
  <c r="I58" i="48"/>
  <c r="H58" i="48"/>
  <c r="AM58" i="48" s="1"/>
  <c r="AO57" i="48"/>
  <c r="AN57" i="48"/>
  <c r="T57" i="48"/>
  <c r="S57" i="48"/>
  <c r="AE69" i="49"/>
  <c r="AE74" i="49"/>
  <c r="AI74" i="49"/>
  <c r="Y69" i="49"/>
  <c r="Y74" i="49"/>
  <c r="AI69" i="49"/>
  <c r="N57" i="48" l="1"/>
  <c r="M57" i="48"/>
  <c r="I57" i="48"/>
  <c r="H57" i="48"/>
  <c r="AM57" i="48" s="1"/>
  <c r="AO56" i="48"/>
  <c r="AN56" i="48"/>
  <c r="T56" i="48"/>
  <c r="S56" i="48"/>
  <c r="N56" i="48" l="1"/>
  <c r="M56" i="48"/>
  <c r="I56" i="48"/>
  <c r="H56" i="48"/>
  <c r="AM56" i="48" s="1"/>
  <c r="AO55" i="48"/>
  <c r="AN55" i="48"/>
  <c r="T55" i="48"/>
  <c r="S55" i="48"/>
  <c r="N55" i="48" l="1"/>
  <c r="M55" i="48"/>
  <c r="I55" i="48"/>
  <c r="H55" i="48"/>
  <c r="AM55" i="48" s="1"/>
  <c r="AO54" i="48"/>
  <c r="AN54" i="48"/>
  <c r="T54" i="48"/>
  <c r="S54" i="48"/>
  <c r="M54" i="48" l="1"/>
  <c r="N54" i="48" s="1"/>
  <c r="I54" i="48"/>
  <c r="H54" i="48"/>
  <c r="AM54" i="48" s="1"/>
  <c r="AO53" i="48"/>
  <c r="AN53" i="48"/>
  <c r="T53" i="48"/>
  <c r="S53" i="48"/>
  <c r="AE69" i="48"/>
  <c r="AI69" i="48"/>
  <c r="AK69" i="48"/>
  <c r="AL69" i="48"/>
  <c r="Y69" i="48"/>
  <c r="AJ69" i="48"/>
  <c r="M53" i="48" l="1"/>
  <c r="N53" i="48" s="1"/>
  <c r="H53" i="48"/>
  <c r="AM53" i="48" s="1"/>
  <c r="AO52" i="48"/>
  <c r="AN52" i="48"/>
  <c r="T52" i="48"/>
  <c r="S52" i="48"/>
  <c r="I53" i="48" l="1"/>
  <c r="N52" i="48"/>
  <c r="M52" i="48"/>
  <c r="I52" i="48"/>
  <c r="H52" i="48"/>
  <c r="AM52" i="48" s="1"/>
  <c r="AO51" i="48"/>
  <c r="AN51" i="48"/>
  <c r="T51" i="48"/>
  <c r="S51" i="48"/>
  <c r="N51" i="48" l="1"/>
  <c r="M51" i="48"/>
  <c r="I51" i="48"/>
  <c r="H51" i="48"/>
  <c r="AM51" i="48" s="1"/>
  <c r="AO50" i="48"/>
  <c r="AN50" i="48"/>
  <c r="T50" i="48"/>
  <c r="S50" i="48"/>
  <c r="M50" i="48" l="1"/>
  <c r="N50" i="48" s="1"/>
  <c r="I50" i="48"/>
  <c r="H50" i="48"/>
  <c r="AM50" i="48" s="1"/>
  <c r="AO49" i="48"/>
  <c r="AN49" i="48"/>
  <c r="T49" i="48"/>
  <c r="S49" i="48"/>
  <c r="M49" i="48" l="1"/>
  <c r="N49" i="48" s="1"/>
  <c r="I49" i="48"/>
  <c r="H49" i="48"/>
  <c r="AM49" i="48" s="1"/>
  <c r="AO48" i="48"/>
  <c r="AN48" i="48"/>
  <c r="T48" i="48"/>
  <c r="S48" i="48"/>
  <c r="M48" i="48" l="1"/>
  <c r="N48" i="48" s="1"/>
  <c r="I48" i="48"/>
  <c r="H48" i="48"/>
  <c r="AM48" i="48" s="1"/>
  <c r="AO47" i="48"/>
  <c r="AN47" i="48"/>
  <c r="T47" i="48"/>
  <c r="S47" i="48"/>
  <c r="M47" i="48" l="1"/>
  <c r="N47" i="48" s="1"/>
  <c r="H47" i="48"/>
  <c r="AM47" i="48" s="1"/>
  <c r="AO46" i="48"/>
  <c r="AN46" i="48"/>
  <c r="T46" i="48"/>
  <c r="S46" i="48"/>
  <c r="I47" i="48" l="1"/>
  <c r="N46" i="48"/>
  <c r="M46" i="48"/>
  <c r="H46" i="48"/>
  <c r="AM46" i="48" s="1"/>
  <c r="AO45" i="48"/>
  <c r="AN45" i="48"/>
  <c r="T45" i="48"/>
  <c r="S45" i="48"/>
  <c r="I46" i="48" l="1"/>
  <c r="N45" i="48"/>
  <c r="M45" i="48"/>
  <c r="I45" i="48"/>
  <c r="H45" i="48"/>
  <c r="AM45" i="48" s="1"/>
  <c r="AO44" i="48"/>
  <c r="AN44" i="48"/>
  <c r="T44" i="48"/>
  <c r="S44" i="48"/>
  <c r="M44" i="48" l="1"/>
  <c r="N44" i="48" s="1"/>
  <c r="I44" i="48"/>
  <c r="H44" i="48"/>
  <c r="AM44" i="48" s="1"/>
  <c r="AO43" i="48"/>
  <c r="AN43" i="48"/>
  <c r="T43" i="48"/>
  <c r="S43" i="48"/>
  <c r="M43" i="48" l="1"/>
  <c r="N43" i="48" s="1"/>
  <c r="I43" i="48"/>
  <c r="H43" i="48"/>
  <c r="AM43" i="48" s="1"/>
  <c r="AO42" i="48"/>
  <c r="AN42" i="48"/>
  <c r="T42" i="48"/>
  <c r="S42" i="48"/>
  <c r="M42" i="48" l="1"/>
  <c r="N42" i="48" s="1"/>
  <c r="I42" i="48"/>
  <c r="H42" i="48"/>
  <c r="AM42" i="48" s="1"/>
  <c r="AO41" i="48"/>
  <c r="AN41" i="48"/>
  <c r="T41" i="48"/>
  <c r="S41" i="48"/>
  <c r="M41" i="48" l="1"/>
  <c r="N41" i="48" s="1"/>
  <c r="I41" i="48"/>
  <c r="H41" i="48"/>
  <c r="AM41" i="48" s="1"/>
  <c r="AO40" i="48"/>
  <c r="AN40" i="48"/>
  <c r="T40" i="48"/>
  <c r="S40" i="48"/>
  <c r="M40" i="48" l="1"/>
  <c r="N40" i="48" s="1"/>
  <c r="I40" i="48"/>
  <c r="H40" i="48"/>
  <c r="AM40" i="48" s="1"/>
  <c r="AO39" i="48"/>
  <c r="AN39" i="48"/>
  <c r="T39" i="48"/>
  <c r="S39" i="48"/>
  <c r="M39" i="48" l="1"/>
  <c r="N39" i="48" s="1"/>
  <c r="I39" i="48"/>
  <c r="H39" i="48"/>
  <c r="AM39" i="48" s="1"/>
  <c r="AO38" i="48"/>
  <c r="AN38" i="48"/>
  <c r="T38" i="48"/>
  <c r="S38" i="48"/>
  <c r="M38" i="48" l="1"/>
  <c r="N38" i="48" s="1"/>
  <c r="I38" i="48"/>
  <c r="H38" i="48"/>
  <c r="AM38" i="48" s="1"/>
  <c r="AO37" i="48"/>
  <c r="AN37" i="48"/>
  <c r="T37" i="48"/>
  <c r="S37" i="48"/>
  <c r="AD69" i="48"/>
  <c r="X69" i="48"/>
  <c r="AG69" i="48"/>
  <c r="AB69" i="48"/>
  <c r="W69" i="48"/>
  <c r="AH69" i="48"/>
  <c r="AC69" i="48"/>
  <c r="AA69" i="48"/>
  <c r="U69" i="48"/>
  <c r="R69" i="48"/>
  <c r="V69" i="48"/>
  <c r="M37" i="48" l="1"/>
  <c r="N37" i="48" l="1"/>
  <c r="I37" i="48"/>
  <c r="H37" i="48"/>
  <c r="AO36" i="48"/>
  <c r="AN36" i="48"/>
  <c r="T36" i="48"/>
  <c r="S36" i="48"/>
  <c r="M36" i="48"/>
  <c r="N36" i="48" s="1"/>
  <c r="I36" i="48"/>
  <c r="H36" i="48"/>
  <c r="AO35" i="48"/>
  <c r="AN35" i="48"/>
  <c r="T35" i="48"/>
  <c r="S35" i="48"/>
  <c r="M35" i="48"/>
  <c r="H35" i="48"/>
  <c r="AO34" i="48"/>
  <c r="AN34" i="48"/>
  <c r="T34" i="48"/>
  <c r="S34" i="48"/>
  <c r="M34" i="48"/>
  <c r="N34" i="48" s="1"/>
  <c r="H34" i="48"/>
  <c r="I34" i="48" s="1"/>
  <c r="AO33" i="48"/>
  <c r="AN33" i="48"/>
  <c r="T33" i="48"/>
  <c r="S33" i="48"/>
  <c r="N33" i="48"/>
  <c r="M33" i="48"/>
  <c r="I33" i="48"/>
  <c r="H33" i="48"/>
  <c r="AO32" i="48"/>
  <c r="AN32" i="48"/>
  <c r="T32" i="48"/>
  <c r="S32" i="48"/>
  <c r="N32" i="48"/>
  <c r="M32" i="48"/>
  <c r="I32" i="48"/>
  <c r="H32" i="48"/>
  <c r="AO31" i="48"/>
  <c r="AN31" i="48"/>
  <c r="T31" i="48"/>
  <c r="S31" i="48"/>
  <c r="N31" i="48"/>
  <c r="M31" i="48"/>
  <c r="I31" i="48"/>
  <c r="AO30" i="48"/>
  <c r="AN30" i="48"/>
  <c r="T30" i="48"/>
  <c r="S30" i="48"/>
  <c r="M30" i="48"/>
  <c r="N30" i="48" s="1"/>
  <c r="H30" i="48"/>
  <c r="I30" i="48" s="1"/>
  <c r="H31" i="48"/>
  <c r="AO29" i="48"/>
  <c r="AN29" i="48"/>
  <c r="T29" i="48"/>
  <c r="S29" i="48"/>
  <c r="N29" i="48"/>
  <c r="M29" i="48"/>
  <c r="I29" i="48"/>
  <c r="H29" i="48"/>
  <c r="AO28" i="48"/>
  <c r="AN28" i="48"/>
  <c r="T28" i="48"/>
  <c r="S28" i="48"/>
  <c r="N28" i="48"/>
  <c r="M28" i="48"/>
  <c r="I28" i="48"/>
  <c r="H28" i="48"/>
  <c r="AO27" i="48"/>
  <c r="AN27" i="48"/>
  <c r="T27" i="48"/>
  <c r="S27" i="48"/>
  <c r="N27" i="48"/>
  <c r="M27" i="48"/>
  <c r="I27" i="48"/>
  <c r="H27" i="48"/>
  <c r="AO26" i="48"/>
  <c r="AN26" i="48"/>
  <c r="T26" i="48"/>
  <c r="S26" i="48"/>
  <c r="M26" i="48"/>
  <c r="N26" i="48" s="1"/>
  <c r="H26" i="48"/>
  <c r="I26" i="48" s="1"/>
  <c r="AO25" i="48"/>
  <c r="AN25" i="48"/>
  <c r="T25" i="48"/>
  <c r="S25" i="48"/>
  <c r="M25" i="48"/>
  <c r="N25" i="48" s="1"/>
  <c r="H25" i="48"/>
  <c r="I25" i="48" s="1"/>
  <c r="AO24" i="48"/>
  <c r="AN24" i="48"/>
  <c r="T24" i="48"/>
  <c r="S24" i="48"/>
  <c r="H24" i="48"/>
  <c r="I24" i="48" s="1"/>
  <c r="AO23" i="48"/>
  <c r="AN23" i="48"/>
  <c r="T23" i="48"/>
  <c r="S23" i="48"/>
  <c r="M24" i="48"/>
  <c r="N24" i="48" s="1"/>
  <c r="H23" i="48"/>
  <c r="I23" i="48" s="1"/>
  <c r="AO22" i="48"/>
  <c r="AN22" i="48"/>
  <c r="T22" i="48"/>
  <c r="S22" i="48"/>
  <c r="M22" i="48"/>
  <c r="N22" i="48" s="1"/>
  <c r="H22" i="48"/>
  <c r="I22" i="48" s="1"/>
  <c r="AO21" i="48"/>
  <c r="AN21" i="48"/>
  <c r="T21" i="48"/>
  <c r="S21" i="48"/>
  <c r="M21" i="48"/>
  <c r="N21" i="48" s="1"/>
  <c r="H21" i="48"/>
  <c r="I21" i="48" s="1"/>
  <c r="AO20" i="48"/>
  <c r="AN20" i="48"/>
  <c r="T20" i="48"/>
  <c r="S20" i="48"/>
  <c r="M20" i="48"/>
  <c r="N20" i="48" s="1"/>
  <c r="H20" i="48"/>
  <c r="I20" i="48" s="1"/>
  <c r="AO19" i="48"/>
  <c r="AN19" i="48"/>
  <c r="T19" i="48"/>
  <c r="S19" i="48"/>
  <c r="M19" i="48"/>
  <c r="N19" i="48" s="1"/>
  <c r="H19" i="48"/>
  <c r="I19" i="48" s="1"/>
  <c r="AO18" i="48"/>
  <c r="AN18" i="48"/>
  <c r="T18" i="48"/>
  <c r="S18" i="48"/>
  <c r="M18" i="48"/>
  <c r="N18" i="48" s="1"/>
  <c r="I18" i="48"/>
  <c r="H18" i="48"/>
  <c r="AO17" i="48"/>
  <c r="AN17" i="48"/>
  <c r="T17" i="48"/>
  <c r="S17" i="48"/>
  <c r="M17" i="48"/>
  <c r="N17" i="48" s="1"/>
  <c r="H17" i="48"/>
  <c r="I17" i="48" s="1"/>
  <c r="AO16" i="48"/>
  <c r="AN16" i="48"/>
  <c r="T16" i="48"/>
  <c r="S16" i="48"/>
  <c r="N16" i="48"/>
  <c r="M16" i="48"/>
  <c r="H16" i="48"/>
  <c r="I16" i="48" s="1"/>
  <c r="AO15" i="48"/>
  <c r="AN15" i="48"/>
  <c r="T15" i="48"/>
  <c r="S15" i="48"/>
  <c r="M15" i="48"/>
  <c r="N15" i="48" s="1"/>
  <c r="H15" i="48"/>
  <c r="I15" i="48" s="1"/>
  <c r="AO14" i="48"/>
  <c r="AN14" i="48"/>
  <c r="T14" i="48"/>
  <c r="S14" i="48"/>
  <c r="M14" i="48"/>
  <c r="N14" i="48" s="1"/>
  <c r="H14" i="48"/>
  <c r="I14" i="48" s="1"/>
  <c r="AO13" i="48"/>
  <c r="AN13" i="48"/>
  <c r="T13" i="48"/>
  <c r="S13" i="48"/>
  <c r="M13" i="48"/>
  <c r="N13" i="48" s="1"/>
  <c r="H13" i="48"/>
  <c r="I13" i="48" s="1"/>
  <c r="AO12" i="48"/>
  <c r="AN12" i="48"/>
  <c r="T12" i="48"/>
  <c r="S12" i="48"/>
  <c r="N12" i="48"/>
  <c r="M12" i="48"/>
  <c r="H12" i="48"/>
  <c r="I12" i="48" s="1"/>
  <c r="AO11" i="48"/>
  <c r="AN11" i="48"/>
  <c r="T11" i="48"/>
  <c r="S11" i="48"/>
  <c r="M11" i="48"/>
  <c r="N11" i="48" s="1"/>
  <c r="H11" i="48"/>
  <c r="I11" i="48" s="1"/>
  <c r="AO10" i="48"/>
  <c r="AN10" i="48"/>
  <c r="T10" i="48"/>
  <c r="S10" i="48"/>
  <c r="N10" i="48"/>
  <c r="M10" i="48"/>
  <c r="I10" i="48"/>
  <c r="H10" i="48"/>
  <c r="AO9" i="48"/>
  <c r="AN9" i="48"/>
  <c r="T9" i="48"/>
  <c r="S9" i="48"/>
  <c r="N9" i="48"/>
  <c r="M9" i="48"/>
  <c r="H9" i="48"/>
  <c r="I9" i="48" s="1"/>
  <c r="AO8" i="48"/>
  <c r="AN8" i="48"/>
  <c r="T8" i="48"/>
  <c r="S8" i="48"/>
  <c r="N8" i="48"/>
  <c r="M8" i="48"/>
  <c r="I8" i="48"/>
  <c r="H8" i="48"/>
  <c r="AO7" i="48"/>
  <c r="AN7" i="48"/>
  <c r="T7" i="48"/>
  <c r="S7" i="48"/>
  <c r="M7" i="48"/>
  <c r="H7" i="48"/>
  <c r="I7" i="48" s="1"/>
  <c r="AO6" i="48"/>
  <c r="AN6" i="48"/>
  <c r="T6" i="48"/>
  <c r="S6" i="48"/>
  <c r="O5" i="48"/>
  <c r="F35" i="47"/>
  <c r="K35" i="47"/>
  <c r="J11" i="48"/>
  <c r="J7" i="48"/>
  <c r="J9" i="48"/>
  <c r="J12" i="48"/>
  <c r="J8" i="48"/>
  <c r="J10" i="48"/>
  <c r="J14" i="48"/>
  <c r="R74" i="48"/>
  <c r="H69" i="48"/>
  <c r="J21" i="48"/>
  <c r="H64" i="48"/>
  <c r="U74" i="48"/>
  <c r="AK64" i="48"/>
  <c r="J33" i="48"/>
  <c r="J28" i="48"/>
  <c r="H74" i="48"/>
  <c r="J19" i="48"/>
  <c r="AE74" i="48"/>
  <c r="J34" i="48"/>
  <c r="J26" i="48"/>
  <c r="J30" i="48"/>
  <c r="J43" i="48"/>
  <c r="J41" i="48"/>
  <c r="J59" i="48"/>
  <c r="AJ64" i="48"/>
  <c r="AH74" i="48"/>
  <c r="J56" i="48"/>
  <c r="AB74" i="48"/>
  <c r="Y74" i="48"/>
  <c r="V74" i="48"/>
  <c r="AB64" i="48"/>
  <c r="AK74" i="48"/>
  <c r="AD64" i="48"/>
  <c r="M64" i="48"/>
  <c r="J37" i="48"/>
  <c r="J49" i="48"/>
  <c r="J27" i="48"/>
  <c r="J31" i="48"/>
  <c r="V64" i="48"/>
  <c r="J16" i="48"/>
  <c r="M69" i="48"/>
  <c r="J50" i="48"/>
  <c r="J22" i="48"/>
  <c r="W64" i="48"/>
  <c r="AH64" i="48"/>
  <c r="J47" i="48"/>
  <c r="AI64" i="48"/>
  <c r="X64" i="48"/>
  <c r="M74" i="48"/>
  <c r="AG74" i="48"/>
  <c r="J35" i="48"/>
  <c r="J29" i="48"/>
  <c r="AG64" i="48"/>
  <c r="J32" i="48"/>
  <c r="AA64" i="48"/>
  <c r="AC64" i="48"/>
  <c r="J54" i="48"/>
  <c r="J42" i="48"/>
  <c r="J23" i="48"/>
  <c r="Y64" i="48"/>
  <c r="J46" i="48"/>
  <c r="J13" i="48"/>
  <c r="J39" i="48"/>
  <c r="J38" i="48"/>
  <c r="J57" i="48"/>
  <c r="W74" i="48"/>
  <c r="J25" i="48"/>
  <c r="J36" i="48"/>
  <c r="J15" i="48"/>
  <c r="J17" i="48"/>
  <c r="R64" i="48"/>
  <c r="U64" i="48"/>
  <c r="AC74" i="48"/>
  <c r="J44" i="48"/>
  <c r="AE64" i="48"/>
  <c r="AD74" i="48"/>
  <c r="AA74" i="48"/>
  <c r="J52" i="48"/>
  <c r="J20" i="48"/>
  <c r="AI74" i="48"/>
  <c r="J48" i="48"/>
  <c r="J40" i="48"/>
  <c r="AL74" i="48"/>
  <c r="J53" i="48"/>
  <c r="J24" i="48"/>
  <c r="J45" i="48"/>
  <c r="AL64" i="48"/>
  <c r="J18" i="48"/>
  <c r="J51" i="48"/>
  <c r="J55" i="48"/>
  <c r="X74" i="48"/>
  <c r="AJ74" i="48"/>
  <c r="J58" i="48"/>
  <c r="AM25" i="48" l="1"/>
  <c r="AM26" i="48"/>
  <c r="AM27" i="48"/>
  <c r="AM28" i="48"/>
  <c r="AM29" i="48"/>
  <c r="AM31" i="48"/>
  <c r="AM32" i="48"/>
  <c r="AM33" i="48"/>
  <c r="AM34" i="48"/>
  <c r="AM10" i="48"/>
  <c r="AM11" i="48"/>
  <c r="AM35" i="48"/>
  <c r="N69" i="48"/>
  <c r="N7" i="48"/>
  <c r="AM8" i="48"/>
  <c r="AM12" i="48"/>
  <c r="AM14" i="48"/>
  <c r="AM16" i="48"/>
  <c r="AM18" i="48"/>
  <c r="AM19" i="48"/>
  <c r="AM20" i="48"/>
  <c r="AM21" i="48"/>
  <c r="AM22" i="48"/>
  <c r="AM23" i="48"/>
  <c r="AM30" i="48"/>
  <c r="AM36" i="48"/>
  <c r="AM9" i="48"/>
  <c r="AM13" i="48"/>
  <c r="AM15" i="48"/>
  <c r="AM17" i="48"/>
  <c r="AM24" i="48"/>
  <c r="N74" i="48"/>
  <c r="I64" i="48"/>
  <c r="I74" i="48"/>
  <c r="N64" i="48"/>
  <c r="I69" i="48"/>
  <c r="N35" i="48"/>
  <c r="M23" i="48"/>
  <c r="AM37" i="48"/>
  <c r="AM7" i="48"/>
  <c r="I35" i="48"/>
  <c r="F34" i="47"/>
  <c r="K34" i="47"/>
  <c r="O11" i="48"/>
  <c r="O7" i="48"/>
  <c r="O10" i="48"/>
  <c r="O12" i="48"/>
  <c r="O9" i="48"/>
  <c r="O8" i="48"/>
  <c r="O39" i="48"/>
  <c r="O21" i="48"/>
  <c r="O38" i="48"/>
  <c r="O50" i="48"/>
  <c r="O56" i="48"/>
  <c r="O34" i="48"/>
  <c r="O35" i="48"/>
  <c r="O52" i="48"/>
  <c r="O55" i="48"/>
  <c r="O33" i="48"/>
  <c r="O40" i="48"/>
  <c r="O25" i="48"/>
  <c r="O57" i="48"/>
  <c r="O29" i="48"/>
  <c r="O20" i="48"/>
  <c r="O27" i="48"/>
  <c r="O41" i="48"/>
  <c r="O53" i="48"/>
  <c r="O31" i="48"/>
  <c r="O54" i="48"/>
  <c r="O42" i="48"/>
  <c r="O49" i="48"/>
  <c r="O46" i="48"/>
  <c r="O37" i="48"/>
  <c r="O16" i="48"/>
  <c r="O13" i="48"/>
  <c r="O18" i="48"/>
  <c r="O28" i="48"/>
  <c r="O15" i="48"/>
  <c r="O59" i="48"/>
  <c r="O22" i="48"/>
  <c r="O45" i="48"/>
  <c r="O47" i="48"/>
  <c r="O51" i="48"/>
  <c r="O26" i="48"/>
  <c r="O36" i="48"/>
  <c r="O58" i="48"/>
  <c r="O19" i="48"/>
  <c r="O44" i="48"/>
  <c r="O48" i="48"/>
  <c r="O32" i="48"/>
  <c r="O43" i="48"/>
  <c r="O17" i="48"/>
  <c r="O30" i="48"/>
  <c r="O23" i="48"/>
  <c r="O14" i="48"/>
  <c r="O24" i="48"/>
  <c r="N23" i="48" l="1"/>
  <c r="L29" i="47"/>
  <c r="BN20" i="47" l="1"/>
  <c r="BC20" i="47"/>
  <c r="X40" i="47" l="1"/>
  <c r="U40" i="47"/>
  <c r="S74" i="47"/>
  <c r="S72" i="47"/>
  <c r="C72" i="47"/>
  <c r="B72" i="47"/>
  <c r="U71" i="47"/>
  <c r="T71" i="47"/>
  <c r="S69" i="47"/>
  <c r="S67" i="47"/>
  <c r="C67" i="47"/>
  <c r="B67" i="47"/>
  <c r="U66" i="47"/>
  <c r="T66" i="47"/>
  <c r="S64" i="47"/>
  <c r="S62" i="47"/>
  <c r="C62" i="47"/>
  <c r="B62" i="47"/>
  <c r="U61" i="47"/>
  <c r="T61" i="47"/>
  <c r="AO59" i="47"/>
  <c r="AN59" i="47"/>
  <c r="AL59" i="47"/>
  <c r="AK59" i="47"/>
  <c r="AJ59" i="47"/>
  <c r="AI59" i="47"/>
  <c r="AH59" i="47"/>
  <c r="AG59" i="47"/>
  <c r="AE59" i="47"/>
  <c r="AD59" i="47"/>
  <c r="AC59" i="47"/>
  <c r="AB59" i="47"/>
  <c r="AA59" i="47"/>
  <c r="Y59" i="47"/>
  <c r="X59" i="47"/>
  <c r="W59" i="47"/>
  <c r="V59" i="47"/>
  <c r="U59" i="47"/>
  <c r="T59" i="47"/>
  <c r="S59" i="47"/>
  <c r="R59" i="47"/>
  <c r="Q59" i="47"/>
  <c r="P59" i="47"/>
  <c r="K66" i="47"/>
  <c r="E66" i="47"/>
  <c r="E74" i="47"/>
  <c r="Z64" i="47"/>
  <c r="K71" i="47"/>
  <c r="E71" i="47"/>
  <c r="K61" i="47"/>
  <c r="AF74" i="47"/>
  <c r="E64" i="47"/>
  <c r="AF64" i="47"/>
  <c r="Z69" i="47"/>
  <c r="E69" i="47"/>
  <c r="AF69" i="47"/>
  <c r="Z74" i="47"/>
  <c r="M59" i="47" l="1"/>
  <c r="N59" i="47" s="1"/>
  <c r="I59" i="47"/>
  <c r="H59" i="47"/>
  <c r="AM59" i="47" s="1"/>
  <c r="AO58" i="47"/>
  <c r="AN58" i="47"/>
  <c r="AL58" i="47"/>
  <c r="AK58" i="47"/>
  <c r="AJ58" i="47"/>
  <c r="AI58" i="47"/>
  <c r="AH58" i="47"/>
  <c r="AG58" i="47"/>
  <c r="AE58" i="47"/>
  <c r="AD58" i="47"/>
  <c r="AC58" i="47"/>
  <c r="AB58" i="47"/>
  <c r="AA58" i="47"/>
  <c r="Y58" i="47"/>
  <c r="X58" i="47"/>
  <c r="W58" i="47"/>
  <c r="V58" i="47"/>
  <c r="U58" i="47"/>
  <c r="T58" i="47"/>
  <c r="S58" i="47"/>
  <c r="R58" i="47"/>
  <c r="Q58" i="47"/>
  <c r="P58" i="47"/>
  <c r="M58" i="47" l="1"/>
  <c r="N58" i="47" s="1"/>
  <c r="I58" i="47"/>
  <c r="H58" i="47"/>
  <c r="AM58" i="47" s="1"/>
  <c r="AO57" i="47"/>
  <c r="AN57" i="47"/>
  <c r="AL57" i="47"/>
  <c r="AK57" i="47"/>
  <c r="AJ57" i="47"/>
  <c r="AI57" i="47"/>
  <c r="AH57" i="47"/>
  <c r="AG57" i="47"/>
  <c r="AE57" i="47"/>
  <c r="AD57" i="47"/>
  <c r="AC57" i="47"/>
  <c r="AB57" i="47"/>
  <c r="AA57" i="47"/>
  <c r="Y57" i="47"/>
  <c r="X57" i="47"/>
  <c r="W57" i="47"/>
  <c r="V57" i="47"/>
  <c r="U57" i="47"/>
  <c r="T57" i="47"/>
  <c r="S57" i="47"/>
  <c r="R57" i="47"/>
  <c r="Q57" i="47"/>
  <c r="P57" i="47"/>
  <c r="N57" i="47" l="1"/>
  <c r="M57" i="47"/>
  <c r="I57" i="47"/>
  <c r="H57" i="47"/>
  <c r="AM57" i="47" s="1"/>
  <c r="AO56" i="47"/>
  <c r="AN56" i="47"/>
  <c r="AL56" i="47"/>
  <c r="AK56" i="47"/>
  <c r="AJ56" i="47"/>
  <c r="AI56" i="47"/>
  <c r="AH56" i="47"/>
  <c r="AG56" i="47"/>
  <c r="AE56" i="47"/>
  <c r="AD56" i="47"/>
  <c r="AC56" i="47"/>
  <c r="AB56" i="47"/>
  <c r="AA56" i="47"/>
  <c r="Y56" i="47"/>
  <c r="X56" i="47"/>
  <c r="W56" i="47"/>
  <c r="V56" i="47"/>
  <c r="U56" i="47"/>
  <c r="T56" i="47"/>
  <c r="S56" i="47"/>
  <c r="R56" i="47"/>
  <c r="Q56" i="47"/>
  <c r="P56" i="47"/>
  <c r="N56" i="47" l="1"/>
  <c r="M56" i="47"/>
  <c r="I56" i="47"/>
  <c r="H56" i="47"/>
  <c r="AM56" i="47" s="1"/>
  <c r="AO55" i="47"/>
  <c r="AN55" i="47"/>
  <c r="AL55" i="47"/>
  <c r="AK55" i="47"/>
  <c r="AJ55" i="47"/>
  <c r="AI55" i="47"/>
  <c r="AH55" i="47"/>
  <c r="AG55" i="47"/>
  <c r="AE55" i="47"/>
  <c r="AD55" i="47"/>
  <c r="AC55" i="47"/>
  <c r="AB55" i="47"/>
  <c r="AA55" i="47"/>
  <c r="Y55" i="47"/>
  <c r="X55" i="47"/>
  <c r="W55" i="47"/>
  <c r="V55" i="47"/>
  <c r="U55" i="47"/>
  <c r="T55" i="47"/>
  <c r="S55" i="47"/>
  <c r="R55" i="47"/>
  <c r="Q55" i="47"/>
  <c r="P55" i="47"/>
  <c r="N55" i="47" l="1"/>
  <c r="M55" i="47"/>
  <c r="I55" i="47"/>
  <c r="H55" i="47"/>
  <c r="AM55" i="47" s="1"/>
  <c r="AO54" i="47"/>
  <c r="AN54" i="47"/>
  <c r="AL54" i="47"/>
  <c r="AK54" i="47"/>
  <c r="AJ54" i="47"/>
  <c r="AI54" i="47"/>
  <c r="AH54" i="47"/>
  <c r="AG54" i="47"/>
  <c r="AE54" i="47"/>
  <c r="AD54" i="47"/>
  <c r="AC54" i="47"/>
  <c r="AB54" i="47"/>
  <c r="AA54" i="47"/>
  <c r="Y54" i="47"/>
  <c r="X54" i="47"/>
  <c r="W54" i="47"/>
  <c r="V54" i="47"/>
  <c r="U54" i="47"/>
  <c r="T54" i="47"/>
  <c r="S54" i="47"/>
  <c r="R54" i="47"/>
  <c r="Q54" i="47"/>
  <c r="P54" i="47"/>
  <c r="M54" i="47" l="1"/>
  <c r="N54" i="47" s="1"/>
  <c r="H54" i="47"/>
  <c r="AM54" i="47" s="1"/>
  <c r="AO53" i="47"/>
  <c r="AN53" i="47"/>
  <c r="AL53" i="47"/>
  <c r="AK53" i="47"/>
  <c r="AJ53" i="47"/>
  <c r="AI53" i="47"/>
  <c r="AH53" i="47"/>
  <c r="AG53" i="47"/>
  <c r="AE53" i="47"/>
  <c r="AD53" i="47"/>
  <c r="AC53" i="47"/>
  <c r="AB53" i="47"/>
  <c r="AA53" i="47"/>
  <c r="Y53" i="47"/>
  <c r="X53" i="47"/>
  <c r="W53" i="47"/>
  <c r="V53" i="47"/>
  <c r="U53" i="47"/>
  <c r="T53" i="47"/>
  <c r="S53" i="47"/>
  <c r="R53" i="47"/>
  <c r="Q53" i="47"/>
  <c r="P53" i="47"/>
  <c r="I54" i="47" l="1"/>
  <c r="M53" i="47"/>
  <c r="N53" i="47" s="1"/>
  <c r="I53" i="47"/>
  <c r="H53" i="47"/>
  <c r="AM53" i="47" s="1"/>
  <c r="AO52" i="47"/>
  <c r="AN52" i="47"/>
  <c r="AL52" i="47"/>
  <c r="AK52" i="47"/>
  <c r="AJ52" i="47"/>
  <c r="AI52" i="47"/>
  <c r="AH52" i="47"/>
  <c r="AG52" i="47"/>
  <c r="AE52" i="47"/>
  <c r="AD52" i="47"/>
  <c r="AC52" i="47"/>
  <c r="AB52" i="47"/>
  <c r="AA52" i="47"/>
  <c r="Y52" i="47"/>
  <c r="X52" i="47"/>
  <c r="W52" i="47"/>
  <c r="V52" i="47"/>
  <c r="U52" i="47"/>
  <c r="T52" i="47"/>
  <c r="S52" i="47"/>
  <c r="R52" i="47"/>
  <c r="Q52" i="47"/>
  <c r="P52" i="47"/>
  <c r="M52" i="47" l="1"/>
  <c r="N52" i="47" s="1"/>
  <c r="I52" i="47"/>
  <c r="H52" i="47"/>
  <c r="AM52" i="47" s="1"/>
  <c r="AO51" i="47"/>
  <c r="AN51" i="47"/>
  <c r="AL51" i="47"/>
  <c r="AK51" i="47"/>
  <c r="AJ51" i="47"/>
  <c r="AI51" i="47"/>
  <c r="AH51" i="47"/>
  <c r="AG51" i="47"/>
  <c r="AE51" i="47"/>
  <c r="AD51" i="47"/>
  <c r="AC51" i="47"/>
  <c r="AB51" i="47"/>
  <c r="AA51" i="47"/>
  <c r="Y51" i="47"/>
  <c r="X51" i="47"/>
  <c r="W51" i="47"/>
  <c r="V51" i="47"/>
  <c r="U51" i="47"/>
  <c r="T51" i="47"/>
  <c r="S51" i="47"/>
  <c r="R51" i="47"/>
  <c r="Q51" i="47"/>
  <c r="P51" i="47"/>
  <c r="N51" i="47" l="1"/>
  <c r="M51" i="47"/>
  <c r="I51" i="47"/>
  <c r="H51" i="47"/>
  <c r="AM51" i="47" s="1"/>
  <c r="AO50" i="47"/>
  <c r="AN50" i="47"/>
  <c r="AL50" i="47"/>
  <c r="AK50" i="47"/>
  <c r="AJ50" i="47"/>
  <c r="AI50" i="47"/>
  <c r="AH50" i="47"/>
  <c r="AG50" i="47"/>
  <c r="AE50" i="47"/>
  <c r="AD50" i="47"/>
  <c r="AC50" i="47"/>
  <c r="AB50" i="47"/>
  <c r="AA50" i="47"/>
  <c r="Y50" i="47"/>
  <c r="X50" i="47"/>
  <c r="W50" i="47"/>
  <c r="V50" i="47"/>
  <c r="U50" i="47"/>
  <c r="T50" i="47"/>
  <c r="S50" i="47"/>
  <c r="R50" i="47"/>
  <c r="Q50" i="47"/>
  <c r="P50" i="47"/>
  <c r="M50" i="47" l="1"/>
  <c r="N50" i="47" s="1"/>
  <c r="I50" i="47"/>
  <c r="H50" i="47"/>
  <c r="AM50" i="47" s="1"/>
  <c r="AO49" i="47"/>
  <c r="AN49" i="47"/>
  <c r="AL49" i="47"/>
  <c r="AK49" i="47"/>
  <c r="AJ49" i="47"/>
  <c r="AI49" i="47"/>
  <c r="AH49" i="47"/>
  <c r="AG49" i="47"/>
  <c r="AE49" i="47"/>
  <c r="AD49" i="47"/>
  <c r="AC49" i="47"/>
  <c r="AB49" i="47"/>
  <c r="AA49" i="47"/>
  <c r="Y49" i="47"/>
  <c r="X49" i="47"/>
  <c r="W49" i="47"/>
  <c r="V49" i="47"/>
  <c r="U49" i="47"/>
  <c r="T49" i="47"/>
  <c r="S49" i="47"/>
  <c r="R49" i="47"/>
  <c r="Q49" i="47"/>
  <c r="P49" i="47"/>
  <c r="M49" i="47" l="1"/>
  <c r="N49" i="47" s="1"/>
  <c r="I49" i="47"/>
  <c r="H49" i="47"/>
  <c r="AM49" i="47" s="1"/>
  <c r="AO48" i="47"/>
  <c r="AN48" i="47"/>
  <c r="AL48" i="47"/>
  <c r="AK48" i="47"/>
  <c r="AJ48" i="47"/>
  <c r="AI48" i="47"/>
  <c r="AH48" i="47"/>
  <c r="AG48" i="47"/>
  <c r="AE48" i="47"/>
  <c r="AD48" i="47"/>
  <c r="AC48" i="47"/>
  <c r="AB48" i="47"/>
  <c r="AA48" i="47"/>
  <c r="Y48" i="47"/>
  <c r="X48" i="47"/>
  <c r="W48" i="47"/>
  <c r="V48" i="47"/>
  <c r="U48" i="47"/>
  <c r="T48" i="47"/>
  <c r="S48" i="47"/>
  <c r="R48" i="47"/>
  <c r="Q48" i="47"/>
  <c r="P48" i="47"/>
  <c r="M48" i="47" l="1"/>
  <c r="N48" i="47" s="1"/>
  <c r="I48" i="47"/>
  <c r="H48" i="47"/>
  <c r="AM48" i="47" s="1"/>
  <c r="AO47" i="47"/>
  <c r="AN47" i="47"/>
  <c r="AL47" i="47"/>
  <c r="AK47" i="47"/>
  <c r="AJ47" i="47"/>
  <c r="AI47" i="47"/>
  <c r="AH47" i="47"/>
  <c r="AG47" i="47"/>
  <c r="AE47" i="47"/>
  <c r="AD47" i="47"/>
  <c r="AC47" i="47"/>
  <c r="AB47" i="47"/>
  <c r="AA47" i="47"/>
  <c r="Y47" i="47"/>
  <c r="X47" i="47"/>
  <c r="W47" i="47"/>
  <c r="V47" i="47"/>
  <c r="U47" i="47"/>
  <c r="T47" i="47"/>
  <c r="S47" i="47"/>
  <c r="R47" i="47"/>
  <c r="Q47" i="47"/>
  <c r="P47" i="47"/>
  <c r="M47" i="47" l="1"/>
  <c r="N47" i="47" s="1"/>
  <c r="I47" i="47"/>
  <c r="H47" i="47"/>
  <c r="AM47" i="47" s="1"/>
  <c r="AO46" i="47"/>
  <c r="AN46" i="47"/>
  <c r="AL46" i="47"/>
  <c r="AK46" i="47"/>
  <c r="AJ46" i="47"/>
  <c r="AI46" i="47"/>
  <c r="AH46" i="47"/>
  <c r="AG46" i="47"/>
  <c r="AE46" i="47"/>
  <c r="AD46" i="47"/>
  <c r="AC46" i="47"/>
  <c r="AB46" i="47"/>
  <c r="AA46" i="47"/>
  <c r="Y46" i="47"/>
  <c r="X46" i="47"/>
  <c r="W46" i="47"/>
  <c r="V46" i="47"/>
  <c r="U46" i="47"/>
  <c r="T46" i="47"/>
  <c r="S46" i="47"/>
  <c r="P46" i="47"/>
  <c r="M46" i="47" l="1"/>
  <c r="N46" i="47" s="1"/>
  <c r="H46" i="47"/>
  <c r="AO45" i="47"/>
  <c r="AN45" i="47"/>
  <c r="AL45" i="47"/>
  <c r="AK45" i="47"/>
  <c r="AJ45" i="47"/>
  <c r="AI45" i="47"/>
  <c r="AH45" i="47"/>
  <c r="AG45" i="47"/>
  <c r="AE45" i="47"/>
  <c r="AD45" i="47"/>
  <c r="AC45" i="47"/>
  <c r="AB45" i="47"/>
  <c r="AA45" i="47"/>
  <c r="Y45" i="47"/>
  <c r="X45" i="47"/>
  <c r="W45" i="47"/>
  <c r="V45" i="47"/>
  <c r="U45" i="47"/>
  <c r="T45" i="47"/>
  <c r="S45" i="47"/>
  <c r="R45" i="47"/>
  <c r="Q45" i="47"/>
  <c r="P45" i="47"/>
  <c r="R46" i="47" l="1"/>
  <c r="AM46" i="47" s="1"/>
  <c r="Q46" i="47"/>
  <c r="I46" i="47"/>
  <c r="M45" i="47"/>
  <c r="N45" i="47" s="1"/>
  <c r="H45" i="47"/>
  <c r="AM45" i="47" s="1"/>
  <c r="AO44" i="47"/>
  <c r="AN44" i="47"/>
  <c r="AL44" i="47"/>
  <c r="AK44" i="47"/>
  <c r="AJ44" i="47"/>
  <c r="AI44" i="47"/>
  <c r="AH44" i="47"/>
  <c r="AG44" i="47"/>
  <c r="AE44" i="47"/>
  <c r="AD44" i="47"/>
  <c r="AC44" i="47"/>
  <c r="AB44" i="47"/>
  <c r="AA44" i="47"/>
  <c r="Y44" i="47"/>
  <c r="X44" i="47"/>
  <c r="W44" i="47"/>
  <c r="V44" i="47"/>
  <c r="U44" i="47"/>
  <c r="T44" i="47"/>
  <c r="S44" i="47"/>
  <c r="R44" i="47"/>
  <c r="Q44" i="47"/>
  <c r="P44" i="47"/>
  <c r="I45" i="47" l="1"/>
  <c r="M44" i="47"/>
  <c r="N44" i="47" s="1"/>
  <c r="H44" i="47"/>
  <c r="AM44" i="47" s="1"/>
  <c r="AO43" i="47"/>
  <c r="AN43" i="47"/>
  <c r="AL43" i="47"/>
  <c r="AK43" i="47"/>
  <c r="AJ43" i="47"/>
  <c r="AI43" i="47"/>
  <c r="AH43" i="47"/>
  <c r="AG43" i="47"/>
  <c r="AE43" i="47"/>
  <c r="AD43" i="47"/>
  <c r="AC43" i="47"/>
  <c r="AB43" i="47"/>
  <c r="AA43" i="47"/>
  <c r="Y43" i="47"/>
  <c r="X43" i="47"/>
  <c r="W43" i="47"/>
  <c r="V43" i="47"/>
  <c r="U43" i="47"/>
  <c r="T43" i="47"/>
  <c r="S43" i="47"/>
  <c r="R43" i="47"/>
  <c r="Q43" i="47"/>
  <c r="P43" i="47"/>
  <c r="I44" i="47" l="1"/>
  <c r="M43" i="47"/>
  <c r="N43" i="47" s="1"/>
  <c r="H43" i="47"/>
  <c r="AM43" i="47" s="1"/>
  <c r="AO42" i="47"/>
  <c r="AN42" i="47"/>
  <c r="AL42" i="47"/>
  <c r="AK42" i="47"/>
  <c r="AJ42" i="47"/>
  <c r="AI42" i="47"/>
  <c r="AH42" i="47"/>
  <c r="AG42" i="47"/>
  <c r="AE42" i="47"/>
  <c r="AD42" i="47"/>
  <c r="AC42" i="47"/>
  <c r="AB42" i="47"/>
  <c r="AA42" i="47"/>
  <c r="Y42" i="47"/>
  <c r="X42" i="47"/>
  <c r="W42" i="47"/>
  <c r="V42" i="47"/>
  <c r="U42" i="47"/>
  <c r="T42" i="47"/>
  <c r="S42" i="47"/>
  <c r="R42" i="47"/>
  <c r="Q42" i="47"/>
  <c r="P42" i="47"/>
  <c r="I43" i="47" l="1"/>
  <c r="M42" i="47"/>
  <c r="N42" i="47" s="1"/>
  <c r="H42" i="47"/>
  <c r="AM42" i="47" s="1"/>
  <c r="AO41" i="47"/>
  <c r="AN41" i="47"/>
  <c r="AL41" i="47"/>
  <c r="AK41" i="47"/>
  <c r="AJ41" i="47"/>
  <c r="AI41" i="47"/>
  <c r="AH41" i="47"/>
  <c r="AG41" i="47"/>
  <c r="AE41" i="47"/>
  <c r="AD41" i="47"/>
  <c r="AC41" i="47"/>
  <c r="AB41" i="47"/>
  <c r="AA41" i="47"/>
  <c r="Y41" i="47"/>
  <c r="X41" i="47"/>
  <c r="W41" i="47"/>
  <c r="V41" i="47"/>
  <c r="U41" i="47"/>
  <c r="T41" i="47"/>
  <c r="S41" i="47"/>
  <c r="R41" i="47"/>
  <c r="Q41" i="47"/>
  <c r="P41" i="47"/>
  <c r="I42" i="47" l="1"/>
  <c r="M41" i="47"/>
  <c r="N41" i="47" s="1"/>
  <c r="H41" i="47"/>
  <c r="AM41" i="47" s="1"/>
  <c r="AO40" i="47"/>
  <c r="AN40" i="47"/>
  <c r="AL40" i="47"/>
  <c r="AK40" i="47"/>
  <c r="AJ40" i="47"/>
  <c r="AI40" i="47"/>
  <c r="AH40" i="47"/>
  <c r="AG40" i="47"/>
  <c r="AE40" i="47"/>
  <c r="AD40" i="47"/>
  <c r="AC40" i="47"/>
  <c r="AB40" i="47"/>
  <c r="AA40" i="47"/>
  <c r="Y40" i="47"/>
  <c r="W40" i="47"/>
  <c r="V40" i="47"/>
  <c r="T40" i="47"/>
  <c r="S40" i="47"/>
  <c r="R40" i="47"/>
  <c r="Q40" i="47"/>
  <c r="P40" i="47"/>
  <c r="I41" i="47" l="1"/>
  <c r="M40" i="47"/>
  <c r="N40" i="47" s="1"/>
  <c r="H40" i="47"/>
  <c r="AM40" i="47" s="1"/>
  <c r="AO39" i="47"/>
  <c r="AN39" i="47"/>
  <c r="AL39" i="47"/>
  <c r="AK39" i="47"/>
  <c r="AJ39" i="47"/>
  <c r="AI39" i="47"/>
  <c r="AH39" i="47"/>
  <c r="AG39" i="47"/>
  <c r="AE39" i="47"/>
  <c r="AD39" i="47"/>
  <c r="AC39" i="47"/>
  <c r="AB39" i="47"/>
  <c r="AA39" i="47"/>
  <c r="Y39" i="47"/>
  <c r="X39" i="47"/>
  <c r="W39" i="47"/>
  <c r="V39" i="47"/>
  <c r="U39" i="47"/>
  <c r="T39" i="47"/>
  <c r="S39" i="47"/>
  <c r="R39" i="47"/>
  <c r="Q39" i="47"/>
  <c r="P39" i="47"/>
  <c r="I40" i="47" l="1"/>
  <c r="M39" i="47"/>
  <c r="N39" i="47" s="1"/>
  <c r="H39" i="47"/>
  <c r="AM39" i="47" s="1"/>
  <c r="AO38" i="47"/>
  <c r="AN38" i="47"/>
  <c r="AL38" i="47"/>
  <c r="AK38" i="47"/>
  <c r="AJ38" i="47"/>
  <c r="AI38" i="47"/>
  <c r="AH38" i="47"/>
  <c r="AG38" i="47"/>
  <c r="AE38" i="47"/>
  <c r="AD38" i="47"/>
  <c r="AC38" i="47"/>
  <c r="AB38" i="47"/>
  <c r="AA38" i="47"/>
  <c r="Y38" i="47"/>
  <c r="X38" i="47"/>
  <c r="W38" i="47"/>
  <c r="V38" i="47"/>
  <c r="U38" i="47"/>
  <c r="T38" i="47"/>
  <c r="S38" i="47"/>
  <c r="R38" i="47"/>
  <c r="Q38" i="47"/>
  <c r="P38" i="47"/>
  <c r="I39" i="47" l="1"/>
  <c r="M38" i="47"/>
  <c r="N38" i="47" s="1"/>
  <c r="H38" i="47"/>
  <c r="AM38" i="47" s="1"/>
  <c r="AO37" i="47"/>
  <c r="AN37" i="47"/>
  <c r="AL37" i="47"/>
  <c r="AK37" i="47"/>
  <c r="AJ37" i="47"/>
  <c r="AI37" i="47"/>
  <c r="AH37" i="47"/>
  <c r="AG37" i="47"/>
  <c r="AE37" i="47"/>
  <c r="AD37" i="47"/>
  <c r="AC37" i="47"/>
  <c r="AB37" i="47"/>
  <c r="AA37" i="47"/>
  <c r="Y37" i="47"/>
  <c r="X37" i="47"/>
  <c r="W37" i="47"/>
  <c r="V37" i="47"/>
  <c r="U37" i="47"/>
  <c r="T37" i="47"/>
  <c r="S37" i="47"/>
  <c r="R37" i="47"/>
  <c r="Q37" i="47"/>
  <c r="P37" i="47"/>
  <c r="I38" i="47" l="1"/>
  <c r="M37" i="47"/>
  <c r="N37" i="47" l="1"/>
  <c r="H37" i="47"/>
  <c r="I37" i="47" s="1"/>
  <c r="AO36" i="47"/>
  <c r="AN36" i="47"/>
  <c r="AL36" i="47"/>
  <c r="AK36" i="47"/>
  <c r="AJ36" i="47"/>
  <c r="AI36" i="47"/>
  <c r="AH36" i="47"/>
  <c r="AG36" i="47"/>
  <c r="AE36" i="47"/>
  <c r="AD36" i="47"/>
  <c r="AC36" i="47"/>
  <c r="AB36" i="47"/>
  <c r="AA36" i="47"/>
  <c r="Y36" i="47"/>
  <c r="X36" i="47"/>
  <c r="W36" i="47"/>
  <c r="V36" i="47"/>
  <c r="U36" i="47"/>
  <c r="T36" i="47"/>
  <c r="S36" i="47"/>
  <c r="R36" i="47"/>
  <c r="Q36" i="47"/>
  <c r="P36" i="47"/>
  <c r="M36" i="47"/>
  <c r="N36" i="47" s="1"/>
  <c r="H36" i="47"/>
  <c r="AO35" i="47"/>
  <c r="AN35" i="47"/>
  <c r="AL35" i="47"/>
  <c r="AK35" i="47"/>
  <c r="AJ35" i="47"/>
  <c r="AI35" i="47"/>
  <c r="AH35" i="47"/>
  <c r="AG35" i="47"/>
  <c r="AE35" i="47"/>
  <c r="AD35" i="47"/>
  <c r="AC35" i="47"/>
  <c r="AB35" i="47"/>
  <c r="AA35" i="47"/>
  <c r="Y35" i="47"/>
  <c r="X35" i="47"/>
  <c r="W35" i="47"/>
  <c r="V35" i="47"/>
  <c r="U35" i="47"/>
  <c r="T35" i="47"/>
  <c r="S35" i="47"/>
  <c r="R35" i="47"/>
  <c r="Q35" i="47"/>
  <c r="P35" i="47"/>
  <c r="M35" i="47"/>
  <c r="H35" i="47"/>
  <c r="AO34" i="47"/>
  <c r="AN34" i="47"/>
  <c r="AL34" i="47"/>
  <c r="AK34" i="47"/>
  <c r="AJ34" i="47"/>
  <c r="AI34" i="47"/>
  <c r="AH34" i="47"/>
  <c r="AG34" i="47"/>
  <c r="AE34" i="47"/>
  <c r="AD34" i="47"/>
  <c r="AC34" i="47"/>
  <c r="AB34" i="47"/>
  <c r="AA34" i="47"/>
  <c r="Y34" i="47"/>
  <c r="X34" i="47"/>
  <c r="W34" i="47"/>
  <c r="V34" i="47"/>
  <c r="U34" i="47"/>
  <c r="T34" i="47"/>
  <c r="S34" i="47"/>
  <c r="R34" i="47"/>
  <c r="Q34" i="47"/>
  <c r="P34" i="47"/>
  <c r="M34" i="47"/>
  <c r="N34" i="47" s="1"/>
  <c r="H34" i="47"/>
  <c r="I34" i="47" s="1"/>
  <c r="AO33" i="47"/>
  <c r="AN33" i="47"/>
  <c r="AL33" i="47"/>
  <c r="AK33" i="47"/>
  <c r="AJ33" i="47"/>
  <c r="AI33" i="47"/>
  <c r="AH33" i="47"/>
  <c r="AG33" i="47"/>
  <c r="AE33" i="47"/>
  <c r="AD33" i="47"/>
  <c r="AC33" i="47"/>
  <c r="AB33" i="47"/>
  <c r="AA33" i="47"/>
  <c r="Y33" i="47"/>
  <c r="X33" i="47"/>
  <c r="W33" i="47"/>
  <c r="V33" i="47"/>
  <c r="U33" i="47"/>
  <c r="T33" i="47"/>
  <c r="S33" i="47"/>
  <c r="R33" i="47"/>
  <c r="Q33" i="47"/>
  <c r="P33" i="47"/>
  <c r="M33" i="47"/>
  <c r="N33" i="47" s="1"/>
  <c r="H33" i="47"/>
  <c r="I33" i="47" s="1"/>
  <c r="AO32" i="47"/>
  <c r="AN32" i="47"/>
  <c r="AL32" i="47"/>
  <c r="AK32" i="47"/>
  <c r="AJ32" i="47"/>
  <c r="AI32" i="47"/>
  <c r="AH32" i="47"/>
  <c r="AG32" i="47"/>
  <c r="AE32" i="47"/>
  <c r="AD32" i="47"/>
  <c r="AC32" i="47"/>
  <c r="AB32" i="47"/>
  <c r="AA32" i="47"/>
  <c r="Y32" i="47"/>
  <c r="X32" i="47"/>
  <c r="W32" i="47"/>
  <c r="V32" i="47"/>
  <c r="U32" i="47"/>
  <c r="T32" i="47"/>
  <c r="S32" i="47"/>
  <c r="R32" i="47"/>
  <c r="Q32" i="47"/>
  <c r="P32" i="47"/>
  <c r="M32" i="47"/>
  <c r="N32" i="47" s="1"/>
  <c r="H32" i="47"/>
  <c r="I32" i="47" s="1"/>
  <c r="AO31" i="47"/>
  <c r="AN31" i="47"/>
  <c r="AL31" i="47"/>
  <c r="AK31" i="47"/>
  <c r="AJ31" i="47"/>
  <c r="AI31" i="47"/>
  <c r="AH31" i="47"/>
  <c r="AG31" i="47"/>
  <c r="AE31" i="47"/>
  <c r="AD31" i="47"/>
  <c r="AC31" i="47"/>
  <c r="AB31" i="47"/>
  <c r="AA31" i="47"/>
  <c r="Y31" i="47"/>
  <c r="X31" i="47"/>
  <c r="W31" i="47"/>
  <c r="V31" i="47"/>
  <c r="U31" i="47"/>
  <c r="T31" i="47"/>
  <c r="S31" i="47"/>
  <c r="R31" i="47"/>
  <c r="Q31" i="47"/>
  <c r="P31" i="47"/>
  <c r="M31" i="47"/>
  <c r="N31" i="47" s="1"/>
  <c r="H31" i="47"/>
  <c r="I31" i="47" s="1"/>
  <c r="AO30" i="47"/>
  <c r="AN30" i="47"/>
  <c r="AL30" i="47"/>
  <c r="AK30" i="47"/>
  <c r="AJ30" i="47"/>
  <c r="AI30" i="47"/>
  <c r="AH30" i="47"/>
  <c r="AG30" i="47"/>
  <c r="AE30" i="47"/>
  <c r="AD30" i="47"/>
  <c r="AC30" i="47"/>
  <c r="AB30" i="47"/>
  <c r="AA30" i="47"/>
  <c r="Y30" i="47"/>
  <c r="X30" i="47"/>
  <c r="W30" i="47"/>
  <c r="V30" i="47"/>
  <c r="U30" i="47"/>
  <c r="T30" i="47"/>
  <c r="S30" i="47"/>
  <c r="P30" i="47"/>
  <c r="M30" i="47"/>
  <c r="N30" i="47" s="1"/>
  <c r="H30" i="47"/>
  <c r="I30" i="47" s="1"/>
  <c r="AO29" i="47"/>
  <c r="AN29" i="47"/>
  <c r="AL29" i="47"/>
  <c r="AK29" i="47"/>
  <c r="AJ29" i="47"/>
  <c r="AI29" i="47"/>
  <c r="AH29" i="47"/>
  <c r="AG29" i="47"/>
  <c r="AE29" i="47"/>
  <c r="AD29" i="47"/>
  <c r="AC29" i="47"/>
  <c r="AB29" i="47"/>
  <c r="AA29" i="47"/>
  <c r="Y29" i="47"/>
  <c r="X29" i="47"/>
  <c r="W29" i="47"/>
  <c r="V29" i="47"/>
  <c r="U29" i="47"/>
  <c r="T29" i="47"/>
  <c r="S29" i="47"/>
  <c r="P29" i="47"/>
  <c r="M29" i="47"/>
  <c r="N29" i="47" s="1"/>
  <c r="H29" i="47"/>
  <c r="AO28" i="47"/>
  <c r="AN28" i="47"/>
  <c r="AL28" i="47"/>
  <c r="AK28" i="47"/>
  <c r="AJ28" i="47"/>
  <c r="AI28" i="47"/>
  <c r="AH28" i="47"/>
  <c r="AG28" i="47"/>
  <c r="AE28" i="47"/>
  <c r="AD28" i="47"/>
  <c r="AC28" i="47"/>
  <c r="AB28" i="47"/>
  <c r="AA28" i="47"/>
  <c r="Y28" i="47"/>
  <c r="X28" i="47"/>
  <c r="W28" i="47"/>
  <c r="V28" i="47"/>
  <c r="U28" i="47"/>
  <c r="T28" i="47"/>
  <c r="S28" i="47"/>
  <c r="P28" i="47"/>
  <c r="N28" i="47"/>
  <c r="M28" i="47"/>
  <c r="I28" i="47"/>
  <c r="H28" i="47"/>
  <c r="AO27" i="47"/>
  <c r="AN27" i="47"/>
  <c r="AL27" i="47"/>
  <c r="AK27" i="47"/>
  <c r="AJ27" i="47"/>
  <c r="AI27" i="47"/>
  <c r="AH27" i="47"/>
  <c r="AG27" i="47"/>
  <c r="AE27" i="47"/>
  <c r="AD27" i="47"/>
  <c r="AC27" i="47"/>
  <c r="AB27" i="47"/>
  <c r="AA27" i="47"/>
  <c r="Y27" i="47"/>
  <c r="X27" i="47"/>
  <c r="W27" i="47"/>
  <c r="V27" i="47"/>
  <c r="U27" i="47"/>
  <c r="T27" i="47"/>
  <c r="S27" i="47"/>
  <c r="R27" i="47"/>
  <c r="Q27" i="47"/>
  <c r="P27" i="47"/>
  <c r="M27" i="47"/>
  <c r="N27" i="47" s="1"/>
  <c r="I27" i="47"/>
  <c r="H27" i="47"/>
  <c r="AO26" i="47"/>
  <c r="AN26" i="47"/>
  <c r="AL26" i="47"/>
  <c r="AK26" i="47"/>
  <c r="AJ26" i="47"/>
  <c r="AI26" i="47"/>
  <c r="AH26" i="47"/>
  <c r="AG26" i="47"/>
  <c r="AE26" i="47"/>
  <c r="AD26" i="47"/>
  <c r="AC26" i="47"/>
  <c r="AB26" i="47"/>
  <c r="AA26" i="47"/>
  <c r="Y26" i="47"/>
  <c r="X26" i="47"/>
  <c r="W26" i="47"/>
  <c r="V26" i="47"/>
  <c r="U26" i="47"/>
  <c r="T26" i="47"/>
  <c r="S26" i="47"/>
  <c r="R26" i="47"/>
  <c r="Q26" i="47"/>
  <c r="P26" i="47"/>
  <c r="M26" i="47"/>
  <c r="N26" i="47" s="1"/>
  <c r="I26" i="47"/>
  <c r="H26" i="47"/>
  <c r="AO25" i="47"/>
  <c r="AN25" i="47"/>
  <c r="AL25" i="47"/>
  <c r="AK25" i="47"/>
  <c r="AJ25" i="47"/>
  <c r="AI25" i="47"/>
  <c r="AH25" i="47"/>
  <c r="AG25" i="47"/>
  <c r="AE25" i="47"/>
  <c r="AD25" i="47"/>
  <c r="AC25" i="47"/>
  <c r="AB25" i="47"/>
  <c r="AA25" i="47"/>
  <c r="Y25" i="47"/>
  <c r="X25" i="47"/>
  <c r="W25" i="47"/>
  <c r="V25" i="47"/>
  <c r="U25" i="47"/>
  <c r="T25" i="47"/>
  <c r="S25" i="47"/>
  <c r="R25" i="47"/>
  <c r="Q25" i="47"/>
  <c r="P25" i="47"/>
  <c r="M25" i="47"/>
  <c r="N25" i="47" s="1"/>
  <c r="H25" i="47"/>
  <c r="AO24" i="47"/>
  <c r="AN24" i="47"/>
  <c r="AL24" i="47"/>
  <c r="AK24" i="47"/>
  <c r="AJ24" i="47"/>
  <c r="AI24" i="47"/>
  <c r="AH24" i="47"/>
  <c r="AG24" i="47"/>
  <c r="AE24" i="47"/>
  <c r="AD24" i="47"/>
  <c r="AC24" i="47"/>
  <c r="AB24" i="47"/>
  <c r="AA24" i="47"/>
  <c r="Y24" i="47"/>
  <c r="X24" i="47"/>
  <c r="W24" i="47"/>
  <c r="V24" i="47"/>
  <c r="U24" i="47"/>
  <c r="T24" i="47"/>
  <c r="S24" i="47"/>
  <c r="R24" i="47"/>
  <c r="Q24" i="47"/>
  <c r="P24" i="47"/>
  <c r="M24" i="47"/>
  <c r="N24" i="47" s="1"/>
  <c r="H24" i="47"/>
  <c r="AM24" i="47" s="1"/>
  <c r="AO23" i="47"/>
  <c r="AN23" i="47"/>
  <c r="AL23" i="47"/>
  <c r="AK23" i="47"/>
  <c r="AJ23" i="47"/>
  <c r="AI23" i="47"/>
  <c r="AH23" i="47"/>
  <c r="AG23" i="47"/>
  <c r="AE23" i="47"/>
  <c r="AD23" i="47"/>
  <c r="AC23" i="47"/>
  <c r="AB23" i="47"/>
  <c r="AA23" i="47"/>
  <c r="Y23" i="47"/>
  <c r="X23" i="47"/>
  <c r="W23" i="47"/>
  <c r="V23" i="47"/>
  <c r="U23" i="47"/>
  <c r="T23" i="47"/>
  <c r="S23" i="47"/>
  <c r="R23" i="47"/>
  <c r="Q23" i="47"/>
  <c r="P23" i="47"/>
  <c r="H23" i="47"/>
  <c r="I23" i="47" s="1"/>
  <c r="AO22" i="47"/>
  <c r="AN22" i="47"/>
  <c r="AL22" i="47"/>
  <c r="AK22" i="47"/>
  <c r="AJ22" i="47"/>
  <c r="AI22" i="47"/>
  <c r="AH22" i="47"/>
  <c r="AG22" i="47"/>
  <c r="AE22" i="47"/>
  <c r="AD22" i="47"/>
  <c r="AC22" i="47"/>
  <c r="AB22" i="47"/>
  <c r="AA22" i="47"/>
  <c r="Y22" i="47"/>
  <c r="X22" i="47"/>
  <c r="W22" i="47"/>
  <c r="V22" i="47"/>
  <c r="U22" i="47"/>
  <c r="T22" i="47"/>
  <c r="S22" i="47"/>
  <c r="R22" i="47"/>
  <c r="Q22" i="47"/>
  <c r="P22" i="47"/>
  <c r="M22" i="47"/>
  <c r="N22" i="47" s="1"/>
  <c r="H22" i="47"/>
  <c r="I22" i="47" s="1"/>
  <c r="AO21" i="47"/>
  <c r="AN21" i="47"/>
  <c r="AL21" i="47"/>
  <c r="AK21" i="47"/>
  <c r="AJ21" i="47"/>
  <c r="AI21" i="47"/>
  <c r="AH21" i="47"/>
  <c r="AG21" i="47"/>
  <c r="AE21" i="47"/>
  <c r="AD21" i="47"/>
  <c r="AC21" i="47"/>
  <c r="AB21" i="47"/>
  <c r="AA21" i="47"/>
  <c r="Y21" i="47"/>
  <c r="X21" i="47"/>
  <c r="W21" i="47"/>
  <c r="V21" i="47"/>
  <c r="U21" i="47"/>
  <c r="T21" i="47"/>
  <c r="S21" i="47"/>
  <c r="R21" i="47"/>
  <c r="Q21" i="47"/>
  <c r="P21" i="47"/>
  <c r="H21" i="47"/>
  <c r="I21" i="47" s="1"/>
  <c r="AO20" i="47"/>
  <c r="AN20" i="47"/>
  <c r="AL20" i="47"/>
  <c r="AK20" i="47"/>
  <c r="AJ20" i="47"/>
  <c r="AI20" i="47"/>
  <c r="AH20" i="47"/>
  <c r="AG20" i="47"/>
  <c r="AE20" i="47"/>
  <c r="AD20" i="47"/>
  <c r="AC20" i="47"/>
  <c r="AB20" i="47"/>
  <c r="AA20" i="47"/>
  <c r="Y20" i="47"/>
  <c r="X20" i="47"/>
  <c r="W20" i="47"/>
  <c r="V20" i="47"/>
  <c r="U20" i="47"/>
  <c r="T20" i="47"/>
  <c r="S20" i="47"/>
  <c r="R20" i="47"/>
  <c r="Q20" i="47"/>
  <c r="P20" i="47"/>
  <c r="M20" i="47"/>
  <c r="N20" i="47" s="1"/>
  <c r="H20" i="47"/>
  <c r="I20" i="47" s="1"/>
  <c r="AO19" i="47"/>
  <c r="AN19" i="47"/>
  <c r="AL19" i="47"/>
  <c r="AK19" i="47"/>
  <c r="AJ19" i="47"/>
  <c r="AI19" i="47"/>
  <c r="AH19" i="47"/>
  <c r="AG19" i="47"/>
  <c r="AE19" i="47"/>
  <c r="AD19" i="47"/>
  <c r="AC19" i="47"/>
  <c r="AB19" i="47"/>
  <c r="AA19" i="47"/>
  <c r="Y19" i="47"/>
  <c r="X19" i="47"/>
  <c r="W19" i="47"/>
  <c r="V19" i="47"/>
  <c r="U19" i="47"/>
  <c r="T19" i="47"/>
  <c r="S19" i="47"/>
  <c r="R19" i="47"/>
  <c r="Q19" i="47"/>
  <c r="P19" i="47"/>
  <c r="H19" i="47"/>
  <c r="I19" i="47" s="1"/>
  <c r="AO18" i="47"/>
  <c r="AN18" i="47"/>
  <c r="AL18" i="47"/>
  <c r="AK18" i="47"/>
  <c r="AJ18" i="47"/>
  <c r="AI18" i="47"/>
  <c r="AH18" i="47"/>
  <c r="AG18" i="47"/>
  <c r="AE18" i="47"/>
  <c r="AD18" i="47"/>
  <c r="AC18" i="47"/>
  <c r="AB18" i="47"/>
  <c r="AA18" i="47"/>
  <c r="Y18" i="47"/>
  <c r="X18" i="47"/>
  <c r="W18" i="47"/>
  <c r="V18" i="47"/>
  <c r="U18" i="47"/>
  <c r="T18" i="47"/>
  <c r="S18" i="47"/>
  <c r="R18" i="47"/>
  <c r="Q18" i="47"/>
  <c r="P18" i="47"/>
  <c r="M18" i="47"/>
  <c r="N18" i="47" s="1"/>
  <c r="H18" i="47"/>
  <c r="I18" i="47" s="1"/>
  <c r="AO17" i="47"/>
  <c r="AN17" i="47"/>
  <c r="AL17" i="47"/>
  <c r="AK17" i="47"/>
  <c r="AJ17" i="47"/>
  <c r="AI17" i="47"/>
  <c r="AH17" i="47"/>
  <c r="AG17" i="47"/>
  <c r="AE17" i="47"/>
  <c r="AD17" i="47"/>
  <c r="AC17" i="47"/>
  <c r="AB17" i="47"/>
  <c r="AA17" i="47"/>
  <c r="Y17" i="47"/>
  <c r="X17" i="47"/>
  <c r="W17" i="47"/>
  <c r="V17" i="47"/>
  <c r="U17" i="47"/>
  <c r="T17" i="47"/>
  <c r="S17" i="47"/>
  <c r="R17" i="47"/>
  <c r="Q17" i="47"/>
  <c r="P17" i="47"/>
  <c r="M17" i="47"/>
  <c r="H17" i="47"/>
  <c r="I17" i="47" s="1"/>
  <c r="AO16" i="47"/>
  <c r="AN16" i="47"/>
  <c r="AL16" i="47"/>
  <c r="AK16" i="47"/>
  <c r="AJ16" i="47"/>
  <c r="AI16" i="47"/>
  <c r="AH16" i="47"/>
  <c r="AG16" i="47"/>
  <c r="AE16" i="47"/>
  <c r="AD16" i="47"/>
  <c r="AC16" i="47"/>
  <c r="AB16" i="47"/>
  <c r="AA16" i="47"/>
  <c r="Y16" i="47"/>
  <c r="X16" i="47"/>
  <c r="W16" i="47"/>
  <c r="V16" i="47"/>
  <c r="U16" i="47"/>
  <c r="T16" i="47"/>
  <c r="S16" i="47"/>
  <c r="R16" i="47"/>
  <c r="Q16" i="47"/>
  <c r="P16" i="47"/>
  <c r="M16" i="47"/>
  <c r="N16" i="47" s="1"/>
  <c r="H16" i="47"/>
  <c r="I16" i="47" s="1"/>
  <c r="AO15" i="47"/>
  <c r="AN15" i="47"/>
  <c r="AL15" i="47"/>
  <c r="AK15" i="47"/>
  <c r="AJ15" i="47"/>
  <c r="AI15" i="47"/>
  <c r="AH15" i="47"/>
  <c r="AG15" i="47"/>
  <c r="AE15" i="47"/>
  <c r="AD15" i="47"/>
  <c r="AC15" i="47"/>
  <c r="AB15" i="47"/>
  <c r="AA15" i="47"/>
  <c r="Y15" i="47"/>
  <c r="X15" i="47"/>
  <c r="W15" i="47"/>
  <c r="V15" i="47"/>
  <c r="U15" i="47"/>
  <c r="T15" i="47"/>
  <c r="S15" i="47"/>
  <c r="R15" i="47"/>
  <c r="Q15" i="47"/>
  <c r="P15" i="47"/>
  <c r="M15" i="47"/>
  <c r="N15" i="47" s="1"/>
  <c r="H15" i="47"/>
  <c r="I15" i="47" s="1"/>
  <c r="AO14" i="47"/>
  <c r="AN14" i="47"/>
  <c r="AL14" i="47"/>
  <c r="AK14" i="47"/>
  <c r="AJ14" i="47"/>
  <c r="AI14" i="47"/>
  <c r="AH14" i="47"/>
  <c r="AG14" i="47"/>
  <c r="AE14" i="47"/>
  <c r="AD14" i="47"/>
  <c r="AC14" i="47"/>
  <c r="AB14" i="47"/>
  <c r="AA14" i="47"/>
  <c r="Y14" i="47"/>
  <c r="X14" i="47"/>
  <c r="W14" i="47"/>
  <c r="V14" i="47"/>
  <c r="U14" i="47"/>
  <c r="T14" i="47"/>
  <c r="S14" i="47"/>
  <c r="R14" i="47"/>
  <c r="Q14" i="47"/>
  <c r="P14" i="47"/>
  <c r="M14" i="47"/>
  <c r="N14" i="47" s="1"/>
  <c r="H14" i="47"/>
  <c r="I14" i="47" s="1"/>
  <c r="AO13" i="47"/>
  <c r="AN13" i="47"/>
  <c r="AL13" i="47"/>
  <c r="AK13" i="47"/>
  <c r="AJ13" i="47"/>
  <c r="AI13" i="47"/>
  <c r="AH13" i="47"/>
  <c r="AG13" i="47"/>
  <c r="AE13" i="47"/>
  <c r="AD13" i="47"/>
  <c r="AC13" i="47"/>
  <c r="AB13" i="47"/>
  <c r="AA13" i="47"/>
  <c r="Y13" i="47"/>
  <c r="X13" i="47"/>
  <c r="W13" i="47"/>
  <c r="V13" i="47"/>
  <c r="U13" i="47"/>
  <c r="T13" i="47"/>
  <c r="S13" i="47"/>
  <c r="R13" i="47"/>
  <c r="Q13" i="47"/>
  <c r="P13" i="47"/>
  <c r="M13" i="47"/>
  <c r="N13" i="47" s="1"/>
  <c r="H13" i="47"/>
  <c r="I13" i="47" s="1"/>
  <c r="AO12" i="47"/>
  <c r="AN12" i="47"/>
  <c r="AL12" i="47"/>
  <c r="AK12" i="47"/>
  <c r="AJ12" i="47"/>
  <c r="AI12" i="47"/>
  <c r="AH12" i="47"/>
  <c r="AG12" i="47"/>
  <c r="AE12" i="47"/>
  <c r="AD12" i="47"/>
  <c r="AC12" i="47"/>
  <c r="AB12" i="47"/>
  <c r="AA12" i="47"/>
  <c r="Y12" i="47"/>
  <c r="X12" i="47"/>
  <c r="W12" i="47"/>
  <c r="V12" i="47"/>
  <c r="U12" i="47"/>
  <c r="T12" i="47"/>
  <c r="S12" i="47"/>
  <c r="R12" i="47"/>
  <c r="Q12" i="47"/>
  <c r="P12" i="47"/>
  <c r="M12" i="47"/>
  <c r="N12" i="47" s="1"/>
  <c r="H12" i="47"/>
  <c r="I12" i="47" s="1"/>
  <c r="AO11" i="47"/>
  <c r="AN11" i="47"/>
  <c r="AL11" i="47"/>
  <c r="AK11" i="47"/>
  <c r="AJ11" i="47"/>
  <c r="AI11" i="47"/>
  <c r="AH11" i="47"/>
  <c r="AG11" i="47"/>
  <c r="AE11" i="47"/>
  <c r="AD11" i="47"/>
  <c r="AC11" i="47"/>
  <c r="AB11" i="47"/>
  <c r="AA11" i="47"/>
  <c r="Y11" i="47"/>
  <c r="X11" i="47"/>
  <c r="W11" i="47"/>
  <c r="V11" i="47"/>
  <c r="U11" i="47"/>
  <c r="T11" i="47"/>
  <c r="S11" i="47"/>
  <c r="R11" i="47"/>
  <c r="Q11" i="47"/>
  <c r="P11" i="47"/>
  <c r="M11" i="47"/>
  <c r="N11" i="47" s="1"/>
  <c r="H11" i="47"/>
  <c r="I11" i="47" s="1"/>
  <c r="AO10" i="47"/>
  <c r="AN10" i="47"/>
  <c r="AL10" i="47"/>
  <c r="AK10" i="47"/>
  <c r="AJ10" i="47"/>
  <c r="AI10" i="47"/>
  <c r="AH10" i="47"/>
  <c r="AG10" i="47"/>
  <c r="AE10" i="47"/>
  <c r="AD10" i="47"/>
  <c r="AC10" i="47"/>
  <c r="AB10" i="47"/>
  <c r="AA10" i="47"/>
  <c r="Y10" i="47"/>
  <c r="X10" i="47"/>
  <c r="W10" i="47"/>
  <c r="V10" i="47"/>
  <c r="U10" i="47"/>
  <c r="T10" i="47"/>
  <c r="S10" i="47"/>
  <c r="R10" i="47"/>
  <c r="Q10" i="47"/>
  <c r="P10" i="47"/>
  <c r="N10" i="47"/>
  <c r="M10" i="47"/>
  <c r="I10" i="47"/>
  <c r="H10" i="47"/>
  <c r="AO9" i="47"/>
  <c r="AN9" i="47"/>
  <c r="AL9" i="47"/>
  <c r="AK9" i="47"/>
  <c r="AJ9" i="47"/>
  <c r="AI9" i="47"/>
  <c r="AH9" i="47"/>
  <c r="AG9" i="47"/>
  <c r="AE9" i="47"/>
  <c r="AD9" i="47"/>
  <c r="AC9" i="47"/>
  <c r="AB9" i="47"/>
  <c r="AA9" i="47"/>
  <c r="Y9" i="47"/>
  <c r="X9" i="47"/>
  <c r="W9" i="47"/>
  <c r="V9" i="47"/>
  <c r="U9" i="47"/>
  <c r="T9" i="47"/>
  <c r="S9" i="47"/>
  <c r="R9" i="47"/>
  <c r="Q9" i="47"/>
  <c r="P9" i="47"/>
  <c r="N9" i="47"/>
  <c r="M9" i="47"/>
  <c r="H9" i="47"/>
  <c r="I9" i="47" s="1"/>
  <c r="AO8" i="47"/>
  <c r="AN8" i="47"/>
  <c r="AL8" i="47"/>
  <c r="AK8" i="47"/>
  <c r="AJ8" i="47"/>
  <c r="AI8" i="47"/>
  <c r="AH8" i="47"/>
  <c r="AG8" i="47"/>
  <c r="AE8" i="47"/>
  <c r="AD8" i="47"/>
  <c r="AC8" i="47"/>
  <c r="AB8" i="47"/>
  <c r="AA8" i="47"/>
  <c r="Y8" i="47"/>
  <c r="X8" i="47"/>
  <c r="W8" i="47"/>
  <c r="V8" i="47"/>
  <c r="U8" i="47"/>
  <c r="T8" i="47"/>
  <c r="S8" i="47"/>
  <c r="R8" i="47"/>
  <c r="Q8" i="47"/>
  <c r="P8" i="47"/>
  <c r="M8" i="47"/>
  <c r="N8" i="47" s="1"/>
  <c r="H8" i="47"/>
  <c r="I8" i="47" s="1"/>
  <c r="AO7" i="47"/>
  <c r="AN7" i="47"/>
  <c r="AL7" i="47"/>
  <c r="AK7" i="47"/>
  <c r="AJ7" i="47"/>
  <c r="AI7" i="47"/>
  <c r="AH7" i="47"/>
  <c r="AG7" i="47"/>
  <c r="AE7" i="47"/>
  <c r="AD7" i="47"/>
  <c r="AC7" i="47"/>
  <c r="AB7" i="47"/>
  <c r="AA7" i="47"/>
  <c r="Y7" i="47"/>
  <c r="X7" i="47"/>
  <c r="W7" i="47"/>
  <c r="V7" i="47"/>
  <c r="U7" i="47"/>
  <c r="T7" i="47"/>
  <c r="S7" i="47"/>
  <c r="R7" i="47"/>
  <c r="Q7" i="47"/>
  <c r="P7" i="47"/>
  <c r="M7" i="47"/>
  <c r="N7" i="47" s="1"/>
  <c r="H7" i="47"/>
  <c r="I7" i="47" s="1"/>
  <c r="AO6" i="47"/>
  <c r="AN6" i="47"/>
  <c r="AL6" i="47"/>
  <c r="AK6" i="47"/>
  <c r="AJ6" i="47"/>
  <c r="AI6" i="47"/>
  <c r="AH6" i="47"/>
  <c r="AG6" i="47"/>
  <c r="AE6" i="47"/>
  <c r="AD6" i="47"/>
  <c r="AC6" i="47"/>
  <c r="AB6" i="47"/>
  <c r="AA6" i="47"/>
  <c r="Y6" i="47"/>
  <c r="X6" i="47"/>
  <c r="W6" i="47"/>
  <c r="V6" i="47"/>
  <c r="U6" i="47"/>
  <c r="T6" i="47"/>
  <c r="S6" i="47"/>
  <c r="O5" i="47"/>
  <c r="O53" i="47" s="1"/>
  <c r="X40" i="46"/>
  <c r="U40" i="46"/>
  <c r="J48" i="47"/>
  <c r="J49" i="47"/>
  <c r="J50" i="47"/>
  <c r="J51" i="47"/>
  <c r="J52" i="47"/>
  <c r="J53" i="47"/>
  <c r="J54" i="47"/>
  <c r="J55" i="47"/>
  <c r="J56" i="47"/>
  <c r="J57" i="47"/>
  <c r="J58" i="47"/>
  <c r="J59" i="47"/>
  <c r="O49" i="47"/>
  <c r="O50" i="47"/>
  <c r="O54" i="47"/>
  <c r="O57" i="47"/>
  <c r="O58" i="47"/>
  <c r="J11" i="47"/>
  <c r="J8" i="47"/>
  <c r="J14" i="47"/>
  <c r="J16" i="47"/>
  <c r="J15" i="47"/>
  <c r="J10" i="47"/>
  <c r="J13" i="47"/>
  <c r="J9" i="47"/>
  <c r="J7" i="47"/>
  <c r="J18" i="47"/>
  <c r="J17" i="47"/>
  <c r="J12" i="47"/>
  <c r="J19" i="47"/>
  <c r="J26" i="47"/>
  <c r="J29" i="47"/>
  <c r="J23" i="47"/>
  <c r="J27" i="47"/>
  <c r="J20" i="47"/>
  <c r="J22" i="47"/>
  <c r="J24" i="47"/>
  <c r="J28" i="47"/>
  <c r="J25" i="47"/>
  <c r="J21" i="47"/>
  <c r="J39" i="47"/>
  <c r="J31" i="47"/>
  <c r="J36" i="47"/>
  <c r="J34" i="47"/>
  <c r="J37" i="47"/>
  <c r="O40" i="47"/>
  <c r="O37" i="47"/>
  <c r="J30" i="47"/>
  <c r="J32" i="47"/>
  <c r="J40" i="47"/>
  <c r="J38" i="47"/>
  <c r="O38" i="47"/>
  <c r="O39" i="47"/>
  <c r="J35" i="47"/>
  <c r="J33" i="47"/>
  <c r="AE74" i="47"/>
  <c r="AD64" i="47"/>
  <c r="X74" i="47"/>
  <c r="Y74" i="47"/>
  <c r="J43" i="47"/>
  <c r="Y69" i="47"/>
  <c r="M74" i="47"/>
  <c r="AD74" i="47"/>
  <c r="AL74" i="47"/>
  <c r="AA74" i="47"/>
  <c r="J41" i="47"/>
  <c r="AI69" i="47"/>
  <c r="W64" i="47"/>
  <c r="V74" i="47"/>
  <c r="AG69" i="47"/>
  <c r="AI74" i="47"/>
  <c r="AE69" i="47"/>
  <c r="Y64" i="47"/>
  <c r="H74" i="47"/>
  <c r="J45" i="47"/>
  <c r="AD69" i="47"/>
  <c r="R69" i="47"/>
  <c r="AJ64" i="47"/>
  <c r="AH69" i="47"/>
  <c r="U64" i="47"/>
  <c r="AB64" i="47"/>
  <c r="AC69" i="47"/>
  <c r="AI64" i="47"/>
  <c r="AG64" i="47"/>
  <c r="O42" i="47"/>
  <c r="R74" i="47"/>
  <c r="AE64" i="47"/>
  <c r="AC64" i="47"/>
  <c r="R64" i="47"/>
  <c r="U69" i="47"/>
  <c r="AB69" i="47"/>
  <c r="AL69" i="47"/>
  <c r="O44" i="47"/>
  <c r="V69" i="47"/>
  <c r="AB74" i="47"/>
  <c r="O46" i="47"/>
  <c r="O41" i="47"/>
  <c r="V64" i="47"/>
  <c r="AC74" i="47"/>
  <c r="W74" i="47"/>
  <c r="AH64" i="47"/>
  <c r="AK64" i="47"/>
  <c r="H69" i="47"/>
  <c r="AJ69" i="47"/>
  <c r="AJ74" i="47"/>
  <c r="O43" i="47"/>
  <c r="J47" i="47"/>
  <c r="J42" i="47"/>
  <c r="AG74" i="47"/>
  <c r="AH74" i="47"/>
  <c r="AA69" i="47"/>
  <c r="W69" i="47"/>
  <c r="O47" i="47"/>
  <c r="AK74" i="47"/>
  <c r="AL64" i="47"/>
  <c r="J46" i="47"/>
  <c r="O45" i="47"/>
  <c r="X69" i="47"/>
  <c r="M64" i="47"/>
  <c r="J44" i="47"/>
  <c r="AK69" i="47"/>
  <c r="AA64" i="47"/>
  <c r="H64" i="47"/>
  <c r="X64" i="47"/>
  <c r="U74" i="47"/>
  <c r="O52" i="47" l="1"/>
  <c r="O59" i="47"/>
  <c r="O51" i="47"/>
  <c r="O17" i="47"/>
  <c r="O56" i="47"/>
  <c r="O48" i="47"/>
  <c r="AM25" i="47"/>
  <c r="O55" i="47"/>
  <c r="AM26" i="47"/>
  <c r="AM36" i="47"/>
  <c r="I36" i="47"/>
  <c r="Q30" i="47"/>
  <c r="Q28" i="47"/>
  <c r="I29" i="47"/>
  <c r="AM27" i="47"/>
  <c r="I25" i="47"/>
  <c r="I24" i="47"/>
  <c r="N17" i="47"/>
  <c r="AM8" i="47"/>
  <c r="AM31" i="47"/>
  <c r="AM32" i="47"/>
  <c r="AM33" i="47"/>
  <c r="AM9" i="47"/>
  <c r="AM10" i="47"/>
  <c r="AM12" i="47"/>
  <c r="AM14" i="47"/>
  <c r="AM16" i="47"/>
  <c r="AM11" i="47"/>
  <c r="AM13" i="47"/>
  <c r="AM15" i="47"/>
  <c r="AM18" i="47"/>
  <c r="AM20" i="47"/>
  <c r="AM22" i="47"/>
  <c r="AM34" i="47"/>
  <c r="I64" i="47"/>
  <c r="I74" i="47"/>
  <c r="N74" i="47"/>
  <c r="N64" i="47"/>
  <c r="I69" i="47"/>
  <c r="AM37" i="47"/>
  <c r="AM17" i="47"/>
  <c r="M19" i="47"/>
  <c r="AM19" i="47"/>
  <c r="M21" i="47"/>
  <c r="N21" i="47" s="1"/>
  <c r="AM21" i="47"/>
  <c r="M23" i="47"/>
  <c r="N23" i="47" s="1"/>
  <c r="AM23" i="47"/>
  <c r="AM35" i="47"/>
  <c r="AM7" i="47"/>
  <c r="I35" i="47"/>
  <c r="N35" i="47"/>
  <c r="L35" i="46"/>
  <c r="F30" i="46"/>
  <c r="O18" i="47"/>
  <c r="O12" i="47"/>
  <c r="O11" i="47"/>
  <c r="O9" i="47"/>
  <c r="O16" i="47"/>
  <c r="O14" i="47"/>
  <c r="O10" i="47"/>
  <c r="O13" i="47"/>
  <c r="O15" i="47"/>
  <c r="O8" i="47"/>
  <c r="O7" i="47"/>
  <c r="O20" i="47"/>
  <c r="O28" i="47"/>
  <c r="O25" i="47"/>
  <c r="O24" i="47"/>
  <c r="O22" i="47"/>
  <c r="O21" i="47"/>
  <c r="O23" i="47"/>
  <c r="O26" i="47"/>
  <c r="O27" i="47"/>
  <c r="O19" i="47"/>
  <c r="O29" i="47"/>
  <c r="O36" i="47"/>
  <c r="O30" i="47"/>
  <c r="O32" i="47"/>
  <c r="O33" i="47"/>
  <c r="O31" i="47"/>
  <c r="O35" i="47"/>
  <c r="O34" i="47"/>
  <c r="M69" i="47"/>
  <c r="R30" i="47" l="1"/>
  <c r="AM30" i="47" s="1"/>
  <c r="R29" i="47"/>
  <c r="AM29" i="47" s="1"/>
  <c r="Q29" i="47"/>
  <c r="R28" i="47"/>
  <c r="AM28" i="47" s="1"/>
  <c r="N69" i="47"/>
  <c r="N19" i="47"/>
  <c r="K23" i="46"/>
  <c r="K22" i="46"/>
  <c r="K21" i="46"/>
  <c r="K20" i="46"/>
  <c r="K19" i="46"/>
  <c r="K18" i="46"/>
  <c r="K17" i="46"/>
  <c r="S74" i="46"/>
  <c r="S72" i="46"/>
  <c r="C72" i="46"/>
  <c r="B72" i="46"/>
  <c r="U71" i="46"/>
  <c r="T71" i="46"/>
  <c r="S69" i="46"/>
  <c r="S67" i="46"/>
  <c r="C67" i="46"/>
  <c r="B67" i="46"/>
  <c r="U66" i="46"/>
  <c r="T66" i="46"/>
  <c r="S64" i="46"/>
  <c r="S62" i="46"/>
  <c r="C62" i="46"/>
  <c r="B62" i="46"/>
  <c r="U61" i="46"/>
  <c r="T61" i="46"/>
  <c r="Z64" i="46"/>
  <c r="E66" i="46"/>
  <c r="E71" i="46"/>
  <c r="AF64" i="46"/>
  <c r="E64" i="46"/>
  <c r="E74" i="46"/>
  <c r="K61" i="46"/>
  <c r="Z69" i="46"/>
  <c r="K71" i="46"/>
  <c r="K66" i="46"/>
  <c r="E69" i="46"/>
  <c r="AF74" i="46"/>
  <c r="AO59" i="46" l="1"/>
  <c r="AN59" i="46"/>
  <c r="AL59" i="46"/>
  <c r="AK59" i="46"/>
  <c r="AJ59" i="46"/>
  <c r="AI59" i="46"/>
  <c r="AH59" i="46"/>
  <c r="AG59" i="46"/>
  <c r="AE59" i="46"/>
  <c r="AD59" i="46"/>
  <c r="AC59" i="46"/>
  <c r="AB59" i="46"/>
  <c r="AA59" i="46"/>
  <c r="Y59" i="46"/>
  <c r="X59" i="46"/>
  <c r="W59" i="46"/>
  <c r="V59" i="46"/>
  <c r="U59" i="46"/>
  <c r="T59" i="46"/>
  <c r="S59" i="46"/>
  <c r="R59" i="46"/>
  <c r="Q59" i="46"/>
  <c r="P59" i="46"/>
  <c r="M59" i="46"/>
  <c r="N59" i="46" s="1"/>
  <c r="H59" i="46"/>
  <c r="I59" i="46" s="1"/>
  <c r="AO58" i="46"/>
  <c r="AN58" i="46"/>
  <c r="AL58" i="46"/>
  <c r="AK58" i="46"/>
  <c r="AJ58" i="46"/>
  <c r="AI58" i="46"/>
  <c r="AH58" i="46"/>
  <c r="AG58" i="46"/>
  <c r="AE58" i="46"/>
  <c r="AD58" i="46"/>
  <c r="AC58" i="46"/>
  <c r="AB58" i="46"/>
  <c r="AA58" i="46"/>
  <c r="Y58" i="46"/>
  <c r="X58" i="46"/>
  <c r="W58" i="46"/>
  <c r="V58" i="46"/>
  <c r="U58" i="46"/>
  <c r="T58" i="46"/>
  <c r="S58" i="46"/>
  <c r="R58" i="46"/>
  <c r="Q58" i="46"/>
  <c r="P58" i="46"/>
  <c r="M58" i="46"/>
  <c r="N58" i="46" s="1"/>
  <c r="H58" i="46"/>
  <c r="I58" i="46" s="1"/>
  <c r="AO57" i="46"/>
  <c r="AN57" i="46"/>
  <c r="AL57" i="46"/>
  <c r="AK57" i="46"/>
  <c r="AJ57" i="46"/>
  <c r="AI57" i="46"/>
  <c r="AH57" i="46"/>
  <c r="AG57" i="46"/>
  <c r="AE57" i="46"/>
  <c r="AD57" i="46"/>
  <c r="AC57" i="46"/>
  <c r="AB57" i="46"/>
  <c r="AA57" i="46"/>
  <c r="Y57" i="46"/>
  <c r="X57" i="46"/>
  <c r="W57" i="46"/>
  <c r="V57" i="46"/>
  <c r="U57" i="46"/>
  <c r="T57" i="46"/>
  <c r="S57" i="46"/>
  <c r="R57" i="46"/>
  <c r="Q57" i="46"/>
  <c r="P57" i="46"/>
  <c r="N57" i="46"/>
  <c r="M57" i="46"/>
  <c r="I57" i="46"/>
  <c r="H57" i="46"/>
  <c r="AO56" i="46"/>
  <c r="AN56" i="46"/>
  <c r="AL56" i="46"/>
  <c r="AK56" i="46"/>
  <c r="AJ56" i="46"/>
  <c r="AI56" i="46"/>
  <c r="AH56" i="46"/>
  <c r="AG56" i="46"/>
  <c r="AE56" i="46"/>
  <c r="AD56" i="46"/>
  <c r="AC56" i="46"/>
  <c r="AB56" i="46"/>
  <c r="AA56" i="46"/>
  <c r="Y56" i="46"/>
  <c r="X56" i="46"/>
  <c r="W56" i="46"/>
  <c r="V56" i="46"/>
  <c r="U56" i="46"/>
  <c r="T56" i="46"/>
  <c r="S56" i="46"/>
  <c r="R56" i="46"/>
  <c r="Q56" i="46"/>
  <c r="P56" i="46"/>
  <c r="N56" i="46"/>
  <c r="M56" i="46"/>
  <c r="I56" i="46"/>
  <c r="H56" i="46"/>
  <c r="AO55" i="46"/>
  <c r="AN55" i="46"/>
  <c r="AL55" i="46"/>
  <c r="AK55" i="46"/>
  <c r="AJ55" i="46"/>
  <c r="AI55" i="46"/>
  <c r="AH55" i="46"/>
  <c r="AG55" i="46"/>
  <c r="AE55" i="46"/>
  <c r="AD55" i="46"/>
  <c r="AC55" i="46"/>
  <c r="AB55" i="46"/>
  <c r="AA55" i="46"/>
  <c r="Y55" i="46"/>
  <c r="X55" i="46"/>
  <c r="W55" i="46"/>
  <c r="V55" i="46"/>
  <c r="U55" i="46"/>
  <c r="T55" i="46"/>
  <c r="S55" i="46"/>
  <c r="R55" i="46"/>
  <c r="Q55" i="46"/>
  <c r="P55" i="46"/>
  <c r="N55" i="46"/>
  <c r="M55" i="46"/>
  <c r="I55" i="46"/>
  <c r="H55" i="46"/>
  <c r="AO54" i="46"/>
  <c r="AN54" i="46"/>
  <c r="AL54" i="46"/>
  <c r="AK54" i="46"/>
  <c r="AJ54" i="46"/>
  <c r="AI54" i="46"/>
  <c r="AH54" i="46"/>
  <c r="AG54" i="46"/>
  <c r="AE54" i="46"/>
  <c r="AD54" i="46"/>
  <c r="AC54" i="46"/>
  <c r="AB54" i="46"/>
  <c r="AA54" i="46"/>
  <c r="Y54" i="46"/>
  <c r="X54" i="46"/>
  <c r="W54" i="46"/>
  <c r="V54" i="46"/>
  <c r="U54" i="46"/>
  <c r="T54" i="46"/>
  <c r="S54" i="46"/>
  <c r="R54" i="46"/>
  <c r="Q54" i="46"/>
  <c r="P54" i="46"/>
  <c r="M54" i="46"/>
  <c r="N54" i="46" s="1"/>
  <c r="I54" i="46"/>
  <c r="H54" i="46"/>
  <c r="AO53" i="46"/>
  <c r="AN53" i="46"/>
  <c r="AL53" i="46"/>
  <c r="AK53" i="46"/>
  <c r="AJ53" i="46"/>
  <c r="AI53" i="46"/>
  <c r="AH53" i="46"/>
  <c r="AG53" i="46"/>
  <c r="AE53" i="46"/>
  <c r="AD53" i="46"/>
  <c r="AC53" i="46"/>
  <c r="AB53" i="46"/>
  <c r="AA53" i="46"/>
  <c r="Y53" i="46"/>
  <c r="X53" i="46"/>
  <c r="W53" i="46"/>
  <c r="V53" i="46"/>
  <c r="U53" i="46"/>
  <c r="T53" i="46"/>
  <c r="S53" i="46"/>
  <c r="R53" i="46"/>
  <c r="Q53" i="46"/>
  <c r="P53" i="46"/>
  <c r="M53" i="46"/>
  <c r="N53" i="46" s="1"/>
  <c r="I53" i="46"/>
  <c r="H53" i="46"/>
  <c r="AO52" i="46"/>
  <c r="AN52" i="46"/>
  <c r="AL52" i="46"/>
  <c r="AK52" i="46"/>
  <c r="AJ52" i="46"/>
  <c r="AI52" i="46"/>
  <c r="AH52" i="46"/>
  <c r="AG52" i="46"/>
  <c r="AE52" i="46"/>
  <c r="AD52" i="46"/>
  <c r="AC52" i="46"/>
  <c r="AB52" i="46"/>
  <c r="AA52" i="46"/>
  <c r="Y52" i="46"/>
  <c r="X52" i="46"/>
  <c r="W52" i="46"/>
  <c r="V52" i="46"/>
  <c r="U52" i="46"/>
  <c r="T52" i="46"/>
  <c r="S52" i="46"/>
  <c r="R52" i="46"/>
  <c r="Q52" i="46"/>
  <c r="P52" i="46"/>
  <c r="M52" i="46"/>
  <c r="N52" i="46" s="1"/>
  <c r="I52" i="46"/>
  <c r="H52" i="46"/>
  <c r="AO51" i="46"/>
  <c r="AN51" i="46"/>
  <c r="AL51" i="46"/>
  <c r="AK51" i="46"/>
  <c r="AJ51" i="46"/>
  <c r="AI51" i="46"/>
  <c r="AH51" i="46"/>
  <c r="AG51" i="46"/>
  <c r="AE51" i="46"/>
  <c r="AD51" i="46"/>
  <c r="AC51" i="46"/>
  <c r="AB51" i="46"/>
  <c r="AA51" i="46"/>
  <c r="Y51" i="46"/>
  <c r="X51" i="46"/>
  <c r="W51" i="46"/>
  <c r="V51" i="46"/>
  <c r="U51" i="46"/>
  <c r="T51" i="46"/>
  <c r="S51" i="46"/>
  <c r="R51" i="46"/>
  <c r="Q51" i="46"/>
  <c r="P51" i="46"/>
  <c r="N51" i="46"/>
  <c r="M51" i="46"/>
  <c r="I51" i="46"/>
  <c r="H51" i="46"/>
  <c r="AO50" i="46"/>
  <c r="AN50" i="46"/>
  <c r="AL50" i="46"/>
  <c r="AK50" i="46"/>
  <c r="AJ50" i="46"/>
  <c r="AI50" i="46"/>
  <c r="AH50" i="46"/>
  <c r="AG50" i="46"/>
  <c r="AE50" i="46"/>
  <c r="AD50" i="46"/>
  <c r="AC50" i="46"/>
  <c r="AB50" i="46"/>
  <c r="AA50" i="46"/>
  <c r="Y50" i="46"/>
  <c r="X50" i="46"/>
  <c r="W50" i="46"/>
  <c r="V50" i="46"/>
  <c r="U50" i="46"/>
  <c r="T50" i="46"/>
  <c r="S50" i="46"/>
  <c r="R50" i="46"/>
  <c r="Q50" i="46"/>
  <c r="P50" i="46"/>
  <c r="M50" i="46"/>
  <c r="N50" i="46" s="1"/>
  <c r="I50" i="46"/>
  <c r="H50" i="46"/>
  <c r="AO49" i="46"/>
  <c r="AN49" i="46"/>
  <c r="AL49" i="46"/>
  <c r="AK49" i="46"/>
  <c r="AJ49" i="46"/>
  <c r="AI49" i="46"/>
  <c r="AH49" i="46"/>
  <c r="AG49" i="46"/>
  <c r="AE49" i="46"/>
  <c r="AD49" i="46"/>
  <c r="AC49" i="46"/>
  <c r="AB49" i="46"/>
  <c r="AA49" i="46"/>
  <c r="Y49" i="46"/>
  <c r="X49" i="46"/>
  <c r="W49" i="46"/>
  <c r="V49" i="46"/>
  <c r="U49" i="46"/>
  <c r="T49" i="46"/>
  <c r="S49" i="46"/>
  <c r="R49" i="46"/>
  <c r="Q49" i="46"/>
  <c r="P49" i="46"/>
  <c r="M49" i="46"/>
  <c r="N49" i="46" s="1"/>
  <c r="H49" i="46"/>
  <c r="I49" i="46" s="1"/>
  <c r="AO48" i="46"/>
  <c r="AN48" i="46"/>
  <c r="AL48" i="46"/>
  <c r="AK48" i="46"/>
  <c r="AJ48" i="46"/>
  <c r="AI48" i="46"/>
  <c r="AH48" i="46"/>
  <c r="AG48" i="46"/>
  <c r="AE48" i="46"/>
  <c r="AD48" i="46"/>
  <c r="AC48" i="46"/>
  <c r="AB48" i="46"/>
  <c r="AA48" i="46"/>
  <c r="Y48" i="46"/>
  <c r="X48" i="46"/>
  <c r="W48" i="46"/>
  <c r="V48" i="46"/>
  <c r="U48" i="46"/>
  <c r="T48" i="46"/>
  <c r="S48" i="46"/>
  <c r="R48" i="46"/>
  <c r="Q48" i="46"/>
  <c r="P48" i="46"/>
  <c r="M48" i="46"/>
  <c r="N48" i="46" s="1"/>
  <c r="H48" i="46"/>
  <c r="I48" i="46" s="1"/>
  <c r="AO47" i="46"/>
  <c r="AN47" i="46"/>
  <c r="AL47" i="46"/>
  <c r="AK47" i="46"/>
  <c r="AJ47" i="46"/>
  <c r="AI47" i="46"/>
  <c r="AH47" i="46"/>
  <c r="AG47" i="46"/>
  <c r="AE47" i="46"/>
  <c r="AD47" i="46"/>
  <c r="AC47" i="46"/>
  <c r="AB47" i="46"/>
  <c r="AA47" i="46"/>
  <c r="Y47" i="46"/>
  <c r="X47" i="46"/>
  <c r="W47" i="46"/>
  <c r="V47" i="46"/>
  <c r="U47" i="46"/>
  <c r="T47" i="46"/>
  <c r="S47" i="46"/>
  <c r="R47" i="46"/>
  <c r="Q47" i="46"/>
  <c r="P47" i="46"/>
  <c r="M47" i="46"/>
  <c r="N47" i="46" s="1"/>
  <c r="H47" i="46"/>
  <c r="I47" i="46" s="1"/>
  <c r="AO46" i="46"/>
  <c r="AN46" i="46"/>
  <c r="AL46" i="46"/>
  <c r="AK46" i="46"/>
  <c r="AJ46" i="46"/>
  <c r="AI46" i="46"/>
  <c r="AH46" i="46"/>
  <c r="AG46" i="46"/>
  <c r="AE46" i="46"/>
  <c r="AD46" i="46"/>
  <c r="AC46" i="46"/>
  <c r="AB46" i="46"/>
  <c r="AA46" i="46"/>
  <c r="Y46" i="46"/>
  <c r="X46" i="46"/>
  <c r="W46" i="46"/>
  <c r="V46" i="46"/>
  <c r="U46" i="46"/>
  <c r="T46" i="46"/>
  <c r="S46" i="46"/>
  <c r="R46" i="46"/>
  <c r="Q46" i="46"/>
  <c r="P46" i="46"/>
  <c r="M46" i="46"/>
  <c r="N46" i="46" s="1"/>
  <c r="H46" i="46"/>
  <c r="I46" i="46" s="1"/>
  <c r="AO45" i="46"/>
  <c r="AN45" i="46"/>
  <c r="AL45" i="46"/>
  <c r="AK45" i="46"/>
  <c r="AJ45" i="46"/>
  <c r="AI45" i="46"/>
  <c r="AH45" i="46"/>
  <c r="AG45" i="46"/>
  <c r="AE45" i="46"/>
  <c r="AD45" i="46"/>
  <c r="AC45" i="46"/>
  <c r="AB45" i="46"/>
  <c r="AA45" i="46"/>
  <c r="Y45" i="46"/>
  <c r="X45" i="46"/>
  <c r="W45" i="46"/>
  <c r="V45" i="46"/>
  <c r="U45" i="46"/>
  <c r="T45" i="46"/>
  <c r="S45" i="46"/>
  <c r="R45" i="46"/>
  <c r="Q45" i="46"/>
  <c r="P45" i="46"/>
  <c r="M45" i="46"/>
  <c r="N45" i="46" s="1"/>
  <c r="H45" i="46"/>
  <c r="I45" i="46" s="1"/>
  <c r="AO44" i="46"/>
  <c r="AN44" i="46"/>
  <c r="AL44" i="46"/>
  <c r="AK44" i="46"/>
  <c r="AJ44" i="46"/>
  <c r="AI44" i="46"/>
  <c r="AH44" i="46"/>
  <c r="AG44" i="46"/>
  <c r="AE44" i="46"/>
  <c r="AD44" i="46"/>
  <c r="AC44" i="46"/>
  <c r="AB44" i="46"/>
  <c r="AA44" i="46"/>
  <c r="Y44" i="46"/>
  <c r="X44" i="46"/>
  <c r="W44" i="46"/>
  <c r="V44" i="46"/>
  <c r="U44" i="46"/>
  <c r="T44" i="46"/>
  <c r="S44" i="46"/>
  <c r="R44" i="46"/>
  <c r="Q44" i="46"/>
  <c r="P44" i="46"/>
  <c r="M44" i="46"/>
  <c r="N44" i="46" s="1"/>
  <c r="H44" i="46"/>
  <c r="I44" i="46" s="1"/>
  <c r="AO43" i="46"/>
  <c r="AN43" i="46"/>
  <c r="AL43" i="46"/>
  <c r="AK43" i="46"/>
  <c r="AJ43" i="46"/>
  <c r="AI43" i="46"/>
  <c r="AH43" i="46"/>
  <c r="AG43" i="46"/>
  <c r="AE43" i="46"/>
  <c r="AD43" i="46"/>
  <c r="AC43" i="46"/>
  <c r="AB43" i="46"/>
  <c r="AA43" i="46"/>
  <c r="Y43" i="46"/>
  <c r="X43" i="46"/>
  <c r="W43" i="46"/>
  <c r="V43" i="46"/>
  <c r="U43" i="46"/>
  <c r="T43" i="46"/>
  <c r="S43" i="46"/>
  <c r="R43" i="46"/>
  <c r="Q43" i="46"/>
  <c r="P43" i="46"/>
  <c r="M43" i="46"/>
  <c r="N43" i="46" s="1"/>
  <c r="H43" i="46"/>
  <c r="I43" i="46" s="1"/>
  <c r="AO42" i="46"/>
  <c r="AN42" i="46"/>
  <c r="AL42" i="46"/>
  <c r="AK42" i="46"/>
  <c r="AJ42" i="46"/>
  <c r="AI42" i="46"/>
  <c r="AH42" i="46"/>
  <c r="AG42" i="46"/>
  <c r="AE42" i="46"/>
  <c r="AD42" i="46"/>
  <c r="AC42" i="46"/>
  <c r="AB42" i="46"/>
  <c r="AA42" i="46"/>
  <c r="Y42" i="46"/>
  <c r="X42" i="46"/>
  <c r="W42" i="46"/>
  <c r="V42" i="46"/>
  <c r="U42" i="46"/>
  <c r="T42" i="46"/>
  <c r="S42" i="46"/>
  <c r="R42" i="46"/>
  <c r="Q42" i="46"/>
  <c r="P42" i="46"/>
  <c r="M42" i="46"/>
  <c r="N42" i="46" s="1"/>
  <c r="H42" i="46"/>
  <c r="I42" i="46" s="1"/>
  <c r="AO41" i="46"/>
  <c r="AN41" i="46"/>
  <c r="AL41" i="46"/>
  <c r="AK41" i="46"/>
  <c r="AJ41" i="46"/>
  <c r="AI41" i="46"/>
  <c r="AH41" i="46"/>
  <c r="AG41" i="46"/>
  <c r="AE41" i="46"/>
  <c r="AD41" i="46"/>
  <c r="AC41" i="46"/>
  <c r="AB41" i="46"/>
  <c r="AA41" i="46"/>
  <c r="Y41" i="46"/>
  <c r="X41" i="46"/>
  <c r="W41" i="46"/>
  <c r="V41" i="46"/>
  <c r="U41" i="46"/>
  <c r="T41" i="46"/>
  <c r="S41" i="46"/>
  <c r="R41" i="46"/>
  <c r="Q41" i="46"/>
  <c r="P41" i="46"/>
  <c r="M41" i="46"/>
  <c r="N41" i="46" s="1"/>
  <c r="I41" i="46"/>
  <c r="H41" i="46"/>
  <c r="AO40" i="46"/>
  <c r="AN40" i="46"/>
  <c r="AL40" i="46"/>
  <c r="AK40" i="46"/>
  <c r="AJ40" i="46"/>
  <c r="AI40" i="46"/>
  <c r="AH40" i="46"/>
  <c r="AG40" i="46"/>
  <c r="AE40" i="46"/>
  <c r="AD40" i="46"/>
  <c r="AC40" i="46"/>
  <c r="AB40" i="46"/>
  <c r="AA40" i="46"/>
  <c r="Y40" i="46"/>
  <c r="W40" i="46"/>
  <c r="V40" i="46"/>
  <c r="T40" i="46"/>
  <c r="S40" i="46"/>
  <c r="R40" i="46"/>
  <c r="Q40" i="46"/>
  <c r="P40" i="46"/>
  <c r="M40" i="46"/>
  <c r="N40" i="46" s="1"/>
  <c r="I40" i="46"/>
  <c r="H40" i="46"/>
  <c r="AO39" i="46"/>
  <c r="AN39" i="46"/>
  <c r="AL39" i="46"/>
  <c r="AK39" i="46"/>
  <c r="AJ39" i="46"/>
  <c r="AI39" i="46"/>
  <c r="AH39" i="46"/>
  <c r="AG39" i="46"/>
  <c r="AE39" i="46"/>
  <c r="AD39" i="46"/>
  <c r="AC39" i="46"/>
  <c r="AB39" i="46"/>
  <c r="AA39" i="46"/>
  <c r="Y39" i="46"/>
  <c r="X39" i="46"/>
  <c r="W39" i="46"/>
  <c r="V39" i="46"/>
  <c r="U39" i="46"/>
  <c r="T39" i="46"/>
  <c r="S39" i="46"/>
  <c r="R39" i="46"/>
  <c r="Q39" i="46"/>
  <c r="P39" i="46"/>
  <c r="M39" i="46"/>
  <c r="N39" i="46" s="1"/>
  <c r="I39" i="46"/>
  <c r="H39" i="46"/>
  <c r="AO38" i="46"/>
  <c r="AN38" i="46"/>
  <c r="AL38" i="46"/>
  <c r="AK38" i="46"/>
  <c r="AJ38" i="46"/>
  <c r="AI38" i="46"/>
  <c r="AH38" i="46"/>
  <c r="AG38" i="46"/>
  <c r="AE38" i="46"/>
  <c r="AD38" i="46"/>
  <c r="AC38" i="46"/>
  <c r="AB38" i="46"/>
  <c r="AA38" i="46"/>
  <c r="Y38" i="46"/>
  <c r="X38" i="46"/>
  <c r="W38" i="46"/>
  <c r="V38" i="46"/>
  <c r="U38" i="46"/>
  <c r="T38" i="46"/>
  <c r="S38" i="46"/>
  <c r="R38" i="46"/>
  <c r="Q38" i="46"/>
  <c r="P38" i="46"/>
  <c r="M38" i="46"/>
  <c r="N38" i="46" s="1"/>
  <c r="H38" i="46"/>
  <c r="I38" i="46" s="1"/>
  <c r="AO37" i="46"/>
  <c r="AN37" i="46"/>
  <c r="AL37" i="46"/>
  <c r="AK37" i="46"/>
  <c r="AJ37" i="46"/>
  <c r="AI37" i="46"/>
  <c r="AH37" i="46"/>
  <c r="AG37" i="46"/>
  <c r="AE37" i="46"/>
  <c r="AD37" i="46"/>
  <c r="AC37" i="46"/>
  <c r="AB37" i="46"/>
  <c r="AA37" i="46"/>
  <c r="Y37" i="46"/>
  <c r="X37" i="46"/>
  <c r="W37" i="46"/>
  <c r="V37" i="46"/>
  <c r="U37" i="46"/>
  <c r="T37" i="46"/>
  <c r="S37" i="46"/>
  <c r="R37" i="46"/>
  <c r="Q37" i="46"/>
  <c r="P37" i="46"/>
  <c r="M37" i="46"/>
  <c r="N37" i="46" s="1"/>
  <c r="H37" i="46"/>
  <c r="I37" i="46" s="1"/>
  <c r="AO36" i="46"/>
  <c r="AN36" i="46"/>
  <c r="AL36" i="46"/>
  <c r="AK36" i="46"/>
  <c r="AJ36" i="46"/>
  <c r="AI36" i="46"/>
  <c r="AH36" i="46"/>
  <c r="AG36" i="46"/>
  <c r="AE36" i="46"/>
  <c r="AD36" i="46"/>
  <c r="AC36" i="46"/>
  <c r="AB36" i="46"/>
  <c r="AA36" i="46"/>
  <c r="Y36" i="46"/>
  <c r="X36" i="46"/>
  <c r="W36" i="46"/>
  <c r="V36" i="46"/>
  <c r="U36" i="46"/>
  <c r="T36" i="46"/>
  <c r="S36" i="46"/>
  <c r="R36" i="46"/>
  <c r="Q36" i="46"/>
  <c r="P36" i="46"/>
  <c r="M36" i="46"/>
  <c r="N36" i="46" s="1"/>
  <c r="I36" i="46"/>
  <c r="H36" i="46"/>
  <c r="AO35" i="46"/>
  <c r="AN35" i="46"/>
  <c r="AL35" i="46"/>
  <c r="AK35" i="46"/>
  <c r="AJ35" i="46"/>
  <c r="AI35" i="46"/>
  <c r="AH35" i="46"/>
  <c r="AG35" i="46"/>
  <c r="AE35" i="46"/>
  <c r="AD35" i="46"/>
  <c r="AC35" i="46"/>
  <c r="AB35" i="46"/>
  <c r="AA35" i="46"/>
  <c r="Y35" i="46"/>
  <c r="X35" i="46"/>
  <c r="W35" i="46"/>
  <c r="V35" i="46"/>
  <c r="U35" i="46"/>
  <c r="T35" i="46"/>
  <c r="S35" i="46"/>
  <c r="R35" i="46"/>
  <c r="Q35" i="46"/>
  <c r="P35" i="46"/>
  <c r="M35" i="46"/>
  <c r="N35" i="46" s="1"/>
  <c r="H35" i="46"/>
  <c r="I35" i="46" s="1"/>
  <c r="AO34" i="46"/>
  <c r="AN34" i="46"/>
  <c r="AL34" i="46"/>
  <c r="AK34" i="46"/>
  <c r="AJ34" i="46"/>
  <c r="AI34" i="46"/>
  <c r="AH34" i="46"/>
  <c r="AG34" i="46"/>
  <c r="AE34" i="46"/>
  <c r="AD34" i="46"/>
  <c r="AC34" i="46"/>
  <c r="AB34" i="46"/>
  <c r="AA34" i="46"/>
  <c r="Y34" i="46"/>
  <c r="X34" i="46"/>
  <c r="W34" i="46"/>
  <c r="V34" i="46"/>
  <c r="U34" i="46"/>
  <c r="T34" i="46"/>
  <c r="S34" i="46"/>
  <c r="R34" i="46"/>
  <c r="Q34" i="46"/>
  <c r="P34" i="46"/>
  <c r="M34" i="46"/>
  <c r="N34" i="46" s="1"/>
  <c r="H34" i="46"/>
  <c r="I34" i="46" s="1"/>
  <c r="AO33" i="46"/>
  <c r="AN33" i="46"/>
  <c r="AL33" i="46"/>
  <c r="AK33" i="46"/>
  <c r="AJ33" i="46"/>
  <c r="AI33" i="46"/>
  <c r="AH33" i="46"/>
  <c r="AG33" i="46"/>
  <c r="AE33" i="46"/>
  <c r="AD33" i="46"/>
  <c r="AC33" i="46"/>
  <c r="AB33" i="46"/>
  <c r="AA33" i="46"/>
  <c r="Y33" i="46"/>
  <c r="X33" i="46"/>
  <c r="W33" i="46"/>
  <c r="V33" i="46"/>
  <c r="U33" i="46"/>
  <c r="T33" i="46"/>
  <c r="S33" i="46"/>
  <c r="R33" i="46"/>
  <c r="Q33" i="46"/>
  <c r="P33" i="46"/>
  <c r="N33" i="46"/>
  <c r="M33" i="46"/>
  <c r="I33" i="46"/>
  <c r="H33" i="46"/>
  <c r="AO32" i="46"/>
  <c r="AN32" i="46"/>
  <c r="AL32" i="46"/>
  <c r="AK32" i="46"/>
  <c r="AJ32" i="46"/>
  <c r="AI32" i="46"/>
  <c r="AH32" i="46"/>
  <c r="AG32" i="46"/>
  <c r="AE32" i="46"/>
  <c r="AD32" i="46"/>
  <c r="AC32" i="46"/>
  <c r="AB32" i="46"/>
  <c r="AA32" i="46"/>
  <c r="Y32" i="46"/>
  <c r="X32" i="46"/>
  <c r="W32" i="46"/>
  <c r="V32" i="46"/>
  <c r="U32" i="46"/>
  <c r="T32" i="46"/>
  <c r="S32" i="46"/>
  <c r="R32" i="46"/>
  <c r="Q32" i="46"/>
  <c r="P32" i="46"/>
  <c r="N32" i="46"/>
  <c r="M32" i="46"/>
  <c r="I32" i="46"/>
  <c r="H32" i="46"/>
  <c r="AO31" i="46"/>
  <c r="AN31" i="46"/>
  <c r="AL31" i="46"/>
  <c r="AK31" i="46"/>
  <c r="AJ31" i="46"/>
  <c r="AI31" i="46"/>
  <c r="AH31" i="46"/>
  <c r="AG31" i="46"/>
  <c r="AE31" i="46"/>
  <c r="AD31" i="46"/>
  <c r="AC31" i="46"/>
  <c r="AB31" i="46"/>
  <c r="AA31" i="46"/>
  <c r="Y31" i="46"/>
  <c r="X31" i="46"/>
  <c r="W31" i="46"/>
  <c r="V31" i="46"/>
  <c r="U31" i="46"/>
  <c r="T31" i="46"/>
  <c r="S31" i="46"/>
  <c r="R31" i="46"/>
  <c r="Q31" i="46"/>
  <c r="P31" i="46"/>
  <c r="N31" i="46"/>
  <c r="M31" i="46"/>
  <c r="I31" i="46"/>
  <c r="H31" i="46"/>
  <c r="AO30" i="46"/>
  <c r="AN30" i="46"/>
  <c r="AL30" i="46"/>
  <c r="AK30" i="46"/>
  <c r="AJ30" i="46"/>
  <c r="AI30" i="46"/>
  <c r="AH30" i="46"/>
  <c r="AG30" i="46"/>
  <c r="AE30" i="46"/>
  <c r="AD30" i="46"/>
  <c r="AC30" i="46"/>
  <c r="AB30" i="46"/>
  <c r="AA30" i="46"/>
  <c r="Y30" i="46"/>
  <c r="X30" i="46"/>
  <c r="W30" i="46"/>
  <c r="V30" i="46"/>
  <c r="U30" i="46"/>
  <c r="T30" i="46"/>
  <c r="S30" i="46"/>
  <c r="R30" i="46"/>
  <c r="Q30" i="46"/>
  <c r="P30" i="46"/>
  <c r="M30" i="46"/>
  <c r="N30" i="46" s="1"/>
  <c r="H30" i="46"/>
  <c r="I30" i="46" s="1"/>
  <c r="AO29" i="46"/>
  <c r="AN29" i="46"/>
  <c r="AL29" i="46"/>
  <c r="AK29" i="46"/>
  <c r="AJ29" i="46"/>
  <c r="AI29" i="46"/>
  <c r="AH29" i="46"/>
  <c r="AG29" i="46"/>
  <c r="AE29" i="46"/>
  <c r="AD29" i="46"/>
  <c r="AC29" i="46"/>
  <c r="AB29" i="46"/>
  <c r="AA29" i="46"/>
  <c r="Y29" i="46"/>
  <c r="X29" i="46"/>
  <c r="W29" i="46"/>
  <c r="V29" i="46"/>
  <c r="U29" i="46"/>
  <c r="T29" i="46"/>
  <c r="S29" i="46"/>
  <c r="R29" i="46"/>
  <c r="Q29" i="46"/>
  <c r="P29" i="46"/>
  <c r="N29" i="46"/>
  <c r="M29" i="46"/>
  <c r="I29" i="46"/>
  <c r="H29" i="46"/>
  <c r="AO28" i="46"/>
  <c r="AN28" i="46"/>
  <c r="AL28" i="46"/>
  <c r="AK28" i="46"/>
  <c r="AJ28" i="46"/>
  <c r="AI28" i="46"/>
  <c r="AH28" i="46"/>
  <c r="AG28" i="46"/>
  <c r="AE28" i="46"/>
  <c r="AD28" i="46"/>
  <c r="AC28" i="46"/>
  <c r="AB28" i="46"/>
  <c r="AA28" i="46"/>
  <c r="Y28" i="46"/>
  <c r="X28" i="46"/>
  <c r="W28" i="46"/>
  <c r="V28" i="46"/>
  <c r="U28" i="46"/>
  <c r="T28" i="46"/>
  <c r="S28" i="46"/>
  <c r="R28" i="46"/>
  <c r="Q28" i="46"/>
  <c r="P28" i="46"/>
  <c r="N28" i="46"/>
  <c r="M28" i="46"/>
  <c r="I28" i="46"/>
  <c r="H28" i="46"/>
  <c r="AO27" i="46"/>
  <c r="AN27" i="46"/>
  <c r="AL27" i="46"/>
  <c r="AK27" i="46"/>
  <c r="AJ27" i="46"/>
  <c r="AI27" i="46"/>
  <c r="AH27" i="46"/>
  <c r="AG27" i="46"/>
  <c r="AE27" i="46"/>
  <c r="AD27" i="46"/>
  <c r="AC27" i="46"/>
  <c r="AB27" i="46"/>
  <c r="AA27" i="46"/>
  <c r="Y27" i="46"/>
  <c r="X27" i="46"/>
  <c r="W27" i="46"/>
  <c r="V27" i="46"/>
  <c r="U27" i="46"/>
  <c r="T27" i="46"/>
  <c r="S27" i="46"/>
  <c r="R27" i="46"/>
  <c r="Q27" i="46"/>
  <c r="P27" i="46"/>
  <c r="N27" i="46"/>
  <c r="M27" i="46"/>
  <c r="I27" i="46"/>
  <c r="H27" i="46"/>
  <c r="AO26" i="46"/>
  <c r="AN26" i="46"/>
  <c r="AL26" i="46"/>
  <c r="AK26" i="46"/>
  <c r="AJ26" i="46"/>
  <c r="AI26" i="46"/>
  <c r="AH26" i="46"/>
  <c r="AG26" i="46"/>
  <c r="AE26" i="46"/>
  <c r="AD26" i="46"/>
  <c r="AC26" i="46"/>
  <c r="AB26" i="46"/>
  <c r="AA26" i="46"/>
  <c r="Y26" i="46"/>
  <c r="X26" i="46"/>
  <c r="W26" i="46"/>
  <c r="V26" i="46"/>
  <c r="U26" i="46"/>
  <c r="T26" i="46"/>
  <c r="S26" i="46"/>
  <c r="R26" i="46"/>
  <c r="Q26" i="46"/>
  <c r="P26" i="46"/>
  <c r="M26" i="46"/>
  <c r="N26" i="46" s="1"/>
  <c r="I26" i="46"/>
  <c r="H26" i="46"/>
  <c r="AO25" i="46"/>
  <c r="AN25" i="46"/>
  <c r="AL25" i="46"/>
  <c r="AK25" i="46"/>
  <c r="AJ25" i="46"/>
  <c r="AI25" i="46"/>
  <c r="AH25" i="46"/>
  <c r="AG25" i="46"/>
  <c r="AE25" i="46"/>
  <c r="AD25" i="46"/>
  <c r="AC25" i="46"/>
  <c r="AB25" i="46"/>
  <c r="AA25" i="46"/>
  <c r="Y25" i="46"/>
  <c r="X25" i="46"/>
  <c r="W25" i="46"/>
  <c r="V25" i="46"/>
  <c r="U25" i="46"/>
  <c r="T25" i="46"/>
  <c r="S25" i="46"/>
  <c r="R25" i="46"/>
  <c r="Q25" i="46"/>
  <c r="P25" i="46"/>
  <c r="M25" i="46"/>
  <c r="N25" i="46" s="1"/>
  <c r="H25" i="46"/>
  <c r="I25" i="46" s="1"/>
  <c r="AO24" i="46"/>
  <c r="AN24" i="46"/>
  <c r="AL24" i="46"/>
  <c r="AK24" i="46"/>
  <c r="AJ24" i="46"/>
  <c r="AI24" i="46"/>
  <c r="AH24" i="46"/>
  <c r="AG24" i="46"/>
  <c r="AE24" i="46"/>
  <c r="AD24" i="46"/>
  <c r="AC24" i="46"/>
  <c r="AB24" i="46"/>
  <c r="AA24" i="46"/>
  <c r="Y24" i="46"/>
  <c r="X24" i="46"/>
  <c r="W24" i="46"/>
  <c r="V24" i="46"/>
  <c r="U24" i="46"/>
  <c r="T24" i="46"/>
  <c r="S24" i="46"/>
  <c r="R24" i="46"/>
  <c r="Q24" i="46"/>
  <c r="P24" i="46"/>
  <c r="M24" i="46"/>
  <c r="N24" i="46" s="1"/>
  <c r="H24" i="46"/>
  <c r="I24" i="46" s="1"/>
  <c r="AO23" i="46"/>
  <c r="AN23" i="46"/>
  <c r="AL23" i="46"/>
  <c r="AK23" i="46"/>
  <c r="AJ23" i="46"/>
  <c r="AI23" i="46"/>
  <c r="AH23" i="46"/>
  <c r="AG23" i="46"/>
  <c r="AE23" i="46"/>
  <c r="AD23" i="46"/>
  <c r="AC23" i="46"/>
  <c r="AB23" i="46"/>
  <c r="AA23" i="46"/>
  <c r="Y23" i="46"/>
  <c r="X23" i="46"/>
  <c r="W23" i="46"/>
  <c r="V23" i="46"/>
  <c r="U23" i="46"/>
  <c r="T23" i="46"/>
  <c r="S23" i="46"/>
  <c r="R23" i="46"/>
  <c r="Q23" i="46"/>
  <c r="P23" i="46"/>
  <c r="M23" i="46"/>
  <c r="N23" i="46" s="1"/>
  <c r="I23" i="46"/>
  <c r="H23" i="46"/>
  <c r="AO22" i="46"/>
  <c r="AN22" i="46"/>
  <c r="AL22" i="46"/>
  <c r="AK22" i="46"/>
  <c r="AJ22" i="46"/>
  <c r="AI22" i="46"/>
  <c r="AH22" i="46"/>
  <c r="AG22" i="46"/>
  <c r="AE22" i="46"/>
  <c r="AD22" i="46"/>
  <c r="AC22" i="46"/>
  <c r="AB22" i="46"/>
  <c r="AA22" i="46"/>
  <c r="Y22" i="46"/>
  <c r="X22" i="46"/>
  <c r="W22" i="46"/>
  <c r="V22" i="46"/>
  <c r="U22" i="46"/>
  <c r="T22" i="46"/>
  <c r="S22" i="46"/>
  <c r="R22" i="46"/>
  <c r="Q22" i="46"/>
  <c r="P22" i="46"/>
  <c r="J36" i="46"/>
  <c r="J35" i="46"/>
  <c r="J34" i="46"/>
  <c r="J24" i="46"/>
  <c r="J27" i="46"/>
  <c r="J28" i="46"/>
  <c r="J29" i="46"/>
  <c r="J32" i="46"/>
  <c r="J31" i="46"/>
  <c r="J33" i="46"/>
  <c r="J26" i="46"/>
  <c r="J25" i="46"/>
  <c r="J30" i="46"/>
  <c r="J23" i="46"/>
  <c r="Z74" i="46"/>
  <c r="J50" i="46"/>
  <c r="J39" i="46"/>
  <c r="J40" i="46"/>
  <c r="AF69" i="46"/>
  <c r="J44" i="46"/>
  <c r="J57" i="46"/>
  <c r="J56" i="46"/>
  <c r="J38" i="46"/>
  <c r="J42" i="46"/>
  <c r="J59" i="46"/>
  <c r="J46" i="46"/>
  <c r="J54" i="46"/>
  <c r="J37" i="46"/>
  <c r="J53" i="46"/>
  <c r="J51" i="46"/>
  <c r="J43" i="46"/>
  <c r="J45" i="46"/>
  <c r="J48" i="46"/>
  <c r="J55" i="46"/>
  <c r="J52" i="46"/>
  <c r="J58" i="46"/>
  <c r="J47" i="46"/>
  <c r="J49" i="46"/>
  <c r="J41" i="46"/>
  <c r="AM54" i="46" l="1"/>
  <c r="AM53" i="46"/>
  <c r="AM52" i="46"/>
  <c r="AM51" i="46"/>
  <c r="AM50" i="46"/>
  <c r="AM49" i="46"/>
  <c r="AM48" i="46"/>
  <c r="AM47" i="46"/>
  <c r="AM46" i="46"/>
  <c r="AM45" i="46"/>
  <c r="AM44" i="46"/>
  <c r="AM43" i="46"/>
  <c r="AM42" i="46"/>
  <c r="AM41" i="46"/>
  <c r="AM40" i="46"/>
  <c r="AM39" i="46"/>
  <c r="AM55" i="46"/>
  <c r="AM56" i="46"/>
  <c r="AM57" i="46"/>
  <c r="AM58" i="46"/>
  <c r="AM59" i="46"/>
  <c r="AM38" i="46"/>
  <c r="AM37" i="46"/>
  <c r="AM36" i="46"/>
  <c r="AM35" i="46"/>
  <c r="AM34" i="46"/>
  <c r="AM33" i="46"/>
  <c r="AM32" i="46"/>
  <c r="AM31" i="46"/>
  <c r="AM30" i="46"/>
  <c r="AM28" i="46"/>
  <c r="AM29" i="46"/>
  <c r="AM27" i="46"/>
  <c r="AM26" i="46"/>
  <c r="AM25" i="46"/>
  <c r="AM23" i="46"/>
  <c r="AM24" i="46"/>
  <c r="M22" i="46"/>
  <c r="N22" i="46" s="1"/>
  <c r="H22" i="46"/>
  <c r="AM22" i="46" s="1"/>
  <c r="AO21" i="46"/>
  <c r="AN21" i="46"/>
  <c r="AL21" i="46"/>
  <c r="AK21" i="46"/>
  <c r="AJ21" i="46"/>
  <c r="AI21" i="46"/>
  <c r="AH21" i="46"/>
  <c r="AG21" i="46"/>
  <c r="AE21" i="46"/>
  <c r="AD21" i="46"/>
  <c r="AC21" i="46"/>
  <c r="AB21" i="46"/>
  <c r="AA21" i="46"/>
  <c r="Y21" i="46"/>
  <c r="X21" i="46"/>
  <c r="W21" i="46"/>
  <c r="V21" i="46"/>
  <c r="U21" i="46"/>
  <c r="T21" i="46"/>
  <c r="S21" i="46"/>
  <c r="R21" i="46"/>
  <c r="Q21" i="46"/>
  <c r="P21" i="46"/>
  <c r="I22" i="46" l="1"/>
  <c r="M21" i="46"/>
  <c r="N21" i="46" s="1"/>
  <c r="H21" i="46"/>
  <c r="AM21" i="46" s="1"/>
  <c r="AO20" i="46"/>
  <c r="AN20" i="46"/>
  <c r="AL20" i="46"/>
  <c r="AK20" i="46"/>
  <c r="AJ20" i="46"/>
  <c r="AI20" i="46"/>
  <c r="AH20" i="46"/>
  <c r="AG20" i="46"/>
  <c r="AE20" i="46"/>
  <c r="AD20" i="46"/>
  <c r="AC20" i="46"/>
  <c r="AB20" i="46"/>
  <c r="AA20" i="46"/>
  <c r="Y20" i="46"/>
  <c r="X20" i="46"/>
  <c r="W20" i="46"/>
  <c r="V20" i="46"/>
  <c r="U20" i="46"/>
  <c r="T20" i="46"/>
  <c r="S20" i="46"/>
  <c r="R20" i="46"/>
  <c r="Q20" i="46"/>
  <c r="P20" i="46"/>
  <c r="AI74" i="46"/>
  <c r="AL74" i="46"/>
  <c r="AK74" i="46"/>
  <c r="AE74" i="46"/>
  <c r="Y74" i="46"/>
  <c r="AJ74" i="46"/>
  <c r="I21" i="46" l="1"/>
  <c r="M20" i="46"/>
  <c r="N20" i="46" s="1"/>
  <c r="H20" i="46"/>
  <c r="AM20" i="46" s="1"/>
  <c r="AO19" i="46"/>
  <c r="AN19" i="46"/>
  <c r="AL19" i="46"/>
  <c r="AK19" i="46"/>
  <c r="AJ19" i="46"/>
  <c r="AI19" i="46"/>
  <c r="AH19" i="46"/>
  <c r="AG19" i="46"/>
  <c r="AE19" i="46"/>
  <c r="AD19" i="46"/>
  <c r="AC19" i="46"/>
  <c r="AB19" i="46"/>
  <c r="AA19" i="46"/>
  <c r="Y19" i="46"/>
  <c r="X19" i="46"/>
  <c r="W19" i="46"/>
  <c r="V19" i="46"/>
  <c r="U19" i="46"/>
  <c r="T19" i="46"/>
  <c r="S19" i="46"/>
  <c r="R19" i="46"/>
  <c r="Q19" i="46"/>
  <c r="P19" i="46"/>
  <c r="AG74" i="46"/>
  <c r="AD74" i="46"/>
  <c r="X74" i="46"/>
  <c r="W74" i="46"/>
  <c r="AC74" i="46"/>
  <c r="U74" i="46"/>
  <c r="AB74" i="46"/>
  <c r="R74" i="46"/>
  <c r="AH74" i="46"/>
  <c r="AA74" i="46"/>
  <c r="V74" i="46"/>
  <c r="I20" i="46" l="1"/>
  <c r="M19" i="46"/>
  <c r="M74" i="46"/>
  <c r="N74" i="46" l="1"/>
  <c r="N19" i="46"/>
  <c r="H19" i="46"/>
  <c r="I19" i="46" s="1"/>
  <c r="AO18" i="46"/>
  <c r="AN18" i="46"/>
  <c r="AL18" i="46"/>
  <c r="AK18" i="46"/>
  <c r="AJ18" i="46"/>
  <c r="AI18" i="46"/>
  <c r="AH18" i="46"/>
  <c r="AG18" i="46"/>
  <c r="AE18" i="46"/>
  <c r="AD18" i="46"/>
  <c r="AC18" i="46"/>
  <c r="AB18" i="46"/>
  <c r="AA18" i="46"/>
  <c r="Y18" i="46"/>
  <c r="X18" i="46"/>
  <c r="W18" i="46"/>
  <c r="V18" i="46"/>
  <c r="U18" i="46"/>
  <c r="T18" i="46"/>
  <c r="S18" i="46"/>
  <c r="R18" i="46"/>
  <c r="Q18" i="46"/>
  <c r="P18" i="46"/>
  <c r="H74" i="46"/>
  <c r="I74" i="46" l="1"/>
  <c r="AM19" i="46"/>
  <c r="M18" i="46"/>
  <c r="N18" i="46" s="1"/>
  <c r="H18" i="46"/>
  <c r="AM18" i="46" s="1"/>
  <c r="AO17" i="46"/>
  <c r="AN17" i="46"/>
  <c r="AL17" i="46"/>
  <c r="AK17" i="46"/>
  <c r="AJ17" i="46"/>
  <c r="AI17" i="46"/>
  <c r="AH17" i="46"/>
  <c r="AG17" i="46"/>
  <c r="AE17" i="46"/>
  <c r="AD17" i="46"/>
  <c r="AC17" i="46"/>
  <c r="AB17" i="46"/>
  <c r="AA17" i="46"/>
  <c r="Y17" i="46"/>
  <c r="X17" i="46"/>
  <c r="W17" i="46"/>
  <c r="V17" i="46"/>
  <c r="U17" i="46"/>
  <c r="T17" i="46"/>
  <c r="S17" i="46"/>
  <c r="R17" i="46"/>
  <c r="Q17" i="46"/>
  <c r="P17" i="46"/>
  <c r="M17" i="46"/>
  <c r="N17" i="46" s="1"/>
  <c r="H17" i="46"/>
  <c r="I17" i="46" s="1"/>
  <c r="AO16" i="46"/>
  <c r="AN16" i="46"/>
  <c r="AL16" i="46"/>
  <c r="AK16" i="46"/>
  <c r="AJ16" i="46"/>
  <c r="AI16" i="46"/>
  <c r="AH16" i="46"/>
  <c r="AG16" i="46"/>
  <c r="AE16" i="46"/>
  <c r="AD16" i="46"/>
  <c r="AC16" i="46"/>
  <c r="AB16" i="46"/>
  <c r="AA16" i="46"/>
  <c r="Y16" i="46"/>
  <c r="X16" i="46"/>
  <c r="W16" i="46"/>
  <c r="V16" i="46"/>
  <c r="U16" i="46"/>
  <c r="T16" i="46"/>
  <c r="S16" i="46"/>
  <c r="R16" i="46"/>
  <c r="Q16" i="46"/>
  <c r="P16" i="46"/>
  <c r="I18" i="46" l="1"/>
  <c r="AM17" i="46"/>
  <c r="M16" i="46"/>
  <c r="N16" i="46" s="1"/>
  <c r="H16" i="46"/>
  <c r="AM16" i="46" s="1"/>
  <c r="AO15" i="46"/>
  <c r="AN15" i="46"/>
  <c r="AL15" i="46"/>
  <c r="AK15" i="46"/>
  <c r="AJ15" i="46"/>
  <c r="AI15" i="46"/>
  <c r="AH15" i="46"/>
  <c r="AG15" i="46"/>
  <c r="AE15" i="46"/>
  <c r="AD15" i="46"/>
  <c r="AC15" i="46"/>
  <c r="AB15" i="46"/>
  <c r="AA15" i="46"/>
  <c r="Y15" i="46"/>
  <c r="X15" i="46"/>
  <c r="W15" i="46"/>
  <c r="V15" i="46"/>
  <c r="U15" i="46"/>
  <c r="T15" i="46"/>
  <c r="S15" i="46"/>
  <c r="R15" i="46"/>
  <c r="Q15" i="46"/>
  <c r="P15" i="46"/>
  <c r="I16" i="46" l="1"/>
  <c r="M15" i="46"/>
  <c r="N15" i="46" s="1"/>
  <c r="H15" i="46"/>
  <c r="AM15" i="46" s="1"/>
  <c r="AO14" i="46"/>
  <c r="AN14" i="46"/>
  <c r="AL14" i="46"/>
  <c r="AK14" i="46"/>
  <c r="AJ14" i="46"/>
  <c r="AI14" i="46"/>
  <c r="AH14" i="46"/>
  <c r="AG14" i="46"/>
  <c r="AE14" i="46"/>
  <c r="AD14" i="46"/>
  <c r="AC14" i="46"/>
  <c r="AB14" i="46"/>
  <c r="AA14" i="46"/>
  <c r="Y14" i="46"/>
  <c r="X14" i="46"/>
  <c r="W14" i="46"/>
  <c r="V14" i="46"/>
  <c r="U14" i="46"/>
  <c r="T14" i="46"/>
  <c r="S14" i="46"/>
  <c r="R14" i="46"/>
  <c r="Q14" i="46"/>
  <c r="P14" i="46"/>
  <c r="I15" i="46" l="1"/>
  <c r="M14" i="46"/>
  <c r="N14" i="46" s="1"/>
  <c r="H14" i="46"/>
  <c r="AM14" i="46" s="1"/>
  <c r="AO13" i="46"/>
  <c r="AN13" i="46"/>
  <c r="AL13" i="46"/>
  <c r="AK13" i="46"/>
  <c r="AJ13" i="46"/>
  <c r="AI13" i="46"/>
  <c r="AH13" i="46"/>
  <c r="AG13" i="46"/>
  <c r="AE13" i="46"/>
  <c r="AD13" i="46"/>
  <c r="AC13" i="46"/>
  <c r="AB13" i="46"/>
  <c r="AA13" i="46"/>
  <c r="Y13" i="46"/>
  <c r="X13" i="46"/>
  <c r="W13" i="46"/>
  <c r="V13" i="46"/>
  <c r="U13" i="46"/>
  <c r="T13" i="46"/>
  <c r="S13" i="46"/>
  <c r="R13" i="46"/>
  <c r="Q13" i="46"/>
  <c r="P13" i="46"/>
  <c r="AK69" i="46"/>
  <c r="AL69" i="46"/>
  <c r="Y69" i="46"/>
  <c r="AI69" i="46"/>
  <c r="AE69" i="46"/>
  <c r="AJ69" i="46"/>
  <c r="I14" i="46" l="1"/>
  <c r="M13" i="46"/>
  <c r="N13" i="46" s="1"/>
  <c r="H13" i="46"/>
  <c r="AM13" i="46" s="1"/>
  <c r="AO12" i="46"/>
  <c r="AN12" i="46"/>
  <c r="AL12" i="46"/>
  <c r="AK12" i="46"/>
  <c r="AJ12" i="46"/>
  <c r="AI12" i="46"/>
  <c r="AH12" i="46"/>
  <c r="AG12" i="46"/>
  <c r="AE12" i="46"/>
  <c r="AD12" i="46"/>
  <c r="AC12" i="46"/>
  <c r="AB12" i="46"/>
  <c r="AA12" i="46"/>
  <c r="Y12" i="46"/>
  <c r="X12" i="46"/>
  <c r="W12" i="46"/>
  <c r="V12" i="46"/>
  <c r="U12" i="46"/>
  <c r="T12" i="46"/>
  <c r="S12" i="46"/>
  <c r="R12" i="46"/>
  <c r="Q12" i="46"/>
  <c r="P12" i="46"/>
  <c r="I13" i="46" l="1"/>
  <c r="M12" i="46"/>
  <c r="N12" i="46" s="1"/>
  <c r="H12" i="46"/>
  <c r="AM12" i="46" s="1"/>
  <c r="AO11" i="46"/>
  <c r="AN11" i="46"/>
  <c r="AL11" i="46"/>
  <c r="AK11" i="46"/>
  <c r="AJ11" i="46"/>
  <c r="AI11" i="46"/>
  <c r="AH11" i="46"/>
  <c r="AG11" i="46"/>
  <c r="AE11" i="46"/>
  <c r="AD11" i="46"/>
  <c r="AC11" i="46"/>
  <c r="AB11" i="46"/>
  <c r="AA11" i="46"/>
  <c r="Y11" i="46"/>
  <c r="X11" i="46"/>
  <c r="W11" i="46"/>
  <c r="V11" i="46"/>
  <c r="U11" i="46"/>
  <c r="T11" i="46"/>
  <c r="S11" i="46"/>
  <c r="R11" i="46"/>
  <c r="Q11" i="46"/>
  <c r="P11" i="46"/>
  <c r="I12" i="46" l="1"/>
  <c r="M11" i="46"/>
  <c r="N11" i="46" s="1"/>
  <c r="H11" i="46"/>
  <c r="AM11" i="46" s="1"/>
  <c r="AO10" i="46"/>
  <c r="AN10" i="46"/>
  <c r="AL10" i="46"/>
  <c r="AK10" i="46"/>
  <c r="AJ10" i="46"/>
  <c r="AI10" i="46"/>
  <c r="AH10" i="46"/>
  <c r="AG10" i="46"/>
  <c r="AE10" i="46"/>
  <c r="AD10" i="46"/>
  <c r="AC10" i="46"/>
  <c r="AB10" i="46"/>
  <c r="AA10" i="46"/>
  <c r="Y10" i="46"/>
  <c r="X10" i="46"/>
  <c r="W10" i="46"/>
  <c r="V10" i="46"/>
  <c r="U10" i="46"/>
  <c r="T10" i="46"/>
  <c r="S10" i="46"/>
  <c r="R10" i="46"/>
  <c r="Q10" i="46"/>
  <c r="P10" i="46"/>
  <c r="I11" i="46" l="1"/>
  <c r="M10" i="46"/>
  <c r="N10" i="46" s="1"/>
  <c r="H10" i="46"/>
  <c r="AM10" i="46" s="1"/>
  <c r="AO9" i="46"/>
  <c r="AN9" i="46"/>
  <c r="AL9" i="46"/>
  <c r="AK9" i="46"/>
  <c r="AJ9" i="46"/>
  <c r="AI9" i="46"/>
  <c r="AH9" i="46"/>
  <c r="AG9" i="46"/>
  <c r="AE9" i="46"/>
  <c r="AD9" i="46"/>
  <c r="AC9" i="46"/>
  <c r="AB9" i="46"/>
  <c r="AA9" i="46"/>
  <c r="Y9" i="46"/>
  <c r="X9" i="46"/>
  <c r="W9" i="46"/>
  <c r="V9" i="46"/>
  <c r="U9" i="46"/>
  <c r="T9" i="46"/>
  <c r="S9" i="46"/>
  <c r="R9" i="46"/>
  <c r="Q9" i="46"/>
  <c r="P9" i="46"/>
  <c r="I10" i="46" l="1"/>
  <c r="M9" i="46"/>
  <c r="N9" i="46" s="1"/>
  <c r="H9" i="46"/>
  <c r="AM9" i="46" s="1"/>
  <c r="AO8" i="46"/>
  <c r="AN8" i="46"/>
  <c r="AL8" i="46"/>
  <c r="AK8" i="46"/>
  <c r="AJ8" i="46"/>
  <c r="AI8" i="46"/>
  <c r="AH8" i="46"/>
  <c r="AG8" i="46"/>
  <c r="AE8" i="46"/>
  <c r="AD8" i="46"/>
  <c r="AC8" i="46"/>
  <c r="AB8" i="46"/>
  <c r="AA8" i="46"/>
  <c r="Y8" i="46"/>
  <c r="X8" i="46"/>
  <c r="W8" i="46"/>
  <c r="V8" i="46"/>
  <c r="U8" i="46"/>
  <c r="T8" i="46"/>
  <c r="S8" i="46"/>
  <c r="R8" i="46"/>
  <c r="Q8" i="46"/>
  <c r="P8" i="46"/>
  <c r="V69" i="46"/>
  <c r="R69" i="46"/>
  <c r="AA69" i="46"/>
  <c r="AG69" i="46"/>
  <c r="W69" i="46"/>
  <c r="AH69" i="46"/>
  <c r="U69" i="46"/>
  <c r="AB69" i="46"/>
  <c r="AC69" i="46"/>
  <c r="X69" i="46"/>
  <c r="AD69" i="46"/>
  <c r="I9" i="46" l="1"/>
  <c r="M8" i="46"/>
  <c r="M69" i="46"/>
  <c r="N69" i="46" l="1"/>
  <c r="N8" i="46"/>
  <c r="H8" i="46"/>
  <c r="I8" i="46" s="1"/>
  <c r="AO7" i="46"/>
  <c r="AN7" i="46"/>
  <c r="AL7" i="46"/>
  <c r="AK7" i="46"/>
  <c r="AJ7" i="46"/>
  <c r="AI7" i="46"/>
  <c r="AH7" i="46"/>
  <c r="AG7" i="46"/>
  <c r="AE7" i="46"/>
  <c r="AD7" i="46"/>
  <c r="AC7" i="46"/>
  <c r="AB7" i="46"/>
  <c r="AA7" i="46"/>
  <c r="Y7" i="46"/>
  <c r="X7" i="46"/>
  <c r="W7" i="46"/>
  <c r="V7" i="46"/>
  <c r="U7" i="46"/>
  <c r="T7" i="46"/>
  <c r="S7" i="46"/>
  <c r="R7" i="46"/>
  <c r="Q7" i="46"/>
  <c r="P7" i="46"/>
  <c r="M7" i="46"/>
  <c r="I7" i="46"/>
  <c r="H7" i="46"/>
  <c r="AO6" i="46"/>
  <c r="AN6" i="46"/>
  <c r="AL6" i="46"/>
  <c r="AK6" i="46"/>
  <c r="AJ6" i="46"/>
  <c r="AI6" i="46"/>
  <c r="AH6" i="46"/>
  <c r="AG6" i="46"/>
  <c r="AE6" i="46"/>
  <c r="AD6" i="46"/>
  <c r="AC6" i="46"/>
  <c r="AB6" i="46"/>
  <c r="AA6" i="46"/>
  <c r="Y6" i="46"/>
  <c r="X6" i="46"/>
  <c r="W6" i="46"/>
  <c r="V6" i="46"/>
  <c r="U6" i="46"/>
  <c r="T6" i="46"/>
  <c r="S6" i="46"/>
  <c r="O5" i="46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47" i="45"/>
  <c r="H48" i="45"/>
  <c r="H49" i="45"/>
  <c r="H50" i="45"/>
  <c r="H51" i="45"/>
  <c r="H52" i="45"/>
  <c r="H53" i="45"/>
  <c r="H54" i="45"/>
  <c r="H55" i="45"/>
  <c r="H56" i="45"/>
  <c r="H57" i="45"/>
  <c r="H58" i="45"/>
  <c r="H59" i="45"/>
  <c r="J11" i="46"/>
  <c r="O11" i="46"/>
  <c r="J7" i="46"/>
  <c r="J10" i="46"/>
  <c r="O10" i="46"/>
  <c r="O8" i="46"/>
  <c r="O9" i="46"/>
  <c r="J8" i="46"/>
  <c r="J9" i="46"/>
  <c r="J19" i="46"/>
  <c r="O22" i="46"/>
  <c r="O12" i="46"/>
  <c r="J20" i="46"/>
  <c r="O14" i="46"/>
  <c r="J15" i="46"/>
  <c r="J21" i="46"/>
  <c r="O18" i="46"/>
  <c r="O15" i="46"/>
  <c r="O13" i="46"/>
  <c r="O16" i="46"/>
  <c r="J17" i="46"/>
  <c r="J18" i="46"/>
  <c r="J14" i="46"/>
  <c r="J13" i="46"/>
  <c r="O21" i="46"/>
  <c r="O19" i="46"/>
  <c r="O17" i="46"/>
  <c r="O20" i="46"/>
  <c r="J22" i="46"/>
  <c r="J12" i="46"/>
  <c r="J16" i="46"/>
  <c r="R64" i="46"/>
  <c r="AC64" i="46"/>
  <c r="AB64" i="46"/>
  <c r="AD64" i="46"/>
  <c r="U64" i="46"/>
  <c r="AL64" i="46"/>
  <c r="AK64" i="46"/>
  <c r="AH64" i="46"/>
  <c r="AI64" i="46"/>
  <c r="AA64" i="46"/>
  <c r="V64" i="46"/>
  <c r="X64" i="46"/>
  <c r="Y64" i="46"/>
  <c r="AE64" i="46"/>
  <c r="H64" i="46"/>
  <c r="AG64" i="46"/>
  <c r="AJ64" i="46"/>
  <c r="M64" i="46"/>
  <c r="W64" i="46"/>
  <c r="H69" i="46"/>
  <c r="I64" i="46" l="1"/>
  <c r="N64" i="46"/>
  <c r="N7" i="46"/>
  <c r="AM7" i="46"/>
  <c r="I69" i="46"/>
  <c r="AM8" i="46"/>
  <c r="S74" i="45"/>
  <c r="S72" i="45"/>
  <c r="C72" i="45"/>
  <c r="B72" i="45"/>
  <c r="U71" i="45"/>
  <c r="T71" i="45"/>
  <c r="S69" i="45"/>
  <c r="S67" i="45"/>
  <c r="C67" i="45"/>
  <c r="B67" i="45"/>
  <c r="U66" i="45"/>
  <c r="T66" i="45"/>
  <c r="S64" i="45"/>
  <c r="S62" i="45"/>
  <c r="C62" i="45"/>
  <c r="B62" i="45"/>
  <c r="U61" i="45"/>
  <c r="T61" i="45"/>
  <c r="O7" i="46"/>
  <c r="O36" i="46"/>
  <c r="O35" i="46"/>
  <c r="O27" i="46"/>
  <c r="O23" i="46"/>
  <c r="O28" i="46"/>
  <c r="O26" i="46"/>
  <c r="O33" i="46"/>
  <c r="O34" i="46"/>
  <c r="O31" i="46"/>
  <c r="O32" i="46"/>
  <c r="O25" i="46"/>
  <c r="O29" i="46"/>
  <c r="O24" i="46"/>
  <c r="O30" i="46"/>
  <c r="Z69" i="45"/>
  <c r="O45" i="46"/>
  <c r="O55" i="46"/>
  <c r="H64" i="45"/>
  <c r="AA64" i="45"/>
  <c r="AF69" i="45"/>
  <c r="X64" i="45"/>
  <c r="AF74" i="45"/>
  <c r="O41" i="46"/>
  <c r="AD64" i="45"/>
  <c r="M64" i="45"/>
  <c r="R64" i="45"/>
  <c r="O48" i="46"/>
  <c r="O44" i="46"/>
  <c r="O40" i="46"/>
  <c r="K66" i="45"/>
  <c r="Z74" i="45"/>
  <c r="O49" i="46"/>
  <c r="O39" i="46"/>
  <c r="O58" i="46"/>
  <c r="K71" i="45"/>
  <c r="O59" i="46"/>
  <c r="O38" i="46"/>
  <c r="U64" i="45"/>
  <c r="O52" i="46"/>
  <c r="Y64" i="45"/>
  <c r="AE64" i="45"/>
  <c r="Z64" i="45"/>
  <c r="AG64" i="45"/>
  <c r="AJ64" i="45"/>
  <c r="O46" i="46"/>
  <c r="O42" i="46"/>
  <c r="O50" i="46"/>
  <c r="O37" i="46"/>
  <c r="E71" i="45"/>
  <c r="AL64" i="45"/>
  <c r="O53" i="46"/>
  <c r="O47" i="46"/>
  <c r="O57" i="46"/>
  <c r="O54" i="46"/>
  <c r="E74" i="45"/>
  <c r="AH64" i="45"/>
  <c r="AK64" i="45"/>
  <c r="AB64" i="45"/>
  <c r="E69" i="45"/>
  <c r="O56" i="46"/>
  <c r="AI64" i="45"/>
  <c r="E66" i="45"/>
  <c r="V64" i="45"/>
  <c r="O51" i="46"/>
  <c r="E64" i="45"/>
  <c r="O43" i="46"/>
  <c r="W64" i="45"/>
  <c r="AC64" i="45"/>
  <c r="K61" i="45"/>
  <c r="AF64" i="45"/>
  <c r="N64" i="45" l="1"/>
  <c r="I64" i="45"/>
  <c r="AO59" i="45"/>
  <c r="AN59" i="45"/>
  <c r="AL59" i="45"/>
  <c r="AK59" i="45"/>
  <c r="AJ59" i="45"/>
  <c r="AI59" i="45"/>
  <c r="AH59" i="45"/>
  <c r="AG59" i="45"/>
  <c r="AE59" i="45"/>
  <c r="AD59" i="45"/>
  <c r="AC59" i="45"/>
  <c r="AB59" i="45"/>
  <c r="AA59" i="45"/>
  <c r="Y59" i="45"/>
  <c r="X59" i="45"/>
  <c r="W59" i="45"/>
  <c r="V59" i="45"/>
  <c r="U59" i="45"/>
  <c r="T59" i="45"/>
  <c r="S59" i="45"/>
  <c r="R59" i="45"/>
  <c r="Q59" i="45"/>
  <c r="P59" i="45"/>
  <c r="N59" i="45"/>
  <c r="M59" i="45"/>
  <c r="J59" i="45"/>
  <c r="I59" i="45"/>
  <c r="AO58" i="45"/>
  <c r="AN58" i="45"/>
  <c r="AL58" i="45"/>
  <c r="AK58" i="45"/>
  <c r="AJ58" i="45"/>
  <c r="AI58" i="45"/>
  <c r="AH58" i="45"/>
  <c r="AG58" i="45"/>
  <c r="AE58" i="45"/>
  <c r="AD58" i="45"/>
  <c r="AC58" i="45"/>
  <c r="AB58" i="45"/>
  <c r="AA58" i="45"/>
  <c r="Y58" i="45"/>
  <c r="X58" i="45"/>
  <c r="W58" i="45"/>
  <c r="V58" i="45"/>
  <c r="U58" i="45"/>
  <c r="T58" i="45"/>
  <c r="S58" i="45"/>
  <c r="R58" i="45"/>
  <c r="Q58" i="45"/>
  <c r="P58" i="45"/>
  <c r="N58" i="45"/>
  <c r="M58" i="45"/>
  <c r="J58" i="45"/>
  <c r="I58" i="45"/>
  <c r="AO57" i="45"/>
  <c r="AN57" i="45"/>
  <c r="AL57" i="45"/>
  <c r="AK57" i="45"/>
  <c r="AJ57" i="45"/>
  <c r="AI57" i="45"/>
  <c r="AH57" i="45"/>
  <c r="AG57" i="45"/>
  <c r="AE57" i="45"/>
  <c r="AD57" i="45"/>
  <c r="AC57" i="45"/>
  <c r="AB57" i="45"/>
  <c r="AA57" i="45"/>
  <c r="Y57" i="45"/>
  <c r="X57" i="45"/>
  <c r="W57" i="45"/>
  <c r="V57" i="45"/>
  <c r="U57" i="45"/>
  <c r="T57" i="45"/>
  <c r="S57" i="45"/>
  <c r="R57" i="45"/>
  <c r="Q57" i="45"/>
  <c r="P57" i="45"/>
  <c r="N57" i="45"/>
  <c r="M57" i="45"/>
  <c r="J57" i="45"/>
  <c r="I57" i="45"/>
  <c r="AO56" i="45"/>
  <c r="AN56" i="45"/>
  <c r="AL56" i="45"/>
  <c r="AK56" i="45"/>
  <c r="AJ56" i="45"/>
  <c r="AI56" i="45"/>
  <c r="AH56" i="45"/>
  <c r="AG56" i="45"/>
  <c r="AE56" i="45"/>
  <c r="AD56" i="45"/>
  <c r="AC56" i="45"/>
  <c r="AB56" i="45"/>
  <c r="AA56" i="45"/>
  <c r="Y56" i="45"/>
  <c r="X56" i="45"/>
  <c r="W56" i="45"/>
  <c r="V56" i="45"/>
  <c r="U56" i="45"/>
  <c r="T56" i="45"/>
  <c r="S56" i="45"/>
  <c r="R56" i="45"/>
  <c r="AM56" i="45" s="1"/>
  <c r="Q56" i="45"/>
  <c r="P56" i="45"/>
  <c r="N56" i="45"/>
  <c r="M56" i="45"/>
  <c r="J56" i="45"/>
  <c r="I56" i="45"/>
  <c r="AO55" i="45"/>
  <c r="AN55" i="45"/>
  <c r="AL55" i="45"/>
  <c r="AK55" i="45"/>
  <c r="AJ55" i="45"/>
  <c r="AI55" i="45"/>
  <c r="AH55" i="45"/>
  <c r="AG55" i="45"/>
  <c r="AE55" i="45"/>
  <c r="AD55" i="45"/>
  <c r="AC55" i="45"/>
  <c r="AB55" i="45"/>
  <c r="AA55" i="45"/>
  <c r="Y55" i="45"/>
  <c r="X55" i="45"/>
  <c r="W55" i="45"/>
  <c r="V55" i="45"/>
  <c r="U55" i="45"/>
  <c r="T55" i="45"/>
  <c r="S55" i="45"/>
  <c r="R55" i="45"/>
  <c r="AM55" i="45" s="1"/>
  <c r="Q55" i="45"/>
  <c r="P55" i="45"/>
  <c r="N55" i="45"/>
  <c r="M55" i="45"/>
  <c r="J55" i="45"/>
  <c r="I55" i="45"/>
  <c r="AO54" i="45"/>
  <c r="AN54" i="45"/>
  <c r="AL54" i="45"/>
  <c r="AK54" i="45"/>
  <c r="AJ54" i="45"/>
  <c r="AI54" i="45"/>
  <c r="AH54" i="45"/>
  <c r="AG54" i="45"/>
  <c r="AE54" i="45"/>
  <c r="AD54" i="45"/>
  <c r="AC54" i="45"/>
  <c r="AB54" i="45"/>
  <c r="AA54" i="45"/>
  <c r="Y54" i="45"/>
  <c r="X54" i="45"/>
  <c r="W54" i="45"/>
  <c r="V54" i="45"/>
  <c r="U54" i="45"/>
  <c r="T54" i="45"/>
  <c r="S54" i="45"/>
  <c r="R54" i="45"/>
  <c r="AM54" i="45" s="1"/>
  <c r="Q54" i="45"/>
  <c r="P54" i="45"/>
  <c r="N54" i="45"/>
  <c r="M54" i="45"/>
  <c r="J54" i="45"/>
  <c r="I54" i="45"/>
  <c r="AO53" i="45"/>
  <c r="AN53" i="45"/>
  <c r="AL53" i="45"/>
  <c r="AK53" i="45"/>
  <c r="AJ53" i="45"/>
  <c r="AI53" i="45"/>
  <c r="AH53" i="45"/>
  <c r="AG53" i="45"/>
  <c r="AE53" i="45"/>
  <c r="AD53" i="45"/>
  <c r="AC53" i="45"/>
  <c r="AB53" i="45"/>
  <c r="AA53" i="45"/>
  <c r="Y53" i="45"/>
  <c r="X53" i="45"/>
  <c r="W53" i="45"/>
  <c r="V53" i="45"/>
  <c r="U53" i="45"/>
  <c r="T53" i="45"/>
  <c r="S53" i="45"/>
  <c r="R53" i="45"/>
  <c r="AM53" i="45" s="1"/>
  <c r="Q53" i="45"/>
  <c r="P53" i="45"/>
  <c r="N53" i="45"/>
  <c r="M53" i="45"/>
  <c r="J53" i="45"/>
  <c r="I53" i="45"/>
  <c r="AO52" i="45"/>
  <c r="AN52" i="45"/>
  <c r="AL52" i="45"/>
  <c r="AK52" i="45"/>
  <c r="AJ52" i="45"/>
  <c r="AI52" i="45"/>
  <c r="AH52" i="45"/>
  <c r="AG52" i="45"/>
  <c r="AE52" i="45"/>
  <c r="AD52" i="45"/>
  <c r="AC52" i="45"/>
  <c r="AB52" i="45"/>
  <c r="AA52" i="45"/>
  <c r="Y52" i="45"/>
  <c r="X52" i="45"/>
  <c r="W52" i="45"/>
  <c r="V52" i="45"/>
  <c r="U52" i="45"/>
  <c r="T52" i="45"/>
  <c r="S52" i="45"/>
  <c r="R52" i="45"/>
  <c r="AM52" i="45" s="1"/>
  <c r="Q52" i="45"/>
  <c r="P52" i="45"/>
  <c r="N52" i="45"/>
  <c r="M52" i="45"/>
  <c r="J52" i="45"/>
  <c r="I52" i="45"/>
  <c r="AO51" i="45"/>
  <c r="AN51" i="45"/>
  <c r="AL51" i="45"/>
  <c r="AK51" i="45"/>
  <c r="AJ51" i="45"/>
  <c r="AI51" i="45"/>
  <c r="AH51" i="45"/>
  <c r="AG51" i="45"/>
  <c r="AE51" i="45"/>
  <c r="AD51" i="45"/>
  <c r="AC51" i="45"/>
  <c r="AB51" i="45"/>
  <c r="AA51" i="45"/>
  <c r="Y51" i="45"/>
  <c r="X51" i="45"/>
  <c r="W51" i="45"/>
  <c r="V51" i="45"/>
  <c r="U51" i="45"/>
  <c r="T51" i="45"/>
  <c r="S51" i="45"/>
  <c r="R51" i="45"/>
  <c r="AM51" i="45" s="1"/>
  <c r="Q51" i="45"/>
  <c r="P51" i="45"/>
  <c r="N51" i="45"/>
  <c r="M51" i="45"/>
  <c r="J51" i="45"/>
  <c r="I51" i="45"/>
  <c r="AO50" i="45"/>
  <c r="AN50" i="45"/>
  <c r="AL50" i="45"/>
  <c r="AK50" i="45"/>
  <c r="AJ50" i="45"/>
  <c r="AI50" i="45"/>
  <c r="AH50" i="45"/>
  <c r="AG50" i="45"/>
  <c r="AE50" i="45"/>
  <c r="AD50" i="45"/>
  <c r="AC50" i="45"/>
  <c r="AB50" i="45"/>
  <c r="AA50" i="45"/>
  <c r="Y50" i="45"/>
  <c r="X50" i="45"/>
  <c r="W50" i="45"/>
  <c r="V50" i="45"/>
  <c r="U50" i="45"/>
  <c r="T50" i="45"/>
  <c r="S50" i="45"/>
  <c r="R50" i="45"/>
  <c r="AM50" i="45" s="1"/>
  <c r="Q50" i="45"/>
  <c r="P50" i="45"/>
  <c r="N50" i="45"/>
  <c r="M50" i="45"/>
  <c r="J50" i="45"/>
  <c r="I50" i="45"/>
  <c r="AO49" i="45"/>
  <c r="AN49" i="45"/>
  <c r="AL49" i="45"/>
  <c r="AK49" i="45"/>
  <c r="AJ49" i="45"/>
  <c r="AI49" i="45"/>
  <c r="AH49" i="45"/>
  <c r="AG49" i="45"/>
  <c r="AE49" i="45"/>
  <c r="AD49" i="45"/>
  <c r="AC49" i="45"/>
  <c r="AB49" i="45"/>
  <c r="AA49" i="45"/>
  <c r="Y49" i="45"/>
  <c r="X49" i="45"/>
  <c r="W49" i="45"/>
  <c r="V49" i="45"/>
  <c r="U49" i="45"/>
  <c r="T49" i="45"/>
  <c r="S49" i="45"/>
  <c r="R49" i="45"/>
  <c r="AM49" i="45" s="1"/>
  <c r="Q49" i="45"/>
  <c r="P49" i="45"/>
  <c r="N49" i="45"/>
  <c r="M49" i="45"/>
  <c r="J49" i="45"/>
  <c r="I49" i="45"/>
  <c r="AO48" i="45"/>
  <c r="AN48" i="45"/>
  <c r="AL48" i="45"/>
  <c r="AK48" i="45"/>
  <c r="AJ48" i="45"/>
  <c r="AI48" i="45"/>
  <c r="AH48" i="45"/>
  <c r="AG48" i="45"/>
  <c r="AE48" i="45"/>
  <c r="AD48" i="45"/>
  <c r="AC48" i="45"/>
  <c r="AB48" i="45"/>
  <c r="AA48" i="45"/>
  <c r="Y48" i="45"/>
  <c r="X48" i="45"/>
  <c r="W48" i="45"/>
  <c r="V48" i="45"/>
  <c r="U48" i="45"/>
  <c r="T48" i="45"/>
  <c r="S48" i="45"/>
  <c r="R48" i="45"/>
  <c r="AM48" i="45" s="1"/>
  <c r="Q48" i="45"/>
  <c r="P48" i="45"/>
  <c r="N48" i="45"/>
  <c r="M48" i="45"/>
  <c r="J48" i="45"/>
  <c r="I48" i="45"/>
  <c r="AO47" i="45"/>
  <c r="AN47" i="45"/>
  <c r="AL47" i="45"/>
  <c r="AK47" i="45"/>
  <c r="AJ47" i="45"/>
  <c r="AI47" i="45"/>
  <c r="AH47" i="45"/>
  <c r="AG47" i="45"/>
  <c r="AE47" i="45"/>
  <c r="AD47" i="45"/>
  <c r="AC47" i="45"/>
  <c r="AB47" i="45"/>
  <c r="AA47" i="45"/>
  <c r="Y47" i="45"/>
  <c r="X47" i="45"/>
  <c r="W47" i="45"/>
  <c r="V47" i="45"/>
  <c r="U47" i="45"/>
  <c r="T47" i="45"/>
  <c r="S47" i="45"/>
  <c r="R47" i="45"/>
  <c r="AM47" i="45" s="1"/>
  <c r="Q47" i="45"/>
  <c r="P47" i="45"/>
  <c r="N47" i="45"/>
  <c r="M47" i="45"/>
  <c r="J47" i="45"/>
  <c r="I47" i="45"/>
  <c r="AO46" i="45"/>
  <c r="AN46" i="45"/>
  <c r="AL46" i="45"/>
  <c r="AK46" i="45"/>
  <c r="AJ46" i="45"/>
  <c r="AI46" i="45"/>
  <c r="AH46" i="45"/>
  <c r="AG46" i="45"/>
  <c r="AE46" i="45"/>
  <c r="AD46" i="45"/>
  <c r="AC46" i="45"/>
  <c r="AB46" i="45"/>
  <c r="AA46" i="45"/>
  <c r="Y46" i="45"/>
  <c r="X46" i="45"/>
  <c r="W46" i="45"/>
  <c r="V46" i="45"/>
  <c r="U46" i="45"/>
  <c r="T46" i="45"/>
  <c r="S46" i="45"/>
  <c r="R46" i="45"/>
  <c r="AM46" i="45" s="1"/>
  <c r="Q46" i="45"/>
  <c r="P46" i="45"/>
  <c r="N46" i="45"/>
  <c r="M46" i="45"/>
  <c r="J46" i="45"/>
  <c r="I46" i="45"/>
  <c r="AO45" i="45"/>
  <c r="AN45" i="45"/>
  <c r="AL45" i="45"/>
  <c r="AK45" i="45"/>
  <c r="AJ45" i="45"/>
  <c r="AI45" i="45"/>
  <c r="AH45" i="45"/>
  <c r="AG45" i="45"/>
  <c r="AE45" i="45"/>
  <c r="AD45" i="45"/>
  <c r="AC45" i="45"/>
  <c r="AB45" i="45"/>
  <c r="AA45" i="45"/>
  <c r="Y45" i="45"/>
  <c r="X45" i="45"/>
  <c r="W45" i="45"/>
  <c r="V45" i="45"/>
  <c r="U45" i="45"/>
  <c r="T45" i="45"/>
  <c r="S45" i="45"/>
  <c r="R45" i="45"/>
  <c r="AM45" i="45" s="1"/>
  <c r="Q45" i="45"/>
  <c r="P45" i="45"/>
  <c r="N45" i="45"/>
  <c r="M45" i="45"/>
  <c r="J45" i="45"/>
  <c r="I45" i="45"/>
  <c r="AO44" i="45"/>
  <c r="AN44" i="45"/>
  <c r="AL44" i="45"/>
  <c r="AK44" i="45"/>
  <c r="AJ44" i="45"/>
  <c r="AI44" i="45"/>
  <c r="AH44" i="45"/>
  <c r="AG44" i="45"/>
  <c r="AE44" i="45"/>
  <c r="AD44" i="45"/>
  <c r="AC44" i="45"/>
  <c r="AB44" i="45"/>
  <c r="AA44" i="45"/>
  <c r="Y44" i="45"/>
  <c r="X44" i="45"/>
  <c r="W44" i="45"/>
  <c r="V44" i="45"/>
  <c r="U44" i="45"/>
  <c r="T44" i="45"/>
  <c r="S44" i="45"/>
  <c r="R44" i="45"/>
  <c r="AM44" i="45" s="1"/>
  <c r="Q44" i="45"/>
  <c r="P44" i="45"/>
  <c r="N44" i="45"/>
  <c r="M44" i="45"/>
  <c r="J44" i="45"/>
  <c r="I44" i="45"/>
  <c r="AO43" i="45"/>
  <c r="AN43" i="45"/>
  <c r="AL43" i="45"/>
  <c r="AK43" i="45"/>
  <c r="AJ43" i="45"/>
  <c r="AI43" i="45"/>
  <c r="AH43" i="45"/>
  <c r="AG43" i="45"/>
  <c r="AE43" i="45"/>
  <c r="AD43" i="45"/>
  <c r="AC43" i="45"/>
  <c r="AB43" i="45"/>
  <c r="AA43" i="45"/>
  <c r="Y43" i="45"/>
  <c r="X43" i="45"/>
  <c r="W43" i="45"/>
  <c r="V43" i="45"/>
  <c r="U43" i="45"/>
  <c r="T43" i="45"/>
  <c r="S43" i="45"/>
  <c r="R43" i="45"/>
  <c r="AM43" i="45" s="1"/>
  <c r="Q43" i="45"/>
  <c r="P43" i="45"/>
  <c r="N43" i="45"/>
  <c r="M43" i="45"/>
  <c r="J43" i="45"/>
  <c r="I43" i="45"/>
  <c r="AO42" i="45"/>
  <c r="AN42" i="45"/>
  <c r="AL42" i="45"/>
  <c r="AK42" i="45"/>
  <c r="AJ42" i="45"/>
  <c r="AI42" i="45"/>
  <c r="AH42" i="45"/>
  <c r="AG42" i="45"/>
  <c r="AE42" i="45"/>
  <c r="AD42" i="45"/>
  <c r="AC42" i="45"/>
  <c r="AB42" i="45"/>
  <c r="AA42" i="45"/>
  <c r="Y42" i="45"/>
  <c r="X42" i="45"/>
  <c r="W42" i="45"/>
  <c r="V42" i="45"/>
  <c r="U42" i="45"/>
  <c r="T42" i="45"/>
  <c r="S42" i="45"/>
  <c r="R42" i="45"/>
  <c r="AM42" i="45" s="1"/>
  <c r="Q42" i="45"/>
  <c r="P42" i="45"/>
  <c r="N42" i="45"/>
  <c r="M42" i="45"/>
  <c r="J42" i="45"/>
  <c r="I42" i="45"/>
  <c r="AO41" i="45"/>
  <c r="AN41" i="45"/>
  <c r="AL41" i="45"/>
  <c r="AK41" i="45"/>
  <c r="AJ41" i="45"/>
  <c r="AI41" i="45"/>
  <c r="AH41" i="45"/>
  <c r="AG41" i="45"/>
  <c r="AE41" i="45"/>
  <c r="AD41" i="45"/>
  <c r="AC41" i="45"/>
  <c r="AB41" i="45"/>
  <c r="AA41" i="45"/>
  <c r="Y41" i="45"/>
  <c r="X41" i="45"/>
  <c r="W41" i="45"/>
  <c r="V41" i="45"/>
  <c r="U41" i="45"/>
  <c r="T41" i="45"/>
  <c r="S41" i="45"/>
  <c r="R41" i="45"/>
  <c r="AM41" i="45" s="1"/>
  <c r="Q41" i="45"/>
  <c r="P41" i="45"/>
  <c r="N41" i="45"/>
  <c r="M41" i="45"/>
  <c r="J41" i="45"/>
  <c r="I41" i="45"/>
  <c r="AO40" i="45"/>
  <c r="AN40" i="45"/>
  <c r="AL40" i="45"/>
  <c r="AK40" i="45"/>
  <c r="AJ40" i="45"/>
  <c r="AI40" i="45"/>
  <c r="AH40" i="45"/>
  <c r="AG40" i="45"/>
  <c r="AE40" i="45"/>
  <c r="AD40" i="45"/>
  <c r="AC40" i="45"/>
  <c r="AB40" i="45"/>
  <c r="AA40" i="45"/>
  <c r="Y40" i="45"/>
  <c r="X40" i="45"/>
  <c r="W40" i="45"/>
  <c r="V40" i="45"/>
  <c r="U40" i="45"/>
  <c r="T40" i="45"/>
  <c r="S40" i="45"/>
  <c r="R40" i="45"/>
  <c r="AM40" i="45" s="1"/>
  <c r="Q40" i="45"/>
  <c r="P40" i="45"/>
  <c r="N40" i="45"/>
  <c r="M40" i="45"/>
  <c r="J40" i="45"/>
  <c r="I40" i="45"/>
  <c r="AO39" i="45"/>
  <c r="AN39" i="45"/>
  <c r="AL39" i="45"/>
  <c r="AK39" i="45"/>
  <c r="AJ39" i="45"/>
  <c r="AI39" i="45"/>
  <c r="AH39" i="45"/>
  <c r="AG39" i="45"/>
  <c r="AE39" i="45"/>
  <c r="AD39" i="45"/>
  <c r="AC39" i="45"/>
  <c r="AB39" i="45"/>
  <c r="AA39" i="45"/>
  <c r="Y39" i="45"/>
  <c r="X39" i="45"/>
  <c r="W39" i="45"/>
  <c r="V39" i="45"/>
  <c r="U39" i="45"/>
  <c r="T39" i="45"/>
  <c r="S39" i="45"/>
  <c r="R39" i="45"/>
  <c r="AM39" i="45" s="1"/>
  <c r="Q39" i="45"/>
  <c r="P39" i="45"/>
  <c r="N39" i="45"/>
  <c r="M39" i="45"/>
  <c r="J39" i="45"/>
  <c r="I39" i="45"/>
  <c r="AO38" i="45"/>
  <c r="AN38" i="45"/>
  <c r="AL38" i="45"/>
  <c r="AK38" i="45"/>
  <c r="AJ38" i="45"/>
  <c r="AI38" i="45"/>
  <c r="AH38" i="45"/>
  <c r="AG38" i="45"/>
  <c r="AE38" i="45"/>
  <c r="AD38" i="45"/>
  <c r="AC38" i="45"/>
  <c r="AB38" i="45"/>
  <c r="AA38" i="45"/>
  <c r="Y38" i="45"/>
  <c r="X38" i="45"/>
  <c r="W38" i="45"/>
  <c r="V38" i="45"/>
  <c r="U38" i="45"/>
  <c r="T38" i="45"/>
  <c r="S38" i="45"/>
  <c r="R38" i="45"/>
  <c r="AM38" i="45" s="1"/>
  <c r="Q38" i="45"/>
  <c r="P38" i="45"/>
  <c r="N38" i="45"/>
  <c r="M38" i="45"/>
  <c r="J38" i="45"/>
  <c r="I38" i="45"/>
  <c r="AO37" i="45"/>
  <c r="AN37" i="45"/>
  <c r="AL37" i="45"/>
  <c r="AK37" i="45"/>
  <c r="AJ37" i="45"/>
  <c r="AI37" i="45"/>
  <c r="AH37" i="45"/>
  <c r="AG37" i="45"/>
  <c r="AE37" i="45"/>
  <c r="AD37" i="45"/>
  <c r="AC37" i="45"/>
  <c r="AB37" i="45"/>
  <c r="AA37" i="45"/>
  <c r="Y37" i="45"/>
  <c r="X37" i="45"/>
  <c r="W37" i="45"/>
  <c r="V37" i="45"/>
  <c r="U37" i="45"/>
  <c r="T37" i="45"/>
  <c r="S37" i="45"/>
  <c r="R37" i="45"/>
  <c r="Q37" i="45"/>
  <c r="P37" i="45"/>
  <c r="N37" i="45"/>
  <c r="M37" i="45"/>
  <c r="J37" i="45"/>
  <c r="I37" i="45"/>
  <c r="AO36" i="45"/>
  <c r="AN36" i="45"/>
  <c r="AL36" i="45"/>
  <c r="AK36" i="45"/>
  <c r="AJ36" i="45"/>
  <c r="AI36" i="45"/>
  <c r="AH36" i="45"/>
  <c r="AG36" i="45"/>
  <c r="AE36" i="45"/>
  <c r="AD36" i="45"/>
  <c r="AC36" i="45"/>
  <c r="AB36" i="45"/>
  <c r="AA36" i="45"/>
  <c r="Y36" i="45"/>
  <c r="X36" i="45"/>
  <c r="W36" i="45"/>
  <c r="V36" i="45"/>
  <c r="U36" i="45"/>
  <c r="T36" i="45"/>
  <c r="S36" i="45"/>
  <c r="R36" i="45"/>
  <c r="Q36" i="45"/>
  <c r="P36" i="45"/>
  <c r="AM57" i="45" l="1"/>
  <c r="AM58" i="45"/>
  <c r="AM59" i="45"/>
  <c r="AM37" i="45"/>
  <c r="M36" i="45"/>
  <c r="N36" i="45" s="1"/>
  <c r="I36" i="45"/>
  <c r="AM36" i="45"/>
  <c r="AO35" i="45"/>
  <c r="AN35" i="45"/>
  <c r="AL35" i="45"/>
  <c r="AK35" i="45"/>
  <c r="AJ35" i="45"/>
  <c r="AI35" i="45"/>
  <c r="AH35" i="45"/>
  <c r="AG35" i="45"/>
  <c r="AE35" i="45"/>
  <c r="AD35" i="45"/>
  <c r="AC35" i="45"/>
  <c r="AB35" i="45"/>
  <c r="AA35" i="45"/>
  <c r="Y35" i="45"/>
  <c r="X35" i="45"/>
  <c r="W35" i="45"/>
  <c r="V35" i="45"/>
  <c r="U35" i="45"/>
  <c r="T35" i="45"/>
  <c r="S35" i="45"/>
  <c r="R35" i="45"/>
  <c r="Q35" i="45"/>
  <c r="P35" i="45"/>
  <c r="M35" i="45" l="1"/>
  <c r="N35" i="45" s="1"/>
  <c r="AM35" i="45"/>
  <c r="AO34" i="45"/>
  <c r="AN34" i="45"/>
  <c r="AL34" i="45"/>
  <c r="AK34" i="45"/>
  <c r="AJ34" i="45"/>
  <c r="AI34" i="45"/>
  <c r="AH34" i="45"/>
  <c r="AG34" i="45"/>
  <c r="AE34" i="45"/>
  <c r="AD34" i="45"/>
  <c r="AC34" i="45"/>
  <c r="AB34" i="45"/>
  <c r="AA34" i="45"/>
  <c r="Y34" i="45"/>
  <c r="X34" i="45"/>
  <c r="W34" i="45"/>
  <c r="V34" i="45"/>
  <c r="U34" i="45"/>
  <c r="T34" i="45"/>
  <c r="S34" i="45"/>
  <c r="R34" i="45"/>
  <c r="Q34" i="45"/>
  <c r="P34" i="45"/>
  <c r="I35" i="45" l="1"/>
  <c r="N34" i="45"/>
  <c r="M34" i="45"/>
  <c r="I34" i="45" l="1"/>
  <c r="AO33" i="45"/>
  <c r="AN33" i="45"/>
  <c r="AL33" i="45"/>
  <c r="AK33" i="45"/>
  <c r="AJ33" i="45"/>
  <c r="AI33" i="45"/>
  <c r="AH33" i="45"/>
  <c r="AG33" i="45"/>
  <c r="AE33" i="45"/>
  <c r="AD33" i="45"/>
  <c r="AC33" i="45"/>
  <c r="AB33" i="45"/>
  <c r="AA33" i="45"/>
  <c r="Y33" i="45"/>
  <c r="X33" i="45"/>
  <c r="W33" i="45"/>
  <c r="V33" i="45"/>
  <c r="U33" i="45"/>
  <c r="T33" i="45"/>
  <c r="S33" i="45"/>
  <c r="R33" i="45"/>
  <c r="Q33" i="45"/>
  <c r="P33" i="45"/>
  <c r="H69" i="45"/>
  <c r="I69" i="45" l="1"/>
  <c r="AM34" i="45"/>
  <c r="N33" i="45"/>
  <c r="M33" i="45"/>
  <c r="I33" i="45"/>
  <c r="AM33" i="45"/>
  <c r="AO32" i="45"/>
  <c r="AN32" i="45"/>
  <c r="AL32" i="45"/>
  <c r="AK32" i="45"/>
  <c r="AJ32" i="45"/>
  <c r="AI32" i="45"/>
  <c r="AH32" i="45"/>
  <c r="AG32" i="45"/>
  <c r="AE32" i="45"/>
  <c r="AD32" i="45"/>
  <c r="AC32" i="45"/>
  <c r="AB32" i="45"/>
  <c r="AA32" i="45"/>
  <c r="Y32" i="45"/>
  <c r="X32" i="45"/>
  <c r="W32" i="45"/>
  <c r="V32" i="45"/>
  <c r="U32" i="45"/>
  <c r="T32" i="45"/>
  <c r="S32" i="45"/>
  <c r="R32" i="45"/>
  <c r="Q32" i="45"/>
  <c r="P32" i="45"/>
  <c r="N32" i="45" l="1"/>
  <c r="M32" i="45"/>
  <c r="I32" i="45"/>
  <c r="AM32" i="45"/>
  <c r="AO31" i="45"/>
  <c r="AN31" i="45"/>
  <c r="AL31" i="45"/>
  <c r="AK31" i="45"/>
  <c r="AJ31" i="45"/>
  <c r="AI31" i="45"/>
  <c r="AH31" i="45"/>
  <c r="AG31" i="45"/>
  <c r="AE31" i="45"/>
  <c r="AD31" i="45"/>
  <c r="AC31" i="45"/>
  <c r="AB31" i="45"/>
  <c r="AA31" i="45"/>
  <c r="Y31" i="45"/>
  <c r="X31" i="45"/>
  <c r="W31" i="45"/>
  <c r="V31" i="45"/>
  <c r="U31" i="45"/>
  <c r="T31" i="45"/>
  <c r="S31" i="45"/>
  <c r="R31" i="45"/>
  <c r="Q31" i="45"/>
  <c r="P31" i="45"/>
  <c r="N31" i="45" l="1"/>
  <c r="M31" i="45"/>
  <c r="I31" i="45"/>
  <c r="AM31" i="45"/>
  <c r="AO30" i="45"/>
  <c r="AN30" i="45"/>
  <c r="AL30" i="45"/>
  <c r="AK30" i="45"/>
  <c r="AJ30" i="45"/>
  <c r="AI30" i="45"/>
  <c r="AH30" i="45"/>
  <c r="AG30" i="45"/>
  <c r="AE30" i="45"/>
  <c r="AD30" i="45"/>
  <c r="AC30" i="45"/>
  <c r="AB30" i="45"/>
  <c r="AA30" i="45"/>
  <c r="Y30" i="45"/>
  <c r="X30" i="45"/>
  <c r="W30" i="45"/>
  <c r="V30" i="45"/>
  <c r="U30" i="45"/>
  <c r="T30" i="45"/>
  <c r="S30" i="45"/>
  <c r="R30" i="45"/>
  <c r="Q30" i="45"/>
  <c r="P30" i="45"/>
  <c r="M30" i="45" l="1"/>
  <c r="N30" i="45" s="1"/>
  <c r="I30" i="45"/>
  <c r="AM30" i="45"/>
  <c r="AO29" i="45"/>
  <c r="AN29" i="45"/>
  <c r="AL29" i="45"/>
  <c r="AK29" i="45"/>
  <c r="AJ29" i="45"/>
  <c r="AI29" i="45"/>
  <c r="AH29" i="45"/>
  <c r="AG29" i="45"/>
  <c r="AE29" i="45"/>
  <c r="AD29" i="45"/>
  <c r="AC29" i="45"/>
  <c r="AB29" i="45"/>
  <c r="AA29" i="45"/>
  <c r="Y29" i="45"/>
  <c r="X29" i="45"/>
  <c r="W29" i="45"/>
  <c r="V29" i="45"/>
  <c r="U29" i="45"/>
  <c r="T29" i="45"/>
  <c r="S29" i="45"/>
  <c r="R29" i="45"/>
  <c r="Q29" i="45"/>
  <c r="P29" i="45"/>
  <c r="N29" i="45" l="1"/>
  <c r="M29" i="45"/>
  <c r="I29" i="45"/>
  <c r="AM29" i="45"/>
  <c r="AO28" i="45"/>
  <c r="AN28" i="45"/>
  <c r="AL28" i="45"/>
  <c r="AK28" i="45"/>
  <c r="AJ28" i="45"/>
  <c r="AI28" i="45"/>
  <c r="AH28" i="45"/>
  <c r="AG28" i="45"/>
  <c r="AE28" i="45"/>
  <c r="AD28" i="45"/>
  <c r="AC28" i="45"/>
  <c r="AB28" i="45"/>
  <c r="AA28" i="45"/>
  <c r="Y28" i="45"/>
  <c r="X28" i="45"/>
  <c r="W28" i="45"/>
  <c r="V28" i="45"/>
  <c r="U28" i="45"/>
  <c r="T28" i="45"/>
  <c r="S28" i="45"/>
  <c r="R28" i="45"/>
  <c r="Q28" i="45"/>
  <c r="P28" i="45"/>
  <c r="N28" i="45" l="1"/>
  <c r="M28" i="45"/>
  <c r="I28" i="45"/>
  <c r="AM28" i="45"/>
  <c r="AO27" i="45"/>
  <c r="AN27" i="45"/>
  <c r="AL27" i="45"/>
  <c r="AK27" i="45"/>
  <c r="AJ27" i="45"/>
  <c r="AI27" i="45"/>
  <c r="AH27" i="45"/>
  <c r="AG27" i="45"/>
  <c r="AE27" i="45"/>
  <c r="AD27" i="45"/>
  <c r="AC27" i="45"/>
  <c r="AB27" i="45"/>
  <c r="AA27" i="45"/>
  <c r="Y27" i="45"/>
  <c r="X27" i="45"/>
  <c r="W27" i="45"/>
  <c r="V27" i="45"/>
  <c r="U27" i="45"/>
  <c r="T27" i="45"/>
  <c r="S27" i="45"/>
  <c r="R27" i="45"/>
  <c r="Q27" i="45"/>
  <c r="P27" i="45"/>
  <c r="N27" i="45" l="1"/>
  <c r="M27" i="45"/>
  <c r="I27" i="45"/>
  <c r="AM27" i="45"/>
  <c r="AO26" i="45"/>
  <c r="AN26" i="45"/>
  <c r="AL26" i="45"/>
  <c r="AK26" i="45"/>
  <c r="AJ26" i="45"/>
  <c r="AI26" i="45"/>
  <c r="AH26" i="45"/>
  <c r="AG26" i="45"/>
  <c r="AE26" i="45"/>
  <c r="AD26" i="45"/>
  <c r="AC26" i="45"/>
  <c r="AB26" i="45"/>
  <c r="AA26" i="45"/>
  <c r="Y26" i="45"/>
  <c r="X26" i="45"/>
  <c r="W26" i="45"/>
  <c r="V26" i="45"/>
  <c r="U26" i="45"/>
  <c r="T26" i="45"/>
  <c r="S26" i="45"/>
  <c r="R26" i="45"/>
  <c r="Q26" i="45"/>
  <c r="P26" i="45"/>
  <c r="N26" i="45" l="1"/>
  <c r="M26" i="45"/>
  <c r="I26" i="45"/>
  <c r="AM26" i="45"/>
  <c r="AO25" i="45"/>
  <c r="AN25" i="45"/>
  <c r="AL25" i="45"/>
  <c r="AK25" i="45"/>
  <c r="AJ25" i="45"/>
  <c r="AI25" i="45"/>
  <c r="AH25" i="45"/>
  <c r="AG25" i="45"/>
  <c r="AE25" i="45"/>
  <c r="AD25" i="45"/>
  <c r="AC25" i="45"/>
  <c r="AB25" i="45"/>
  <c r="AA25" i="45"/>
  <c r="Y25" i="45"/>
  <c r="X25" i="45"/>
  <c r="W25" i="45"/>
  <c r="V25" i="45"/>
  <c r="U25" i="45"/>
  <c r="T25" i="45"/>
  <c r="S25" i="45"/>
  <c r="R25" i="45"/>
  <c r="Q25" i="45"/>
  <c r="P25" i="45"/>
  <c r="N25" i="45" l="1"/>
  <c r="M25" i="45"/>
  <c r="I25" i="45"/>
  <c r="AM25" i="45"/>
  <c r="AO24" i="45"/>
  <c r="AN24" i="45"/>
  <c r="AL24" i="45"/>
  <c r="AK24" i="45"/>
  <c r="AJ24" i="45"/>
  <c r="AI24" i="45"/>
  <c r="AH24" i="45"/>
  <c r="AG24" i="45"/>
  <c r="AE24" i="45"/>
  <c r="AD24" i="45"/>
  <c r="AC24" i="45"/>
  <c r="AB24" i="45"/>
  <c r="AA24" i="45"/>
  <c r="Y24" i="45"/>
  <c r="X24" i="45"/>
  <c r="W24" i="45"/>
  <c r="V24" i="45"/>
  <c r="U24" i="45"/>
  <c r="T24" i="45"/>
  <c r="S24" i="45"/>
  <c r="R24" i="45"/>
  <c r="Q24" i="45"/>
  <c r="P24" i="45"/>
  <c r="M24" i="45" l="1"/>
  <c r="N24" i="45" s="1"/>
  <c r="I24" i="45"/>
  <c r="AM24" i="45"/>
  <c r="AO23" i="45"/>
  <c r="AN23" i="45"/>
  <c r="AL23" i="45"/>
  <c r="AK23" i="45"/>
  <c r="AJ23" i="45"/>
  <c r="AI23" i="45"/>
  <c r="AH23" i="45"/>
  <c r="AG23" i="45"/>
  <c r="AE23" i="45"/>
  <c r="AD23" i="45"/>
  <c r="AC23" i="45"/>
  <c r="AB23" i="45"/>
  <c r="AA23" i="45"/>
  <c r="Y23" i="45"/>
  <c r="X23" i="45"/>
  <c r="W23" i="45"/>
  <c r="V23" i="45"/>
  <c r="U23" i="45"/>
  <c r="T23" i="45"/>
  <c r="S23" i="45"/>
  <c r="R23" i="45"/>
  <c r="Q23" i="45"/>
  <c r="P23" i="45"/>
  <c r="M23" i="45" l="1"/>
  <c r="N23" i="45" s="1"/>
  <c r="I23" i="45"/>
  <c r="AM23" i="45"/>
  <c r="AO22" i="45"/>
  <c r="AN22" i="45"/>
  <c r="AL22" i="45"/>
  <c r="AK22" i="45"/>
  <c r="AJ22" i="45"/>
  <c r="AI22" i="45"/>
  <c r="AH22" i="45"/>
  <c r="AG22" i="45"/>
  <c r="AE22" i="45"/>
  <c r="AD22" i="45"/>
  <c r="AC22" i="45"/>
  <c r="AB22" i="45"/>
  <c r="AA22" i="45"/>
  <c r="Y22" i="45"/>
  <c r="X22" i="45"/>
  <c r="W22" i="45"/>
  <c r="V22" i="45"/>
  <c r="U22" i="45"/>
  <c r="T22" i="45"/>
  <c r="S22" i="45"/>
  <c r="R22" i="45"/>
  <c r="Q22" i="45"/>
  <c r="P22" i="45"/>
  <c r="M22" i="45" l="1"/>
  <c r="N22" i="45" s="1"/>
  <c r="I22" i="45"/>
  <c r="AM22" i="45"/>
  <c r="AO21" i="45"/>
  <c r="AN21" i="45"/>
  <c r="AL21" i="45"/>
  <c r="AK21" i="45"/>
  <c r="AJ21" i="45"/>
  <c r="AI21" i="45"/>
  <c r="AH21" i="45"/>
  <c r="AG21" i="45"/>
  <c r="AE21" i="45"/>
  <c r="AD21" i="45"/>
  <c r="AC21" i="45"/>
  <c r="AB21" i="45"/>
  <c r="AA21" i="45"/>
  <c r="Y21" i="45"/>
  <c r="X21" i="45"/>
  <c r="W21" i="45"/>
  <c r="V21" i="45"/>
  <c r="U21" i="45"/>
  <c r="T21" i="45"/>
  <c r="S21" i="45"/>
  <c r="R21" i="45"/>
  <c r="Q21" i="45"/>
  <c r="P21" i="45"/>
  <c r="M21" i="45" l="1"/>
  <c r="N21" i="45" s="1"/>
  <c r="AM21" i="45"/>
  <c r="AO20" i="45"/>
  <c r="AN20" i="45"/>
  <c r="AL20" i="45"/>
  <c r="AK20" i="45"/>
  <c r="AJ20" i="45"/>
  <c r="AI20" i="45"/>
  <c r="AH20" i="45"/>
  <c r="AG20" i="45"/>
  <c r="AE20" i="45"/>
  <c r="AD20" i="45"/>
  <c r="AC20" i="45"/>
  <c r="AB20" i="45"/>
  <c r="AA20" i="45"/>
  <c r="Y20" i="45"/>
  <c r="X20" i="45"/>
  <c r="W20" i="45"/>
  <c r="V20" i="45"/>
  <c r="U20" i="45"/>
  <c r="T20" i="45"/>
  <c r="S20" i="45"/>
  <c r="R20" i="45"/>
  <c r="Q20" i="45"/>
  <c r="P20" i="45"/>
  <c r="I21" i="45" l="1"/>
  <c r="M20" i="45"/>
  <c r="N20" i="45" s="1"/>
  <c r="I20" i="45"/>
  <c r="AM20" i="45"/>
  <c r="AO19" i="45"/>
  <c r="AN19" i="45"/>
  <c r="AL19" i="45"/>
  <c r="AK19" i="45"/>
  <c r="AJ19" i="45"/>
  <c r="AI19" i="45"/>
  <c r="AH19" i="45"/>
  <c r="AG19" i="45"/>
  <c r="AE19" i="45"/>
  <c r="AD19" i="45"/>
  <c r="AC19" i="45"/>
  <c r="AB19" i="45"/>
  <c r="AA19" i="45"/>
  <c r="Y19" i="45"/>
  <c r="X19" i="45"/>
  <c r="W19" i="45"/>
  <c r="V19" i="45"/>
  <c r="U19" i="45"/>
  <c r="T19" i="45"/>
  <c r="S19" i="45"/>
  <c r="P19" i="45"/>
  <c r="M19" i="45" l="1"/>
  <c r="N19" i="45" s="1"/>
  <c r="AO18" i="45"/>
  <c r="AN18" i="45"/>
  <c r="AL18" i="45"/>
  <c r="AK18" i="45"/>
  <c r="AJ18" i="45"/>
  <c r="AI18" i="45"/>
  <c r="AH18" i="45"/>
  <c r="AG18" i="45"/>
  <c r="AE18" i="45"/>
  <c r="AD18" i="45"/>
  <c r="AC18" i="45"/>
  <c r="AB18" i="45"/>
  <c r="AA18" i="45"/>
  <c r="Y18" i="45"/>
  <c r="X18" i="45"/>
  <c r="W18" i="45"/>
  <c r="V18" i="45"/>
  <c r="U18" i="45"/>
  <c r="T18" i="45"/>
  <c r="S18" i="45"/>
  <c r="R18" i="45"/>
  <c r="Q18" i="45"/>
  <c r="P18" i="45"/>
  <c r="R19" i="45" l="1"/>
  <c r="AM19" i="45" s="1"/>
  <c r="Q19" i="45"/>
  <c r="I19" i="45"/>
  <c r="M18" i="45"/>
  <c r="N18" i="45" s="1"/>
  <c r="AM18" i="45"/>
  <c r="AO17" i="45"/>
  <c r="AN17" i="45"/>
  <c r="AL17" i="45"/>
  <c r="AK17" i="45"/>
  <c r="AJ17" i="45"/>
  <c r="AI17" i="45"/>
  <c r="AH17" i="45"/>
  <c r="AG17" i="45"/>
  <c r="AE17" i="45"/>
  <c r="AD17" i="45"/>
  <c r="AC17" i="45"/>
  <c r="AB17" i="45"/>
  <c r="AA17" i="45"/>
  <c r="Y17" i="45"/>
  <c r="X17" i="45"/>
  <c r="W17" i="45"/>
  <c r="V17" i="45"/>
  <c r="U17" i="45"/>
  <c r="T17" i="45"/>
  <c r="S17" i="45"/>
  <c r="R17" i="45"/>
  <c r="Q17" i="45"/>
  <c r="P17" i="45"/>
  <c r="I18" i="45" l="1"/>
  <c r="M17" i="45"/>
  <c r="N17" i="45" s="1"/>
  <c r="AM17" i="45"/>
  <c r="AO16" i="45"/>
  <c r="AN16" i="45"/>
  <c r="AL16" i="45"/>
  <c r="AK16" i="45"/>
  <c r="AJ16" i="45"/>
  <c r="AI16" i="45"/>
  <c r="AH16" i="45"/>
  <c r="AG16" i="45"/>
  <c r="AE16" i="45"/>
  <c r="AD16" i="45"/>
  <c r="AC16" i="45"/>
  <c r="AB16" i="45"/>
  <c r="AA16" i="45"/>
  <c r="Y16" i="45"/>
  <c r="X16" i="45"/>
  <c r="W16" i="45"/>
  <c r="V16" i="45"/>
  <c r="U16" i="45"/>
  <c r="T16" i="45"/>
  <c r="S16" i="45"/>
  <c r="R16" i="45"/>
  <c r="Q16" i="45"/>
  <c r="P16" i="45"/>
  <c r="I17" i="45" l="1"/>
  <c r="M16" i="45"/>
  <c r="N16" i="45" s="1"/>
  <c r="AM16" i="45"/>
  <c r="AO15" i="45"/>
  <c r="AN15" i="45"/>
  <c r="AL15" i="45"/>
  <c r="AK15" i="45"/>
  <c r="AJ15" i="45"/>
  <c r="AI15" i="45"/>
  <c r="AH15" i="45"/>
  <c r="AG15" i="45"/>
  <c r="AE15" i="45"/>
  <c r="AD15" i="45"/>
  <c r="AC15" i="45"/>
  <c r="AB15" i="45"/>
  <c r="AA15" i="45"/>
  <c r="Y15" i="45"/>
  <c r="X15" i="45"/>
  <c r="W15" i="45"/>
  <c r="V15" i="45"/>
  <c r="U15" i="45"/>
  <c r="T15" i="45"/>
  <c r="S15" i="45"/>
  <c r="R15" i="45"/>
  <c r="Q15" i="45"/>
  <c r="P15" i="45"/>
  <c r="I16" i="45" l="1"/>
  <c r="M15" i="45"/>
  <c r="N15" i="45" s="1"/>
  <c r="I15" i="45"/>
  <c r="AM15" i="45"/>
  <c r="AO14" i="45"/>
  <c r="AN14" i="45"/>
  <c r="AL14" i="45"/>
  <c r="AK14" i="45"/>
  <c r="AJ14" i="45"/>
  <c r="AI14" i="45"/>
  <c r="AH14" i="45"/>
  <c r="AG14" i="45"/>
  <c r="AE14" i="45"/>
  <c r="AD14" i="45"/>
  <c r="AC14" i="45"/>
  <c r="AB14" i="45"/>
  <c r="AA14" i="45"/>
  <c r="Y14" i="45"/>
  <c r="X14" i="45"/>
  <c r="W14" i="45"/>
  <c r="V14" i="45"/>
  <c r="U14" i="45"/>
  <c r="T14" i="45"/>
  <c r="S14" i="45"/>
  <c r="R14" i="45"/>
  <c r="Q14" i="45"/>
  <c r="P14" i="45"/>
  <c r="M14" i="45" l="1"/>
  <c r="N14" i="45" s="1"/>
  <c r="I14" i="45"/>
  <c r="AO13" i="45"/>
  <c r="AN13" i="45"/>
  <c r="AL13" i="45"/>
  <c r="AK13" i="45"/>
  <c r="AJ13" i="45"/>
  <c r="AI13" i="45"/>
  <c r="AH13" i="45"/>
  <c r="AG13" i="45"/>
  <c r="AE13" i="45"/>
  <c r="AD13" i="45"/>
  <c r="AC13" i="45"/>
  <c r="AB13" i="45"/>
  <c r="AA13" i="45"/>
  <c r="Y13" i="45"/>
  <c r="X13" i="45"/>
  <c r="W13" i="45"/>
  <c r="V13" i="45"/>
  <c r="U13" i="45"/>
  <c r="T13" i="45"/>
  <c r="S13" i="45"/>
  <c r="R13" i="45"/>
  <c r="Q13" i="45"/>
  <c r="P13" i="45"/>
  <c r="M13" i="45"/>
  <c r="N13" i="45" s="1"/>
  <c r="I13" i="45"/>
  <c r="AO12" i="45"/>
  <c r="AN12" i="45"/>
  <c r="AL12" i="45"/>
  <c r="AK12" i="45"/>
  <c r="AJ12" i="45"/>
  <c r="AI12" i="45"/>
  <c r="AH12" i="45"/>
  <c r="AG12" i="45"/>
  <c r="AE12" i="45"/>
  <c r="AD12" i="45"/>
  <c r="AC12" i="45"/>
  <c r="AB12" i="45"/>
  <c r="AA12" i="45"/>
  <c r="Y12" i="45"/>
  <c r="X12" i="45"/>
  <c r="W12" i="45"/>
  <c r="V12" i="45"/>
  <c r="U12" i="45"/>
  <c r="T12" i="45"/>
  <c r="S12" i="45"/>
  <c r="R12" i="45"/>
  <c r="Q12" i="45"/>
  <c r="P12" i="45"/>
  <c r="M12" i="45"/>
  <c r="N12" i="45" s="1"/>
  <c r="I12" i="45"/>
  <c r="AO11" i="45"/>
  <c r="AN11" i="45"/>
  <c r="AL11" i="45"/>
  <c r="AK11" i="45"/>
  <c r="AJ11" i="45"/>
  <c r="AI11" i="45"/>
  <c r="AH11" i="45"/>
  <c r="AG11" i="45"/>
  <c r="AE11" i="45"/>
  <c r="AD11" i="45"/>
  <c r="AC11" i="45"/>
  <c r="AB11" i="45"/>
  <c r="AA11" i="45"/>
  <c r="Y11" i="45"/>
  <c r="X11" i="45"/>
  <c r="W11" i="45"/>
  <c r="V11" i="45"/>
  <c r="U11" i="45"/>
  <c r="T11" i="45"/>
  <c r="S11" i="45"/>
  <c r="R11" i="45"/>
  <c r="Q11" i="45"/>
  <c r="P11" i="45"/>
  <c r="M11" i="45"/>
  <c r="N11" i="45" s="1"/>
  <c r="I11" i="45"/>
  <c r="AO10" i="45"/>
  <c r="AN10" i="45"/>
  <c r="AL10" i="45"/>
  <c r="AK10" i="45"/>
  <c r="AJ10" i="45"/>
  <c r="AI10" i="45"/>
  <c r="AH10" i="45"/>
  <c r="AG10" i="45"/>
  <c r="AE10" i="45"/>
  <c r="AD10" i="45"/>
  <c r="AC10" i="45"/>
  <c r="AB10" i="45"/>
  <c r="AA10" i="45"/>
  <c r="Y10" i="45"/>
  <c r="X10" i="45"/>
  <c r="W10" i="45"/>
  <c r="V10" i="45"/>
  <c r="U10" i="45"/>
  <c r="T10" i="45"/>
  <c r="S10" i="45"/>
  <c r="R10" i="45"/>
  <c r="Q10" i="45"/>
  <c r="P10" i="45"/>
  <c r="M10" i="45"/>
  <c r="N10" i="45" s="1"/>
  <c r="I10" i="45"/>
  <c r="AO9" i="45"/>
  <c r="AN9" i="45"/>
  <c r="AL9" i="45"/>
  <c r="AK9" i="45"/>
  <c r="AJ9" i="45"/>
  <c r="AI9" i="45"/>
  <c r="AH9" i="45"/>
  <c r="AG9" i="45"/>
  <c r="AE9" i="45"/>
  <c r="AD9" i="45"/>
  <c r="AC9" i="45"/>
  <c r="AB9" i="45"/>
  <c r="AA9" i="45"/>
  <c r="Y9" i="45"/>
  <c r="X9" i="45"/>
  <c r="W9" i="45"/>
  <c r="V9" i="45"/>
  <c r="U9" i="45"/>
  <c r="T9" i="45"/>
  <c r="S9" i="45"/>
  <c r="R9" i="45"/>
  <c r="Q9" i="45"/>
  <c r="P9" i="45"/>
  <c r="M9" i="45"/>
  <c r="N9" i="45" s="1"/>
  <c r="I9" i="45"/>
  <c r="AO8" i="45"/>
  <c r="AN8" i="45"/>
  <c r="AL8" i="45"/>
  <c r="AK8" i="45"/>
  <c r="AJ8" i="45"/>
  <c r="AI8" i="45"/>
  <c r="AH8" i="45"/>
  <c r="AG8" i="45"/>
  <c r="AE8" i="45"/>
  <c r="AD8" i="45"/>
  <c r="AC8" i="45"/>
  <c r="AB8" i="45"/>
  <c r="AA8" i="45"/>
  <c r="Y8" i="45"/>
  <c r="X8" i="45"/>
  <c r="W8" i="45"/>
  <c r="V8" i="45"/>
  <c r="U8" i="45"/>
  <c r="T8" i="45"/>
  <c r="S8" i="45"/>
  <c r="R8" i="45"/>
  <c r="Q8" i="45"/>
  <c r="P8" i="45"/>
  <c r="M8" i="45"/>
  <c r="I8" i="45"/>
  <c r="AO7" i="45"/>
  <c r="AN7" i="45"/>
  <c r="AL7" i="45"/>
  <c r="AK7" i="45"/>
  <c r="AJ7" i="45"/>
  <c r="AI7" i="45"/>
  <c r="AH7" i="45"/>
  <c r="AG7" i="45"/>
  <c r="AE7" i="45"/>
  <c r="AD7" i="45"/>
  <c r="AC7" i="45"/>
  <c r="AB7" i="45"/>
  <c r="AA7" i="45"/>
  <c r="Y7" i="45"/>
  <c r="X7" i="45"/>
  <c r="W7" i="45"/>
  <c r="V7" i="45"/>
  <c r="U7" i="45"/>
  <c r="T7" i="45"/>
  <c r="S7" i="45"/>
  <c r="R7" i="45"/>
  <c r="Q7" i="45"/>
  <c r="P7" i="45"/>
  <c r="M7" i="45"/>
  <c r="N7" i="45" s="1"/>
  <c r="I7" i="45"/>
  <c r="AO6" i="45"/>
  <c r="AN6" i="45"/>
  <c r="AL6" i="45"/>
  <c r="AK6" i="45"/>
  <c r="AJ6" i="45"/>
  <c r="AI6" i="45"/>
  <c r="AH6" i="45"/>
  <c r="AG6" i="45"/>
  <c r="AE6" i="45"/>
  <c r="AD6" i="45"/>
  <c r="AC6" i="45"/>
  <c r="AB6" i="45"/>
  <c r="AA6" i="45"/>
  <c r="Y6" i="45"/>
  <c r="X6" i="45"/>
  <c r="W6" i="45"/>
  <c r="V6" i="45"/>
  <c r="U6" i="45"/>
  <c r="T6" i="45"/>
  <c r="S6" i="45"/>
  <c r="O5" i="45"/>
  <c r="H34" i="44"/>
  <c r="H35" i="44"/>
  <c r="H36" i="44"/>
  <c r="H37" i="44"/>
  <c r="M34" i="44"/>
  <c r="M35" i="44"/>
  <c r="M36" i="44"/>
  <c r="J7" i="45"/>
  <c r="J23" i="45"/>
  <c r="J24" i="45"/>
  <c r="J25" i="45"/>
  <c r="J26" i="45"/>
  <c r="J27" i="45"/>
  <c r="J28" i="45"/>
  <c r="J29" i="45"/>
  <c r="J30" i="45"/>
  <c r="J31" i="45"/>
  <c r="J32" i="45"/>
  <c r="J33" i="45"/>
  <c r="J34" i="45"/>
  <c r="J35" i="45"/>
  <c r="J36" i="45"/>
  <c r="O23" i="45"/>
  <c r="O24" i="45"/>
  <c r="O25" i="45"/>
  <c r="O26" i="45"/>
  <c r="O27" i="45"/>
  <c r="O28" i="45"/>
  <c r="O29" i="45"/>
  <c r="O30" i="45"/>
  <c r="O31" i="45"/>
  <c r="O32" i="45"/>
  <c r="O33" i="45"/>
  <c r="O34" i="45"/>
  <c r="O35" i="45"/>
  <c r="O36" i="45"/>
  <c r="R69" i="45"/>
  <c r="AA69" i="45"/>
  <c r="J22" i="45"/>
  <c r="AE74" i="45"/>
  <c r="O17" i="45"/>
  <c r="M74" i="45"/>
  <c r="O19" i="45"/>
  <c r="Y74" i="45"/>
  <c r="J19" i="45"/>
  <c r="Y69" i="45"/>
  <c r="O15" i="45"/>
  <c r="J20" i="45"/>
  <c r="V74" i="45"/>
  <c r="AL74" i="45"/>
  <c r="AD69" i="45"/>
  <c r="J11" i="45"/>
  <c r="O20" i="45"/>
  <c r="O16" i="45"/>
  <c r="AL69" i="45"/>
  <c r="O14" i="45"/>
  <c r="AD74" i="45"/>
  <c r="J21" i="45"/>
  <c r="J10" i="45"/>
  <c r="AB69" i="45"/>
  <c r="O21" i="45"/>
  <c r="J15" i="45"/>
  <c r="J8" i="45"/>
  <c r="U69" i="45"/>
  <c r="X74" i="45"/>
  <c r="J14" i="45"/>
  <c r="AG69" i="45"/>
  <c r="AI69" i="45"/>
  <c r="O18" i="45"/>
  <c r="AC69" i="45"/>
  <c r="AI74" i="45"/>
  <c r="U74" i="45"/>
  <c r="V69" i="45"/>
  <c r="J17" i="45"/>
  <c r="AK69" i="45"/>
  <c r="J9" i="45"/>
  <c r="AJ74" i="45"/>
  <c r="W69" i="45"/>
  <c r="AJ69" i="45"/>
  <c r="AB74" i="45"/>
  <c r="J16" i="45"/>
  <c r="O22" i="45"/>
  <c r="AK74" i="45"/>
  <c r="M69" i="45"/>
  <c r="R74" i="45"/>
  <c r="AE69" i="45"/>
  <c r="J13" i="45"/>
  <c r="W74" i="45"/>
  <c r="AH74" i="45"/>
  <c r="AH69" i="45"/>
  <c r="X69" i="45"/>
  <c r="J18" i="45"/>
  <c r="H74" i="45"/>
  <c r="AG74" i="45"/>
  <c r="AC74" i="45"/>
  <c r="AA74" i="45"/>
  <c r="J12" i="45"/>
  <c r="N69" i="45" l="1"/>
  <c r="N8" i="45"/>
  <c r="AM7" i="45"/>
  <c r="AM8" i="45"/>
  <c r="AM9" i="45"/>
  <c r="AM10" i="45"/>
  <c r="AM11" i="45"/>
  <c r="AM12" i="45"/>
  <c r="AM13" i="45"/>
  <c r="N74" i="45"/>
  <c r="I74" i="45"/>
  <c r="O59" i="45"/>
  <c r="O58" i="45"/>
  <c r="O57" i="45"/>
  <c r="O56" i="45"/>
  <c r="O55" i="45"/>
  <c r="O54" i="45"/>
  <c r="O53" i="45"/>
  <c r="O52" i="45"/>
  <c r="O51" i="45"/>
  <c r="O50" i="45"/>
  <c r="O49" i="45"/>
  <c r="O48" i="45"/>
  <c r="O47" i="45"/>
  <c r="O46" i="45"/>
  <c r="O45" i="45"/>
  <c r="O44" i="45"/>
  <c r="O43" i="45"/>
  <c r="O42" i="45"/>
  <c r="O41" i="45"/>
  <c r="O40" i="45"/>
  <c r="O39" i="45"/>
  <c r="O38" i="45"/>
  <c r="O37" i="45"/>
  <c r="AM14" i="45"/>
  <c r="S74" i="44"/>
  <c r="S72" i="44"/>
  <c r="C72" i="44"/>
  <c r="B72" i="44"/>
  <c r="U71" i="44"/>
  <c r="T71" i="44"/>
  <c r="O7" i="45"/>
  <c r="O12" i="45"/>
  <c r="E71" i="44"/>
  <c r="O13" i="45"/>
  <c r="O9" i="45"/>
  <c r="O11" i="45"/>
  <c r="Z74" i="44"/>
  <c r="O8" i="45"/>
  <c r="O10" i="45"/>
  <c r="K71" i="44"/>
  <c r="S69" i="44" l="1"/>
  <c r="S67" i="44"/>
  <c r="C67" i="44"/>
  <c r="B67" i="44"/>
  <c r="U66" i="44"/>
  <c r="T66" i="44"/>
  <c r="S64" i="44"/>
  <c r="S62" i="44"/>
  <c r="C62" i="44"/>
  <c r="B62" i="44"/>
  <c r="U61" i="44"/>
  <c r="T61" i="44"/>
  <c r="AO59" i="44"/>
  <c r="AN59" i="44"/>
  <c r="AL59" i="44"/>
  <c r="AK59" i="44"/>
  <c r="AJ59" i="44"/>
  <c r="AI59" i="44"/>
  <c r="AH59" i="44"/>
  <c r="AG59" i="44"/>
  <c r="AE59" i="44"/>
  <c r="AD59" i="44"/>
  <c r="AC59" i="44"/>
  <c r="AB59" i="44"/>
  <c r="AA59" i="44"/>
  <c r="Y59" i="44"/>
  <c r="X59" i="44"/>
  <c r="W59" i="44"/>
  <c r="V59" i="44"/>
  <c r="U59" i="44"/>
  <c r="T59" i="44"/>
  <c r="S59" i="44"/>
  <c r="R59" i="44"/>
  <c r="Q59" i="44"/>
  <c r="P59" i="44"/>
  <c r="N59" i="44"/>
  <c r="M59" i="44"/>
  <c r="J59" i="44"/>
  <c r="I59" i="44"/>
  <c r="H59" i="44"/>
  <c r="AO58" i="44"/>
  <c r="AN58" i="44"/>
  <c r="AL58" i="44"/>
  <c r="AK58" i="44"/>
  <c r="AJ58" i="44"/>
  <c r="AI58" i="44"/>
  <c r="AH58" i="44"/>
  <c r="AG58" i="44"/>
  <c r="AE58" i="44"/>
  <c r="AD58" i="44"/>
  <c r="AC58" i="44"/>
  <c r="AB58" i="44"/>
  <c r="AA58" i="44"/>
  <c r="Y58" i="44"/>
  <c r="X58" i="44"/>
  <c r="W58" i="44"/>
  <c r="V58" i="44"/>
  <c r="U58" i="44"/>
  <c r="T58" i="44"/>
  <c r="S58" i="44"/>
  <c r="R58" i="44"/>
  <c r="Q58" i="44"/>
  <c r="P58" i="44"/>
  <c r="N58" i="44"/>
  <c r="M58" i="44"/>
  <c r="J58" i="44"/>
  <c r="I58" i="44"/>
  <c r="H58" i="44"/>
  <c r="AO57" i="44"/>
  <c r="AN57" i="44"/>
  <c r="AL57" i="44"/>
  <c r="AK57" i="44"/>
  <c r="AJ57" i="44"/>
  <c r="AI57" i="44"/>
  <c r="AH57" i="44"/>
  <c r="AG57" i="44"/>
  <c r="AE57" i="44"/>
  <c r="AD57" i="44"/>
  <c r="AC57" i="44"/>
  <c r="AB57" i="44"/>
  <c r="AA57" i="44"/>
  <c r="Y57" i="44"/>
  <c r="X57" i="44"/>
  <c r="W57" i="44"/>
  <c r="V57" i="44"/>
  <c r="U57" i="44"/>
  <c r="T57" i="44"/>
  <c r="S57" i="44"/>
  <c r="R57" i="44"/>
  <c r="AM57" i="44" s="1"/>
  <c r="Q57" i="44"/>
  <c r="P57" i="44"/>
  <c r="N57" i="44"/>
  <c r="M57" i="44"/>
  <c r="J57" i="44"/>
  <c r="I57" i="44"/>
  <c r="H57" i="44"/>
  <c r="AO56" i="44"/>
  <c r="AN56" i="44"/>
  <c r="AL56" i="44"/>
  <c r="AK56" i="44"/>
  <c r="AJ56" i="44"/>
  <c r="AI56" i="44"/>
  <c r="AH56" i="44"/>
  <c r="AG56" i="44"/>
  <c r="AE56" i="44"/>
  <c r="AD56" i="44"/>
  <c r="AC56" i="44"/>
  <c r="AB56" i="44"/>
  <c r="AA56" i="44"/>
  <c r="Y56" i="44"/>
  <c r="X56" i="44"/>
  <c r="W56" i="44"/>
  <c r="V56" i="44"/>
  <c r="U56" i="44"/>
  <c r="T56" i="44"/>
  <c r="S56" i="44"/>
  <c r="R56" i="44"/>
  <c r="Q56" i="44"/>
  <c r="P56" i="44"/>
  <c r="N56" i="44"/>
  <c r="M56" i="44"/>
  <c r="J56" i="44"/>
  <c r="I56" i="44"/>
  <c r="H56" i="44"/>
  <c r="AO55" i="44"/>
  <c r="AN55" i="44"/>
  <c r="AL55" i="44"/>
  <c r="AK55" i="44"/>
  <c r="AJ55" i="44"/>
  <c r="AI55" i="44"/>
  <c r="AH55" i="44"/>
  <c r="AG55" i="44"/>
  <c r="AE55" i="44"/>
  <c r="AD55" i="44"/>
  <c r="AC55" i="44"/>
  <c r="AB55" i="44"/>
  <c r="AA55" i="44"/>
  <c r="Y55" i="44"/>
  <c r="X55" i="44"/>
  <c r="W55" i="44"/>
  <c r="V55" i="44"/>
  <c r="U55" i="44"/>
  <c r="T55" i="44"/>
  <c r="S55" i="44"/>
  <c r="R55" i="44"/>
  <c r="AM55" i="44" s="1"/>
  <c r="Q55" i="44"/>
  <c r="P55" i="44"/>
  <c r="N55" i="44"/>
  <c r="M55" i="44"/>
  <c r="J55" i="44"/>
  <c r="I55" i="44"/>
  <c r="H55" i="44"/>
  <c r="AO54" i="44"/>
  <c r="AN54" i="44"/>
  <c r="AL54" i="44"/>
  <c r="AK54" i="44"/>
  <c r="AJ54" i="44"/>
  <c r="AI54" i="44"/>
  <c r="AH54" i="44"/>
  <c r="AG54" i="44"/>
  <c r="AE54" i="44"/>
  <c r="AD54" i="44"/>
  <c r="AC54" i="44"/>
  <c r="AB54" i="44"/>
  <c r="AA54" i="44"/>
  <c r="Y54" i="44"/>
  <c r="X54" i="44"/>
  <c r="W54" i="44"/>
  <c r="V54" i="44"/>
  <c r="U54" i="44"/>
  <c r="T54" i="44"/>
  <c r="S54" i="44"/>
  <c r="R54" i="44"/>
  <c r="Q54" i="44"/>
  <c r="P54" i="44"/>
  <c r="N54" i="44"/>
  <c r="M54" i="44"/>
  <c r="J54" i="44"/>
  <c r="I54" i="44"/>
  <c r="H54" i="44"/>
  <c r="AO53" i="44"/>
  <c r="AN53" i="44"/>
  <c r="AL53" i="44"/>
  <c r="AK53" i="44"/>
  <c r="AJ53" i="44"/>
  <c r="AI53" i="44"/>
  <c r="AH53" i="44"/>
  <c r="AG53" i="44"/>
  <c r="AE53" i="44"/>
  <c r="AD53" i="44"/>
  <c r="AC53" i="44"/>
  <c r="AB53" i="44"/>
  <c r="AA53" i="44"/>
  <c r="Y53" i="44"/>
  <c r="X53" i="44"/>
  <c r="W53" i="44"/>
  <c r="V53" i="44"/>
  <c r="U53" i="44"/>
  <c r="T53" i="44"/>
  <c r="S53" i="44"/>
  <c r="R53" i="44"/>
  <c r="AM53" i="44" s="1"/>
  <c r="Q53" i="44"/>
  <c r="P53" i="44"/>
  <c r="N53" i="44"/>
  <c r="M53" i="44"/>
  <c r="J53" i="44"/>
  <c r="I53" i="44"/>
  <c r="H53" i="44"/>
  <c r="AO52" i="44"/>
  <c r="AN52" i="44"/>
  <c r="AL52" i="44"/>
  <c r="AK52" i="44"/>
  <c r="AJ52" i="44"/>
  <c r="AI52" i="44"/>
  <c r="AH52" i="44"/>
  <c r="AG52" i="44"/>
  <c r="AE52" i="44"/>
  <c r="AD52" i="44"/>
  <c r="AC52" i="44"/>
  <c r="AB52" i="44"/>
  <c r="AA52" i="44"/>
  <c r="Y52" i="44"/>
  <c r="X52" i="44"/>
  <c r="W52" i="44"/>
  <c r="V52" i="44"/>
  <c r="U52" i="44"/>
  <c r="T52" i="44"/>
  <c r="S52" i="44"/>
  <c r="R52" i="44"/>
  <c r="Q52" i="44"/>
  <c r="P52" i="44"/>
  <c r="N52" i="44"/>
  <c r="M52" i="44"/>
  <c r="J52" i="44"/>
  <c r="I52" i="44"/>
  <c r="H52" i="44"/>
  <c r="AO51" i="44"/>
  <c r="AN51" i="44"/>
  <c r="AL51" i="44"/>
  <c r="AK51" i="44"/>
  <c r="AJ51" i="44"/>
  <c r="AI51" i="44"/>
  <c r="AH51" i="44"/>
  <c r="AG51" i="44"/>
  <c r="AE51" i="44"/>
  <c r="AD51" i="44"/>
  <c r="AC51" i="44"/>
  <c r="AB51" i="44"/>
  <c r="AA51" i="44"/>
  <c r="Y51" i="44"/>
  <c r="X51" i="44"/>
  <c r="W51" i="44"/>
  <c r="V51" i="44"/>
  <c r="U51" i="44"/>
  <c r="T51" i="44"/>
  <c r="S51" i="44"/>
  <c r="R51" i="44"/>
  <c r="AM51" i="44" s="1"/>
  <c r="Q51" i="44"/>
  <c r="P51" i="44"/>
  <c r="N51" i="44"/>
  <c r="M51" i="44"/>
  <c r="J51" i="44"/>
  <c r="I51" i="44"/>
  <c r="H51" i="44"/>
  <c r="AO50" i="44"/>
  <c r="AN50" i="44"/>
  <c r="AL50" i="44"/>
  <c r="AK50" i="44"/>
  <c r="AJ50" i="44"/>
  <c r="AI50" i="44"/>
  <c r="AH50" i="44"/>
  <c r="AG50" i="44"/>
  <c r="AE50" i="44"/>
  <c r="AD50" i="44"/>
  <c r="AC50" i="44"/>
  <c r="AB50" i="44"/>
  <c r="AA50" i="44"/>
  <c r="Y50" i="44"/>
  <c r="X50" i="44"/>
  <c r="W50" i="44"/>
  <c r="V50" i="44"/>
  <c r="U50" i="44"/>
  <c r="T50" i="44"/>
  <c r="S50" i="44"/>
  <c r="R50" i="44"/>
  <c r="Q50" i="44"/>
  <c r="P50" i="44"/>
  <c r="N50" i="44"/>
  <c r="M50" i="44"/>
  <c r="J50" i="44"/>
  <c r="I50" i="44"/>
  <c r="H50" i="44"/>
  <c r="AO49" i="44"/>
  <c r="AN49" i="44"/>
  <c r="AL49" i="44"/>
  <c r="AK49" i="44"/>
  <c r="AJ49" i="44"/>
  <c r="AI49" i="44"/>
  <c r="AH49" i="44"/>
  <c r="AG49" i="44"/>
  <c r="AE49" i="44"/>
  <c r="AD49" i="44"/>
  <c r="AC49" i="44"/>
  <c r="AB49" i="44"/>
  <c r="AA49" i="44"/>
  <c r="Y49" i="44"/>
  <c r="X49" i="44"/>
  <c r="W49" i="44"/>
  <c r="V49" i="44"/>
  <c r="U49" i="44"/>
  <c r="T49" i="44"/>
  <c r="S49" i="44"/>
  <c r="R49" i="44"/>
  <c r="AM49" i="44" s="1"/>
  <c r="Q49" i="44"/>
  <c r="P49" i="44"/>
  <c r="N49" i="44"/>
  <c r="M49" i="44"/>
  <c r="J49" i="44"/>
  <c r="I49" i="44"/>
  <c r="H49" i="44"/>
  <c r="AO48" i="44"/>
  <c r="AN48" i="44"/>
  <c r="AL48" i="44"/>
  <c r="AK48" i="44"/>
  <c r="AJ48" i="44"/>
  <c r="AI48" i="44"/>
  <c r="AH48" i="44"/>
  <c r="AG48" i="44"/>
  <c r="AE48" i="44"/>
  <c r="AD48" i="44"/>
  <c r="AC48" i="44"/>
  <c r="AB48" i="44"/>
  <c r="AA48" i="44"/>
  <c r="Y48" i="44"/>
  <c r="X48" i="44"/>
  <c r="W48" i="44"/>
  <c r="V48" i="44"/>
  <c r="U48" i="44"/>
  <c r="T48" i="44"/>
  <c r="S48" i="44"/>
  <c r="R48" i="44"/>
  <c r="Q48" i="44"/>
  <c r="P48" i="44"/>
  <c r="N48" i="44"/>
  <c r="M48" i="44"/>
  <c r="J48" i="44"/>
  <c r="I48" i="44"/>
  <c r="H48" i="44"/>
  <c r="AO47" i="44"/>
  <c r="AN47" i="44"/>
  <c r="AL47" i="44"/>
  <c r="AK47" i="44"/>
  <c r="AJ47" i="44"/>
  <c r="AI47" i="44"/>
  <c r="AH47" i="44"/>
  <c r="AG47" i="44"/>
  <c r="AE47" i="44"/>
  <c r="AD47" i="44"/>
  <c r="AC47" i="44"/>
  <c r="AB47" i="44"/>
  <c r="AA47" i="44"/>
  <c r="Y47" i="44"/>
  <c r="X47" i="44"/>
  <c r="W47" i="44"/>
  <c r="V47" i="44"/>
  <c r="U47" i="44"/>
  <c r="T47" i="44"/>
  <c r="S47" i="44"/>
  <c r="R47" i="44"/>
  <c r="AM47" i="44" s="1"/>
  <c r="Q47" i="44"/>
  <c r="P47" i="44"/>
  <c r="N47" i="44"/>
  <c r="M47" i="44"/>
  <c r="J47" i="44"/>
  <c r="I47" i="44"/>
  <c r="H47" i="44"/>
  <c r="AO46" i="44"/>
  <c r="AN46" i="44"/>
  <c r="AL46" i="44"/>
  <c r="AK46" i="44"/>
  <c r="AJ46" i="44"/>
  <c r="AI46" i="44"/>
  <c r="AH46" i="44"/>
  <c r="AG46" i="44"/>
  <c r="AE46" i="44"/>
  <c r="AD46" i="44"/>
  <c r="AC46" i="44"/>
  <c r="AB46" i="44"/>
  <c r="AA46" i="44"/>
  <c r="Y46" i="44"/>
  <c r="X46" i="44"/>
  <c r="W46" i="44"/>
  <c r="V46" i="44"/>
  <c r="U46" i="44"/>
  <c r="T46" i="44"/>
  <c r="S46" i="44"/>
  <c r="R46" i="44"/>
  <c r="Q46" i="44"/>
  <c r="P46" i="44"/>
  <c r="N46" i="44"/>
  <c r="M46" i="44"/>
  <c r="J46" i="44"/>
  <c r="I46" i="44"/>
  <c r="H46" i="44"/>
  <c r="AO45" i="44"/>
  <c r="AN45" i="44"/>
  <c r="AL45" i="44"/>
  <c r="AK45" i="44"/>
  <c r="AJ45" i="44"/>
  <c r="AI45" i="44"/>
  <c r="AH45" i="44"/>
  <c r="AG45" i="44"/>
  <c r="AE45" i="44"/>
  <c r="AD45" i="44"/>
  <c r="AC45" i="44"/>
  <c r="AB45" i="44"/>
  <c r="AA45" i="44"/>
  <c r="Y45" i="44"/>
  <c r="X45" i="44"/>
  <c r="W45" i="44"/>
  <c r="V45" i="44"/>
  <c r="U45" i="44"/>
  <c r="T45" i="44"/>
  <c r="S45" i="44"/>
  <c r="R45" i="44"/>
  <c r="AM45" i="44" s="1"/>
  <c r="Q45" i="44"/>
  <c r="P45" i="44"/>
  <c r="N45" i="44"/>
  <c r="M45" i="44"/>
  <c r="J45" i="44"/>
  <c r="I45" i="44"/>
  <c r="H45" i="44"/>
  <c r="AO44" i="44"/>
  <c r="AN44" i="44"/>
  <c r="AL44" i="44"/>
  <c r="AK44" i="44"/>
  <c r="AJ44" i="44"/>
  <c r="AI44" i="44"/>
  <c r="AH44" i="44"/>
  <c r="AG44" i="44"/>
  <c r="AE44" i="44"/>
  <c r="AD44" i="44"/>
  <c r="AC44" i="44"/>
  <c r="AB44" i="44"/>
  <c r="AA44" i="44"/>
  <c r="Y44" i="44"/>
  <c r="X44" i="44"/>
  <c r="W44" i="44"/>
  <c r="V44" i="44"/>
  <c r="U44" i="44"/>
  <c r="T44" i="44"/>
  <c r="S44" i="44"/>
  <c r="R44" i="44"/>
  <c r="Q44" i="44"/>
  <c r="P44" i="44"/>
  <c r="N44" i="44"/>
  <c r="M44" i="44"/>
  <c r="J44" i="44"/>
  <c r="I44" i="44"/>
  <c r="H44" i="44"/>
  <c r="AO43" i="44"/>
  <c r="AN43" i="44"/>
  <c r="AL43" i="44"/>
  <c r="AK43" i="44"/>
  <c r="AJ43" i="44"/>
  <c r="AI43" i="44"/>
  <c r="AH43" i="44"/>
  <c r="AG43" i="44"/>
  <c r="AE43" i="44"/>
  <c r="AD43" i="44"/>
  <c r="AC43" i="44"/>
  <c r="AB43" i="44"/>
  <c r="AA43" i="44"/>
  <c r="Y43" i="44"/>
  <c r="X43" i="44"/>
  <c r="W43" i="44"/>
  <c r="V43" i="44"/>
  <c r="U43" i="44"/>
  <c r="T43" i="44"/>
  <c r="S43" i="44"/>
  <c r="R43" i="44"/>
  <c r="AM43" i="44" s="1"/>
  <c r="Q43" i="44"/>
  <c r="P43" i="44"/>
  <c r="N43" i="44"/>
  <c r="M43" i="44"/>
  <c r="J43" i="44"/>
  <c r="I43" i="44"/>
  <c r="H43" i="44"/>
  <c r="AO42" i="44"/>
  <c r="AN42" i="44"/>
  <c r="AL42" i="44"/>
  <c r="AK42" i="44"/>
  <c r="AJ42" i="44"/>
  <c r="AI42" i="44"/>
  <c r="AH42" i="44"/>
  <c r="AG42" i="44"/>
  <c r="AE42" i="44"/>
  <c r="AD42" i="44"/>
  <c r="AC42" i="44"/>
  <c r="AB42" i="44"/>
  <c r="AA42" i="44"/>
  <c r="Y42" i="44"/>
  <c r="X42" i="44"/>
  <c r="W42" i="44"/>
  <c r="V42" i="44"/>
  <c r="U42" i="44"/>
  <c r="T42" i="44"/>
  <c r="S42" i="44"/>
  <c r="R42" i="44"/>
  <c r="Q42" i="44"/>
  <c r="P42" i="44"/>
  <c r="N42" i="44"/>
  <c r="M42" i="44"/>
  <c r="J42" i="44"/>
  <c r="I42" i="44"/>
  <c r="H42" i="44"/>
  <c r="AO41" i="44"/>
  <c r="AN41" i="44"/>
  <c r="AL41" i="44"/>
  <c r="AK41" i="44"/>
  <c r="AJ41" i="44"/>
  <c r="AI41" i="44"/>
  <c r="AH41" i="44"/>
  <c r="AG41" i="44"/>
  <c r="AE41" i="44"/>
  <c r="AD41" i="44"/>
  <c r="AC41" i="44"/>
  <c r="AB41" i="44"/>
  <c r="AA41" i="44"/>
  <c r="Y41" i="44"/>
  <c r="X41" i="44"/>
  <c r="W41" i="44"/>
  <c r="V41" i="44"/>
  <c r="U41" i="44"/>
  <c r="T41" i="44"/>
  <c r="S41" i="44"/>
  <c r="R41" i="44"/>
  <c r="AM41" i="44" s="1"/>
  <c r="Q41" i="44"/>
  <c r="P41" i="44"/>
  <c r="N41" i="44"/>
  <c r="M41" i="44"/>
  <c r="J41" i="44"/>
  <c r="I41" i="44"/>
  <c r="H41" i="44"/>
  <c r="AO40" i="44"/>
  <c r="AN40" i="44"/>
  <c r="AL40" i="44"/>
  <c r="AK40" i="44"/>
  <c r="AJ40" i="44"/>
  <c r="AI40" i="44"/>
  <c r="AH40" i="44"/>
  <c r="AG40" i="44"/>
  <c r="AE40" i="44"/>
  <c r="AD40" i="44"/>
  <c r="AC40" i="44"/>
  <c r="AB40" i="44"/>
  <c r="AA40" i="44"/>
  <c r="Y40" i="44"/>
  <c r="X40" i="44"/>
  <c r="W40" i="44"/>
  <c r="V40" i="44"/>
  <c r="U40" i="44"/>
  <c r="T40" i="44"/>
  <c r="S40" i="44"/>
  <c r="R40" i="44"/>
  <c r="Q40" i="44"/>
  <c r="P40" i="44"/>
  <c r="N40" i="44"/>
  <c r="M40" i="44"/>
  <c r="J40" i="44"/>
  <c r="I40" i="44"/>
  <c r="H40" i="44"/>
  <c r="AO39" i="44"/>
  <c r="AN39" i="44"/>
  <c r="AL39" i="44"/>
  <c r="AK39" i="44"/>
  <c r="AJ39" i="44"/>
  <c r="AI39" i="44"/>
  <c r="AH39" i="44"/>
  <c r="AG39" i="44"/>
  <c r="AE39" i="44"/>
  <c r="AD39" i="44"/>
  <c r="AC39" i="44"/>
  <c r="AB39" i="44"/>
  <c r="AA39" i="44"/>
  <c r="Y39" i="44"/>
  <c r="X39" i="44"/>
  <c r="W39" i="44"/>
  <c r="V39" i="44"/>
  <c r="U39" i="44"/>
  <c r="T39" i="44"/>
  <c r="S39" i="44"/>
  <c r="R39" i="44"/>
  <c r="AM39" i="44" s="1"/>
  <c r="Q39" i="44"/>
  <c r="P39" i="44"/>
  <c r="N39" i="44"/>
  <c r="M39" i="44"/>
  <c r="J39" i="44"/>
  <c r="I39" i="44"/>
  <c r="H39" i="44"/>
  <c r="AO38" i="44"/>
  <c r="AN38" i="44"/>
  <c r="AL38" i="44"/>
  <c r="AK38" i="44"/>
  <c r="AJ38" i="44"/>
  <c r="AI38" i="44"/>
  <c r="AH38" i="44"/>
  <c r="AG38" i="44"/>
  <c r="AE38" i="44"/>
  <c r="AD38" i="44"/>
  <c r="AC38" i="44"/>
  <c r="AB38" i="44"/>
  <c r="AA38" i="44"/>
  <c r="Y38" i="44"/>
  <c r="X38" i="44"/>
  <c r="W38" i="44"/>
  <c r="V38" i="44"/>
  <c r="U38" i="44"/>
  <c r="T38" i="44"/>
  <c r="S38" i="44"/>
  <c r="R38" i="44"/>
  <c r="Q38" i="44"/>
  <c r="P38" i="44"/>
  <c r="N38" i="44"/>
  <c r="M38" i="44"/>
  <c r="J38" i="44"/>
  <c r="I38" i="44"/>
  <c r="H38" i="44"/>
  <c r="AO37" i="44"/>
  <c r="AN37" i="44"/>
  <c r="AL37" i="44"/>
  <c r="AK37" i="44"/>
  <c r="AJ37" i="44"/>
  <c r="AI37" i="44"/>
  <c r="AH37" i="44"/>
  <c r="AG37" i="44"/>
  <c r="AE37" i="44"/>
  <c r="AD37" i="44"/>
  <c r="AC37" i="44"/>
  <c r="AB37" i="44"/>
  <c r="AA37" i="44"/>
  <c r="Y37" i="44"/>
  <c r="X37" i="44"/>
  <c r="W37" i="44"/>
  <c r="V37" i="44"/>
  <c r="U37" i="44"/>
  <c r="T37" i="44"/>
  <c r="S37" i="44"/>
  <c r="R37" i="44"/>
  <c r="Q37" i="44"/>
  <c r="P37" i="44"/>
  <c r="N37" i="44"/>
  <c r="M37" i="44"/>
  <c r="I37" i="44"/>
  <c r="AO36" i="44"/>
  <c r="AN36" i="44"/>
  <c r="AL36" i="44"/>
  <c r="AK36" i="44"/>
  <c r="AJ36" i="44"/>
  <c r="AI36" i="44"/>
  <c r="AH36" i="44"/>
  <c r="AG36" i="44"/>
  <c r="AE36" i="44"/>
  <c r="AD36" i="44"/>
  <c r="AC36" i="44"/>
  <c r="AB36" i="44"/>
  <c r="AA36" i="44"/>
  <c r="Y36" i="44"/>
  <c r="X36" i="44"/>
  <c r="W36" i="44"/>
  <c r="V36" i="44"/>
  <c r="U36" i="44"/>
  <c r="T36" i="44"/>
  <c r="S36" i="44"/>
  <c r="R36" i="44"/>
  <c r="Q36" i="44"/>
  <c r="P36" i="44"/>
  <c r="N36" i="44"/>
  <c r="I36" i="44"/>
  <c r="AO35" i="44"/>
  <c r="AN35" i="44"/>
  <c r="AL35" i="44"/>
  <c r="AK35" i="44"/>
  <c r="AJ35" i="44"/>
  <c r="AI35" i="44"/>
  <c r="AH35" i="44"/>
  <c r="AG35" i="44"/>
  <c r="AE35" i="44"/>
  <c r="AD35" i="44"/>
  <c r="AC35" i="44"/>
  <c r="AB35" i="44"/>
  <c r="AA35" i="44"/>
  <c r="Y35" i="44"/>
  <c r="X35" i="44"/>
  <c r="W35" i="44"/>
  <c r="V35" i="44"/>
  <c r="U35" i="44"/>
  <c r="T35" i="44"/>
  <c r="S35" i="44"/>
  <c r="R35" i="44"/>
  <c r="Q35" i="44"/>
  <c r="P35" i="44"/>
  <c r="N35" i="44"/>
  <c r="I35" i="44"/>
  <c r="AO34" i="44"/>
  <c r="AN34" i="44"/>
  <c r="AL34" i="44"/>
  <c r="AK34" i="44"/>
  <c r="AJ34" i="44"/>
  <c r="AI34" i="44"/>
  <c r="AH34" i="44"/>
  <c r="AG34" i="44"/>
  <c r="AE34" i="44"/>
  <c r="AD34" i="44"/>
  <c r="AC34" i="44"/>
  <c r="AB34" i="44"/>
  <c r="AA34" i="44"/>
  <c r="Y34" i="44"/>
  <c r="X34" i="44"/>
  <c r="W34" i="44"/>
  <c r="V34" i="44"/>
  <c r="U34" i="44"/>
  <c r="T34" i="44"/>
  <c r="S34" i="44"/>
  <c r="R34" i="44"/>
  <c r="Q34" i="44"/>
  <c r="P34" i="44"/>
  <c r="N34" i="44"/>
  <c r="I34" i="44"/>
  <c r="AO33" i="44"/>
  <c r="AN33" i="44"/>
  <c r="AL33" i="44"/>
  <c r="AK33" i="44"/>
  <c r="AJ33" i="44"/>
  <c r="AI33" i="44"/>
  <c r="AH33" i="44"/>
  <c r="AG33" i="44"/>
  <c r="AE33" i="44"/>
  <c r="AD33" i="44"/>
  <c r="AC33" i="44"/>
  <c r="AB33" i="44"/>
  <c r="AA33" i="44"/>
  <c r="Y33" i="44"/>
  <c r="X33" i="44"/>
  <c r="W33" i="44"/>
  <c r="V33" i="44"/>
  <c r="U33" i="44"/>
  <c r="T33" i="44"/>
  <c r="S33" i="44"/>
  <c r="R33" i="44"/>
  <c r="Q33" i="44"/>
  <c r="P33" i="44"/>
  <c r="N33" i="44"/>
  <c r="M33" i="44"/>
  <c r="I33" i="44"/>
  <c r="H33" i="44"/>
  <c r="AO32" i="44"/>
  <c r="AN32" i="44"/>
  <c r="AL32" i="44"/>
  <c r="AK32" i="44"/>
  <c r="AJ32" i="44"/>
  <c r="AI32" i="44"/>
  <c r="AH32" i="44"/>
  <c r="AG32" i="44"/>
  <c r="AE32" i="44"/>
  <c r="AD32" i="44"/>
  <c r="AC32" i="44"/>
  <c r="AB32" i="44"/>
  <c r="AA32" i="44"/>
  <c r="Y32" i="44"/>
  <c r="X32" i="44"/>
  <c r="W32" i="44"/>
  <c r="V32" i="44"/>
  <c r="U32" i="44"/>
  <c r="T32" i="44"/>
  <c r="S32" i="44"/>
  <c r="R32" i="44"/>
  <c r="Q32" i="44"/>
  <c r="P32" i="44"/>
  <c r="N32" i="44"/>
  <c r="M32" i="44"/>
  <c r="I32" i="44"/>
  <c r="H32" i="44"/>
  <c r="AO31" i="44"/>
  <c r="AN31" i="44"/>
  <c r="AL31" i="44"/>
  <c r="AK31" i="44"/>
  <c r="AJ31" i="44"/>
  <c r="AI31" i="44"/>
  <c r="AH31" i="44"/>
  <c r="AG31" i="44"/>
  <c r="AE31" i="44"/>
  <c r="AD31" i="44"/>
  <c r="AC31" i="44"/>
  <c r="AB31" i="44"/>
  <c r="AA31" i="44"/>
  <c r="Y31" i="44"/>
  <c r="X31" i="44"/>
  <c r="W31" i="44"/>
  <c r="V31" i="44"/>
  <c r="U31" i="44"/>
  <c r="T31" i="44"/>
  <c r="S31" i="44"/>
  <c r="R31" i="44"/>
  <c r="Q31" i="44"/>
  <c r="P31" i="44"/>
  <c r="N31" i="44"/>
  <c r="M31" i="44"/>
  <c r="I31" i="44"/>
  <c r="H31" i="44"/>
  <c r="AO30" i="44"/>
  <c r="AN30" i="44"/>
  <c r="AL30" i="44"/>
  <c r="AK30" i="44"/>
  <c r="AJ30" i="44"/>
  <c r="AI30" i="44"/>
  <c r="AH30" i="44"/>
  <c r="AG30" i="44"/>
  <c r="AE30" i="44"/>
  <c r="AD30" i="44"/>
  <c r="AC30" i="44"/>
  <c r="AB30" i="44"/>
  <c r="AA30" i="44"/>
  <c r="Y30" i="44"/>
  <c r="X30" i="44"/>
  <c r="W30" i="44"/>
  <c r="V30" i="44"/>
  <c r="U30" i="44"/>
  <c r="T30" i="44"/>
  <c r="S30" i="44"/>
  <c r="R30" i="44"/>
  <c r="Q30" i="44"/>
  <c r="P30" i="44"/>
  <c r="M30" i="44"/>
  <c r="N30" i="44" s="1"/>
  <c r="H30" i="44"/>
  <c r="I30" i="44" s="1"/>
  <c r="AO29" i="44"/>
  <c r="AN29" i="44"/>
  <c r="AL29" i="44"/>
  <c r="AK29" i="44"/>
  <c r="AJ29" i="44"/>
  <c r="AI29" i="44"/>
  <c r="AH29" i="44"/>
  <c r="AG29" i="44"/>
  <c r="AE29" i="44"/>
  <c r="AD29" i="44"/>
  <c r="AC29" i="44"/>
  <c r="AB29" i="44"/>
  <c r="AA29" i="44"/>
  <c r="Y29" i="44"/>
  <c r="X29" i="44"/>
  <c r="W29" i="44"/>
  <c r="V29" i="44"/>
  <c r="U29" i="44"/>
  <c r="T29" i="44"/>
  <c r="S29" i="44"/>
  <c r="R29" i="44"/>
  <c r="Q29" i="44"/>
  <c r="P29" i="44"/>
  <c r="N29" i="44"/>
  <c r="M29" i="44"/>
  <c r="I29" i="44"/>
  <c r="H29" i="44"/>
  <c r="AO28" i="44"/>
  <c r="AN28" i="44"/>
  <c r="AL28" i="44"/>
  <c r="AK28" i="44"/>
  <c r="AJ28" i="44"/>
  <c r="AI28" i="44"/>
  <c r="AH28" i="44"/>
  <c r="AG28" i="44"/>
  <c r="AE28" i="44"/>
  <c r="AD28" i="44"/>
  <c r="AC28" i="44"/>
  <c r="AB28" i="44"/>
  <c r="AA28" i="44"/>
  <c r="Y28" i="44"/>
  <c r="X28" i="44"/>
  <c r="W28" i="44"/>
  <c r="V28" i="44"/>
  <c r="U28" i="44"/>
  <c r="T28" i="44"/>
  <c r="S28" i="44"/>
  <c r="R28" i="44"/>
  <c r="Q28" i="44"/>
  <c r="P28" i="44"/>
  <c r="N28" i="44"/>
  <c r="M28" i="44"/>
  <c r="I28" i="44"/>
  <c r="H28" i="44"/>
  <c r="AO27" i="44"/>
  <c r="AN27" i="44"/>
  <c r="AL27" i="44"/>
  <c r="AK27" i="44"/>
  <c r="AJ27" i="44"/>
  <c r="AI27" i="44"/>
  <c r="AH27" i="44"/>
  <c r="AG27" i="44"/>
  <c r="AE27" i="44"/>
  <c r="AD27" i="44"/>
  <c r="AC27" i="44"/>
  <c r="AB27" i="44"/>
  <c r="AA27" i="44"/>
  <c r="Y27" i="44"/>
  <c r="X27" i="44"/>
  <c r="W27" i="44"/>
  <c r="V27" i="44"/>
  <c r="U27" i="44"/>
  <c r="T27" i="44"/>
  <c r="S27" i="44"/>
  <c r="R27" i="44"/>
  <c r="Q27" i="44"/>
  <c r="P27" i="44"/>
  <c r="N27" i="44"/>
  <c r="M27" i="44"/>
  <c r="I27" i="44"/>
  <c r="H27" i="44"/>
  <c r="AO26" i="44"/>
  <c r="AN26" i="44"/>
  <c r="AL26" i="44"/>
  <c r="AK26" i="44"/>
  <c r="AJ26" i="44"/>
  <c r="AI26" i="44"/>
  <c r="AH26" i="44"/>
  <c r="AG26" i="44"/>
  <c r="AE26" i="44"/>
  <c r="AD26" i="44"/>
  <c r="AC26" i="44"/>
  <c r="AB26" i="44"/>
  <c r="AA26" i="44"/>
  <c r="Y26" i="44"/>
  <c r="X26" i="44"/>
  <c r="W26" i="44"/>
  <c r="V26" i="44"/>
  <c r="U26" i="44"/>
  <c r="T26" i="44"/>
  <c r="S26" i="44"/>
  <c r="R26" i="44"/>
  <c r="Q26" i="44"/>
  <c r="P26" i="44"/>
  <c r="N26" i="44"/>
  <c r="M26" i="44"/>
  <c r="I26" i="44"/>
  <c r="H26" i="44"/>
  <c r="AO25" i="44"/>
  <c r="AN25" i="44"/>
  <c r="AL25" i="44"/>
  <c r="AK25" i="44"/>
  <c r="AJ25" i="44"/>
  <c r="AI25" i="44"/>
  <c r="AH25" i="44"/>
  <c r="AG25" i="44"/>
  <c r="AE25" i="44"/>
  <c r="AD25" i="44"/>
  <c r="AC25" i="44"/>
  <c r="AB25" i="44"/>
  <c r="AA25" i="44"/>
  <c r="Y25" i="44"/>
  <c r="X25" i="44"/>
  <c r="W25" i="44"/>
  <c r="V25" i="44"/>
  <c r="U25" i="44"/>
  <c r="T25" i="44"/>
  <c r="S25" i="44"/>
  <c r="R25" i="44"/>
  <c r="Q25" i="44"/>
  <c r="P25" i="44"/>
  <c r="N25" i="44"/>
  <c r="M25" i="44"/>
  <c r="I25" i="44"/>
  <c r="H25" i="44"/>
  <c r="AO24" i="44"/>
  <c r="AN24" i="44"/>
  <c r="AL24" i="44"/>
  <c r="AK24" i="44"/>
  <c r="AJ24" i="44"/>
  <c r="AI24" i="44"/>
  <c r="AH24" i="44"/>
  <c r="AG24" i="44"/>
  <c r="AE24" i="44"/>
  <c r="AD24" i="44"/>
  <c r="AC24" i="44"/>
  <c r="AB24" i="44"/>
  <c r="AA24" i="44"/>
  <c r="Y24" i="44"/>
  <c r="X24" i="44"/>
  <c r="W24" i="44"/>
  <c r="V24" i="44"/>
  <c r="U24" i="44"/>
  <c r="T24" i="44"/>
  <c r="S24" i="44"/>
  <c r="R24" i="44"/>
  <c r="Q24" i="44"/>
  <c r="P24" i="44"/>
  <c r="M24" i="44"/>
  <c r="N24" i="44" s="1"/>
  <c r="I24" i="44"/>
  <c r="H24" i="44"/>
  <c r="AO23" i="44"/>
  <c r="AN23" i="44"/>
  <c r="AL23" i="44"/>
  <c r="AK23" i="44"/>
  <c r="AJ23" i="44"/>
  <c r="AI23" i="44"/>
  <c r="AH23" i="44"/>
  <c r="AG23" i="44"/>
  <c r="AE23" i="44"/>
  <c r="AD23" i="44"/>
  <c r="AC23" i="44"/>
  <c r="AB23" i="44"/>
  <c r="AA23" i="44"/>
  <c r="Y23" i="44"/>
  <c r="X23" i="44"/>
  <c r="W23" i="44"/>
  <c r="V23" i="44"/>
  <c r="U23" i="44"/>
  <c r="T23" i="44"/>
  <c r="S23" i="44"/>
  <c r="R23" i="44"/>
  <c r="Q23" i="44"/>
  <c r="P23" i="44"/>
  <c r="J37" i="44"/>
  <c r="E66" i="44"/>
  <c r="K61" i="44"/>
  <c r="Z69" i="44"/>
  <c r="AF74" i="44"/>
  <c r="E74" i="44"/>
  <c r="AF69" i="44"/>
  <c r="E69" i="44"/>
  <c r="E64" i="44"/>
  <c r="Z64" i="44"/>
  <c r="K66" i="44"/>
  <c r="AF64" i="44"/>
  <c r="AM40" i="44" l="1"/>
  <c r="AM42" i="44"/>
  <c r="AM44" i="44"/>
  <c r="AM46" i="44"/>
  <c r="AM48" i="44"/>
  <c r="AM50" i="44"/>
  <c r="AM52" i="44"/>
  <c r="AM54" i="44"/>
  <c r="AM56" i="44"/>
  <c r="AM58" i="44"/>
  <c r="AM38" i="44"/>
  <c r="AM37" i="44"/>
  <c r="AM59" i="44"/>
  <c r="AM34" i="44"/>
  <c r="AM33" i="44"/>
  <c r="AM32" i="44"/>
  <c r="AM31" i="44"/>
  <c r="AM30" i="44"/>
  <c r="AM29" i="44"/>
  <c r="AM28" i="44"/>
  <c r="AM27" i="44"/>
  <c r="AM35" i="44"/>
  <c r="AM36" i="44"/>
  <c r="AM26" i="44"/>
  <c r="AM25" i="44"/>
  <c r="AM24" i="44"/>
  <c r="M23" i="44"/>
  <c r="N23" i="44" s="1"/>
  <c r="H23" i="44"/>
  <c r="AM23" i="44" s="1"/>
  <c r="AO22" i="44"/>
  <c r="AN22" i="44"/>
  <c r="AL22" i="44"/>
  <c r="AK22" i="44"/>
  <c r="AJ22" i="44"/>
  <c r="AI22" i="44"/>
  <c r="AH22" i="44"/>
  <c r="AG22" i="44"/>
  <c r="AE22" i="44"/>
  <c r="AD22" i="44"/>
  <c r="AC22" i="44"/>
  <c r="AB22" i="44"/>
  <c r="AA22" i="44"/>
  <c r="Y22" i="44"/>
  <c r="X22" i="44"/>
  <c r="W22" i="44"/>
  <c r="V22" i="44"/>
  <c r="U22" i="44"/>
  <c r="T22" i="44"/>
  <c r="S22" i="44"/>
  <c r="R22" i="44"/>
  <c r="Q22" i="44"/>
  <c r="P22" i="44"/>
  <c r="I23" i="44" l="1"/>
  <c r="M22" i="44"/>
  <c r="N22" i="44" s="1"/>
  <c r="H22" i="44"/>
  <c r="AM22" i="44" s="1"/>
  <c r="AO21" i="44"/>
  <c r="AN21" i="44"/>
  <c r="AL21" i="44"/>
  <c r="AK21" i="44"/>
  <c r="AJ21" i="44"/>
  <c r="AI21" i="44"/>
  <c r="AH21" i="44"/>
  <c r="AG21" i="44"/>
  <c r="AE21" i="44"/>
  <c r="AD21" i="44"/>
  <c r="AC21" i="44"/>
  <c r="AB21" i="44"/>
  <c r="AA21" i="44"/>
  <c r="Y21" i="44"/>
  <c r="X21" i="44"/>
  <c r="W21" i="44"/>
  <c r="V21" i="44"/>
  <c r="U21" i="44"/>
  <c r="T21" i="44"/>
  <c r="S21" i="44"/>
  <c r="R21" i="44"/>
  <c r="Q21" i="44"/>
  <c r="P21" i="44"/>
  <c r="I22" i="44" l="1"/>
  <c r="M21" i="44"/>
  <c r="N21" i="44" s="1"/>
  <c r="H21" i="44"/>
  <c r="AM21" i="44" s="1"/>
  <c r="AO20" i="44"/>
  <c r="AN20" i="44"/>
  <c r="AL20" i="44"/>
  <c r="AK20" i="44"/>
  <c r="AJ20" i="44"/>
  <c r="AI20" i="44"/>
  <c r="AH20" i="44"/>
  <c r="AG20" i="44"/>
  <c r="AE20" i="44"/>
  <c r="AD20" i="44"/>
  <c r="AC20" i="44"/>
  <c r="AB20" i="44"/>
  <c r="AA20" i="44"/>
  <c r="Y20" i="44"/>
  <c r="X20" i="44"/>
  <c r="W20" i="44"/>
  <c r="V20" i="44"/>
  <c r="U20" i="44"/>
  <c r="T20" i="44"/>
  <c r="S20" i="44"/>
  <c r="R20" i="44"/>
  <c r="Q20" i="44"/>
  <c r="P20" i="44"/>
  <c r="I21" i="44" l="1"/>
  <c r="M20" i="44"/>
  <c r="N20" i="44" s="1"/>
  <c r="H20" i="44"/>
  <c r="AM20" i="44" s="1"/>
  <c r="AO19" i="44"/>
  <c r="AN19" i="44"/>
  <c r="AL19" i="44"/>
  <c r="AK19" i="44"/>
  <c r="AJ19" i="44"/>
  <c r="AI19" i="44"/>
  <c r="AH19" i="44"/>
  <c r="AG19" i="44"/>
  <c r="AE19" i="44"/>
  <c r="AD19" i="44"/>
  <c r="AC19" i="44"/>
  <c r="AB19" i="44"/>
  <c r="AA19" i="44"/>
  <c r="Y19" i="44"/>
  <c r="X19" i="44"/>
  <c r="W19" i="44"/>
  <c r="V19" i="44"/>
  <c r="U19" i="44"/>
  <c r="T19" i="44"/>
  <c r="S19" i="44"/>
  <c r="R19" i="44"/>
  <c r="Q19" i="44"/>
  <c r="P19" i="44"/>
  <c r="I20" i="44" l="1"/>
  <c r="M19" i="44"/>
  <c r="N19" i="44" s="1"/>
  <c r="H19" i="44"/>
  <c r="AM19" i="44" s="1"/>
  <c r="AO18" i="44"/>
  <c r="AN18" i="44"/>
  <c r="AL18" i="44"/>
  <c r="AK18" i="44"/>
  <c r="AJ18" i="44"/>
  <c r="AI18" i="44"/>
  <c r="AH18" i="44"/>
  <c r="AG18" i="44"/>
  <c r="AE18" i="44"/>
  <c r="AD18" i="44"/>
  <c r="AC18" i="44"/>
  <c r="AB18" i="44"/>
  <c r="AA18" i="44"/>
  <c r="Y18" i="44"/>
  <c r="X18" i="44"/>
  <c r="W18" i="44"/>
  <c r="V18" i="44"/>
  <c r="U18" i="44"/>
  <c r="T18" i="44"/>
  <c r="S18" i="44"/>
  <c r="R18" i="44"/>
  <c r="Q18" i="44"/>
  <c r="P18" i="44"/>
  <c r="I19" i="44" l="1"/>
  <c r="M18" i="44"/>
  <c r="N18" i="44" s="1"/>
  <c r="H18" i="44"/>
  <c r="AM18" i="44" s="1"/>
  <c r="AO17" i="44"/>
  <c r="AN17" i="44"/>
  <c r="AL17" i="44"/>
  <c r="AK17" i="44"/>
  <c r="AJ17" i="44"/>
  <c r="AI17" i="44"/>
  <c r="AH17" i="44"/>
  <c r="AG17" i="44"/>
  <c r="AE17" i="44"/>
  <c r="AD17" i="44"/>
  <c r="AC17" i="44"/>
  <c r="AB17" i="44"/>
  <c r="AA17" i="44"/>
  <c r="Y17" i="44"/>
  <c r="X17" i="44"/>
  <c r="W17" i="44"/>
  <c r="V17" i="44"/>
  <c r="U17" i="44"/>
  <c r="T17" i="44"/>
  <c r="S17" i="44"/>
  <c r="R17" i="44"/>
  <c r="Q17" i="44"/>
  <c r="P17" i="44"/>
  <c r="I18" i="44" l="1"/>
  <c r="M17" i="44"/>
  <c r="N17" i="44" s="1"/>
  <c r="H17" i="44"/>
  <c r="AM17" i="44" s="1"/>
  <c r="AO16" i="44"/>
  <c r="AN16" i="44"/>
  <c r="AL16" i="44"/>
  <c r="AK16" i="44"/>
  <c r="AJ16" i="44"/>
  <c r="AI16" i="44"/>
  <c r="AH16" i="44"/>
  <c r="AG16" i="44"/>
  <c r="AE16" i="44"/>
  <c r="AD16" i="44"/>
  <c r="AC16" i="44"/>
  <c r="AB16" i="44"/>
  <c r="AA16" i="44"/>
  <c r="Y16" i="44"/>
  <c r="X16" i="44"/>
  <c r="W16" i="44"/>
  <c r="V16" i="44"/>
  <c r="U16" i="44"/>
  <c r="T16" i="44"/>
  <c r="S16" i="44"/>
  <c r="R16" i="44"/>
  <c r="Q16" i="44"/>
  <c r="P16" i="44"/>
  <c r="I17" i="44" l="1"/>
  <c r="M16" i="44"/>
  <c r="N16" i="44" l="1"/>
  <c r="H16" i="44"/>
  <c r="I16" i="44" s="1"/>
  <c r="AO15" i="44"/>
  <c r="AN15" i="44"/>
  <c r="AL15" i="44"/>
  <c r="AK15" i="44"/>
  <c r="AJ15" i="44"/>
  <c r="AI15" i="44"/>
  <c r="AH15" i="44"/>
  <c r="AG15" i="44"/>
  <c r="AE15" i="44"/>
  <c r="AD15" i="44"/>
  <c r="AC15" i="44"/>
  <c r="AB15" i="44"/>
  <c r="AA15" i="44"/>
  <c r="Y15" i="44"/>
  <c r="X15" i="44"/>
  <c r="W15" i="44"/>
  <c r="V15" i="44"/>
  <c r="U15" i="44"/>
  <c r="T15" i="44"/>
  <c r="S15" i="44"/>
  <c r="R15" i="44"/>
  <c r="Q15" i="44"/>
  <c r="P15" i="44"/>
  <c r="W69" i="44"/>
  <c r="AG69" i="44"/>
  <c r="AD69" i="44"/>
  <c r="X69" i="44"/>
  <c r="AL69" i="44"/>
  <c r="AE69" i="44"/>
  <c r="AI69" i="44"/>
  <c r="V69" i="44"/>
  <c r="H69" i="44"/>
  <c r="U69" i="44"/>
  <c r="Y69" i="44"/>
  <c r="AH69" i="44"/>
  <c r="AK69" i="44"/>
  <c r="AA69" i="44"/>
  <c r="R69" i="44"/>
  <c r="AJ69" i="44"/>
  <c r="AC69" i="44"/>
  <c r="AB69" i="44"/>
  <c r="I69" i="44" l="1"/>
  <c r="AM16" i="44"/>
  <c r="M15" i="44"/>
  <c r="N15" i="44" s="1"/>
  <c r="H15" i="44"/>
  <c r="AM15" i="44" s="1"/>
  <c r="AO14" i="44"/>
  <c r="AN14" i="44"/>
  <c r="AL14" i="44"/>
  <c r="AK14" i="44"/>
  <c r="AJ14" i="44"/>
  <c r="AI14" i="44"/>
  <c r="AH14" i="44"/>
  <c r="AG14" i="44"/>
  <c r="AE14" i="44"/>
  <c r="AD14" i="44"/>
  <c r="AC14" i="44"/>
  <c r="AB14" i="44"/>
  <c r="AA14" i="44"/>
  <c r="Y14" i="44"/>
  <c r="X14" i="44"/>
  <c r="W14" i="44"/>
  <c r="V14" i="44"/>
  <c r="U14" i="44"/>
  <c r="T14" i="44"/>
  <c r="S14" i="44"/>
  <c r="R14" i="44"/>
  <c r="Q14" i="44"/>
  <c r="P14" i="44"/>
  <c r="I15" i="44" l="1"/>
  <c r="M14" i="44"/>
  <c r="H14" i="44"/>
  <c r="AO13" i="44"/>
  <c r="AN13" i="44"/>
  <c r="AL13" i="44"/>
  <c r="AK13" i="44"/>
  <c r="AJ13" i="44"/>
  <c r="AI13" i="44"/>
  <c r="AH13" i="44"/>
  <c r="AG13" i="44"/>
  <c r="AE13" i="44"/>
  <c r="AD13" i="44"/>
  <c r="AC13" i="44"/>
  <c r="AB13" i="44"/>
  <c r="AA13" i="44"/>
  <c r="Y13" i="44"/>
  <c r="X13" i="44"/>
  <c r="W13" i="44"/>
  <c r="V13" i="44"/>
  <c r="U13" i="44"/>
  <c r="T13" i="44"/>
  <c r="S13" i="44"/>
  <c r="R13" i="44"/>
  <c r="Q13" i="44"/>
  <c r="P13" i="44"/>
  <c r="AI74" i="44"/>
  <c r="Y74" i="44"/>
  <c r="AE74" i="44"/>
  <c r="AK74" i="44"/>
  <c r="J25" i="44"/>
  <c r="J35" i="44"/>
  <c r="J30" i="44"/>
  <c r="J27" i="44"/>
  <c r="J32" i="44"/>
  <c r="J34" i="44"/>
  <c r="J29" i="44"/>
  <c r="J26" i="44"/>
  <c r="J31" i="44"/>
  <c r="J28" i="44"/>
  <c r="J36" i="44"/>
  <c r="J24" i="44"/>
  <c r="J33" i="44"/>
  <c r="M69" i="44"/>
  <c r="AL74" i="44"/>
  <c r="AJ74" i="44"/>
  <c r="AM14" i="44" l="1"/>
  <c r="N69" i="44"/>
  <c r="N14" i="44"/>
  <c r="I14" i="44"/>
  <c r="M13" i="44"/>
  <c r="N13" i="44" s="1"/>
  <c r="H13" i="44"/>
  <c r="AO12" i="44"/>
  <c r="AN12" i="44"/>
  <c r="AL12" i="44"/>
  <c r="AK12" i="44"/>
  <c r="AJ12" i="44"/>
  <c r="AI12" i="44"/>
  <c r="AH12" i="44"/>
  <c r="AG12" i="44"/>
  <c r="AE12" i="44"/>
  <c r="AD12" i="44"/>
  <c r="AC12" i="44"/>
  <c r="AB12" i="44"/>
  <c r="AA12" i="44"/>
  <c r="Y12" i="44"/>
  <c r="X12" i="44"/>
  <c r="W12" i="44"/>
  <c r="V12" i="44"/>
  <c r="U12" i="44"/>
  <c r="T12" i="44"/>
  <c r="S12" i="44"/>
  <c r="R12" i="44"/>
  <c r="Q12" i="44"/>
  <c r="P12" i="44"/>
  <c r="AC74" i="44"/>
  <c r="AB74" i="44"/>
  <c r="AA74" i="44"/>
  <c r="X74" i="44"/>
  <c r="AG74" i="44"/>
  <c r="R74" i="44"/>
  <c r="AH74" i="44"/>
  <c r="W74" i="44"/>
  <c r="U74" i="44"/>
  <c r="AD74" i="44"/>
  <c r="V74" i="44"/>
  <c r="AM13" i="44" l="1"/>
  <c r="I13" i="44"/>
  <c r="N12" i="44"/>
  <c r="M12" i="44"/>
  <c r="I12" i="44"/>
  <c r="H12" i="44"/>
  <c r="AO11" i="44"/>
  <c r="AN11" i="44"/>
  <c r="AL11" i="44"/>
  <c r="AK11" i="44"/>
  <c r="AJ11" i="44"/>
  <c r="AI11" i="44"/>
  <c r="AH11" i="44"/>
  <c r="AG11" i="44"/>
  <c r="AE11" i="44"/>
  <c r="AD11" i="44"/>
  <c r="AC11" i="44"/>
  <c r="AB11" i="44"/>
  <c r="AA11" i="44"/>
  <c r="Y11" i="44"/>
  <c r="X11" i="44"/>
  <c r="W11" i="44"/>
  <c r="V11" i="44"/>
  <c r="U11" i="44"/>
  <c r="T11" i="44"/>
  <c r="S11" i="44"/>
  <c r="R11" i="44"/>
  <c r="Q11" i="44"/>
  <c r="P11" i="44"/>
  <c r="H74" i="44"/>
  <c r="M74" i="44"/>
  <c r="I74" i="44" l="1"/>
  <c r="AM12" i="44"/>
  <c r="N74" i="44"/>
  <c r="N11" i="44"/>
  <c r="M11" i="44"/>
  <c r="I11" i="44"/>
  <c r="H11" i="44"/>
  <c r="AM11" i="44" s="1"/>
  <c r="AO10" i="44"/>
  <c r="AN10" i="44"/>
  <c r="AL10" i="44"/>
  <c r="AK10" i="44"/>
  <c r="AJ10" i="44"/>
  <c r="AI10" i="44"/>
  <c r="AH10" i="44"/>
  <c r="AG10" i="44"/>
  <c r="AE10" i="44"/>
  <c r="AD10" i="44"/>
  <c r="AC10" i="44"/>
  <c r="AB10" i="44"/>
  <c r="AA10" i="44"/>
  <c r="Y10" i="44"/>
  <c r="X10" i="44"/>
  <c r="W10" i="44"/>
  <c r="V10" i="44"/>
  <c r="U10" i="44"/>
  <c r="T10" i="44"/>
  <c r="S10" i="44"/>
  <c r="R10" i="44"/>
  <c r="Q10" i="44"/>
  <c r="P10" i="44"/>
  <c r="M10" i="44" l="1"/>
  <c r="N10" i="44" s="1"/>
  <c r="I10" i="44"/>
  <c r="H10" i="44"/>
  <c r="AM10" i="44" s="1"/>
  <c r="AO9" i="44"/>
  <c r="AN9" i="44"/>
  <c r="AL9" i="44"/>
  <c r="AK9" i="44"/>
  <c r="AJ9" i="44"/>
  <c r="AI9" i="44"/>
  <c r="AH9" i="44"/>
  <c r="AG9" i="44"/>
  <c r="AE9" i="44"/>
  <c r="AD9" i="44"/>
  <c r="AC9" i="44"/>
  <c r="AB9" i="44"/>
  <c r="AA9" i="44"/>
  <c r="Y9" i="44"/>
  <c r="X9" i="44"/>
  <c r="W9" i="44"/>
  <c r="V9" i="44"/>
  <c r="U9" i="44"/>
  <c r="T9" i="44"/>
  <c r="S9" i="44"/>
  <c r="R9" i="44"/>
  <c r="Q9" i="44"/>
  <c r="P9" i="44"/>
  <c r="N9" i="44" l="1"/>
  <c r="M9" i="44"/>
  <c r="I9" i="44"/>
  <c r="H9" i="44"/>
  <c r="AM9" i="44" s="1"/>
  <c r="AO8" i="44"/>
  <c r="AN8" i="44"/>
  <c r="AL8" i="44"/>
  <c r="AK8" i="44"/>
  <c r="AJ8" i="44"/>
  <c r="AI8" i="44"/>
  <c r="AH8" i="44"/>
  <c r="AG8" i="44"/>
  <c r="AE8" i="44"/>
  <c r="AD8" i="44"/>
  <c r="AC8" i="44"/>
  <c r="AB8" i="44"/>
  <c r="AA8" i="44"/>
  <c r="Y8" i="44"/>
  <c r="X8" i="44"/>
  <c r="W8" i="44"/>
  <c r="V8" i="44"/>
  <c r="U8" i="44"/>
  <c r="T8" i="44"/>
  <c r="S8" i="44"/>
  <c r="R8" i="44"/>
  <c r="Q8" i="44"/>
  <c r="P8" i="44"/>
  <c r="AE64" i="44"/>
  <c r="Y64" i="44"/>
  <c r="AI64" i="44"/>
  <c r="AK64" i="44"/>
  <c r="AL64" i="44"/>
  <c r="AJ64" i="44"/>
  <c r="N8" i="44" l="1"/>
  <c r="M8" i="44"/>
  <c r="I8" i="44"/>
  <c r="H8" i="44"/>
  <c r="AM8" i="44" s="1"/>
  <c r="AO7" i="44"/>
  <c r="AN7" i="44"/>
  <c r="AL7" i="44"/>
  <c r="AK7" i="44"/>
  <c r="AJ7" i="44"/>
  <c r="AI7" i="44"/>
  <c r="AH7" i="44"/>
  <c r="AG7" i="44"/>
  <c r="AE7" i="44"/>
  <c r="AD7" i="44"/>
  <c r="AC7" i="44"/>
  <c r="AB7" i="44"/>
  <c r="AA7" i="44"/>
  <c r="Y7" i="44"/>
  <c r="X7" i="44"/>
  <c r="W7" i="44"/>
  <c r="V7" i="44"/>
  <c r="U7" i="44"/>
  <c r="T7" i="44"/>
  <c r="S7" i="44"/>
  <c r="R7" i="44"/>
  <c r="Q7" i="44"/>
  <c r="P7" i="44"/>
  <c r="R64" i="44"/>
  <c r="M7" i="44" l="1"/>
  <c r="M64" i="44"/>
  <c r="N64" i="44" l="1"/>
  <c r="N7" i="44"/>
  <c r="H7" i="44"/>
  <c r="I7" i="44" s="1"/>
  <c r="AO6" i="44"/>
  <c r="AN6" i="44"/>
  <c r="AL6" i="44"/>
  <c r="AK6" i="44"/>
  <c r="AJ6" i="44"/>
  <c r="AI6" i="44"/>
  <c r="AH6" i="44"/>
  <c r="AG6" i="44"/>
  <c r="AE6" i="44"/>
  <c r="AD6" i="44"/>
  <c r="AC6" i="44"/>
  <c r="AB6" i="44"/>
  <c r="AA6" i="44"/>
  <c r="Y6" i="44"/>
  <c r="X6" i="44"/>
  <c r="W6" i="44"/>
  <c r="V6" i="44"/>
  <c r="U6" i="44"/>
  <c r="T6" i="44"/>
  <c r="S6" i="44"/>
  <c r="O5" i="44"/>
  <c r="J13" i="44"/>
  <c r="J11" i="44"/>
  <c r="O8" i="44"/>
  <c r="J9" i="44"/>
  <c r="J7" i="44"/>
  <c r="O13" i="44"/>
  <c r="J10" i="44"/>
  <c r="J8" i="44"/>
  <c r="J12" i="44"/>
  <c r="O9" i="44"/>
  <c r="O7" i="44"/>
  <c r="O11" i="44"/>
  <c r="O12" i="44"/>
  <c r="O10" i="44"/>
  <c r="J15" i="44"/>
  <c r="O21" i="44"/>
  <c r="AC64" i="44"/>
  <c r="J16" i="44"/>
  <c r="O14" i="44"/>
  <c r="AH64" i="44"/>
  <c r="O15" i="44"/>
  <c r="W64" i="44"/>
  <c r="AD64" i="44"/>
  <c r="J23" i="44"/>
  <c r="J18" i="44"/>
  <c r="AB64" i="44"/>
  <c r="H64" i="44"/>
  <c r="O19" i="44"/>
  <c r="AA64" i="44"/>
  <c r="O18" i="44"/>
  <c r="J22" i="44"/>
  <c r="J20" i="44"/>
  <c r="O22" i="44"/>
  <c r="O17" i="44"/>
  <c r="J21" i="44"/>
  <c r="J17" i="44"/>
  <c r="O20" i="44"/>
  <c r="J19" i="44"/>
  <c r="AG64" i="44"/>
  <c r="O16" i="44"/>
  <c r="J14" i="44"/>
  <c r="V64" i="44"/>
  <c r="U64" i="44"/>
  <c r="X64" i="44"/>
  <c r="O23" i="44"/>
  <c r="I64" i="44" l="1"/>
  <c r="O59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AM7" i="44"/>
  <c r="O37" i="44"/>
  <c r="O33" i="44"/>
  <c r="O29" i="44"/>
  <c r="O31" i="44"/>
  <c r="O34" i="44"/>
  <c r="O36" i="44"/>
  <c r="O27" i="44"/>
  <c r="O30" i="44"/>
  <c r="O28" i="44"/>
  <c r="O32" i="44"/>
  <c r="O35" i="44"/>
  <c r="O26" i="44"/>
  <c r="O25" i="44"/>
  <c r="O24" i="44"/>
</calcChain>
</file>

<file path=xl/sharedStrings.xml><?xml version="1.0" encoding="utf-8"?>
<sst xmlns="http://schemas.openxmlformats.org/spreadsheetml/2006/main" count="3364" uniqueCount="149">
  <si>
    <t>RPM</t>
  </si>
  <si>
    <t>SLIP</t>
  </si>
  <si>
    <t>DIST
SAILED</t>
  </si>
  <si>
    <t>N/A</t>
  </si>
  <si>
    <t>SPEED</t>
  </si>
  <si>
    <t>STMNG HOURS</t>
  </si>
  <si>
    <t>DIST BY ENG</t>
  </si>
  <si>
    <t>R.O.B.</t>
  </si>
  <si>
    <t>S.B.E.</t>
  </si>
  <si>
    <t>SBE</t>
  </si>
  <si>
    <t>FWE</t>
  </si>
  <si>
    <t>NOON</t>
  </si>
  <si>
    <t>ADJUST</t>
  </si>
  <si>
    <t>CONS</t>
  </si>
  <si>
    <t>GEN</t>
  </si>
  <si>
    <t>ROB</t>
  </si>
  <si>
    <t>DATE/TIME</t>
  </si>
  <si>
    <t>TYPE</t>
  </si>
  <si>
    <t>REMARK</t>
  </si>
  <si>
    <t>BUNKERS TAKEN</t>
  </si>
  <si>
    <t>CONS TOTAL</t>
  </si>
  <si>
    <t>M/E CONS</t>
  </si>
  <si>
    <t>A/E CONS</t>
  </si>
  <si>
    <t>BLR CON</t>
  </si>
  <si>
    <t>MARINE DIESEL OIL</t>
  </si>
  <si>
    <t>FUEL OIL</t>
  </si>
  <si>
    <t>A/E SYS</t>
  </si>
  <si>
    <t>BOSP</t>
  </si>
  <si>
    <t>DIST SAILED</t>
  </si>
  <si>
    <t>DTG</t>
  </si>
  <si>
    <t>ECDIS - GPS</t>
  </si>
  <si>
    <t>READING</t>
  </si>
  <si>
    <t>LOG</t>
  </si>
  <si>
    <t>FROM PORT ARR/NOON</t>
  </si>
  <si>
    <t>REPORT TYPE</t>
  </si>
  <si>
    <t>BLR CONS</t>
  </si>
  <si>
    <t>TOTAL CONS</t>
  </si>
  <si>
    <t>FRESH WATER</t>
  </si>
  <si>
    <t>LUB. OIL R.O.B.</t>
  </si>
  <si>
    <t/>
  </si>
  <si>
    <t>→</t>
  </si>
  <si>
    <t>FW LOG CONS</t>
  </si>
  <si>
    <t>ENG DIST</t>
  </si>
  <si>
    <t>LOG DIST</t>
  </si>
  <si>
    <t>OBS DIST</t>
  </si>
  <si>
    <t>OBS</t>
  </si>
  <si>
    <t>SLIP %</t>
  </si>
  <si>
    <t>ME FO CON</t>
  </si>
  <si>
    <t>ME FO LOG</t>
  </si>
  <si>
    <t>ME MGO</t>
  </si>
  <si>
    <t>AE FO CON</t>
  </si>
  <si>
    <t>AE FO LOG</t>
  </si>
  <si>
    <t>AE DO CON</t>
  </si>
  <si>
    <t>AE DO LOG</t>
  </si>
  <si>
    <t>AE MGO LOG</t>
  </si>
  <si>
    <t>AB FO CON</t>
  </si>
  <si>
    <t>AB FO LOG</t>
  </si>
  <si>
    <t>AB MGO LOG</t>
  </si>
  <si>
    <t>TOT FO CONS</t>
  </si>
  <si>
    <t>TOT DO CONS</t>
  </si>
  <si>
    <t>TOT MGO CONS</t>
  </si>
  <si>
    <t>ROB  FO</t>
  </si>
  <si>
    <t>ROB DO</t>
  </si>
  <si>
    <t>ROB MGO</t>
  </si>
  <si>
    <t>FWG PROD</t>
  </si>
  <si>
    <t>FWG LOG</t>
  </si>
  <si>
    <t>ROB AFT PK</t>
  </si>
  <si>
    <t>FWT LOG</t>
  </si>
  <si>
    <t>FWT</t>
  </si>
  <si>
    <t>DIST</t>
  </si>
  <si>
    <t>DWT</t>
  </si>
  <si>
    <t>FW TOT</t>
  </si>
  <si>
    <t>FW CONS</t>
  </si>
  <si>
    <t>ACT FO</t>
  </si>
  <si>
    <t>DIFF FO</t>
  </si>
  <si>
    <t>ACT DO</t>
  </si>
  <si>
    <t>DIFF DO</t>
  </si>
  <si>
    <t>ACT GO</t>
  </si>
  <si>
    <t>DIFF GO</t>
  </si>
  <si>
    <t>ME CYL OIL CONS ACT</t>
  </si>
  <si>
    <t>ME CYL OIL CONS LOG</t>
  </si>
  <si>
    <t>DIFF CYL OIL</t>
  </si>
  <si>
    <t>ROB          ME CYL OIL</t>
  </si>
  <si>
    <t xml:space="preserve"> ROB          ME SYS OIL</t>
  </si>
  <si>
    <t>DIFF ROB          ME SYS OIL</t>
  </si>
  <si>
    <t>ROB          AE SYS OIL</t>
  </si>
  <si>
    <t>ED</t>
  </si>
  <si>
    <t>LD</t>
  </si>
  <si>
    <t>OD</t>
  </si>
  <si>
    <t>OG</t>
  </si>
  <si>
    <r>
      <t>PASTE VALUES HERE STARTING WITH '</t>
    </r>
    <r>
      <rPr>
        <b/>
        <sz val="16"/>
        <color theme="1"/>
        <rFont val="Calibri"/>
        <family val="2"/>
        <scheme val="minor"/>
      </rPr>
      <t>RPM LOG</t>
    </r>
    <r>
      <rPr>
        <sz val="16"/>
        <color theme="1"/>
        <rFont val="Calibri"/>
        <family val="2"/>
        <scheme val="minor"/>
      </rPr>
      <t>'</t>
    </r>
  </si>
  <si>
    <t>M/E CYL</t>
  </si>
  <si>
    <t>M/E SYS</t>
  </si>
  <si>
    <t>TOTAL AVERAGE</t>
  </si>
  <si>
    <t>FROM:</t>
  </si>
  <si>
    <t>TO:</t>
  </si>
  <si>
    <t>PORT ARR / NOON</t>
  </si>
  <si>
    <t>EOSP</t>
  </si>
  <si>
    <t>TTL DIST FROM:</t>
  </si>
  <si>
    <t>P NOON</t>
  </si>
  <si>
    <t>SINGAPORE OPL</t>
  </si>
  <si>
    <t>LOG - WATER TRACK</t>
  </si>
  <si>
    <t>LOG WT TO ED CORRN</t>
  </si>
  <si>
    <t>PNOON</t>
  </si>
  <si>
    <t>15L</t>
  </si>
  <si>
    <t>TPP - QNG</t>
  </si>
  <si>
    <t>16B</t>
  </si>
  <si>
    <t>QNG - KOZ</t>
  </si>
  <si>
    <t>BERTH NO1</t>
  </si>
  <si>
    <t>KOZ-HAW</t>
  </si>
  <si>
    <t>16L</t>
  </si>
  <si>
    <t>FM PORT NOON</t>
  </si>
  <si>
    <t>3709.9 DTG</t>
  </si>
  <si>
    <t>3538.5 DTG</t>
  </si>
  <si>
    <t>3238.2 DTG</t>
  </si>
  <si>
    <t>2940 DTG</t>
  </si>
  <si>
    <t>2653.8 DTG</t>
  </si>
  <si>
    <t>2348.5 DTG</t>
  </si>
  <si>
    <t>2080.7 DTG</t>
  </si>
  <si>
    <t>1804.0 DTG</t>
  </si>
  <si>
    <t>1182.5 DTG</t>
  </si>
  <si>
    <t>1226.7 DTG</t>
  </si>
  <si>
    <t>958.2 dtg</t>
  </si>
  <si>
    <t>686.3 DTG</t>
  </si>
  <si>
    <t>418.0 DTG</t>
  </si>
  <si>
    <t>NEW DTG+33.8'</t>
  </si>
  <si>
    <t>NEW DTG+38.2'</t>
  </si>
  <si>
    <t>NEW DTG + 77.0'</t>
  </si>
  <si>
    <t>sailed, log reset</t>
  </si>
  <si>
    <t>for danaos</t>
  </si>
  <si>
    <t>KOZMINO</t>
  </si>
  <si>
    <t>DEP ANCHORAGE</t>
  </si>
  <si>
    <t>Dalian</t>
  </si>
  <si>
    <t>fwe</t>
  </si>
  <si>
    <t>pnoon</t>
  </si>
  <si>
    <t>OKPO-</t>
  </si>
  <si>
    <t>t/over</t>
  </si>
  <si>
    <t xml:space="preserve"> BOSP</t>
  </si>
  <si>
    <t>ANCHOR SHIFT</t>
  </si>
  <si>
    <t>HIGH SULFUR FUEL OIL</t>
  </si>
  <si>
    <t>TOTAL FUEL OIL</t>
  </si>
  <si>
    <t>ULTRA LOW SULFUR FUEL OIL</t>
  </si>
  <si>
    <t>OKPO-QINGDAO</t>
  </si>
  <si>
    <t>TAO ANCH</t>
  </si>
  <si>
    <r>
      <t xml:space="preserve">TTL HRS    </t>
    </r>
    <r>
      <rPr>
        <sz val="18"/>
        <color rgb="FFFF0000"/>
        <rFont val="Calibri"/>
        <family val="2"/>
        <scheme val="minor"/>
      </rPr>
      <t>NO ADV/RET</t>
    </r>
  </si>
  <si>
    <t>TOTAL AVERAGE FROM:</t>
  </si>
  <si>
    <t>ARR CNTAO</t>
  </si>
  <si>
    <t>LEAVE CNTAO</t>
  </si>
  <si>
    <t>ARR CN 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</si>
</sst>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</font>
    <font>
      <sz val="8"/>
      <name val="Arial"/>
      <family val="2"/>
    </font>
    <font>
      <sz val="8"/>
      <color indexed="41"/>
      <name val="Arial"/>
      <family val="2"/>
    </font>
    <font>
      <sz val="8"/>
      <color indexed="9"/>
      <name val="Arial"/>
      <family val="2"/>
    </font>
    <font>
      <sz val="8"/>
      <color rgb="FFFF000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0"/>
      <color indexed="41"/>
      <name val="Arial"/>
      <family val="2"/>
    </font>
    <font>
      <sz val="10"/>
      <color indexed="9"/>
      <name val="Arial"/>
      <family val="2"/>
    </font>
    <font>
      <u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4F07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7">
    <xf numFmtId="0" fontId="0" fillId="0" borderId="0" xfId="0"/>
    <xf numFmtId="0" fontId="0" fillId="0" borderId="0" xfId="0" applyProtection="1"/>
    <xf numFmtId="0" fontId="2" fillId="0" borderId="24" xfId="0" applyFont="1" applyBorder="1" applyAlignment="1" applyProtection="1">
      <alignment horizontal="center" vertical="center" wrapText="1"/>
    </xf>
    <xf numFmtId="0" fontId="3" fillId="0" borderId="25" xfId="0" applyFont="1" applyBorder="1" applyAlignment="1" applyProtection="1">
      <alignment horizontal="center" vertical="center" wrapText="1"/>
    </xf>
    <xf numFmtId="164" fontId="2" fillId="4" borderId="6" xfId="0" applyNumberFormat="1" applyFont="1" applyFill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/>
    </xf>
    <xf numFmtId="0" fontId="2" fillId="0" borderId="29" xfId="0" applyFont="1" applyBorder="1" applyAlignment="1" applyProtection="1">
      <alignment horizontal="center" vertical="center" wrapText="1"/>
    </xf>
    <xf numFmtId="0" fontId="2" fillId="0" borderId="32" xfId="0" applyFont="1" applyBorder="1" applyAlignment="1" applyProtection="1">
      <alignment horizontal="center" vertical="center" wrapText="1"/>
    </xf>
    <xf numFmtId="164" fontId="2" fillId="2" borderId="10" xfId="0" applyNumberFormat="1" applyFont="1" applyFill="1" applyBorder="1" applyAlignment="1" applyProtection="1">
      <alignment horizontal="center" vertical="center"/>
      <protection locked="0"/>
    </xf>
    <xf numFmtId="164" fontId="2" fillId="2" borderId="12" xfId="0" applyNumberFormat="1" applyFont="1" applyFill="1" applyBorder="1" applyAlignment="1" applyProtection="1">
      <alignment horizontal="center" vertical="center"/>
      <protection locked="0"/>
    </xf>
    <xf numFmtId="164" fontId="2" fillId="2" borderId="2" xfId="0" applyNumberFormat="1" applyFont="1" applyFill="1" applyBorder="1" applyAlignment="1" applyProtection="1">
      <alignment horizontal="center" vertical="center"/>
      <protection locked="0"/>
    </xf>
    <xf numFmtId="164" fontId="2" fillId="4" borderId="36" xfId="0" applyNumberFormat="1" applyFont="1" applyFill="1" applyBorder="1" applyAlignment="1" applyProtection="1">
      <alignment horizontal="center" vertical="center"/>
    </xf>
    <xf numFmtId="2" fontId="2" fillId="4" borderId="36" xfId="0" applyNumberFormat="1" applyFont="1" applyFill="1" applyBorder="1" applyAlignment="1" applyProtection="1">
      <alignment horizontal="center" vertical="center"/>
    </xf>
    <xf numFmtId="164" fontId="2" fillId="6" borderId="40" xfId="0" applyNumberFormat="1" applyFont="1" applyFill="1" applyBorder="1" applyAlignment="1" applyProtection="1">
      <alignment horizontal="center" vertical="center"/>
      <protection locked="0"/>
    </xf>
    <xf numFmtId="164" fontId="2" fillId="6" borderId="34" xfId="0" applyNumberFormat="1" applyFont="1" applyFill="1" applyBorder="1" applyAlignment="1" applyProtection="1">
      <alignment horizontal="center" vertical="center"/>
      <protection locked="0"/>
    </xf>
    <xf numFmtId="164" fontId="2" fillId="6" borderId="17" xfId="0" applyNumberFormat="1" applyFont="1" applyFill="1" applyBorder="1" applyAlignment="1" applyProtection="1">
      <alignment horizontal="center" vertical="center"/>
      <protection locked="0"/>
    </xf>
    <xf numFmtId="164" fontId="2" fillId="8" borderId="38" xfId="0" applyNumberFormat="1" applyFont="1" applyFill="1" applyBorder="1" applyAlignment="1" applyProtection="1">
      <alignment horizontal="center" vertical="center"/>
    </xf>
    <xf numFmtId="2" fontId="7" fillId="8" borderId="39" xfId="0" applyNumberFormat="1" applyFont="1" applyFill="1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/>
    </xf>
    <xf numFmtId="0" fontId="2" fillId="0" borderId="41" xfId="0" applyFont="1" applyBorder="1" applyAlignment="1" applyProtection="1">
      <alignment horizontal="center" vertical="center" wrapText="1"/>
    </xf>
    <xf numFmtId="164" fontId="2" fillId="9" borderId="27" xfId="0" applyNumberFormat="1" applyFont="1" applyFill="1" applyBorder="1" applyAlignment="1" applyProtection="1">
      <alignment horizontal="center" vertical="center"/>
      <protection locked="0"/>
    </xf>
    <xf numFmtId="164" fontId="2" fillId="9" borderId="42" xfId="0" applyNumberFormat="1" applyFont="1" applyFill="1" applyBorder="1" applyAlignment="1" applyProtection="1">
      <alignment horizontal="center" vertical="center"/>
      <protection locked="0"/>
    </xf>
    <xf numFmtId="164" fontId="2" fillId="9" borderId="43" xfId="0" applyNumberFormat="1" applyFont="1" applyFill="1" applyBorder="1" applyAlignment="1" applyProtection="1">
      <alignment horizontal="center" vertical="center"/>
      <protection locked="0"/>
    </xf>
    <xf numFmtId="164" fontId="2" fillId="9" borderId="44" xfId="0" applyNumberFormat="1" applyFont="1" applyFill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center" vertical="center" wrapText="1"/>
    </xf>
    <xf numFmtId="164" fontId="2" fillId="0" borderId="39" xfId="0" applyNumberFormat="1" applyFont="1" applyBorder="1" applyAlignment="1" applyProtection="1">
      <alignment horizontal="center" vertical="center"/>
    </xf>
    <xf numFmtId="164" fontId="2" fillId="8" borderId="13" xfId="0" applyNumberFormat="1" applyFont="1" applyFill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horizontal="center" vertical="center" wrapText="1"/>
    </xf>
    <xf numFmtId="2" fontId="7" fillId="8" borderId="35" xfId="0" applyNumberFormat="1" applyFont="1" applyFill="1" applyBorder="1" applyAlignment="1" applyProtection="1">
      <alignment horizontal="center" vertical="center"/>
    </xf>
    <xf numFmtId="2" fontId="2" fillId="4" borderId="35" xfId="0" applyNumberFormat="1" applyFont="1" applyFill="1" applyBorder="1" applyAlignment="1" applyProtection="1">
      <alignment horizontal="center" vertical="center"/>
    </xf>
    <xf numFmtId="0" fontId="2" fillId="0" borderId="28" xfId="0" applyFont="1" applyBorder="1" applyAlignment="1" applyProtection="1">
      <alignment horizontal="center" vertical="center" wrapText="1"/>
    </xf>
    <xf numFmtId="0" fontId="2" fillId="0" borderId="40" xfId="0" applyFont="1" applyBorder="1" applyAlignment="1" applyProtection="1">
      <alignment horizontal="center" vertical="center" wrapText="1"/>
    </xf>
    <xf numFmtId="0" fontId="2" fillId="0" borderId="38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/>
    </xf>
    <xf numFmtId="0" fontId="2" fillId="0" borderId="39" xfId="0" applyFont="1" applyBorder="1" applyAlignment="1" applyProtection="1">
      <alignment horizontal="center" vertical="center"/>
    </xf>
    <xf numFmtId="164" fontId="2" fillId="0" borderId="38" xfId="0" applyNumberFormat="1" applyFont="1" applyFill="1" applyBorder="1" applyAlignment="1" applyProtection="1">
      <alignment horizontal="center" vertical="center"/>
    </xf>
    <xf numFmtId="2" fontId="7" fillId="0" borderId="39" xfId="0" applyNumberFormat="1" applyFont="1" applyFill="1" applyBorder="1" applyAlignment="1" applyProtection="1">
      <alignment horizontal="center" vertical="center"/>
    </xf>
    <xf numFmtId="164" fontId="2" fillId="0" borderId="36" xfId="0" applyNumberFormat="1" applyFont="1" applyFill="1" applyBorder="1" applyAlignment="1" applyProtection="1">
      <alignment horizontal="center" vertical="center"/>
    </xf>
    <xf numFmtId="164" fontId="2" fillId="0" borderId="27" xfId="0" applyNumberFormat="1" applyFont="1" applyFill="1" applyBorder="1" applyAlignment="1" applyProtection="1">
      <alignment horizontal="center" vertical="center"/>
    </xf>
    <xf numFmtId="0" fontId="11" fillId="0" borderId="40" xfId="0" applyFont="1" applyBorder="1" applyAlignment="1" applyProtection="1">
      <alignment horizontal="center" vertical="center"/>
    </xf>
    <xf numFmtId="0" fontId="2" fillId="0" borderId="30" xfId="0" applyFont="1" applyBorder="1" applyAlignment="1" applyProtection="1">
      <alignment horizontal="center" vertical="center"/>
    </xf>
    <xf numFmtId="16" fontId="12" fillId="0" borderId="39" xfId="0" applyNumberFormat="1" applyFont="1" applyBorder="1" applyAlignment="1" applyProtection="1">
      <alignment horizontal="center" vertical="center"/>
    </xf>
    <xf numFmtId="16" fontId="11" fillId="0" borderId="14" xfId="0" applyNumberFormat="1" applyFont="1" applyBorder="1" applyAlignment="1" applyProtection="1">
      <alignment horizontal="center" vertical="center"/>
    </xf>
    <xf numFmtId="0" fontId="11" fillId="0" borderId="30" xfId="0" applyFont="1" applyBorder="1" applyAlignment="1" applyProtection="1">
      <alignment horizontal="center" vertical="center" wrapText="1"/>
    </xf>
    <xf numFmtId="0" fontId="13" fillId="13" borderId="0" xfId="0" applyFont="1" applyFill="1" applyAlignment="1" applyProtection="1">
      <alignment horizontal="right" vertical="center" wrapText="1"/>
    </xf>
    <xf numFmtId="164" fontId="14" fillId="17" borderId="0" xfId="0" applyNumberFormat="1" applyFont="1" applyFill="1" applyBorder="1" applyAlignment="1" applyProtection="1">
      <alignment horizontal="center"/>
    </xf>
    <xf numFmtId="164" fontId="14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2" fontId="14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wrapText="1"/>
    </xf>
    <xf numFmtId="2" fontId="15" fillId="0" borderId="0" xfId="0" applyNumberFormat="1" applyFont="1" applyFill="1" applyBorder="1" applyAlignment="1" applyProtection="1">
      <alignment horizontal="center"/>
    </xf>
    <xf numFmtId="164" fontId="15" fillId="0" borderId="0" xfId="0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 wrapText="1"/>
    </xf>
    <xf numFmtId="2" fontId="14" fillId="17" borderId="0" xfId="0" applyNumberFormat="1" applyFont="1" applyFill="1" applyBorder="1" applyAlignment="1" applyProtection="1">
      <alignment horizontal="center"/>
    </xf>
    <xf numFmtId="164" fontId="16" fillId="0" borderId="0" xfId="0" applyNumberFormat="1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164" fontId="14" fillId="19" borderId="52" xfId="0" applyNumberFormat="1" applyFont="1" applyFill="1" applyBorder="1" applyAlignment="1" applyProtection="1">
      <alignment horizontal="center"/>
    </xf>
    <xf numFmtId="0" fontId="14" fillId="19" borderId="52" xfId="0" applyFont="1" applyFill="1" applyBorder="1" applyAlignment="1" applyProtection="1">
      <alignment horizontal="center"/>
    </xf>
    <xf numFmtId="2" fontId="14" fillId="19" borderId="52" xfId="0" applyNumberFormat="1" applyFont="1" applyFill="1" applyBorder="1" applyAlignment="1" applyProtection="1">
      <alignment horizontal="center"/>
    </xf>
    <xf numFmtId="0" fontId="14" fillId="20" borderId="0" xfId="0" applyFont="1" applyFill="1" applyBorder="1" applyAlignment="1" applyProtection="1">
      <alignment wrapText="1"/>
    </xf>
    <xf numFmtId="0" fontId="14" fillId="20" borderId="12" xfId="0" applyFont="1" applyFill="1" applyBorder="1" applyAlignment="1" applyProtection="1">
      <alignment horizontal="center" wrapText="1"/>
    </xf>
    <xf numFmtId="0" fontId="14" fillId="18" borderId="44" xfId="0" applyFont="1" applyFill="1" applyBorder="1" applyAlignment="1" applyProtection="1">
      <alignment horizontal="center" vertical="center" wrapText="1"/>
    </xf>
    <xf numFmtId="164" fontId="14" fillId="19" borderId="44" xfId="0" applyNumberFormat="1" applyFont="1" applyFill="1" applyBorder="1" applyAlignment="1" applyProtection="1">
      <alignment horizontal="center"/>
    </xf>
    <xf numFmtId="0" fontId="14" fillId="19" borderId="44" xfId="0" applyFont="1" applyFill="1" applyBorder="1" applyAlignment="1" applyProtection="1">
      <alignment horizontal="center"/>
    </xf>
    <xf numFmtId="2" fontId="14" fillId="19" borderId="44" xfId="0" applyNumberFormat="1" applyFont="1" applyFill="1" applyBorder="1" applyAlignment="1" applyProtection="1">
      <alignment horizontal="center"/>
    </xf>
    <xf numFmtId="164" fontId="14" fillId="19" borderId="44" xfId="0" applyNumberFormat="1" applyFont="1" applyFill="1" applyBorder="1" applyAlignment="1" applyProtection="1">
      <alignment vertical="center" wrapText="1"/>
    </xf>
    <xf numFmtId="0" fontId="14" fillId="20" borderId="2" xfId="0" applyFont="1" applyFill="1" applyBorder="1" applyAlignment="1" applyProtection="1">
      <alignment horizontal="center" wrapText="1"/>
    </xf>
    <xf numFmtId="0" fontId="14" fillId="0" borderId="0" xfId="0" applyFont="1" applyBorder="1" applyAlignment="1" applyProtection="1">
      <alignment horizontal="center"/>
    </xf>
    <xf numFmtId="0" fontId="11" fillId="0" borderId="14" xfId="0" applyFont="1" applyBorder="1" applyAlignment="1" applyProtection="1">
      <alignment horizontal="center" vertical="center"/>
    </xf>
    <xf numFmtId="16" fontId="11" fillId="0" borderId="17" xfId="0" applyNumberFormat="1" applyFont="1" applyBorder="1" applyAlignment="1" applyProtection="1">
      <alignment horizontal="center" vertical="center"/>
    </xf>
    <xf numFmtId="16" fontId="11" fillId="0" borderId="19" xfId="0" applyNumberFormat="1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right" vertical="center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39" xfId="0" applyFont="1" applyBorder="1" applyAlignment="1" applyProtection="1">
      <alignment horizontal="center" vertical="center" wrapText="1"/>
    </xf>
    <xf numFmtId="0" fontId="3" fillId="0" borderId="36" xfId="0" applyFont="1" applyBorder="1" applyAlignment="1" applyProtection="1">
      <alignment horizontal="center" vertical="center" wrapText="1"/>
    </xf>
    <xf numFmtId="0" fontId="3" fillId="0" borderId="39" xfId="0" applyFont="1" applyBorder="1" applyAlignment="1" applyProtection="1">
      <alignment horizontal="center" vertical="center" wrapText="1"/>
    </xf>
    <xf numFmtId="0" fontId="11" fillId="0" borderId="39" xfId="0" applyFont="1" applyBorder="1" applyAlignment="1" applyProtection="1">
      <alignment horizontal="center" vertical="center" wrapText="1"/>
    </xf>
    <xf numFmtId="16" fontId="2" fillId="0" borderId="34" xfId="0" applyNumberFormat="1" applyFont="1" applyBorder="1" applyAlignment="1" applyProtection="1">
      <alignment horizontal="center" vertical="center"/>
      <protection locked="0"/>
    </xf>
    <xf numFmtId="16" fontId="11" fillId="0" borderId="35" xfId="0" applyNumberFormat="1" applyFont="1" applyBorder="1" applyAlignment="1" applyProtection="1">
      <alignment horizontal="center" vertical="center"/>
      <protection locked="0"/>
    </xf>
    <xf numFmtId="16" fontId="2" fillId="0" borderId="17" xfId="0" applyNumberFormat="1" applyFont="1" applyBorder="1" applyAlignment="1" applyProtection="1">
      <alignment horizontal="center" vertical="center"/>
      <protection locked="0"/>
    </xf>
    <xf numFmtId="16" fontId="11" fillId="0" borderId="18" xfId="0" applyNumberFormat="1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vertical="center"/>
      <protection locked="0"/>
    </xf>
    <xf numFmtId="16" fontId="11" fillId="0" borderId="23" xfId="0" applyNumberFormat="1" applyFont="1" applyBorder="1" applyAlignment="1" applyProtection="1">
      <alignment horizontal="center" vertical="center"/>
      <protection locked="0"/>
    </xf>
    <xf numFmtId="164" fontId="2" fillId="16" borderId="6" xfId="0" applyNumberFormat="1" applyFont="1" applyFill="1" applyBorder="1" applyAlignment="1" applyProtection="1">
      <alignment horizontal="center" vertical="center"/>
      <protection locked="0"/>
    </xf>
    <xf numFmtId="164" fontId="2" fillId="16" borderId="1" xfId="0" applyNumberFormat="1" applyFont="1" applyFill="1" applyBorder="1" applyAlignment="1" applyProtection="1">
      <alignment horizontal="center" vertical="center"/>
      <protection locked="0"/>
    </xf>
    <xf numFmtId="164" fontId="2" fillId="16" borderId="2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4" fillId="0" borderId="5" xfId="0" applyFont="1" applyBorder="1" applyAlignment="1" applyProtection="1">
      <alignment horizontal="center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2" fillId="0" borderId="55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164" fontId="2" fillId="6" borderId="19" xfId="0" applyNumberFormat="1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64" fontId="19" fillId="21" borderId="4" xfId="0" applyNumberFormat="1" applyFont="1" applyFill="1" applyBorder="1" applyAlignment="1" applyProtection="1">
      <alignment horizontal="center"/>
      <protection locked="0"/>
    </xf>
    <xf numFmtId="164" fontId="19" fillId="22" borderId="4" xfId="0" applyNumberFormat="1" applyFont="1" applyFill="1" applyBorder="1" applyAlignment="1" applyProtection="1">
      <alignment horizontal="center"/>
      <protection locked="0"/>
    </xf>
    <xf numFmtId="0" fontId="19" fillId="0" borderId="4" xfId="0" applyFont="1" applyBorder="1" applyAlignment="1" applyProtection="1">
      <alignment horizontal="center"/>
      <protection locked="0"/>
    </xf>
    <xf numFmtId="2" fontId="19" fillId="0" borderId="4" xfId="0" applyNumberFormat="1" applyFont="1" applyBorder="1" applyAlignment="1" applyProtection="1">
      <alignment horizontal="center"/>
      <protection locked="0"/>
    </xf>
    <xf numFmtId="0" fontId="19" fillId="20" borderId="8" xfId="0" applyFont="1" applyFill="1" applyBorder="1" applyAlignment="1" applyProtection="1">
      <alignment wrapText="1"/>
      <protection locked="0"/>
    </xf>
    <xf numFmtId="2" fontId="20" fillId="22" borderId="4" xfId="0" applyNumberFormat="1" applyFont="1" applyFill="1" applyBorder="1" applyAlignment="1" applyProtection="1">
      <alignment horizontal="center"/>
      <protection locked="0"/>
    </xf>
    <xf numFmtId="2" fontId="19" fillId="21" borderId="4" xfId="0" applyNumberFormat="1" applyFont="1" applyFill="1" applyBorder="1" applyAlignment="1" applyProtection="1">
      <alignment horizontal="center"/>
      <protection locked="0"/>
    </xf>
    <xf numFmtId="2" fontId="21" fillId="22" borderId="4" xfId="0" applyNumberFormat="1" applyFont="1" applyFill="1" applyBorder="1" applyAlignment="1" applyProtection="1">
      <alignment horizontal="center"/>
      <protection locked="0"/>
    </xf>
    <xf numFmtId="164" fontId="22" fillId="22" borderId="4" xfId="0" applyNumberFormat="1" applyFont="1" applyFill="1" applyBorder="1" applyAlignment="1" applyProtection="1">
      <alignment horizontal="center"/>
      <protection locked="0"/>
    </xf>
    <xf numFmtId="0" fontId="19" fillId="20" borderId="4" xfId="0" applyFont="1" applyFill="1" applyBorder="1" applyAlignment="1" applyProtection="1">
      <alignment horizontal="center" wrapText="1"/>
      <protection locked="0"/>
    </xf>
    <xf numFmtId="2" fontId="19" fillId="22" borderId="4" xfId="0" applyNumberFormat="1" applyFont="1" applyFill="1" applyBorder="1" applyAlignment="1" applyProtection="1">
      <alignment horizontal="center"/>
      <protection locked="0"/>
    </xf>
    <xf numFmtId="2" fontId="19" fillId="22" borderId="13" xfId="0" applyNumberFormat="1" applyFont="1" applyFill="1" applyBorder="1" applyAlignment="1" applyProtection="1">
      <alignment horizontal="center"/>
      <protection locked="0"/>
    </xf>
    <xf numFmtId="0" fontId="19" fillId="20" borderId="8" xfId="0" applyFont="1" applyFill="1" applyBorder="1" applyAlignment="1" applyProtection="1">
      <alignment horizontal="center"/>
      <protection locked="0"/>
    </xf>
    <xf numFmtId="164" fontId="20" fillId="22" borderId="4" xfId="0" applyNumberFormat="1" applyFont="1" applyFill="1" applyBorder="1" applyAlignment="1" applyProtection="1">
      <alignment horizontal="center"/>
      <protection locked="0"/>
    </xf>
    <xf numFmtId="164" fontId="21" fillId="0" borderId="4" xfId="0" applyNumberFormat="1" applyFont="1" applyBorder="1" applyAlignment="1" applyProtection="1">
      <alignment horizontal="center"/>
      <protection locked="0"/>
    </xf>
    <xf numFmtId="164" fontId="19" fillId="0" borderId="4" xfId="0" applyNumberFormat="1" applyFont="1" applyBorder="1" applyAlignment="1" applyProtection="1">
      <alignment horizontal="center"/>
      <protection locked="0"/>
    </xf>
    <xf numFmtId="164" fontId="19" fillId="0" borderId="4" xfId="0" applyNumberFormat="1" applyFont="1" applyFill="1" applyBorder="1" applyAlignment="1" applyProtection="1">
      <alignment horizontal="center"/>
      <protection locked="0"/>
    </xf>
    <xf numFmtId="164" fontId="21" fillId="22" borderId="4" xfId="0" applyNumberFormat="1" applyFont="1" applyFill="1" applyBorder="1" applyAlignment="1" applyProtection="1">
      <alignment horizontal="center"/>
      <protection locked="0"/>
    </xf>
    <xf numFmtId="0" fontId="19" fillId="21" borderId="4" xfId="0" applyFont="1" applyFill="1" applyBorder="1" applyAlignment="1" applyProtection="1">
      <alignment horizontal="center" wrapText="1"/>
      <protection locked="0"/>
    </xf>
    <xf numFmtId="164" fontId="23" fillId="0" borderId="4" xfId="0" applyNumberFormat="1" applyFont="1" applyBorder="1" applyAlignment="1" applyProtection="1">
      <alignment horizontal="center"/>
      <protection locked="0"/>
    </xf>
    <xf numFmtId="164" fontId="23" fillId="22" borderId="4" xfId="0" applyNumberFormat="1" applyFont="1" applyFill="1" applyBorder="1" applyAlignment="1" applyProtection="1">
      <alignment horizontal="center"/>
      <protection locked="0"/>
    </xf>
    <xf numFmtId="0" fontId="19" fillId="0" borderId="8" xfId="0" applyFont="1" applyFill="1" applyBorder="1" applyAlignment="1" applyProtection="1">
      <alignment wrapText="1"/>
      <protection locked="0"/>
    </xf>
    <xf numFmtId="0" fontId="23" fillId="0" borderId="4" xfId="0" applyFont="1" applyBorder="1" applyAlignment="1" applyProtection="1">
      <alignment horizontal="center"/>
      <protection locked="0"/>
    </xf>
    <xf numFmtId="0" fontId="19" fillId="21" borderId="4" xfId="0" applyFont="1" applyFill="1" applyBorder="1" applyAlignment="1" applyProtection="1">
      <alignment horizontal="center"/>
      <protection locked="0"/>
    </xf>
    <xf numFmtId="0" fontId="21" fillId="0" borderId="4" xfId="0" applyFont="1" applyBorder="1" applyAlignment="1" applyProtection="1">
      <alignment horizontal="center"/>
      <protection locked="0"/>
    </xf>
    <xf numFmtId="0" fontId="6" fillId="0" borderId="29" xfId="0" applyFont="1" applyFill="1" applyBorder="1" applyAlignment="1" applyProtection="1">
      <alignment horizontal="center" vertical="center"/>
    </xf>
    <xf numFmtId="164" fontId="2" fillId="0" borderId="29" xfId="0" applyNumberFormat="1" applyFont="1" applyFill="1" applyBorder="1" applyAlignment="1" applyProtection="1">
      <alignment horizontal="center" vertical="center" wrapText="1"/>
    </xf>
    <xf numFmtId="0" fontId="2" fillId="0" borderId="29" xfId="0" applyFont="1" applyBorder="1" applyAlignment="1" applyProtection="1">
      <alignment horizontal="center" vertical="center"/>
    </xf>
    <xf numFmtId="164" fontId="2" fillId="0" borderId="29" xfId="0" applyNumberFormat="1" applyFont="1" applyBorder="1" applyAlignment="1" applyProtection="1">
      <alignment horizontal="center" vertical="center"/>
    </xf>
    <xf numFmtId="0" fontId="0" fillId="0" borderId="29" xfId="0" applyBorder="1" applyProtection="1"/>
    <xf numFmtId="164" fontId="0" fillId="0" borderId="29" xfId="0" applyNumberFormat="1" applyBorder="1" applyProtection="1"/>
    <xf numFmtId="2" fontId="2" fillId="0" borderId="0" xfId="0" applyNumberFormat="1" applyFont="1" applyAlignment="1" applyProtection="1">
      <alignment horizontal="center" vertical="center"/>
    </xf>
    <xf numFmtId="2" fontId="2" fillId="0" borderId="40" xfId="0" applyNumberFormat="1" applyFont="1" applyBorder="1" applyAlignment="1" applyProtection="1">
      <alignment horizontal="center" vertical="center" wrapText="1"/>
    </xf>
    <xf numFmtId="2" fontId="2" fillId="0" borderId="38" xfId="0" applyNumberFormat="1" applyFont="1" applyBorder="1" applyAlignment="1" applyProtection="1">
      <alignment horizontal="center" vertical="center" wrapText="1"/>
    </xf>
    <xf numFmtId="2" fontId="11" fillId="0" borderId="39" xfId="0" applyNumberFormat="1" applyFont="1" applyBorder="1" applyAlignment="1" applyProtection="1">
      <alignment horizontal="center" vertical="center" wrapText="1"/>
    </xf>
    <xf numFmtId="164" fontId="2" fillId="12" borderId="40" xfId="0" applyNumberFormat="1" applyFont="1" applyFill="1" applyBorder="1" applyAlignment="1" applyProtection="1">
      <alignment horizontal="center" vertical="center" wrapText="1"/>
    </xf>
    <xf numFmtId="164" fontId="2" fillId="12" borderId="38" xfId="0" applyNumberFormat="1" applyFont="1" applyFill="1" applyBorder="1" applyAlignment="1" applyProtection="1">
      <alignment horizontal="center" vertical="center" wrapText="1"/>
    </xf>
    <xf numFmtId="164" fontId="2" fillId="5" borderId="39" xfId="0" applyNumberFormat="1" applyFont="1" applyFill="1" applyBorder="1" applyAlignment="1" applyProtection="1">
      <alignment horizontal="center" vertical="center" wrapText="1"/>
    </xf>
    <xf numFmtId="164" fontId="2" fillId="12" borderId="14" xfId="0" applyNumberFormat="1" applyFont="1" applyFill="1" applyBorder="1" applyAlignment="1" applyProtection="1">
      <alignment horizontal="center" vertical="center" wrapText="1"/>
    </xf>
    <xf numFmtId="164" fontId="2" fillId="12" borderId="15" xfId="0" applyNumberFormat="1" applyFont="1" applyFill="1" applyBorder="1" applyAlignment="1" applyProtection="1">
      <alignment horizontal="center" vertical="center" wrapText="1"/>
    </xf>
    <xf numFmtId="164" fontId="2" fillId="5" borderId="16" xfId="0" applyNumberFormat="1" applyFont="1" applyFill="1" applyBorder="1" applyAlignment="1" applyProtection="1">
      <alignment horizontal="center" vertical="center" wrapText="1"/>
    </xf>
    <xf numFmtId="164" fontId="2" fillId="12" borderId="17" xfId="0" applyNumberFormat="1" applyFont="1" applyFill="1" applyBorder="1" applyAlignment="1" applyProtection="1">
      <alignment horizontal="center" vertical="center" wrapText="1"/>
    </xf>
    <xf numFmtId="164" fontId="2" fillId="12" borderId="4" xfId="0" applyNumberFormat="1" applyFont="1" applyFill="1" applyBorder="1" applyAlignment="1" applyProtection="1">
      <alignment horizontal="center" vertical="center" wrapText="1"/>
    </xf>
    <xf numFmtId="164" fontId="2" fillId="5" borderId="18" xfId="0" applyNumberFormat="1" applyFont="1" applyFill="1" applyBorder="1" applyAlignment="1" applyProtection="1">
      <alignment horizontal="center" vertical="center" wrapText="1"/>
    </xf>
    <xf numFmtId="2" fontId="2" fillId="7" borderId="40" xfId="0" applyNumberFormat="1" applyFont="1" applyFill="1" applyBorder="1" applyAlignment="1" applyProtection="1">
      <alignment horizontal="center" vertical="center" wrapText="1"/>
    </xf>
    <xf numFmtId="2" fontId="2" fillId="7" borderId="38" xfId="0" applyNumberFormat="1" applyFont="1" applyFill="1" applyBorder="1" applyAlignment="1" applyProtection="1">
      <alignment horizontal="center" vertical="center" wrapText="1"/>
    </xf>
    <xf numFmtId="2" fontId="2" fillId="14" borderId="38" xfId="0" applyNumberFormat="1" applyFont="1" applyFill="1" applyBorder="1" applyAlignment="1" applyProtection="1">
      <alignment horizontal="center" vertical="center" wrapText="1"/>
    </xf>
    <xf numFmtId="2" fontId="2" fillId="7" borderId="34" xfId="0" applyNumberFormat="1" applyFont="1" applyFill="1" applyBorder="1" applyAlignment="1" applyProtection="1">
      <alignment horizontal="center" vertical="center" wrapText="1"/>
    </xf>
    <xf numFmtId="2" fontId="2" fillId="7" borderId="13" xfId="0" applyNumberFormat="1" applyFont="1" applyFill="1" applyBorder="1" applyAlignment="1" applyProtection="1">
      <alignment horizontal="center" vertical="center" wrapText="1"/>
    </xf>
    <xf numFmtId="2" fontId="2" fillId="14" borderId="15" xfId="0" applyNumberFormat="1" applyFont="1" applyFill="1" applyBorder="1" applyAlignment="1" applyProtection="1">
      <alignment horizontal="center" vertical="center" wrapText="1"/>
    </xf>
    <xf numFmtId="2" fontId="2" fillId="7" borderId="17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2" fontId="2" fillId="14" borderId="4" xfId="0" applyNumberFormat="1" applyFont="1" applyFill="1" applyBorder="1" applyAlignment="1" applyProtection="1">
      <alignment horizontal="center" vertical="center" wrapText="1"/>
    </xf>
    <xf numFmtId="2" fontId="2" fillId="11" borderId="40" xfId="0" applyNumberFormat="1" applyFont="1" applyFill="1" applyBorder="1" applyAlignment="1" applyProtection="1">
      <alignment horizontal="center" vertical="center" wrapText="1"/>
    </xf>
    <xf numFmtId="2" fontId="2" fillId="11" borderId="38" xfId="0" applyNumberFormat="1" applyFont="1" applyFill="1" applyBorder="1" applyAlignment="1" applyProtection="1">
      <alignment horizontal="center" vertical="center" wrapText="1"/>
    </xf>
    <xf numFmtId="2" fontId="2" fillId="10" borderId="38" xfId="0" applyNumberFormat="1" applyFont="1" applyFill="1" applyBorder="1" applyAlignment="1" applyProtection="1">
      <alignment horizontal="center" vertical="center" wrapText="1"/>
    </xf>
    <xf numFmtId="2" fontId="2" fillId="11" borderId="14" xfId="0" applyNumberFormat="1" applyFont="1" applyFill="1" applyBorder="1" applyAlignment="1" applyProtection="1">
      <alignment horizontal="center" vertical="center" wrapText="1"/>
    </xf>
    <xf numFmtId="2" fontId="2" fillId="11" borderId="15" xfId="0" applyNumberFormat="1" applyFont="1" applyFill="1" applyBorder="1" applyAlignment="1" applyProtection="1">
      <alignment horizontal="center" vertical="center" wrapText="1"/>
    </xf>
    <xf numFmtId="2" fontId="2" fillId="10" borderId="15" xfId="0" applyNumberFormat="1" applyFont="1" applyFill="1" applyBorder="1" applyAlignment="1" applyProtection="1">
      <alignment horizontal="center" vertical="center" wrapText="1"/>
    </xf>
    <xf numFmtId="2" fontId="2" fillId="11" borderId="17" xfId="0" applyNumberFormat="1" applyFont="1" applyFill="1" applyBorder="1" applyAlignment="1" applyProtection="1">
      <alignment horizontal="center" vertical="center" wrapText="1"/>
    </xf>
    <xf numFmtId="2" fontId="2" fillId="11" borderId="4" xfId="0" applyNumberFormat="1" applyFont="1" applyFill="1" applyBorder="1" applyAlignment="1" applyProtection="1">
      <alignment horizontal="center" vertical="center" wrapText="1"/>
    </xf>
    <xf numFmtId="2" fontId="2" fillId="10" borderId="4" xfId="0" applyNumberFormat="1" applyFont="1" applyFill="1" applyBorder="1" applyAlignment="1" applyProtection="1">
      <alignment horizontal="center" vertical="center" wrapText="1"/>
    </xf>
    <xf numFmtId="164" fontId="11" fillId="15" borderId="40" xfId="0" applyNumberFormat="1" applyFont="1" applyFill="1" applyBorder="1" applyAlignment="1" applyProtection="1">
      <alignment horizontal="center" vertical="center"/>
    </xf>
    <xf numFmtId="164" fontId="11" fillId="15" borderId="38" xfId="0" applyNumberFormat="1" applyFont="1" applyFill="1" applyBorder="1" applyAlignment="1" applyProtection="1">
      <alignment horizontal="center" vertical="center"/>
    </xf>
    <xf numFmtId="164" fontId="11" fillId="15" borderId="39" xfId="0" applyNumberFormat="1" applyFont="1" applyFill="1" applyBorder="1" applyAlignment="1" applyProtection="1">
      <alignment horizontal="center" vertical="center"/>
    </xf>
    <xf numFmtId="164" fontId="11" fillId="15" borderId="14" xfId="0" applyNumberFormat="1" applyFont="1" applyFill="1" applyBorder="1" applyAlignment="1" applyProtection="1">
      <alignment horizontal="center" vertical="center"/>
    </xf>
    <xf numFmtId="164" fontId="11" fillId="15" borderId="15" xfId="0" applyNumberFormat="1" applyFont="1" applyFill="1" applyBorder="1" applyAlignment="1" applyProtection="1">
      <alignment horizontal="center" vertical="center"/>
    </xf>
    <xf numFmtId="164" fontId="11" fillId="15" borderId="16" xfId="0" applyNumberFormat="1" applyFont="1" applyFill="1" applyBorder="1" applyAlignment="1" applyProtection="1">
      <alignment horizontal="center" vertical="center"/>
    </xf>
    <xf numFmtId="164" fontId="11" fillId="15" borderId="17" xfId="0" applyNumberFormat="1" applyFont="1" applyFill="1" applyBorder="1" applyAlignment="1" applyProtection="1">
      <alignment horizontal="center" vertical="center"/>
    </xf>
    <xf numFmtId="164" fontId="11" fillId="15" borderId="4" xfId="0" applyNumberFormat="1" applyFont="1" applyFill="1" applyBorder="1" applyAlignment="1" applyProtection="1">
      <alignment horizontal="center" vertical="center"/>
    </xf>
    <xf numFmtId="164" fontId="11" fillId="15" borderId="18" xfId="0" applyNumberFormat="1" applyFont="1" applyFill="1" applyBorder="1" applyAlignment="1" applyProtection="1">
      <alignment horizontal="center" vertical="center"/>
    </xf>
    <xf numFmtId="2" fontId="11" fillId="11" borderId="39" xfId="0" applyNumberFormat="1" applyFont="1" applyFill="1" applyBorder="1" applyAlignment="1" applyProtection="1">
      <alignment horizontal="center" vertical="center"/>
      <protection locked="0"/>
    </xf>
    <xf numFmtId="164" fontId="11" fillId="7" borderId="39" xfId="0" applyNumberFormat="1" applyFont="1" applyFill="1" applyBorder="1" applyAlignment="1" applyProtection="1">
      <alignment horizontal="center" vertical="center"/>
      <protection locked="0"/>
    </xf>
    <xf numFmtId="164" fontId="2" fillId="16" borderId="36" xfId="0" applyNumberFormat="1" applyFont="1" applyFill="1" applyBorder="1" applyAlignment="1" applyProtection="1">
      <alignment horizontal="center" vertical="center"/>
      <protection locked="0"/>
    </xf>
    <xf numFmtId="2" fontId="2" fillId="4" borderId="39" xfId="0" applyNumberFormat="1" applyFont="1" applyFill="1" applyBorder="1" applyAlignment="1" applyProtection="1">
      <alignment horizontal="center" vertical="center"/>
    </xf>
    <xf numFmtId="164" fontId="2" fillId="9" borderId="37" xfId="0" applyNumberFormat="1" applyFont="1" applyFill="1" applyBorder="1" applyAlignment="1" applyProtection="1">
      <alignment horizontal="center" vertical="center"/>
      <protection locked="0"/>
    </xf>
    <xf numFmtId="164" fontId="2" fillId="9" borderId="11" xfId="0" applyNumberFormat="1" applyFont="1" applyFill="1" applyBorder="1" applyAlignment="1" applyProtection="1">
      <alignment horizontal="center" vertical="center"/>
      <protection locked="0"/>
    </xf>
    <xf numFmtId="164" fontId="2" fillId="9" borderId="7" xfId="0" applyNumberFormat="1" applyFont="1" applyFill="1" applyBorder="1" applyAlignment="1" applyProtection="1">
      <alignment horizontal="center" vertical="center"/>
    </xf>
    <xf numFmtId="164" fontId="2" fillId="9" borderId="22" xfId="0" applyNumberFormat="1" applyFont="1" applyFill="1" applyBorder="1" applyAlignment="1" applyProtection="1">
      <alignment horizontal="center" vertical="center"/>
    </xf>
    <xf numFmtId="2" fontId="11" fillId="11" borderId="39" xfId="0" applyNumberFormat="1" applyFont="1" applyFill="1" applyBorder="1" applyAlignment="1" applyProtection="1">
      <alignment horizontal="center" vertical="center" wrapText="1"/>
    </xf>
    <xf numFmtId="164" fontId="11" fillId="7" borderId="39" xfId="0" applyNumberFormat="1" applyFont="1" applyFill="1" applyBorder="1" applyAlignment="1" applyProtection="1">
      <alignment horizontal="center" vertical="center" wrapText="1"/>
    </xf>
    <xf numFmtId="2" fontId="11" fillId="11" borderId="35" xfId="0" applyNumberFormat="1" applyFont="1" applyFill="1" applyBorder="1" applyAlignment="1" applyProtection="1">
      <alignment horizontal="center" vertical="center"/>
    </xf>
    <xf numFmtId="164" fontId="11" fillId="7" borderId="35" xfId="0" applyNumberFormat="1" applyFont="1" applyFill="1" applyBorder="1" applyAlignment="1" applyProtection="1">
      <alignment horizontal="center" vertical="center"/>
    </xf>
    <xf numFmtId="2" fontId="11" fillId="11" borderId="18" xfId="0" applyNumberFormat="1" applyFont="1" applyFill="1" applyBorder="1" applyAlignment="1" applyProtection="1">
      <alignment horizontal="center" vertical="center"/>
    </xf>
    <xf numFmtId="164" fontId="11" fillId="7" borderId="18" xfId="0" applyNumberFormat="1" applyFont="1" applyFill="1" applyBorder="1" applyAlignment="1" applyProtection="1">
      <alignment horizontal="center" vertical="center"/>
    </xf>
    <xf numFmtId="2" fontId="2" fillId="11" borderId="19" xfId="0" applyNumberFormat="1" applyFont="1" applyFill="1" applyBorder="1" applyAlignment="1" applyProtection="1">
      <alignment horizontal="center" vertical="center" wrapText="1"/>
    </xf>
    <xf numFmtId="2" fontId="2" fillId="11" borderId="20" xfId="0" applyNumberFormat="1" applyFont="1" applyFill="1" applyBorder="1" applyAlignment="1" applyProtection="1">
      <alignment horizontal="center" vertical="center" wrapText="1"/>
    </xf>
    <xf numFmtId="2" fontId="2" fillId="10" borderId="20" xfId="0" applyNumberFormat="1" applyFont="1" applyFill="1" applyBorder="1" applyAlignment="1" applyProtection="1">
      <alignment horizontal="center" vertical="center" wrapText="1"/>
    </xf>
    <xf numFmtId="2" fontId="11" fillId="11" borderId="23" xfId="0" applyNumberFormat="1" applyFont="1" applyFill="1" applyBorder="1" applyAlignment="1" applyProtection="1">
      <alignment horizontal="center" vertical="center"/>
    </xf>
    <xf numFmtId="2" fontId="2" fillId="7" borderId="19" xfId="0" applyNumberFormat="1" applyFont="1" applyFill="1" applyBorder="1" applyAlignment="1" applyProtection="1">
      <alignment horizontal="center" vertical="center" wrapText="1"/>
    </xf>
    <xf numFmtId="2" fontId="2" fillId="7" borderId="20" xfId="0" applyNumberFormat="1" applyFont="1" applyFill="1" applyBorder="1" applyAlignment="1" applyProtection="1">
      <alignment horizontal="center" vertical="center" wrapText="1"/>
    </xf>
    <xf numFmtId="2" fontId="2" fillId="14" borderId="20" xfId="0" applyNumberFormat="1" applyFont="1" applyFill="1" applyBorder="1" applyAlignment="1" applyProtection="1">
      <alignment horizontal="center" vertical="center" wrapText="1"/>
    </xf>
    <xf numFmtId="164" fontId="11" fillId="7" borderId="23" xfId="0" applyNumberFormat="1" applyFont="1" applyFill="1" applyBorder="1" applyAlignment="1" applyProtection="1">
      <alignment horizontal="center" vertical="center"/>
    </xf>
    <xf numFmtId="164" fontId="2" fillId="12" borderId="19" xfId="0" applyNumberFormat="1" applyFont="1" applyFill="1" applyBorder="1" applyAlignment="1" applyProtection="1">
      <alignment horizontal="center" vertical="center" wrapText="1"/>
    </xf>
    <xf numFmtId="164" fontId="2" fillId="12" borderId="20" xfId="0" applyNumberFormat="1" applyFont="1" applyFill="1" applyBorder="1" applyAlignment="1" applyProtection="1">
      <alignment horizontal="center" vertical="center" wrapText="1"/>
    </xf>
    <xf numFmtId="164" fontId="2" fillId="5" borderId="23" xfId="0" applyNumberFormat="1" applyFont="1" applyFill="1" applyBorder="1" applyAlignment="1" applyProtection="1">
      <alignment horizontal="center" vertical="center" wrapText="1"/>
    </xf>
    <xf numFmtId="164" fontId="11" fillId="15" borderId="19" xfId="0" applyNumberFormat="1" applyFont="1" applyFill="1" applyBorder="1" applyAlignment="1" applyProtection="1">
      <alignment horizontal="center" vertical="center"/>
    </xf>
    <xf numFmtId="164" fontId="11" fillId="15" borderId="20" xfId="0" applyNumberFormat="1" applyFont="1" applyFill="1" applyBorder="1" applyAlignment="1" applyProtection="1">
      <alignment horizontal="center" vertical="center"/>
    </xf>
    <xf numFmtId="164" fontId="11" fillId="15" borderId="23" xfId="0" applyNumberFormat="1" applyFont="1" applyFill="1" applyBorder="1" applyAlignment="1" applyProtection="1">
      <alignment horizontal="center" vertical="center"/>
    </xf>
    <xf numFmtId="2" fontId="24" fillId="11" borderId="38" xfId="0" applyNumberFormat="1" applyFont="1" applyFill="1" applyBorder="1" applyAlignment="1" applyProtection="1">
      <alignment horizontal="center" vertical="center" wrapText="1"/>
    </xf>
    <xf numFmtId="2" fontId="24" fillId="11" borderId="15" xfId="0" applyNumberFormat="1" applyFont="1" applyFill="1" applyBorder="1" applyAlignment="1" applyProtection="1">
      <alignment horizontal="center" vertical="center" wrapText="1"/>
    </xf>
    <xf numFmtId="2" fontId="24" fillId="11" borderId="4" xfId="0" applyNumberFormat="1" applyFont="1" applyFill="1" applyBorder="1" applyAlignment="1" applyProtection="1">
      <alignment horizontal="center" vertical="center" wrapText="1"/>
    </xf>
    <xf numFmtId="2" fontId="24" fillId="11" borderId="20" xfId="0" applyNumberFormat="1" applyFont="1" applyFill="1" applyBorder="1" applyAlignment="1" applyProtection="1">
      <alignment horizontal="center" vertical="center" wrapText="1"/>
    </xf>
    <xf numFmtId="2" fontId="24" fillId="7" borderId="38" xfId="0" applyNumberFormat="1" applyFont="1" applyFill="1" applyBorder="1" applyAlignment="1" applyProtection="1">
      <alignment horizontal="center" vertical="center" wrapText="1"/>
    </xf>
    <xf numFmtId="2" fontId="24" fillId="7" borderId="13" xfId="0" applyNumberFormat="1" applyFont="1" applyFill="1" applyBorder="1" applyAlignment="1" applyProtection="1">
      <alignment horizontal="center" vertical="center" wrapText="1"/>
    </xf>
    <xf numFmtId="2" fontId="24" fillId="7" borderId="4" xfId="0" applyNumberFormat="1" applyFont="1" applyFill="1" applyBorder="1" applyAlignment="1" applyProtection="1">
      <alignment horizontal="center" vertical="center" wrapText="1"/>
    </xf>
    <xf numFmtId="2" fontId="24" fillId="7" borderId="20" xfId="0" applyNumberFormat="1" applyFont="1" applyFill="1" applyBorder="1" applyAlignment="1" applyProtection="1">
      <alignment horizontal="center" vertical="center" wrapText="1"/>
    </xf>
    <xf numFmtId="0" fontId="2" fillId="0" borderId="47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2" fillId="0" borderId="26" xfId="0" applyFont="1" applyBorder="1" applyAlignment="1" applyProtection="1">
      <alignment horizontal="center" vertical="center" wrapText="1"/>
    </xf>
    <xf numFmtId="164" fontId="2" fillId="0" borderId="37" xfId="0" applyNumberFormat="1" applyFont="1" applyFill="1" applyBorder="1" applyAlignment="1" applyProtection="1">
      <alignment horizontal="center" vertical="center"/>
    </xf>
    <xf numFmtId="0" fontId="2" fillId="0" borderId="36" xfId="0" applyFont="1" applyBorder="1" applyAlignment="1" applyProtection="1">
      <alignment horizontal="center" vertical="center" wrapText="1"/>
    </xf>
    <xf numFmtId="0" fontId="5" fillId="3" borderId="0" xfId="0" applyFont="1" applyFill="1" applyBorder="1" applyAlignment="1" applyProtection="1">
      <alignment horizontal="center" vertical="center"/>
      <protection locked="0"/>
    </xf>
    <xf numFmtId="164" fontId="2" fillId="24" borderId="7" xfId="0" applyNumberFormat="1" applyFont="1" applyFill="1" applyBorder="1" applyAlignment="1" applyProtection="1">
      <alignment horizontal="center" vertical="center"/>
      <protection locked="0"/>
    </xf>
    <xf numFmtId="164" fontId="2" fillId="24" borderId="3" xfId="0" applyNumberFormat="1" applyFont="1" applyFill="1" applyBorder="1" applyAlignment="1" applyProtection="1">
      <alignment horizontal="center" vertical="center"/>
      <protection locked="0"/>
    </xf>
    <xf numFmtId="164" fontId="2" fillId="24" borderId="22" xfId="0" applyNumberFormat="1" applyFont="1" applyFill="1" applyBorder="1" applyAlignment="1" applyProtection="1">
      <alignment horizontal="center" vertical="center"/>
      <protection locked="0"/>
    </xf>
    <xf numFmtId="2" fontId="7" fillId="0" borderId="36" xfId="0" applyNumberFormat="1" applyFont="1" applyFill="1" applyBorder="1" applyAlignment="1" applyProtection="1">
      <alignment horizontal="center" vertical="center"/>
    </xf>
    <xf numFmtId="2" fontId="7" fillId="8" borderId="6" xfId="0" applyNumberFormat="1" applyFont="1" applyFill="1" applyBorder="1" applyAlignment="1" applyProtection="1">
      <alignment horizontal="center" vertical="center"/>
    </xf>
    <xf numFmtId="2" fontId="7" fillId="8" borderId="21" xfId="0" applyNumberFormat="1" applyFont="1" applyFill="1" applyBorder="1" applyAlignment="1" applyProtection="1">
      <alignment horizontal="center" vertical="center"/>
    </xf>
    <xf numFmtId="0" fontId="6" fillId="0" borderId="39" xfId="0" applyFont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/>
    </xf>
    <xf numFmtId="2" fontId="2" fillId="4" borderId="6" xfId="0" applyNumberFormat="1" applyFont="1" applyFill="1" applyBorder="1" applyAlignment="1" applyProtection="1">
      <alignment horizontal="center" vertical="center"/>
    </xf>
    <xf numFmtId="2" fontId="2" fillId="4" borderId="21" xfId="0" applyNumberFormat="1" applyFont="1" applyFill="1" applyBorder="1" applyAlignment="1" applyProtection="1">
      <alignment horizontal="center" vertical="center"/>
    </xf>
    <xf numFmtId="2" fontId="7" fillId="8" borderId="36" xfId="0" applyNumberFormat="1" applyFont="1" applyFill="1" applyBorder="1" applyAlignment="1" applyProtection="1">
      <alignment horizontal="center" vertical="center"/>
    </xf>
    <xf numFmtId="164" fontId="2" fillId="24" borderId="37" xfId="0" applyNumberFormat="1" applyFont="1" applyFill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center"/>
      <protection locked="0"/>
    </xf>
    <xf numFmtId="164" fontId="16" fillId="22" borderId="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wrapText="1"/>
      <protection locked="0"/>
    </xf>
    <xf numFmtId="0" fontId="16" fillId="0" borderId="4" xfId="0" applyFont="1" applyBorder="1" applyAlignment="1" applyProtection="1">
      <alignment horizontal="center"/>
      <protection locked="0"/>
    </xf>
    <xf numFmtId="0" fontId="14" fillId="21" borderId="4" xfId="0" applyFont="1" applyFill="1" applyBorder="1" applyAlignment="1" applyProtection="1">
      <alignment horizontal="center"/>
      <protection locked="0"/>
    </xf>
    <xf numFmtId="1" fontId="18" fillId="0" borderId="0" xfId="0" applyNumberFormat="1" applyFont="1" applyFill="1" applyBorder="1" applyAlignment="1" applyProtection="1">
      <alignment horizontal="center"/>
      <protection locked="0"/>
    </xf>
    <xf numFmtId="2" fontId="18" fillId="0" borderId="0" xfId="0" applyNumberFormat="1" applyFont="1" applyFill="1" applyBorder="1" applyAlignment="1" applyProtection="1">
      <alignment horizontal="center"/>
      <protection locked="0"/>
    </xf>
    <xf numFmtId="0" fontId="18" fillId="0" borderId="0" xfId="0" applyFont="1" applyFill="1" applyBorder="1" applyAlignment="1" applyProtection="1">
      <alignment horizontal="center"/>
      <protection locked="0"/>
    </xf>
    <xf numFmtId="0" fontId="14" fillId="23" borderId="0" xfId="0" applyFont="1" applyFill="1" applyBorder="1" applyAlignment="1" applyProtection="1">
      <alignment horizontal="center"/>
      <protection locked="0"/>
    </xf>
    <xf numFmtId="1" fontId="17" fillId="0" borderId="0" xfId="0" applyNumberFormat="1" applyFont="1" applyFill="1" applyBorder="1" applyAlignment="1" applyProtection="1">
      <alignment horizontal="center"/>
      <protection locked="0"/>
    </xf>
    <xf numFmtId="2" fontId="17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10" fontId="0" fillId="0" borderId="0" xfId="0" applyNumberFormat="1" applyProtection="1"/>
    <xf numFmtId="0" fontId="10" fillId="0" borderId="0" xfId="0" applyFont="1" applyFill="1" applyBorder="1" applyAlignment="1" applyProtection="1">
      <alignment horizontal="center" vertical="center" wrapText="1"/>
    </xf>
    <xf numFmtId="22" fontId="6" fillId="0" borderId="39" xfId="0" applyNumberFormat="1" applyFont="1" applyBorder="1" applyAlignment="1" applyProtection="1">
      <alignment horizontal="center" vertical="center"/>
    </xf>
    <xf numFmtId="22" fontId="6" fillId="0" borderId="48" xfId="0" applyNumberFormat="1" applyFont="1" applyBorder="1" applyAlignment="1" applyProtection="1">
      <alignment horizontal="center" vertical="center"/>
    </xf>
    <xf numFmtId="22" fontId="6" fillId="0" borderId="49" xfId="0" applyNumberFormat="1" applyFont="1" applyBorder="1" applyAlignment="1" applyProtection="1">
      <alignment horizontal="center" vertical="center"/>
    </xf>
    <xf numFmtId="22" fontId="6" fillId="0" borderId="50" xfId="0" applyNumberFormat="1" applyFont="1" applyBorder="1" applyAlignment="1" applyProtection="1">
      <alignment horizontal="center" vertical="center"/>
    </xf>
    <xf numFmtId="22" fontId="6" fillId="0" borderId="16" xfId="0" applyNumberFormat="1" applyFont="1" applyBorder="1" applyAlignment="1" applyProtection="1">
      <alignment horizontal="center" vertical="center"/>
    </xf>
    <xf numFmtId="22" fontId="11" fillId="0" borderId="30" xfId="0" applyNumberFormat="1" applyFont="1" applyBorder="1" applyAlignment="1" applyProtection="1">
      <alignment horizontal="center" vertical="center" wrapText="1"/>
      <protection locked="0"/>
    </xf>
    <xf numFmtId="22" fontId="11" fillId="0" borderId="30" xfId="0" applyNumberFormat="1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2" fontId="2" fillId="11" borderId="40" xfId="0" applyNumberFormat="1" applyFont="1" applyFill="1" applyBorder="1" applyAlignment="1" applyProtection="1">
      <alignment horizontal="center" vertical="center" wrapText="1"/>
      <protection locked="0"/>
    </xf>
    <xf numFmtId="2" fontId="2" fillId="11" borderId="38" xfId="0" applyNumberFormat="1" applyFont="1" applyFill="1" applyBorder="1" applyAlignment="1" applyProtection="1">
      <alignment horizontal="center" vertical="center" wrapText="1"/>
      <protection locked="0"/>
    </xf>
    <xf numFmtId="2" fontId="11" fillId="11" borderId="39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40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38" xfId="0" applyNumberFormat="1" applyFont="1" applyFill="1" applyBorder="1" applyAlignment="1" applyProtection="1">
      <alignment horizontal="center" vertical="center" wrapText="1"/>
      <protection locked="0"/>
    </xf>
    <xf numFmtId="164" fontId="11" fillId="7" borderId="39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40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38" xfId="0" applyNumberFormat="1" applyFont="1" applyFill="1" applyBorder="1" applyAlignment="1" applyProtection="1">
      <alignment horizontal="center" vertical="center" wrapText="1"/>
      <protection locked="0"/>
    </xf>
    <xf numFmtId="164" fontId="11" fillId="15" borderId="40" xfId="0" applyNumberFormat="1" applyFont="1" applyFill="1" applyBorder="1" applyAlignment="1" applyProtection="1">
      <alignment horizontal="center" vertical="center"/>
      <protection locked="0"/>
    </xf>
    <xf numFmtId="2" fontId="2" fillId="11" borderId="14" xfId="0" applyNumberFormat="1" applyFont="1" applyFill="1" applyBorder="1" applyAlignment="1" applyProtection="1">
      <alignment horizontal="center" vertical="center" wrapText="1"/>
      <protection locked="0"/>
    </xf>
    <xf numFmtId="2" fontId="2" fillId="11" borderId="15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14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15" xfId="0" applyNumberFormat="1" applyFont="1" applyFill="1" applyBorder="1" applyAlignment="1" applyProtection="1">
      <alignment horizontal="center" vertical="center" wrapText="1"/>
      <protection locked="0"/>
    </xf>
    <xf numFmtId="164" fontId="11" fillId="15" borderId="14" xfId="0" applyNumberFormat="1" applyFont="1" applyFill="1" applyBorder="1" applyAlignment="1" applyProtection="1">
      <alignment horizontal="center" vertical="center"/>
      <protection locked="0"/>
    </xf>
    <xf numFmtId="2" fontId="2" fillId="11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11" borderId="4" xfId="0" applyNumberFormat="1" applyFont="1" applyFill="1" applyBorder="1" applyAlignment="1" applyProtection="1">
      <alignment horizontal="center" vertical="center" wrapText="1"/>
      <protection locked="0"/>
    </xf>
    <xf numFmtId="2" fontId="11" fillId="11" borderId="18" xfId="0" applyNumberFormat="1" applyFont="1" applyFill="1" applyBorder="1" applyAlignment="1" applyProtection="1">
      <alignment horizontal="center" vertical="center"/>
      <protection locked="0"/>
    </xf>
    <xf numFmtId="2" fontId="2" fillId="7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4" xfId="0" applyNumberFormat="1" applyFont="1" applyFill="1" applyBorder="1" applyAlignment="1" applyProtection="1">
      <alignment horizontal="center" vertical="center" wrapText="1"/>
      <protection locked="0"/>
    </xf>
    <xf numFmtId="164" fontId="11" fillId="7" borderId="18" xfId="0" applyNumberFormat="1" applyFont="1" applyFill="1" applyBorder="1" applyAlignment="1" applyProtection="1">
      <alignment horizontal="center" vertical="center"/>
      <protection locked="0"/>
    </xf>
    <xf numFmtId="164" fontId="2" fillId="12" borderId="17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4" xfId="0" applyNumberFormat="1" applyFont="1" applyFill="1" applyBorder="1" applyAlignment="1" applyProtection="1">
      <alignment horizontal="center" vertical="center" wrapText="1"/>
      <protection locked="0"/>
    </xf>
    <xf numFmtId="164" fontId="11" fillId="15" borderId="17" xfId="0" applyNumberFormat="1" applyFont="1" applyFill="1" applyBorder="1" applyAlignment="1" applyProtection="1">
      <alignment horizontal="center" vertical="center"/>
      <protection locked="0"/>
    </xf>
    <xf numFmtId="2" fontId="2" fillId="11" borderId="19" xfId="0" applyNumberFormat="1" applyFont="1" applyFill="1" applyBorder="1" applyAlignment="1" applyProtection="1">
      <alignment horizontal="center" vertical="center" wrapText="1"/>
      <protection locked="0"/>
    </xf>
    <xf numFmtId="2" fontId="2" fillId="11" borderId="20" xfId="0" applyNumberFormat="1" applyFont="1" applyFill="1" applyBorder="1" applyAlignment="1" applyProtection="1">
      <alignment horizontal="center" vertical="center" wrapText="1"/>
      <protection locked="0"/>
    </xf>
    <xf numFmtId="2" fontId="11" fillId="11" borderId="23" xfId="0" applyNumberFormat="1" applyFont="1" applyFill="1" applyBorder="1" applyAlignment="1" applyProtection="1">
      <alignment horizontal="center" vertical="center"/>
      <protection locked="0"/>
    </xf>
    <xf numFmtId="2" fontId="2" fillId="7" borderId="19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20" xfId="0" applyNumberFormat="1" applyFont="1" applyFill="1" applyBorder="1" applyAlignment="1" applyProtection="1">
      <alignment horizontal="center" vertical="center" wrapText="1"/>
      <protection locked="0"/>
    </xf>
    <xf numFmtId="164" fontId="11" fillId="7" borderId="23" xfId="0" applyNumberFormat="1" applyFont="1" applyFill="1" applyBorder="1" applyAlignment="1" applyProtection="1">
      <alignment horizontal="center" vertical="center"/>
      <protection locked="0"/>
    </xf>
    <xf numFmtId="164" fontId="2" fillId="12" borderId="19" xfId="0" applyNumberFormat="1" applyFont="1" applyFill="1" applyBorder="1" applyAlignment="1" applyProtection="1">
      <alignment horizontal="center" vertical="center" wrapText="1"/>
      <protection locked="0"/>
    </xf>
    <xf numFmtId="164" fontId="2" fillId="12" borderId="20" xfId="0" applyNumberFormat="1" applyFont="1" applyFill="1" applyBorder="1" applyAlignment="1" applyProtection="1">
      <alignment horizontal="center" vertical="center" wrapText="1"/>
      <protection locked="0"/>
    </xf>
    <xf numFmtId="164" fontId="11" fillId="15" borderId="19" xfId="0" applyNumberFormat="1" applyFont="1" applyFill="1" applyBorder="1" applyAlignment="1" applyProtection="1">
      <alignment horizontal="center" vertical="center"/>
      <protection locked="0"/>
    </xf>
    <xf numFmtId="164" fontId="11" fillId="15" borderId="15" xfId="0" applyNumberFormat="1" applyFont="1" applyFill="1" applyBorder="1" applyAlignment="1" applyProtection="1">
      <alignment horizontal="center" vertical="center"/>
      <protection locked="0"/>
    </xf>
    <xf numFmtId="164" fontId="11" fillId="15" borderId="16" xfId="0" applyNumberFormat="1" applyFont="1" applyFill="1" applyBorder="1" applyAlignment="1" applyProtection="1">
      <alignment horizontal="center" vertical="center"/>
      <protection locked="0"/>
    </xf>
    <xf numFmtId="164" fontId="11" fillId="15" borderId="4" xfId="0" applyNumberFormat="1" applyFont="1" applyFill="1" applyBorder="1" applyAlignment="1" applyProtection="1">
      <alignment horizontal="center" vertical="center"/>
      <protection locked="0"/>
    </xf>
    <xf numFmtId="164" fontId="11" fillId="15" borderId="18" xfId="0" applyNumberFormat="1" applyFont="1" applyFill="1" applyBorder="1" applyAlignment="1" applyProtection="1">
      <alignment horizontal="center" vertical="center"/>
      <protection locked="0"/>
    </xf>
    <xf numFmtId="164" fontId="11" fillId="15" borderId="20" xfId="0" applyNumberFormat="1" applyFont="1" applyFill="1" applyBorder="1" applyAlignment="1" applyProtection="1">
      <alignment horizontal="center" vertical="center"/>
      <protection locked="0"/>
    </xf>
    <xf numFmtId="164" fontId="11" fillId="15" borderId="23" xfId="0" applyNumberFormat="1" applyFont="1" applyFill="1" applyBorder="1" applyAlignment="1" applyProtection="1">
      <alignment horizontal="center" vertical="center"/>
      <protection locked="0"/>
    </xf>
    <xf numFmtId="2" fontId="11" fillId="11" borderId="16" xfId="0" applyNumberFormat="1" applyFont="1" applyFill="1" applyBorder="1" applyAlignment="1" applyProtection="1">
      <alignment horizontal="center" vertical="center"/>
      <protection locked="0"/>
    </xf>
    <xf numFmtId="2" fontId="2" fillId="7" borderId="14" xfId="0" applyNumberFormat="1" applyFont="1" applyFill="1" applyBorder="1" applyAlignment="1" applyProtection="1">
      <alignment horizontal="center" vertical="center" wrapText="1"/>
      <protection locked="0"/>
    </xf>
    <xf numFmtId="2" fontId="2" fillId="7" borderId="15" xfId="0" applyNumberFormat="1" applyFont="1" applyFill="1" applyBorder="1" applyAlignment="1" applyProtection="1">
      <alignment horizontal="center" vertical="center" wrapText="1"/>
      <protection locked="0"/>
    </xf>
    <xf numFmtId="2" fontId="24" fillId="7" borderId="15" xfId="0" applyNumberFormat="1" applyFont="1" applyFill="1" applyBorder="1" applyAlignment="1" applyProtection="1">
      <alignment horizontal="center" vertical="center" wrapText="1"/>
    </xf>
    <xf numFmtId="164" fontId="11" fillId="7" borderId="16" xfId="0" applyNumberFormat="1" applyFont="1" applyFill="1" applyBorder="1" applyAlignment="1" applyProtection="1">
      <alignment horizontal="center" vertical="center"/>
      <protection locked="0"/>
    </xf>
    <xf numFmtId="164" fontId="2" fillId="9" borderId="7" xfId="0" applyNumberFormat="1" applyFont="1" applyFill="1" applyBorder="1" applyAlignment="1" applyProtection="1">
      <alignment horizontal="center" vertical="center"/>
      <protection locked="0"/>
    </xf>
    <xf numFmtId="164" fontId="2" fillId="9" borderId="22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1" fillId="15" borderId="38" xfId="0" applyNumberFormat="1" applyFont="1" applyFill="1" applyBorder="1" applyAlignment="1" applyProtection="1">
      <alignment horizontal="center" vertical="center"/>
      <protection locked="0"/>
    </xf>
    <xf numFmtId="164" fontId="11" fillId="15" borderId="39" xfId="0" applyNumberFormat="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2" fontId="2" fillId="10" borderId="40" xfId="0" applyNumberFormat="1" applyFont="1" applyFill="1" applyBorder="1" applyAlignment="1" applyProtection="1">
      <alignment horizontal="center" vertical="center" wrapText="1"/>
      <protection locked="0"/>
    </xf>
    <xf numFmtId="2" fontId="2" fillId="10" borderId="38" xfId="0" applyNumberFormat="1" applyFont="1" applyFill="1" applyBorder="1" applyAlignment="1" applyProtection="1">
      <alignment horizontal="center" vertical="center" wrapText="1"/>
      <protection locked="0"/>
    </xf>
    <xf numFmtId="2" fontId="24" fillId="10" borderId="15" xfId="0" applyNumberFormat="1" applyFont="1" applyFill="1" applyBorder="1" applyAlignment="1" applyProtection="1">
      <alignment horizontal="center" vertical="center" wrapText="1"/>
    </xf>
    <xf numFmtId="2" fontId="2" fillId="10" borderId="14" xfId="0" applyNumberFormat="1" applyFont="1" applyFill="1" applyBorder="1" applyAlignment="1" applyProtection="1">
      <alignment horizontal="center" vertical="center" wrapText="1"/>
      <protection locked="0"/>
    </xf>
    <xf numFmtId="2" fontId="2" fillId="10" borderId="15" xfId="0" applyNumberFormat="1" applyFont="1" applyFill="1" applyBorder="1" applyAlignment="1" applyProtection="1">
      <alignment horizontal="center" vertical="center" wrapText="1"/>
      <protection locked="0"/>
    </xf>
    <xf numFmtId="2" fontId="2" fillId="10" borderId="17" xfId="0" applyNumberFormat="1" applyFont="1" applyFill="1" applyBorder="1" applyAlignment="1" applyProtection="1">
      <alignment horizontal="center" vertical="center" wrapText="1"/>
      <protection locked="0"/>
    </xf>
    <xf numFmtId="2" fontId="2" fillId="10" borderId="4" xfId="0" applyNumberFormat="1" applyFont="1" applyFill="1" applyBorder="1" applyAlignment="1" applyProtection="1">
      <alignment horizontal="center" vertical="center" wrapText="1"/>
      <protection locked="0"/>
    </xf>
    <xf numFmtId="2" fontId="24" fillId="10" borderId="4" xfId="0" applyNumberFormat="1" applyFont="1" applyFill="1" applyBorder="1" applyAlignment="1" applyProtection="1">
      <alignment horizontal="center" vertical="center" wrapText="1"/>
    </xf>
    <xf numFmtId="2" fontId="2" fillId="10" borderId="19" xfId="0" applyNumberFormat="1" applyFont="1" applyFill="1" applyBorder="1" applyAlignment="1" applyProtection="1">
      <alignment horizontal="center" vertical="center" wrapText="1"/>
      <protection locked="0"/>
    </xf>
    <xf numFmtId="2" fontId="2" fillId="10" borderId="20" xfId="0" applyNumberFormat="1" applyFont="1" applyFill="1" applyBorder="1" applyAlignment="1" applyProtection="1">
      <alignment horizontal="center" vertical="center" wrapText="1"/>
      <protection locked="0"/>
    </xf>
    <xf numFmtId="2" fontId="24" fillId="10" borderId="20" xfId="0" applyNumberFormat="1" applyFont="1" applyFill="1" applyBorder="1" applyAlignment="1" applyProtection="1">
      <alignment horizontal="center" vertical="center" wrapText="1"/>
    </xf>
    <xf numFmtId="2" fontId="2" fillId="25" borderId="38" xfId="0" applyNumberFormat="1" applyFont="1" applyFill="1" applyBorder="1" applyAlignment="1" applyProtection="1">
      <alignment horizontal="center" vertical="center" wrapText="1"/>
    </xf>
    <xf numFmtId="2" fontId="2" fillId="25" borderId="15" xfId="0" applyNumberFormat="1" applyFont="1" applyFill="1" applyBorder="1" applyAlignment="1" applyProtection="1">
      <alignment horizontal="center" vertical="center" wrapText="1"/>
    </xf>
    <xf numFmtId="2" fontId="2" fillId="25" borderId="4" xfId="0" applyNumberFormat="1" applyFont="1" applyFill="1" applyBorder="1" applyAlignment="1" applyProtection="1">
      <alignment horizontal="center" vertical="center" wrapText="1"/>
    </xf>
    <xf numFmtId="2" fontId="2" fillId="25" borderId="20" xfId="0" applyNumberFormat="1" applyFont="1" applyFill="1" applyBorder="1" applyAlignment="1" applyProtection="1">
      <alignment horizontal="center" vertical="center" wrapText="1"/>
    </xf>
    <xf numFmtId="2" fontId="11" fillId="10" borderId="39" xfId="0" applyNumberFormat="1" applyFont="1" applyFill="1" applyBorder="1" applyAlignment="1" applyProtection="1">
      <alignment horizontal="center" vertical="center" wrapText="1"/>
      <protection locked="0"/>
    </xf>
    <xf numFmtId="2" fontId="11" fillId="10" borderId="16" xfId="0" applyNumberFormat="1" applyFont="1" applyFill="1" applyBorder="1" applyAlignment="1" applyProtection="1">
      <alignment horizontal="center" vertical="center"/>
      <protection locked="0"/>
    </xf>
    <xf numFmtId="2" fontId="11" fillId="10" borderId="18" xfId="0" applyNumberFormat="1" applyFont="1" applyFill="1" applyBorder="1" applyAlignment="1" applyProtection="1">
      <alignment horizontal="center" vertical="center"/>
      <protection locked="0"/>
    </xf>
    <xf numFmtId="2" fontId="11" fillId="10" borderId="23" xfId="0" applyNumberFormat="1" applyFont="1" applyFill="1" applyBorder="1" applyAlignment="1" applyProtection="1">
      <alignment horizontal="center" vertical="center"/>
      <protection locked="0"/>
    </xf>
    <xf numFmtId="2" fontId="2" fillId="10" borderId="40" xfId="0" applyNumberFormat="1" applyFont="1" applyFill="1" applyBorder="1" applyAlignment="1" applyProtection="1">
      <alignment horizontal="center" vertical="center" wrapText="1"/>
    </xf>
    <xf numFmtId="2" fontId="24" fillId="10" borderId="38" xfId="0" applyNumberFormat="1" applyFont="1" applyFill="1" applyBorder="1" applyAlignment="1" applyProtection="1">
      <alignment horizontal="center" vertical="center" wrapText="1"/>
    </xf>
    <xf numFmtId="2" fontId="2" fillId="27" borderId="38" xfId="0" applyNumberFormat="1" applyFont="1" applyFill="1" applyBorder="1" applyAlignment="1" applyProtection="1">
      <alignment horizontal="center" vertical="center" wrapText="1"/>
    </xf>
    <xf numFmtId="2" fontId="24" fillId="27" borderId="4" xfId="0" applyNumberFormat="1" applyFont="1" applyFill="1" applyBorder="1" applyAlignment="1" applyProtection="1">
      <alignment horizontal="center" vertical="center" wrapText="1"/>
    </xf>
    <xf numFmtId="2" fontId="2" fillId="27" borderId="4" xfId="0" applyNumberFormat="1" applyFont="1" applyFill="1" applyBorder="1" applyAlignment="1" applyProtection="1">
      <alignment horizontal="center" vertical="center" wrapText="1"/>
    </xf>
    <xf numFmtId="2" fontId="24" fillId="27" borderId="20" xfId="0" applyNumberFormat="1" applyFont="1" applyFill="1" applyBorder="1" applyAlignment="1" applyProtection="1">
      <alignment horizontal="center" vertical="center" wrapText="1"/>
    </xf>
    <xf numFmtId="2" fontId="2" fillId="27" borderId="20" xfId="0" applyNumberFormat="1" applyFont="1" applyFill="1" applyBorder="1" applyAlignment="1" applyProtection="1">
      <alignment horizontal="center" vertical="center" wrapText="1"/>
    </xf>
    <xf numFmtId="2" fontId="2" fillId="27" borderId="40" xfId="0" applyNumberFormat="1" applyFont="1" applyFill="1" applyBorder="1" applyAlignment="1" applyProtection="1">
      <alignment horizontal="center" vertical="center" wrapText="1"/>
    </xf>
    <xf numFmtId="2" fontId="24" fillId="27" borderId="38" xfId="0" applyNumberFormat="1" applyFont="1" applyFill="1" applyBorder="1" applyAlignment="1" applyProtection="1">
      <alignment horizontal="center" vertical="center" wrapText="1"/>
    </xf>
    <xf numFmtId="2" fontId="2" fillId="26" borderId="38" xfId="0" applyNumberFormat="1" applyFont="1" applyFill="1" applyBorder="1" applyAlignment="1" applyProtection="1">
      <alignment horizontal="center" vertical="center" wrapText="1"/>
    </xf>
    <xf numFmtId="2" fontId="2" fillId="26" borderId="15" xfId="0" applyNumberFormat="1" applyFont="1" applyFill="1" applyBorder="1" applyAlignment="1" applyProtection="1">
      <alignment horizontal="center" vertical="center" wrapText="1"/>
    </xf>
    <xf numFmtId="2" fontId="2" fillId="26" borderId="4" xfId="0" applyNumberFormat="1" applyFont="1" applyFill="1" applyBorder="1" applyAlignment="1" applyProtection="1">
      <alignment horizontal="center" vertical="center" wrapText="1"/>
    </xf>
    <xf numFmtId="2" fontId="2" fillId="26" borderId="20" xfId="0" applyNumberFormat="1" applyFont="1" applyFill="1" applyBorder="1" applyAlignment="1" applyProtection="1">
      <alignment horizontal="center" vertical="center" wrapText="1"/>
    </xf>
    <xf numFmtId="2" fontId="2" fillId="27" borderId="17" xfId="0" applyNumberFormat="1" applyFont="1" applyFill="1" applyBorder="1" applyAlignment="1" applyProtection="1">
      <alignment horizontal="center" vertical="center" wrapText="1"/>
    </xf>
    <xf numFmtId="2" fontId="2" fillId="27" borderId="34" xfId="0" applyNumberFormat="1" applyFont="1" applyFill="1" applyBorder="1" applyAlignment="1" applyProtection="1">
      <alignment horizontal="center" vertical="center" wrapText="1"/>
    </xf>
    <xf numFmtId="2" fontId="2" fillId="27" borderId="13" xfId="0" applyNumberFormat="1" applyFont="1" applyFill="1" applyBorder="1" applyAlignment="1" applyProtection="1">
      <alignment horizontal="center" vertical="center" wrapText="1"/>
    </xf>
    <xf numFmtId="2" fontId="11" fillId="27" borderId="18" xfId="0" applyNumberFormat="1" applyFont="1" applyFill="1" applyBorder="1" applyAlignment="1" applyProtection="1">
      <alignment horizontal="center" vertical="center" wrapText="1"/>
    </xf>
    <xf numFmtId="2" fontId="11" fillId="27" borderId="23" xfId="0" applyNumberFormat="1" applyFont="1" applyFill="1" applyBorder="1" applyAlignment="1" applyProtection="1">
      <alignment horizontal="center" vertical="center" wrapText="1"/>
    </xf>
    <xf numFmtId="2" fontId="11" fillId="27" borderId="35" xfId="0" applyNumberFormat="1" applyFont="1" applyFill="1" applyBorder="1" applyAlignment="1" applyProtection="1">
      <alignment horizontal="center" vertical="center" wrapText="1"/>
    </xf>
    <xf numFmtId="2" fontId="11" fillId="27" borderId="39" xfId="0" applyNumberFormat="1" applyFont="1" applyFill="1" applyBorder="1" applyAlignment="1" applyProtection="1">
      <alignment horizontal="center" vertical="center" wrapText="1"/>
    </xf>
    <xf numFmtId="2" fontId="24" fillId="27" borderId="13" xfId="0" applyNumberFormat="1" applyFont="1" applyFill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2" fontId="11" fillId="10" borderId="39" xfId="0" applyNumberFormat="1" applyFont="1" applyFill="1" applyBorder="1" applyAlignment="1" applyProtection="1">
      <alignment horizontal="center" vertical="center"/>
    </xf>
    <xf numFmtId="2" fontId="11" fillId="11" borderId="39" xfId="0" applyNumberFormat="1" applyFont="1" applyFill="1" applyBorder="1" applyAlignment="1" applyProtection="1">
      <alignment horizontal="center" vertical="center"/>
    </xf>
    <xf numFmtId="2" fontId="11" fillId="27" borderId="39" xfId="0" applyNumberFormat="1" applyFont="1" applyFill="1" applyBorder="1" applyAlignment="1" applyProtection="1">
      <alignment horizontal="center" vertical="center"/>
    </xf>
    <xf numFmtId="164" fontId="11" fillId="7" borderId="39" xfId="0" applyNumberFormat="1" applyFont="1" applyFill="1" applyBorder="1" applyAlignment="1" applyProtection="1">
      <alignment horizontal="center" vertical="center"/>
    </xf>
    <xf numFmtId="164" fontId="2" fillId="9" borderId="27" xfId="0" applyNumberFormat="1" applyFont="1" applyFill="1" applyBorder="1" applyAlignment="1" applyProtection="1">
      <alignment horizontal="center" vertical="center"/>
    </xf>
    <xf numFmtId="164" fontId="2" fillId="6" borderId="40" xfId="0" applyNumberFormat="1" applyFont="1" applyFill="1" applyBorder="1" applyAlignment="1" applyProtection="1">
      <alignment horizontal="center" vertical="center"/>
    </xf>
    <xf numFmtId="164" fontId="2" fillId="24" borderId="37" xfId="0" applyNumberFormat="1" applyFont="1" applyFill="1" applyBorder="1" applyAlignment="1" applyProtection="1">
      <alignment horizontal="center" vertical="center"/>
    </xf>
    <xf numFmtId="164" fontId="2" fillId="2" borderId="10" xfId="0" applyNumberFormat="1" applyFont="1" applyFill="1" applyBorder="1" applyAlignment="1" applyProtection="1">
      <alignment horizontal="center" vertical="center"/>
    </xf>
    <xf numFmtId="164" fontId="2" fillId="16" borderId="36" xfId="0" applyNumberFormat="1" applyFont="1" applyFill="1" applyBorder="1" applyAlignment="1" applyProtection="1">
      <alignment horizontal="center" vertical="center"/>
    </xf>
    <xf numFmtId="164" fontId="2" fillId="9" borderId="37" xfId="0" applyNumberFormat="1" applyFont="1" applyFill="1" applyBorder="1" applyAlignment="1" applyProtection="1">
      <alignment horizontal="center" vertical="center"/>
    </xf>
    <xf numFmtId="164" fontId="2" fillId="9" borderId="11" xfId="0" applyNumberFormat="1" applyFont="1" applyFill="1" applyBorder="1" applyAlignment="1" applyProtection="1">
      <alignment horizontal="center" vertical="center"/>
    </xf>
    <xf numFmtId="0" fontId="2" fillId="0" borderId="27" xfId="0" applyFont="1" applyBorder="1" applyAlignment="1" applyProtection="1">
      <alignment horizontal="center" vertical="center"/>
    </xf>
    <xf numFmtId="0" fontId="2" fillId="0" borderId="55" xfId="0" applyFont="1" applyBorder="1" applyAlignment="1" applyProtection="1">
      <alignment horizontal="center" vertical="center" wrapText="1"/>
    </xf>
    <xf numFmtId="0" fontId="2" fillId="0" borderId="5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16" fontId="2" fillId="0" borderId="17" xfId="0" applyNumberFormat="1" applyFont="1" applyBorder="1" applyAlignment="1" applyProtection="1">
      <alignment horizontal="center" vertical="center"/>
    </xf>
    <xf numFmtId="16" fontId="2" fillId="0" borderId="19" xfId="0" applyNumberFormat="1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 applyProtection="1">
      <alignment horizontal="right" vertical="center"/>
    </xf>
    <xf numFmtId="2" fontId="14" fillId="18" borderId="52" xfId="0" applyNumberFormat="1" applyFont="1" applyFill="1" applyBorder="1" applyAlignment="1" applyProtection="1">
      <alignment horizontal="center" vertical="center" wrapText="1"/>
    </xf>
    <xf numFmtId="2" fontId="14" fillId="18" borderId="44" xfId="0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164" fontId="14" fillId="18" borderId="41" xfId="0" applyNumberFormat="1" applyFont="1" applyFill="1" applyBorder="1" applyAlignment="1" applyProtection="1">
      <alignment horizontal="center" wrapText="1"/>
    </xf>
    <xf numFmtId="0" fontId="14" fillId="18" borderId="46" xfId="0" applyFont="1" applyFill="1" applyBorder="1" applyAlignment="1" applyProtection="1">
      <alignment horizontal="center" wrapText="1"/>
    </xf>
    <xf numFmtId="0" fontId="14" fillId="18" borderId="45" xfId="0" applyFont="1" applyFill="1" applyBorder="1" applyAlignment="1" applyProtection="1">
      <alignment horizontal="center" wrapText="1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1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37" xfId="0" applyFont="1" applyBorder="1" applyAlignment="1" applyProtection="1">
      <alignment horizontal="center" vertical="center" wrapText="1"/>
    </xf>
    <xf numFmtId="164" fontId="14" fillId="18" borderId="52" xfId="0" applyNumberFormat="1" applyFont="1" applyFill="1" applyBorder="1" applyAlignment="1" applyProtection="1">
      <alignment horizontal="center" wrapText="1"/>
    </xf>
    <xf numFmtId="164" fontId="14" fillId="18" borderId="44" xfId="0" applyNumberFormat="1" applyFont="1" applyFill="1" applyBorder="1" applyAlignment="1" applyProtection="1">
      <alignment horizontal="center" wrapText="1"/>
    </xf>
    <xf numFmtId="164" fontId="14" fillId="19" borderId="52" xfId="0" applyNumberFormat="1" applyFont="1" applyFill="1" applyBorder="1" applyAlignment="1" applyProtection="1">
      <alignment horizontal="center" wrapText="1"/>
    </xf>
    <xf numFmtId="164" fontId="14" fillId="19" borderId="44" xfId="0" applyNumberFormat="1" applyFont="1" applyFill="1" applyBorder="1" applyAlignment="1" applyProtection="1">
      <alignment horizontal="center" wrapText="1"/>
    </xf>
    <xf numFmtId="0" fontId="2" fillId="0" borderId="36" xfId="0" applyFont="1" applyBorder="1" applyAlignment="1" applyProtection="1">
      <alignment horizontal="center" vertical="center"/>
    </xf>
    <xf numFmtId="0" fontId="2" fillId="0" borderId="37" xfId="0" applyFont="1" applyBorder="1" applyAlignment="1" applyProtection="1">
      <alignment horizontal="center" vertical="center"/>
    </xf>
    <xf numFmtId="164" fontId="14" fillId="19" borderId="53" xfId="0" applyNumberFormat="1" applyFont="1" applyFill="1" applyBorder="1" applyAlignment="1" applyProtection="1">
      <alignment horizontal="center" wrapText="1"/>
    </xf>
    <xf numFmtId="164" fontId="14" fillId="19" borderId="54" xfId="0" applyNumberFormat="1" applyFont="1" applyFill="1" applyBorder="1" applyAlignment="1" applyProtection="1">
      <alignment horizontal="center" wrapText="1"/>
    </xf>
    <xf numFmtId="164" fontId="14" fillId="19" borderId="48" xfId="0" applyNumberFormat="1" applyFont="1" applyFill="1" applyBorder="1" applyAlignment="1" applyProtection="1">
      <alignment horizontal="center" wrapText="1"/>
    </xf>
    <xf numFmtId="164" fontId="14" fillId="19" borderId="50" xfId="0" applyNumberFormat="1" applyFont="1" applyFill="1" applyBorder="1" applyAlignment="1" applyProtection="1">
      <alignment horizontal="center" wrapText="1"/>
    </xf>
    <xf numFmtId="2" fontId="14" fillId="18" borderId="52" xfId="0" applyNumberFormat="1" applyFont="1" applyFill="1" applyBorder="1" applyAlignment="1" applyProtection="1">
      <alignment horizontal="center" wrapText="1"/>
    </xf>
    <xf numFmtId="2" fontId="14" fillId="18" borderId="44" xfId="0" applyNumberFormat="1" applyFont="1" applyFill="1" applyBorder="1" applyAlignment="1" applyProtection="1">
      <alignment horizontal="center" wrapText="1"/>
    </xf>
    <xf numFmtId="22" fontId="4" fillId="0" borderId="36" xfId="0" applyNumberFormat="1" applyFont="1" applyBorder="1" applyAlignment="1" applyProtection="1">
      <alignment horizontal="center" vertical="center"/>
      <protection locked="0"/>
    </xf>
    <xf numFmtId="22" fontId="4" fillId="0" borderId="37" xfId="0" applyNumberFormat="1" applyFont="1" applyBorder="1" applyAlignment="1" applyProtection="1">
      <alignment horizontal="center" vertical="center"/>
      <protection locked="0"/>
    </xf>
    <xf numFmtId="22" fontId="4" fillId="0" borderId="56" xfId="0" applyNumberFormat="1" applyFont="1" applyBorder="1" applyAlignment="1" applyProtection="1">
      <alignment horizontal="center" vertical="center"/>
      <protection locked="0"/>
    </xf>
    <xf numFmtId="22" fontId="4" fillId="0" borderId="57" xfId="0" applyNumberFormat="1" applyFont="1" applyBorder="1" applyAlignment="1" applyProtection="1">
      <alignment horizontal="center" vertical="center"/>
      <protection locked="0"/>
    </xf>
    <xf numFmtId="0" fontId="4" fillId="13" borderId="0" xfId="0" applyFont="1" applyFill="1" applyBorder="1" applyAlignment="1" applyProtection="1">
      <alignment horizontal="right" vertical="center" wrapText="1"/>
    </xf>
    <xf numFmtId="22" fontId="4" fillId="0" borderId="1" xfId="0" applyNumberFormat="1" applyFont="1" applyBorder="1" applyAlignment="1" applyProtection="1">
      <alignment horizontal="center" vertical="center"/>
      <protection locked="0"/>
    </xf>
    <xf numFmtId="22" fontId="4" fillId="0" borderId="3" xfId="0" applyNumberFormat="1" applyFont="1" applyBorder="1" applyAlignment="1" applyProtection="1">
      <alignment horizontal="center" vertical="center"/>
      <protection locked="0"/>
    </xf>
    <xf numFmtId="0" fontId="14" fillId="20" borderId="0" xfId="0" applyFont="1" applyFill="1" applyBorder="1" applyAlignment="1" applyProtection="1">
      <alignment horizontal="center" wrapText="1"/>
    </xf>
    <xf numFmtId="164" fontId="14" fillId="19" borderId="52" xfId="0" applyNumberFormat="1" applyFont="1" applyFill="1" applyBorder="1" applyAlignment="1" applyProtection="1">
      <alignment horizontal="center" vertical="center" wrapText="1"/>
    </xf>
    <xf numFmtId="164" fontId="14" fillId="19" borderId="44" xfId="0" applyNumberFormat="1" applyFont="1" applyFill="1" applyBorder="1" applyAlignment="1" applyProtection="1">
      <alignment horizontal="center" vertical="center" wrapText="1"/>
    </xf>
    <xf numFmtId="164" fontId="14" fillId="18" borderId="52" xfId="0" applyNumberFormat="1" applyFont="1" applyFill="1" applyBorder="1" applyAlignment="1" applyProtection="1">
      <alignment horizontal="center" vertical="center" wrapText="1"/>
    </xf>
    <xf numFmtId="164" fontId="14" fillId="18" borderId="44" xfId="0" applyNumberFormat="1" applyFont="1" applyFill="1" applyBorder="1" applyAlignment="1" applyProtection="1">
      <alignment horizontal="center" vertical="center" wrapText="1"/>
    </xf>
    <xf numFmtId="2" fontId="14" fillId="19" borderId="52" xfId="0" applyNumberFormat="1" applyFont="1" applyFill="1" applyBorder="1" applyAlignment="1" applyProtection="1">
      <alignment horizontal="center" vertical="center" wrapText="1"/>
    </xf>
    <xf numFmtId="2" fontId="14" fillId="19" borderId="44" xfId="0" applyNumberFormat="1" applyFont="1" applyFill="1" applyBorder="1" applyAlignment="1" applyProtection="1">
      <alignment horizontal="center" vertical="center" wrapText="1"/>
    </xf>
    <xf numFmtId="164" fontId="14" fillId="19" borderId="28" xfId="0" applyNumberFormat="1" applyFont="1" applyFill="1" applyBorder="1" applyAlignment="1" applyProtection="1">
      <alignment horizontal="center" vertical="center" wrapText="1"/>
    </xf>
    <xf numFmtId="164" fontId="14" fillId="19" borderId="51" xfId="0" applyNumberFormat="1" applyFont="1" applyFill="1" applyBorder="1" applyAlignment="1" applyProtection="1">
      <alignment horizontal="center" vertical="center" wrapText="1"/>
    </xf>
    <xf numFmtId="22" fontId="4" fillId="0" borderId="2" xfId="0" applyNumberFormat="1" applyFont="1" applyBorder="1" applyAlignment="1" applyProtection="1">
      <alignment horizontal="center" vertical="center"/>
      <protection locked="0"/>
    </xf>
    <xf numFmtId="22" fontId="4" fillId="0" borderId="21" xfId="0" applyNumberFormat="1" applyFont="1" applyBorder="1" applyAlignment="1" applyProtection="1">
      <alignment horizontal="center" vertical="center"/>
      <protection locked="0"/>
    </xf>
    <xf numFmtId="22" fontId="4" fillId="0" borderId="31" xfId="0" applyNumberFormat="1" applyFont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/>
    </xf>
    <xf numFmtId="0" fontId="5" fillId="0" borderId="51" xfId="0" applyFont="1" applyBorder="1" applyAlignment="1" applyProtection="1">
      <alignment horizontal="center" vertical="center"/>
    </xf>
    <xf numFmtId="22" fontId="5" fillId="0" borderId="58" xfId="0" applyNumberFormat="1" applyFont="1" applyBorder="1" applyAlignment="1" applyProtection="1">
      <alignment horizontal="center" vertical="center"/>
    </xf>
    <xf numFmtId="22" fontId="5" fillId="0" borderId="59" xfId="0" applyNumberFormat="1" applyFont="1" applyBorder="1" applyAlignment="1" applyProtection="1">
      <alignment horizontal="center" vertical="center"/>
    </xf>
    <xf numFmtId="164" fontId="9" fillId="0" borderId="29" xfId="0" applyNumberFormat="1" applyFont="1" applyFill="1" applyBorder="1" applyAlignment="1" applyProtection="1">
      <alignment horizontal="center" vertical="center"/>
    </xf>
    <xf numFmtId="0" fontId="5" fillId="3" borderId="33" xfId="0" applyFont="1" applyFill="1" applyBorder="1" applyAlignment="1" applyProtection="1">
      <alignment horizontal="center" vertical="center"/>
    </xf>
    <xf numFmtId="22" fontId="5" fillId="3" borderId="33" xfId="0" applyNumberFormat="1" applyFont="1" applyFill="1" applyBorder="1" applyAlignment="1" applyProtection="1">
      <alignment horizontal="center" vertical="center"/>
      <protection locked="0"/>
    </xf>
    <xf numFmtId="2" fontId="2" fillId="0" borderId="9" xfId="0" applyNumberFormat="1" applyFont="1" applyBorder="1" applyAlignment="1" applyProtection="1">
      <alignment horizontal="center" vertical="center" wrapText="1"/>
    </xf>
    <xf numFmtId="2" fontId="2" fillId="0" borderId="10" xfId="0" applyNumberFormat="1" applyFont="1" applyBorder="1" applyAlignment="1" applyProtection="1">
      <alignment horizontal="center" vertical="center" wrapText="1"/>
    </xf>
    <xf numFmtId="2" fontId="2" fillId="0" borderId="11" xfId="0" applyNumberFormat="1" applyFont="1" applyBorder="1" applyAlignment="1" applyProtection="1">
      <alignment horizontal="center" vertical="center" wrapText="1"/>
    </xf>
    <xf numFmtId="22" fontId="5" fillId="0" borderId="28" xfId="0" applyNumberFormat="1" applyFont="1" applyBorder="1" applyAlignment="1" applyProtection="1">
      <alignment horizontal="center" vertical="center"/>
    </xf>
    <xf numFmtId="22" fontId="5" fillId="0" borderId="51" xfId="0" applyNumberFormat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right" vertical="center"/>
    </xf>
    <xf numFmtId="0" fontId="26" fillId="0" borderId="28" xfId="0" applyFont="1" applyBorder="1" applyAlignment="1" applyProtection="1">
      <alignment horizontal="center" vertical="center"/>
    </xf>
    <xf numFmtId="0" fontId="26" fillId="0" borderId="51" xfId="0" applyFont="1" applyBorder="1" applyAlignment="1" applyProtection="1">
      <alignment horizontal="center" vertical="center"/>
    </xf>
    <xf numFmtId="22" fontId="8" fillId="0" borderId="58" xfId="0" applyNumberFormat="1" applyFont="1" applyBorder="1" applyAlignment="1" applyProtection="1">
      <alignment horizontal="center" vertical="center"/>
    </xf>
    <xf numFmtId="22" fontId="8" fillId="0" borderId="59" xfId="0" applyNumberFormat="1" applyFont="1" applyBorder="1" applyAlignment="1" applyProtection="1">
      <alignment horizontal="center" vertical="center"/>
    </xf>
    <xf numFmtId="22" fontId="8" fillId="0" borderId="28" xfId="0" applyNumberFormat="1" applyFont="1" applyBorder="1" applyAlignment="1" applyProtection="1">
      <alignment horizontal="center" vertical="center"/>
    </xf>
    <xf numFmtId="22" fontId="8" fillId="0" borderId="51" xfId="0" applyNumberFormat="1" applyFont="1" applyBorder="1" applyAlignment="1" applyProtection="1">
      <alignment horizontal="center" vertical="center"/>
    </xf>
    <xf numFmtId="22" fontId="4" fillId="0" borderId="6" xfId="0" applyNumberFormat="1" applyFont="1" applyBorder="1" applyAlignment="1" applyProtection="1">
      <alignment horizontal="center" vertical="center"/>
      <protection locked="0"/>
    </xf>
    <xf numFmtId="22" fontId="4" fillId="0" borderId="7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9966"/>
      <color rgb="FF027402"/>
      <color rgb="FF014701"/>
      <color rgb="FF029002"/>
      <color rgb="FFE4F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25" activePane="bottomRight" state="frozen"/>
      <selection pane="topRight" activeCell="B1" sqref="B1"/>
      <selection pane="bottomLeft" activeCell="A6" sqref="A6"/>
      <selection pane="bottomRight" activeCell="L66" sqref="L66:N66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 t="s">
        <v>104</v>
      </c>
      <c r="B4" s="415" t="s">
        <v>105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251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251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42175.112500000003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42175.112500000003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252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247" t="s">
        <v>8</v>
      </c>
      <c r="B6" s="437">
        <v>42170.654166666667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84.2</v>
      </c>
      <c r="L6" s="38" t="s">
        <v>3</v>
      </c>
      <c r="M6" s="38" t="s">
        <v>3</v>
      </c>
      <c r="N6" s="219" t="s">
        <v>3</v>
      </c>
      <c r="O6" s="37" t="s">
        <v>3</v>
      </c>
      <c r="P6" s="250" t="s">
        <v>3</v>
      </c>
      <c r="Q6" s="249" t="s">
        <v>3</v>
      </c>
      <c r="R6" s="26" t="s">
        <v>3</v>
      </c>
      <c r="S6" s="40" t="str">
        <f>$A6</f>
        <v>S.B.E.</v>
      </c>
      <c r="T6" s="239">
        <f>$B6</f>
        <v>42170.654166666667</v>
      </c>
      <c r="U6" s="151">
        <f>IF(BC6="","",BC6)</f>
        <v>0</v>
      </c>
      <c r="V6" s="152">
        <f>IF(BF6="","",BF6)</f>
        <v>0.8</v>
      </c>
      <c r="W6" s="152">
        <f>IF(BK6="","",BK6)</f>
        <v>0.7</v>
      </c>
      <c r="X6" s="197">
        <f>IF(BN6="","",BN6)</f>
        <v>1.5</v>
      </c>
      <c r="Y6" s="153">
        <f>IF(BR6="","",BR6)</f>
        <v>1673.6</v>
      </c>
      <c r="Z6" s="177"/>
      <c r="AA6" s="142">
        <f>IF(BD6="","",BD6)</f>
        <v>0</v>
      </c>
      <c r="AB6" s="143">
        <f>IF(BH6+BI6="","",BH6+BI6)</f>
        <v>0</v>
      </c>
      <c r="AC6" s="143">
        <f>IF(BL6="","",BL6)</f>
        <v>0</v>
      </c>
      <c r="AD6" s="201">
        <f>IF(BO6+BP6="","",BO6+BP6)</f>
        <v>0</v>
      </c>
      <c r="AE6" s="144">
        <f>IF(BS6+BT6=0,"",BS6+BT6)</f>
        <v>126.50000000000051</v>
      </c>
      <c r="AF6" s="178"/>
      <c r="AG6" s="133">
        <f>IF(CE6="","",CE6)</f>
        <v>0</v>
      </c>
      <c r="AH6" s="134">
        <f>IF(BW6="","",BW6)</f>
        <v>0</v>
      </c>
      <c r="AI6" s="135">
        <f>IF(CC6="","",CC6)</f>
        <v>172</v>
      </c>
      <c r="AJ6" s="160">
        <f>IF(CP6="","",CP6)</f>
        <v>40759</v>
      </c>
      <c r="AK6" s="161">
        <f>IF(CQ6="","",CQ6)</f>
        <v>18500</v>
      </c>
      <c r="AL6" s="162">
        <f>IF(CS6="","",CS6)</f>
        <v>7050</v>
      </c>
      <c r="AM6" s="237"/>
      <c r="AN6" s="69" t="str">
        <f>$A6</f>
        <v>S.B.E.</v>
      </c>
      <c r="AO6" s="243">
        <f>$B6</f>
        <v>42170.654166666667</v>
      </c>
      <c r="AP6" s="45" t="s">
        <v>40</v>
      </c>
      <c r="AQ6" s="98"/>
      <c r="AR6" s="99" t="s">
        <v>39</v>
      </c>
      <c r="AS6" s="99" t="s">
        <v>39</v>
      </c>
      <c r="AT6" s="100" t="s">
        <v>39</v>
      </c>
      <c r="AU6" s="101" t="s">
        <v>39</v>
      </c>
      <c r="AV6" s="100" t="s">
        <v>39</v>
      </c>
      <c r="AW6" s="101" t="s">
        <v>39</v>
      </c>
      <c r="AX6" s="101" t="s">
        <v>39</v>
      </c>
      <c r="AY6" s="99" t="s">
        <v>39</v>
      </c>
      <c r="AZ6" s="102"/>
      <c r="BA6" s="102"/>
      <c r="BB6" s="103">
        <v>-3.6799999999999833E-2</v>
      </c>
      <c r="BC6" s="104">
        <v>0</v>
      </c>
      <c r="BD6" s="98">
        <v>0</v>
      </c>
      <c r="BE6" s="105">
        <v>0.79119999999999979</v>
      </c>
      <c r="BF6" s="104">
        <v>0.8</v>
      </c>
      <c r="BG6" s="106">
        <v>0</v>
      </c>
      <c r="BH6" s="104">
        <v>0</v>
      </c>
      <c r="BI6" s="98">
        <v>0</v>
      </c>
      <c r="BJ6" s="105">
        <v>0.6764</v>
      </c>
      <c r="BK6" s="104">
        <v>0.7</v>
      </c>
      <c r="BL6" s="104">
        <v>0</v>
      </c>
      <c r="BM6" s="107"/>
      <c r="BN6" s="108">
        <v>1.5</v>
      </c>
      <c r="BO6" s="108">
        <v>0</v>
      </c>
      <c r="BP6" s="109">
        <v>0</v>
      </c>
      <c r="BQ6" s="110"/>
      <c r="BR6" s="108">
        <v>1673.6</v>
      </c>
      <c r="BS6" s="109">
        <v>0</v>
      </c>
      <c r="BT6" s="109">
        <v>126.50000000000051</v>
      </c>
      <c r="BU6" s="107"/>
      <c r="BV6" s="111">
        <v>0</v>
      </c>
      <c r="BW6" s="98">
        <v>0</v>
      </c>
      <c r="BX6" s="112"/>
      <c r="BY6" s="113">
        <v>50</v>
      </c>
      <c r="BZ6" s="114">
        <v>50</v>
      </c>
      <c r="CA6" s="114">
        <v>41</v>
      </c>
      <c r="CB6" s="114">
        <v>81</v>
      </c>
      <c r="CC6" s="99">
        <v>172</v>
      </c>
      <c r="CD6" s="115">
        <v>0</v>
      </c>
      <c r="CE6" s="116">
        <v>0</v>
      </c>
      <c r="CF6" s="117">
        <v>0</v>
      </c>
      <c r="CG6" s="118" t="s">
        <v>39</v>
      </c>
      <c r="CH6" s="117">
        <v>0</v>
      </c>
      <c r="CI6" s="118" t="s">
        <v>39</v>
      </c>
      <c r="CJ6" s="117">
        <v>0</v>
      </c>
      <c r="CK6" s="118" t="s">
        <v>39</v>
      </c>
      <c r="CL6" s="119"/>
      <c r="CM6" s="120">
        <v>0</v>
      </c>
      <c r="CN6" s="121">
        <v>0</v>
      </c>
      <c r="CO6" s="120">
        <v>0</v>
      </c>
      <c r="CP6" s="121">
        <v>40759</v>
      </c>
      <c r="CQ6" s="121">
        <v>18500</v>
      </c>
      <c r="CR6" s="100"/>
      <c r="CS6" s="121">
        <v>7050</v>
      </c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1" t="s">
        <v>10</v>
      </c>
      <c r="B7" s="439">
        <v>42171.120833333334</v>
      </c>
      <c r="C7" s="440"/>
      <c r="D7" s="82" t="s">
        <v>100</v>
      </c>
      <c r="E7" s="22">
        <v>11.1</v>
      </c>
      <c r="F7" s="14">
        <v>88.5</v>
      </c>
      <c r="G7" s="212"/>
      <c r="H7" s="27">
        <f>IF(F7=0,"",F7-F6+G7)</f>
        <v>88.5</v>
      </c>
      <c r="I7" s="216">
        <f>IF(E7=0,"",$H7/$E7)</f>
        <v>7.9729729729729728</v>
      </c>
      <c r="J7" s="29" t="str">
        <f ca="1">IF($J$5&gt;=B7,"N/A",SUM(INDIRECT(ADDRESS(6+(MATCH($J$5,$B$6:$B$59,0)),8)):H7))</f>
        <v>N/A</v>
      </c>
      <c r="K7" s="9">
        <v>0</v>
      </c>
      <c r="L7" s="87"/>
      <c r="M7" s="4">
        <f>IF(K7="","",K6-K7+L7)</f>
        <v>84.2</v>
      </c>
      <c r="N7" s="220">
        <f t="shared" ref="N7:N59" si="0">IF(E7=0,"",M7/E7)</f>
        <v>7.5855855855855863</v>
      </c>
      <c r="O7" s="30" t="str">
        <f ca="1">IF($O$5&gt;=B7,"N/A",SUM(INDIRECT(ADDRESS(6+(MATCH($O$5,$B$6:$B$59,0)),13)):M7))</f>
        <v>N/A</v>
      </c>
      <c r="P7" s="175" t="str">
        <f>IF(AQ7="","",AQ7)</f>
        <v/>
      </c>
      <c r="Q7" s="175" t="str">
        <f>IF(AY7="","",AY7)</f>
        <v/>
      </c>
      <c r="R7" s="175" t="str">
        <f>IF(AR7="","",AR7)</f>
        <v/>
      </c>
      <c r="S7" s="43" t="str">
        <f>IF($A7="","",$A7)</f>
        <v>FWE</v>
      </c>
      <c r="T7" s="240">
        <f>IF($B7="","",$B7)</f>
        <v>42171.120833333334</v>
      </c>
      <c r="U7" s="154">
        <f t="shared" ref="U7:U59" si="1">IF(BC7="","",BC7)</f>
        <v>8.8000000000000007</v>
      </c>
      <c r="V7" s="155">
        <f t="shared" ref="V7:V59" si="2">IF(BF7="","",BF7)</f>
        <v>1.8</v>
      </c>
      <c r="W7" s="155">
        <f t="shared" ref="W7:W59" si="3">IF(BK7="","",BK7)</f>
        <v>0.2</v>
      </c>
      <c r="X7" s="198">
        <f t="shared" ref="X7:X59" si="4">IF(BN7="","",BN7)</f>
        <v>10.8</v>
      </c>
      <c r="Y7" s="156">
        <f t="shared" ref="Y7:Y59" si="5">IF(BR7="","",BR7)</f>
        <v>1662.8</v>
      </c>
      <c r="Z7" s="179"/>
      <c r="AA7" s="145">
        <f t="shared" ref="AA7:AA59" si="6">IF(BD7="","",BD7)</f>
        <v>0</v>
      </c>
      <c r="AB7" s="146">
        <f t="shared" ref="AB7:AB59" si="7">IF(BH7+BI7="","",BH7+BI7)</f>
        <v>0</v>
      </c>
      <c r="AC7" s="146">
        <f t="shared" ref="AC7:AC59" si="8">IF(BL7="","",BL7)</f>
        <v>0</v>
      </c>
      <c r="AD7" s="202">
        <f t="shared" ref="AD7:AD59" si="9">IF(BO7+BP7="","",BO7+BP7)</f>
        <v>0</v>
      </c>
      <c r="AE7" s="147">
        <f t="shared" ref="AE7:AE59" si="10">IF(BS7+BT7=0,"",BS7+BT7)</f>
        <v>126.50000000000051</v>
      </c>
      <c r="AF7" s="180"/>
      <c r="AG7" s="136">
        <f t="shared" ref="AG7:AG59" si="11">IF(CE7="","",CE7)</f>
        <v>4</v>
      </c>
      <c r="AH7" s="137">
        <f t="shared" ref="AH7:AH59" si="12">IF(BW7="","",BW7)</f>
        <v>9</v>
      </c>
      <c r="AI7" s="138">
        <f t="shared" ref="AI7:AI59" si="13">IF(CC7="","",CC7)</f>
        <v>177</v>
      </c>
      <c r="AJ7" s="163">
        <f t="shared" ref="AJ7:AK59" si="14">IF(CP7="","",CP7)</f>
        <v>40590</v>
      </c>
      <c r="AK7" s="164">
        <f t="shared" si="14"/>
        <v>18500</v>
      </c>
      <c r="AL7" s="165">
        <f t="shared" ref="AL7:AL59" si="15">IF(CS7="","",CS7)</f>
        <v>7050</v>
      </c>
      <c r="AM7" s="237" t="e">
        <f>((R7-H7)/H7)</f>
        <v>#VALUE!</v>
      </c>
      <c r="AN7" s="70" t="str">
        <f>IF($A7="","",$A7)</f>
        <v>FWE</v>
      </c>
      <c r="AO7" s="241">
        <f>IF($B7="","",$B7)</f>
        <v>42171.120833333334</v>
      </c>
      <c r="AP7" s="441" t="s">
        <v>90</v>
      </c>
      <c r="AQ7" s="98"/>
      <c r="AR7" s="99" t="s">
        <v>39</v>
      </c>
      <c r="AS7" s="99" t="s">
        <v>39</v>
      </c>
      <c r="AT7" s="100" t="s">
        <v>39</v>
      </c>
      <c r="AU7" s="101" t="s">
        <v>39</v>
      </c>
      <c r="AV7" s="100" t="s">
        <v>39</v>
      </c>
      <c r="AW7" s="101" t="s">
        <v>39</v>
      </c>
      <c r="AX7" s="101" t="s">
        <v>39</v>
      </c>
      <c r="AY7" s="99" t="s">
        <v>39</v>
      </c>
      <c r="AZ7" s="102"/>
      <c r="BA7" s="102"/>
      <c r="BB7" s="105">
        <v>7.5808</v>
      </c>
      <c r="BC7" s="104">
        <v>8.8000000000000007</v>
      </c>
      <c r="BD7" s="98">
        <v>0</v>
      </c>
      <c r="BE7" s="105">
        <v>1.7664000000000006</v>
      </c>
      <c r="BF7" s="104">
        <v>1.8</v>
      </c>
      <c r="BG7" s="106">
        <v>0</v>
      </c>
      <c r="BH7" s="104">
        <v>0</v>
      </c>
      <c r="BI7" s="98">
        <v>0</v>
      </c>
      <c r="BJ7" s="105">
        <v>0.2225</v>
      </c>
      <c r="BK7" s="104">
        <v>0.2</v>
      </c>
      <c r="BL7" s="104">
        <v>0</v>
      </c>
      <c r="BM7" s="107"/>
      <c r="BN7" s="108">
        <v>10.8</v>
      </c>
      <c r="BO7" s="108">
        <v>0</v>
      </c>
      <c r="BP7" s="109">
        <v>0</v>
      </c>
      <c r="BQ7" s="110"/>
      <c r="BR7" s="108">
        <v>1662.8</v>
      </c>
      <c r="BS7" s="109">
        <v>0</v>
      </c>
      <c r="BT7" s="109">
        <v>126.50000000000051</v>
      </c>
      <c r="BU7" s="107"/>
      <c r="BV7" s="111">
        <v>9</v>
      </c>
      <c r="BW7" s="98">
        <v>9</v>
      </c>
      <c r="BX7" s="113"/>
      <c r="BY7" s="113">
        <v>55</v>
      </c>
      <c r="BZ7" s="114">
        <v>53</v>
      </c>
      <c r="CA7" s="114">
        <v>41</v>
      </c>
      <c r="CB7" s="114">
        <v>81</v>
      </c>
      <c r="CC7" s="99">
        <v>177</v>
      </c>
      <c r="CD7" s="111">
        <v>4</v>
      </c>
      <c r="CE7" s="116">
        <v>4</v>
      </c>
      <c r="CF7" s="117">
        <v>0</v>
      </c>
      <c r="CG7" s="118" t="s">
        <v>39</v>
      </c>
      <c r="CH7" s="117">
        <v>0</v>
      </c>
      <c r="CI7" s="118" t="s">
        <v>39</v>
      </c>
      <c r="CJ7" s="117">
        <v>0</v>
      </c>
      <c r="CK7" s="118" t="s">
        <v>39</v>
      </c>
      <c r="CL7" s="119"/>
      <c r="CM7" s="122">
        <v>169</v>
      </c>
      <c r="CN7" s="121">
        <v>169</v>
      </c>
      <c r="CO7" s="120">
        <v>0</v>
      </c>
      <c r="CP7" s="121">
        <v>40590</v>
      </c>
      <c r="CQ7" s="121">
        <v>18500</v>
      </c>
      <c r="CR7" s="100"/>
      <c r="CS7" s="121">
        <v>7050</v>
      </c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99</v>
      </c>
      <c r="B8" s="442">
        <v>42171.5</v>
      </c>
      <c r="C8" s="443"/>
      <c r="D8" s="84"/>
      <c r="E8" s="23"/>
      <c r="F8" s="15"/>
      <c r="G8" s="213"/>
      <c r="H8" s="27" t="str">
        <f t="shared" ref="H8:H59" si="16">IF(F8=0,"",F8-F7+G8)</f>
        <v/>
      </c>
      <c r="I8" s="216" t="str">
        <f t="shared" ref="I8:I59" si="17">IF(E8=0,"",$H8/$E8)</f>
        <v/>
      </c>
      <c r="J8" s="29" t="str">
        <f ca="1">IF($J$5&gt;=B8,"N/A",SUM(INDIRECT(ADDRESS(6+(MATCH($J$5,$B$6:$B$59,0)),8)):H8))</f>
        <v>N/A</v>
      </c>
      <c r="K8" s="10"/>
      <c r="L8" s="88"/>
      <c r="M8" s="4" t="str">
        <f t="shared" ref="M8:M59" si="18">IF(K8="","",K7-K8+L8)</f>
        <v/>
      </c>
      <c r="N8" s="220" t="str">
        <f t="shared" si="0"/>
        <v/>
      </c>
      <c r="O8" s="30" t="str">
        <f ca="1">IF($O$5&gt;=B8,"N/A",SUM(INDIRECT(ADDRESS(6+(MATCH($O$5,$B$6:$B$59,0)),13)):M8))</f>
        <v>N/A</v>
      </c>
      <c r="P8" s="175" t="str">
        <f t="shared" ref="P8:P59" si="19">IF(AQ8="","",AQ8)</f>
        <v/>
      </c>
      <c r="Q8" s="175" t="str">
        <f t="shared" ref="Q8:Q59" si="20">IF(AY8="","",AY8)</f>
        <v/>
      </c>
      <c r="R8" s="175" t="str">
        <f t="shared" ref="R8:R59" si="21">IF(AR8="","",AR8)</f>
        <v/>
      </c>
      <c r="S8" s="70" t="str">
        <f t="shared" ref="S8:S59" si="22">IF($A8="","",$A8)</f>
        <v>P NOON</v>
      </c>
      <c r="T8" s="241">
        <f t="shared" ref="T8:T59" si="23">IF($B8="","",$B8)</f>
        <v>42171.5</v>
      </c>
      <c r="U8" s="157">
        <f t="shared" si="1"/>
        <v>0</v>
      </c>
      <c r="V8" s="158">
        <f t="shared" si="2"/>
        <v>1.7</v>
      </c>
      <c r="W8" s="158">
        <f t="shared" si="3"/>
        <v>1.5</v>
      </c>
      <c r="X8" s="199">
        <f t="shared" si="4"/>
        <v>3.2</v>
      </c>
      <c r="Y8" s="159">
        <f t="shared" si="5"/>
        <v>1659.6</v>
      </c>
      <c r="Z8" s="181"/>
      <c r="AA8" s="148">
        <f t="shared" si="6"/>
        <v>0</v>
      </c>
      <c r="AB8" s="149">
        <f t="shared" si="7"/>
        <v>0</v>
      </c>
      <c r="AC8" s="149">
        <f t="shared" si="8"/>
        <v>0</v>
      </c>
      <c r="AD8" s="203">
        <f t="shared" si="9"/>
        <v>0</v>
      </c>
      <c r="AE8" s="150">
        <f t="shared" si="10"/>
        <v>126.50000000000051</v>
      </c>
      <c r="AF8" s="182"/>
      <c r="AG8" s="139">
        <f t="shared" si="11"/>
        <v>5</v>
      </c>
      <c r="AH8" s="140">
        <f t="shared" si="12"/>
        <v>0</v>
      </c>
      <c r="AI8" s="141">
        <f t="shared" si="13"/>
        <v>172</v>
      </c>
      <c r="AJ8" s="166">
        <f t="shared" si="14"/>
        <v>40590</v>
      </c>
      <c r="AK8" s="167">
        <f t="shared" si="14"/>
        <v>18500</v>
      </c>
      <c r="AL8" s="168">
        <f t="shared" si="15"/>
        <v>7050</v>
      </c>
      <c r="AM8" s="237" t="e">
        <f t="shared" ref="AM8:AM20" si="24">((R8-H8)/H8)</f>
        <v>#VALUE!</v>
      </c>
      <c r="AN8" s="70" t="str">
        <f t="shared" ref="AN8:AN59" si="25">IF($A8="","",$A8)</f>
        <v>P NOON</v>
      </c>
      <c r="AO8" s="241">
        <f t="shared" ref="AO8:AO59" si="26">IF($B8="","",$B8)</f>
        <v>42171.5</v>
      </c>
      <c r="AP8" s="441"/>
      <c r="AQ8" s="98"/>
      <c r="AR8" s="99" t="s">
        <v>39</v>
      </c>
      <c r="AS8" s="99" t="s">
        <v>39</v>
      </c>
      <c r="AT8" s="100" t="s">
        <v>39</v>
      </c>
      <c r="AU8" s="101" t="s">
        <v>39</v>
      </c>
      <c r="AV8" s="100" t="s">
        <v>39</v>
      </c>
      <c r="AW8" s="101" t="s">
        <v>39</v>
      </c>
      <c r="AX8" s="101" t="s">
        <v>39</v>
      </c>
      <c r="AY8" s="99" t="s">
        <v>39</v>
      </c>
      <c r="AZ8" s="102"/>
      <c r="BA8" s="102"/>
      <c r="BB8" s="105">
        <v>0.11960000000000015</v>
      </c>
      <c r="BC8" s="104">
        <v>0</v>
      </c>
      <c r="BD8" s="98">
        <v>0</v>
      </c>
      <c r="BE8" s="105">
        <v>1.518</v>
      </c>
      <c r="BF8" s="104">
        <v>1.7</v>
      </c>
      <c r="BG8" s="106">
        <v>0</v>
      </c>
      <c r="BH8" s="104">
        <v>0</v>
      </c>
      <c r="BI8" s="98">
        <v>0</v>
      </c>
      <c r="BJ8" s="105">
        <v>1.4952000000000001</v>
      </c>
      <c r="BK8" s="104">
        <v>1.5</v>
      </c>
      <c r="BL8" s="104">
        <v>0</v>
      </c>
      <c r="BM8" s="107"/>
      <c r="BN8" s="108">
        <v>3.2</v>
      </c>
      <c r="BO8" s="108">
        <v>0</v>
      </c>
      <c r="BP8" s="109">
        <v>0</v>
      </c>
      <c r="BQ8" s="110"/>
      <c r="BR8" s="108">
        <v>1659.6</v>
      </c>
      <c r="BS8" s="109">
        <v>0</v>
      </c>
      <c r="BT8" s="109">
        <v>126.50000000000051</v>
      </c>
      <c r="BU8" s="107"/>
      <c r="BV8" s="111">
        <v>0</v>
      </c>
      <c r="BW8" s="98">
        <v>0</v>
      </c>
      <c r="BX8" s="113"/>
      <c r="BY8" s="113">
        <v>50</v>
      </c>
      <c r="BZ8" s="114">
        <v>50</v>
      </c>
      <c r="CA8" s="114">
        <v>41</v>
      </c>
      <c r="CB8" s="114">
        <v>81</v>
      </c>
      <c r="CC8" s="99">
        <v>172</v>
      </c>
      <c r="CD8" s="115">
        <v>3</v>
      </c>
      <c r="CE8" s="116">
        <v>5</v>
      </c>
      <c r="CF8" s="117">
        <v>0</v>
      </c>
      <c r="CG8" s="118" t="s">
        <v>39</v>
      </c>
      <c r="CH8" s="117">
        <v>0</v>
      </c>
      <c r="CI8" s="118" t="s">
        <v>39</v>
      </c>
      <c r="CJ8" s="117">
        <v>0</v>
      </c>
      <c r="CK8" s="118" t="s">
        <v>39</v>
      </c>
      <c r="CL8" s="119"/>
      <c r="CM8" s="122">
        <v>0</v>
      </c>
      <c r="CN8" s="121">
        <v>0</v>
      </c>
      <c r="CO8" s="120">
        <v>0</v>
      </c>
      <c r="CP8" s="121">
        <v>40590</v>
      </c>
      <c r="CQ8" s="121">
        <v>18500</v>
      </c>
      <c r="CR8" s="100"/>
      <c r="CS8" s="121">
        <v>7050</v>
      </c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99</v>
      </c>
      <c r="B9" s="442">
        <v>42172.5</v>
      </c>
      <c r="C9" s="443"/>
      <c r="D9" s="84"/>
      <c r="E9" s="23"/>
      <c r="F9" s="15"/>
      <c r="G9" s="213"/>
      <c r="H9" s="27" t="str">
        <f t="shared" si="16"/>
        <v/>
      </c>
      <c r="I9" s="216" t="str">
        <f t="shared" si="17"/>
        <v/>
      </c>
      <c r="J9" s="29" t="str">
        <f ca="1">IF($J$5&gt;=B9,"N/A",SUM(INDIRECT(ADDRESS(6+(MATCH($J$5,$B$6:$B$59,0)),8)):H9))</f>
        <v>N/A</v>
      </c>
      <c r="K9" s="10"/>
      <c r="L9" s="88"/>
      <c r="M9" s="4" t="str">
        <f t="shared" si="18"/>
        <v/>
      </c>
      <c r="N9" s="220" t="str">
        <f t="shared" si="0"/>
        <v/>
      </c>
      <c r="O9" s="30" t="str">
        <f ca="1">IF($O$5&gt;=B9,"N/A",SUM(INDIRECT(ADDRESS(6+(MATCH($O$5,$B$6:$B$59,0)),13)):M9))</f>
        <v>N/A</v>
      </c>
      <c r="P9" s="175" t="str">
        <f t="shared" si="19"/>
        <v/>
      </c>
      <c r="Q9" s="175" t="str">
        <f t="shared" si="20"/>
        <v/>
      </c>
      <c r="R9" s="175" t="str">
        <f t="shared" si="21"/>
        <v/>
      </c>
      <c r="S9" s="70" t="str">
        <f t="shared" si="22"/>
        <v>P NOON</v>
      </c>
      <c r="T9" s="241">
        <f t="shared" si="23"/>
        <v>42172.5</v>
      </c>
      <c r="U9" s="157">
        <f t="shared" si="1"/>
        <v>0</v>
      </c>
      <c r="V9" s="158">
        <f t="shared" si="2"/>
        <v>3.2</v>
      </c>
      <c r="W9" s="158">
        <f t="shared" si="3"/>
        <v>2.9</v>
      </c>
      <c r="X9" s="199">
        <f t="shared" si="4"/>
        <v>6.1</v>
      </c>
      <c r="Y9" s="159">
        <f t="shared" si="5"/>
        <v>1653.5</v>
      </c>
      <c r="Z9" s="181"/>
      <c r="AA9" s="148">
        <f t="shared" si="6"/>
        <v>0</v>
      </c>
      <c r="AB9" s="149">
        <f t="shared" si="7"/>
        <v>0</v>
      </c>
      <c r="AC9" s="149">
        <f t="shared" si="8"/>
        <v>0</v>
      </c>
      <c r="AD9" s="203">
        <f t="shared" si="9"/>
        <v>0</v>
      </c>
      <c r="AE9" s="150">
        <f t="shared" si="10"/>
        <v>126.50000000000051</v>
      </c>
      <c r="AF9" s="182"/>
      <c r="AG9" s="139">
        <f t="shared" si="11"/>
        <v>7</v>
      </c>
      <c r="AH9" s="140">
        <f t="shared" si="12"/>
        <v>0</v>
      </c>
      <c r="AI9" s="141">
        <f t="shared" si="13"/>
        <v>165</v>
      </c>
      <c r="AJ9" s="166">
        <f t="shared" si="14"/>
        <v>40590</v>
      </c>
      <c r="AK9" s="167">
        <f t="shared" si="14"/>
        <v>18500</v>
      </c>
      <c r="AL9" s="168">
        <f t="shared" si="15"/>
        <v>7000</v>
      </c>
      <c r="AM9" s="237" t="e">
        <f t="shared" si="24"/>
        <v>#VALUE!</v>
      </c>
      <c r="AN9" s="70" t="str">
        <f t="shared" si="25"/>
        <v>P NOON</v>
      </c>
      <c r="AO9" s="241">
        <f t="shared" si="26"/>
        <v>42172.5</v>
      </c>
      <c r="AP9" s="441"/>
      <c r="AQ9" s="98"/>
      <c r="AR9" s="99" t="s">
        <v>39</v>
      </c>
      <c r="AS9" s="99" t="s">
        <v>39</v>
      </c>
      <c r="AT9" s="100" t="s">
        <v>39</v>
      </c>
      <c r="AU9" s="101" t="s">
        <v>39</v>
      </c>
      <c r="AV9" s="100" t="s">
        <v>39</v>
      </c>
      <c r="AW9" s="101" t="s">
        <v>39</v>
      </c>
      <c r="AX9" s="101" t="s">
        <v>39</v>
      </c>
      <c r="AY9" s="99" t="s">
        <v>39</v>
      </c>
      <c r="AZ9" s="102"/>
      <c r="BA9" s="102"/>
      <c r="BB9" s="105">
        <v>-0.4691999999999994</v>
      </c>
      <c r="BC9" s="104">
        <v>0</v>
      </c>
      <c r="BD9" s="98">
        <v>0</v>
      </c>
      <c r="BE9" s="105">
        <v>3.1187999999999994</v>
      </c>
      <c r="BF9" s="104">
        <v>3.2</v>
      </c>
      <c r="BG9" s="106">
        <v>0</v>
      </c>
      <c r="BH9" s="104">
        <v>0</v>
      </c>
      <c r="BI9" s="98">
        <v>0</v>
      </c>
      <c r="BJ9" s="105">
        <v>3.5689000000000002</v>
      </c>
      <c r="BK9" s="104">
        <v>2.9</v>
      </c>
      <c r="BL9" s="104">
        <v>0</v>
      </c>
      <c r="BM9" s="107"/>
      <c r="BN9" s="108">
        <v>6.1</v>
      </c>
      <c r="BO9" s="108">
        <v>0</v>
      </c>
      <c r="BP9" s="109">
        <v>0</v>
      </c>
      <c r="BQ9" s="110"/>
      <c r="BR9" s="108">
        <v>1653.5</v>
      </c>
      <c r="BS9" s="109">
        <v>0</v>
      </c>
      <c r="BT9" s="109">
        <v>126.50000000000051</v>
      </c>
      <c r="BU9" s="107"/>
      <c r="BV9" s="111">
        <v>0</v>
      </c>
      <c r="BW9" s="98">
        <v>0</v>
      </c>
      <c r="BX9" s="113"/>
      <c r="BY9" s="113">
        <v>45</v>
      </c>
      <c r="BZ9" s="114">
        <v>45</v>
      </c>
      <c r="CA9" s="114">
        <v>40</v>
      </c>
      <c r="CB9" s="114">
        <v>80</v>
      </c>
      <c r="CC9" s="99">
        <v>165</v>
      </c>
      <c r="CD9" s="111">
        <v>7</v>
      </c>
      <c r="CE9" s="116">
        <v>7</v>
      </c>
      <c r="CF9" s="117">
        <v>0</v>
      </c>
      <c r="CG9" s="118" t="s">
        <v>39</v>
      </c>
      <c r="CH9" s="117">
        <v>0</v>
      </c>
      <c r="CI9" s="118" t="s">
        <v>39</v>
      </c>
      <c r="CJ9" s="117">
        <v>0</v>
      </c>
      <c r="CK9" s="118" t="s">
        <v>39</v>
      </c>
      <c r="CL9" s="119"/>
      <c r="CM9" s="122">
        <v>0</v>
      </c>
      <c r="CN9" s="121">
        <v>0</v>
      </c>
      <c r="CO9" s="120">
        <v>0</v>
      </c>
      <c r="CP9" s="121">
        <v>40590</v>
      </c>
      <c r="CQ9" s="121">
        <v>18500</v>
      </c>
      <c r="CR9" s="100"/>
      <c r="CS9" s="121">
        <v>7000</v>
      </c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99</v>
      </c>
      <c r="B10" s="442">
        <v>42173.5</v>
      </c>
      <c r="C10" s="443"/>
      <c r="D10" s="84"/>
      <c r="E10" s="23"/>
      <c r="F10" s="15">
        <v>89</v>
      </c>
      <c r="G10" s="213">
        <v>-89</v>
      </c>
      <c r="H10" s="27">
        <f t="shared" si="16"/>
        <v>0</v>
      </c>
      <c r="I10" s="216" t="str">
        <f t="shared" si="17"/>
        <v/>
      </c>
      <c r="J10" s="29" t="str">
        <f ca="1">IF($J$5&gt;=B10,"N/A",SUM(INDIRECT(ADDRESS(6+(MATCH($J$5,$B$6:$B$59,0)),8)):H10))</f>
        <v>N/A</v>
      </c>
      <c r="K10" s="10">
        <v>0</v>
      </c>
      <c r="L10" s="88"/>
      <c r="M10" s="4">
        <f t="shared" si="18"/>
        <v>0</v>
      </c>
      <c r="N10" s="220" t="str">
        <f t="shared" si="0"/>
        <v/>
      </c>
      <c r="O10" s="30" t="str">
        <f ca="1">IF($O$5&gt;=B10,"N/A",SUM(INDIRECT(ADDRESS(6+(MATCH($O$5,$B$6:$B$59,0)),13)):M10))</f>
        <v>N/A</v>
      </c>
      <c r="P10" s="175" t="str">
        <f t="shared" si="19"/>
        <v/>
      </c>
      <c r="Q10" s="175" t="str">
        <f t="shared" si="20"/>
        <v/>
      </c>
      <c r="R10" s="175" t="str">
        <f t="shared" si="21"/>
        <v/>
      </c>
      <c r="S10" s="70" t="str">
        <f t="shared" si="22"/>
        <v>P NOON</v>
      </c>
      <c r="T10" s="241">
        <f t="shared" si="23"/>
        <v>42173.5</v>
      </c>
      <c r="U10" s="157">
        <f t="shared" si="1"/>
        <v>0</v>
      </c>
      <c r="V10" s="158">
        <f t="shared" si="2"/>
        <v>2.9</v>
      </c>
      <c r="W10" s="158">
        <f t="shared" si="3"/>
        <v>23.5</v>
      </c>
      <c r="X10" s="199">
        <f t="shared" si="4"/>
        <v>26.4</v>
      </c>
      <c r="Y10" s="159">
        <f t="shared" si="5"/>
        <v>1627.1</v>
      </c>
      <c r="Z10" s="181"/>
      <c r="AA10" s="148">
        <f t="shared" si="6"/>
        <v>0</v>
      </c>
      <c r="AB10" s="149">
        <f t="shared" si="7"/>
        <v>0</v>
      </c>
      <c r="AC10" s="149">
        <f t="shared" si="8"/>
        <v>0</v>
      </c>
      <c r="AD10" s="203">
        <f t="shared" si="9"/>
        <v>0</v>
      </c>
      <c r="AE10" s="150">
        <f t="shared" si="10"/>
        <v>126.50000000000051</v>
      </c>
      <c r="AF10" s="182"/>
      <c r="AG10" s="139">
        <f t="shared" si="11"/>
        <v>3</v>
      </c>
      <c r="AH10" s="140">
        <f t="shared" si="12"/>
        <v>0</v>
      </c>
      <c r="AI10" s="141">
        <f t="shared" si="13"/>
        <v>177</v>
      </c>
      <c r="AJ10" s="166">
        <f t="shared" si="14"/>
        <v>40590</v>
      </c>
      <c r="AK10" s="167">
        <f t="shared" si="14"/>
        <v>18500</v>
      </c>
      <c r="AL10" s="168">
        <f t="shared" si="15"/>
        <v>7000</v>
      </c>
      <c r="AM10" s="237" t="e">
        <f t="shared" si="24"/>
        <v>#VALUE!</v>
      </c>
      <c r="AN10" s="70" t="str">
        <f t="shared" si="25"/>
        <v>P NOON</v>
      </c>
      <c r="AO10" s="241">
        <f t="shared" si="26"/>
        <v>42173.5</v>
      </c>
      <c r="AP10" s="441"/>
      <c r="AQ10" s="98"/>
      <c r="AR10" s="99" t="s">
        <v>39</v>
      </c>
      <c r="AS10" s="99" t="s">
        <v>39</v>
      </c>
      <c r="AT10" s="100" t="s">
        <v>39</v>
      </c>
      <c r="AU10" s="101" t="s">
        <v>39</v>
      </c>
      <c r="AV10" s="100" t="s">
        <v>39</v>
      </c>
      <c r="AW10" s="101" t="s">
        <v>39</v>
      </c>
      <c r="AX10" s="101" t="s">
        <v>39</v>
      </c>
      <c r="AY10" s="99" t="s">
        <v>39</v>
      </c>
      <c r="AZ10" s="102"/>
      <c r="BA10" s="102"/>
      <c r="BB10" s="103">
        <v>-0.66240000000000299</v>
      </c>
      <c r="BC10" s="104">
        <v>0</v>
      </c>
      <c r="BD10" s="98">
        <v>0</v>
      </c>
      <c r="BE10" s="105">
        <v>3.440800000000003</v>
      </c>
      <c r="BF10" s="104">
        <v>2.9</v>
      </c>
      <c r="BG10" s="115">
        <v>0</v>
      </c>
      <c r="BH10" s="104">
        <v>0</v>
      </c>
      <c r="BI10" s="98">
        <v>0</v>
      </c>
      <c r="BJ10" s="105">
        <v>22.0275</v>
      </c>
      <c r="BK10" s="104">
        <v>23.5</v>
      </c>
      <c r="BL10" s="104">
        <v>0</v>
      </c>
      <c r="BM10" s="107"/>
      <c r="BN10" s="108">
        <v>26.4</v>
      </c>
      <c r="BO10" s="108">
        <v>0</v>
      </c>
      <c r="BP10" s="109">
        <v>0</v>
      </c>
      <c r="BQ10" s="110"/>
      <c r="BR10" s="108">
        <v>1627.1</v>
      </c>
      <c r="BS10" s="109">
        <v>0</v>
      </c>
      <c r="BT10" s="109">
        <v>126.50000000000051</v>
      </c>
      <c r="BU10" s="107"/>
      <c r="BV10" s="111">
        <v>0</v>
      </c>
      <c r="BW10" s="98">
        <v>0</v>
      </c>
      <c r="BX10" s="113"/>
      <c r="BY10" s="113">
        <v>57</v>
      </c>
      <c r="BZ10" s="114">
        <v>57</v>
      </c>
      <c r="CA10" s="114">
        <v>40</v>
      </c>
      <c r="CB10" s="114">
        <v>80</v>
      </c>
      <c r="CC10" s="99">
        <v>177</v>
      </c>
      <c r="CD10" s="115">
        <v>-12</v>
      </c>
      <c r="CE10" s="116">
        <v>3</v>
      </c>
      <c r="CF10" s="117">
        <v>0</v>
      </c>
      <c r="CG10" s="118" t="s">
        <v>39</v>
      </c>
      <c r="CH10" s="117">
        <v>0</v>
      </c>
      <c r="CI10" s="118" t="s">
        <v>39</v>
      </c>
      <c r="CJ10" s="117">
        <v>0</v>
      </c>
      <c r="CK10" s="118" t="s">
        <v>39</v>
      </c>
      <c r="CL10" s="119"/>
      <c r="CM10" s="120">
        <v>0</v>
      </c>
      <c r="CN10" s="121">
        <v>0</v>
      </c>
      <c r="CO10" s="120">
        <v>0</v>
      </c>
      <c r="CP10" s="121">
        <v>40590</v>
      </c>
      <c r="CQ10" s="121">
        <v>18500</v>
      </c>
      <c r="CR10" s="100"/>
      <c r="CS10" s="121">
        <v>7000</v>
      </c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99</v>
      </c>
      <c r="B11" s="442">
        <v>42174.5</v>
      </c>
      <c r="C11" s="443"/>
      <c r="D11" s="84"/>
      <c r="E11" s="23"/>
      <c r="F11" s="15">
        <v>89</v>
      </c>
      <c r="G11" s="213"/>
      <c r="H11" s="27">
        <f t="shared" si="16"/>
        <v>0</v>
      </c>
      <c r="I11" s="216" t="str">
        <f t="shared" si="17"/>
        <v/>
      </c>
      <c r="J11" s="29" t="str">
        <f ca="1">IF($J$5&gt;=B11,"N/A",SUM(INDIRECT(ADDRESS(6+(MATCH($J$5,$B$6:$B$59,0)),8)):H11))</f>
        <v>N/A</v>
      </c>
      <c r="K11" s="10">
        <v>0</v>
      </c>
      <c r="L11" s="88"/>
      <c r="M11" s="4">
        <f t="shared" si="18"/>
        <v>0</v>
      </c>
      <c r="N11" s="220" t="str">
        <f t="shared" si="0"/>
        <v/>
      </c>
      <c r="O11" s="30" t="str">
        <f ca="1">IF($O$5&gt;=B11,"N/A",SUM(INDIRECT(ADDRESS(6+(MATCH($O$5,$B$6:$B$59,0)),13)):M11))</f>
        <v>N/A</v>
      </c>
      <c r="P11" s="175" t="str">
        <f t="shared" si="19"/>
        <v/>
      </c>
      <c r="Q11" s="175" t="str">
        <f t="shared" si="20"/>
        <v/>
      </c>
      <c r="R11" s="175" t="str">
        <f t="shared" si="21"/>
        <v/>
      </c>
      <c r="S11" s="70" t="str">
        <f t="shared" si="22"/>
        <v>P NOON</v>
      </c>
      <c r="T11" s="241">
        <f t="shared" si="23"/>
        <v>42174.5</v>
      </c>
      <c r="U11" s="157">
        <f t="shared" si="1"/>
        <v>0</v>
      </c>
      <c r="V11" s="158">
        <f t="shared" si="2"/>
        <v>2.9</v>
      </c>
      <c r="W11" s="158">
        <f t="shared" si="3"/>
        <v>18.399999999999999</v>
      </c>
      <c r="X11" s="199">
        <f t="shared" si="4"/>
        <v>21.299999999999997</v>
      </c>
      <c r="Y11" s="159">
        <f t="shared" si="5"/>
        <v>1605.8</v>
      </c>
      <c r="Z11" s="181"/>
      <c r="AA11" s="148">
        <f t="shared" si="6"/>
        <v>0</v>
      </c>
      <c r="AB11" s="149">
        <f t="shared" si="7"/>
        <v>0</v>
      </c>
      <c r="AC11" s="149">
        <f t="shared" si="8"/>
        <v>0</v>
      </c>
      <c r="AD11" s="203">
        <f t="shared" si="9"/>
        <v>0</v>
      </c>
      <c r="AE11" s="150">
        <f t="shared" si="10"/>
        <v>126.50000000000051</v>
      </c>
      <c r="AF11" s="182"/>
      <c r="AG11" s="139">
        <f t="shared" si="11"/>
        <v>4</v>
      </c>
      <c r="AH11" s="140">
        <f t="shared" si="12"/>
        <v>0</v>
      </c>
      <c r="AI11" s="141">
        <f t="shared" si="13"/>
        <v>173</v>
      </c>
      <c r="AJ11" s="166">
        <f t="shared" si="14"/>
        <v>40590</v>
      </c>
      <c r="AK11" s="167">
        <f t="shared" si="14"/>
        <v>18500</v>
      </c>
      <c r="AL11" s="168">
        <f t="shared" si="15"/>
        <v>6950</v>
      </c>
      <c r="AM11" s="237" t="e">
        <f t="shared" si="24"/>
        <v>#VALUE!</v>
      </c>
      <c r="AN11" s="70" t="str">
        <f t="shared" si="25"/>
        <v>P NOON</v>
      </c>
      <c r="AO11" s="241">
        <f t="shared" si="26"/>
        <v>42174.5</v>
      </c>
      <c r="AP11" s="441"/>
      <c r="AQ11" s="98"/>
      <c r="AR11" s="99" t="s">
        <v>39</v>
      </c>
      <c r="AS11" s="99" t="s">
        <v>39</v>
      </c>
      <c r="AT11" s="100" t="s">
        <v>39</v>
      </c>
      <c r="AU11" s="101" t="s">
        <v>39</v>
      </c>
      <c r="AV11" s="100" t="s">
        <v>39</v>
      </c>
      <c r="AW11" s="101" t="s">
        <v>39</v>
      </c>
      <c r="AX11" s="101" t="s">
        <v>39</v>
      </c>
      <c r="AY11" s="99" t="s">
        <v>39</v>
      </c>
      <c r="AZ11" s="102"/>
      <c r="BA11" s="102"/>
      <c r="BB11" s="103">
        <v>-0.726800000000003</v>
      </c>
      <c r="BC11" s="104">
        <v>0</v>
      </c>
      <c r="BD11" s="98">
        <v>0</v>
      </c>
      <c r="BE11" s="105">
        <v>3.4868000000000028</v>
      </c>
      <c r="BF11" s="104">
        <v>2.9</v>
      </c>
      <c r="BG11" s="115">
        <v>0</v>
      </c>
      <c r="BH11" s="104">
        <v>0</v>
      </c>
      <c r="BI11" s="98">
        <v>0</v>
      </c>
      <c r="BJ11" s="105">
        <v>18.351800000000001</v>
      </c>
      <c r="BK11" s="104">
        <v>18.399999999999999</v>
      </c>
      <c r="BL11" s="104">
        <v>0</v>
      </c>
      <c r="BM11" s="107"/>
      <c r="BN11" s="108">
        <v>21.299999999999997</v>
      </c>
      <c r="BO11" s="108">
        <v>0</v>
      </c>
      <c r="BP11" s="109">
        <v>0</v>
      </c>
      <c r="BQ11" s="110"/>
      <c r="BR11" s="108">
        <v>1605.8</v>
      </c>
      <c r="BS11" s="109">
        <v>0</v>
      </c>
      <c r="BT11" s="109">
        <v>126.50000000000051</v>
      </c>
      <c r="BU11" s="107"/>
      <c r="BV11" s="111">
        <v>0</v>
      </c>
      <c r="BW11" s="98">
        <v>0</v>
      </c>
      <c r="BX11" s="113"/>
      <c r="BY11" s="113">
        <v>54</v>
      </c>
      <c r="BZ11" s="114">
        <v>39</v>
      </c>
      <c r="CA11" s="114">
        <v>40</v>
      </c>
      <c r="CB11" s="114">
        <v>79</v>
      </c>
      <c r="CC11" s="99">
        <v>173</v>
      </c>
      <c r="CD11" s="115">
        <v>4</v>
      </c>
      <c r="CE11" s="116">
        <v>4</v>
      </c>
      <c r="CF11" s="117">
        <v>0</v>
      </c>
      <c r="CG11" s="118" t="s">
        <v>39</v>
      </c>
      <c r="CH11" s="117">
        <v>0</v>
      </c>
      <c r="CI11" s="118" t="s">
        <v>39</v>
      </c>
      <c r="CJ11" s="117">
        <v>0</v>
      </c>
      <c r="CK11" s="118" t="s">
        <v>39</v>
      </c>
      <c r="CL11" s="119"/>
      <c r="CM11" s="120">
        <v>0</v>
      </c>
      <c r="CN11" s="121">
        <v>0</v>
      </c>
      <c r="CO11" s="120">
        <v>0</v>
      </c>
      <c r="CP11" s="121">
        <v>40590</v>
      </c>
      <c r="CQ11" s="121">
        <v>18500</v>
      </c>
      <c r="CR11" s="100"/>
      <c r="CS11" s="121">
        <v>6950</v>
      </c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9</v>
      </c>
      <c r="B12" s="442">
        <v>42175.070833333331</v>
      </c>
      <c r="C12" s="443"/>
      <c r="D12" s="84"/>
      <c r="E12" s="23"/>
      <c r="F12" s="15">
        <v>90</v>
      </c>
      <c r="G12" s="213">
        <v>-1</v>
      </c>
      <c r="H12" s="27">
        <f t="shared" si="16"/>
        <v>0</v>
      </c>
      <c r="I12" s="216" t="str">
        <f t="shared" si="17"/>
        <v/>
      </c>
      <c r="J12" s="29" t="str">
        <f ca="1">IF($J$5&gt;=B12,"N/A",SUM(INDIRECT(ADDRESS(6+(MATCH($J$5,$B$6:$B$59,0)),8)):H12))</f>
        <v>N/A</v>
      </c>
      <c r="K12" s="10">
        <v>2418</v>
      </c>
      <c r="L12" s="88">
        <v>2418</v>
      </c>
      <c r="M12" s="4">
        <f t="shared" si="18"/>
        <v>0</v>
      </c>
      <c r="N12" s="220" t="str">
        <f t="shared" si="0"/>
        <v/>
      </c>
      <c r="O12" s="30" t="str">
        <f ca="1">IF($O$5&gt;=B12,"N/A",SUM(INDIRECT(ADDRESS(6+(MATCH($O$5,$B$6:$B$59,0)),13)):M12))</f>
        <v>N/A</v>
      </c>
      <c r="P12" s="175" t="str">
        <f t="shared" si="19"/>
        <v/>
      </c>
      <c r="Q12" s="175" t="str">
        <f t="shared" si="20"/>
        <v/>
      </c>
      <c r="R12" s="175" t="str">
        <f t="shared" si="21"/>
        <v/>
      </c>
      <c r="S12" s="70" t="str">
        <f t="shared" si="22"/>
        <v>SBE</v>
      </c>
      <c r="T12" s="241">
        <f t="shared" si="23"/>
        <v>42175.070833333331</v>
      </c>
      <c r="U12" s="157">
        <f t="shared" si="1"/>
        <v>0</v>
      </c>
      <c r="V12" s="158">
        <f t="shared" si="2"/>
        <v>1.6</v>
      </c>
      <c r="W12" s="158">
        <f t="shared" si="3"/>
        <v>9.1999999999999993</v>
      </c>
      <c r="X12" s="199">
        <f t="shared" si="4"/>
        <v>10.799999999999999</v>
      </c>
      <c r="Y12" s="159">
        <f t="shared" si="5"/>
        <v>1595</v>
      </c>
      <c r="Z12" s="181"/>
      <c r="AA12" s="148">
        <f t="shared" si="6"/>
        <v>0</v>
      </c>
      <c r="AB12" s="149">
        <f t="shared" si="7"/>
        <v>0</v>
      </c>
      <c r="AC12" s="149">
        <f t="shared" si="8"/>
        <v>0</v>
      </c>
      <c r="AD12" s="203">
        <f t="shared" si="9"/>
        <v>0</v>
      </c>
      <c r="AE12" s="150">
        <f t="shared" si="10"/>
        <v>126.50000000000051</v>
      </c>
      <c r="AF12" s="182"/>
      <c r="AG12" s="139">
        <f t="shared" si="11"/>
        <v>3</v>
      </c>
      <c r="AH12" s="140">
        <f t="shared" si="12"/>
        <v>0</v>
      </c>
      <c r="AI12" s="141">
        <f t="shared" si="13"/>
        <v>170</v>
      </c>
      <c r="AJ12" s="166">
        <f t="shared" si="14"/>
        <v>40590</v>
      </c>
      <c r="AK12" s="167">
        <f t="shared" si="14"/>
        <v>18500</v>
      </c>
      <c r="AL12" s="168">
        <f t="shared" si="15"/>
        <v>6950</v>
      </c>
      <c r="AM12" s="237" t="e">
        <f t="shared" si="24"/>
        <v>#VALUE!</v>
      </c>
      <c r="AN12" s="70" t="str">
        <f t="shared" si="25"/>
        <v>SBE</v>
      </c>
      <c r="AO12" s="241">
        <f t="shared" si="26"/>
        <v>42175.070833333331</v>
      </c>
      <c r="AP12" s="45" t="s">
        <v>40</v>
      </c>
      <c r="AQ12" s="98"/>
      <c r="AR12" s="99" t="s">
        <v>39</v>
      </c>
      <c r="AS12" s="99" t="s">
        <v>39</v>
      </c>
      <c r="AT12" s="100" t="s">
        <v>39</v>
      </c>
      <c r="AU12" s="101" t="s">
        <v>39</v>
      </c>
      <c r="AV12" s="100" t="s">
        <v>39</v>
      </c>
      <c r="AW12" s="101" t="s">
        <v>39</v>
      </c>
      <c r="AX12" s="101" t="s">
        <v>39</v>
      </c>
      <c r="AY12" s="99" t="s">
        <v>39</v>
      </c>
      <c r="AZ12" s="102"/>
      <c r="BA12" s="102"/>
      <c r="BB12" s="103">
        <v>-0.28520000000000123</v>
      </c>
      <c r="BC12" s="104">
        <v>0</v>
      </c>
      <c r="BD12" s="98">
        <v>0</v>
      </c>
      <c r="BE12" s="105">
        <v>1.8584000000000014</v>
      </c>
      <c r="BF12" s="104">
        <v>1.6</v>
      </c>
      <c r="BG12" s="115">
        <v>0</v>
      </c>
      <c r="BH12" s="104">
        <v>0</v>
      </c>
      <c r="BI12" s="98">
        <v>0</v>
      </c>
      <c r="BJ12" s="105">
        <v>9.2292999999999985</v>
      </c>
      <c r="BK12" s="104">
        <v>9.1999999999999993</v>
      </c>
      <c r="BL12" s="104">
        <v>0</v>
      </c>
      <c r="BM12" s="107"/>
      <c r="BN12" s="108">
        <v>10.799999999999999</v>
      </c>
      <c r="BO12" s="108">
        <v>0</v>
      </c>
      <c r="BP12" s="109">
        <v>0</v>
      </c>
      <c r="BQ12" s="110"/>
      <c r="BR12" s="108">
        <v>1595</v>
      </c>
      <c r="BS12" s="109">
        <v>0</v>
      </c>
      <c r="BT12" s="109">
        <v>126.50000000000051</v>
      </c>
      <c r="BU12" s="107"/>
      <c r="BV12" s="111">
        <v>0</v>
      </c>
      <c r="BW12" s="98">
        <v>0</v>
      </c>
      <c r="BX12" s="113"/>
      <c r="BY12" s="113">
        <v>51</v>
      </c>
      <c r="BZ12" s="114">
        <v>51</v>
      </c>
      <c r="CA12" s="114">
        <v>40</v>
      </c>
      <c r="CB12" s="114">
        <v>79</v>
      </c>
      <c r="CC12" s="99">
        <v>170</v>
      </c>
      <c r="CD12" s="115">
        <v>3</v>
      </c>
      <c r="CE12" s="116">
        <v>3</v>
      </c>
      <c r="CF12" s="117">
        <v>0</v>
      </c>
      <c r="CG12" s="118" t="s">
        <v>39</v>
      </c>
      <c r="CH12" s="117">
        <v>0</v>
      </c>
      <c r="CI12" s="118" t="s">
        <v>39</v>
      </c>
      <c r="CJ12" s="117">
        <v>0</v>
      </c>
      <c r="CK12" s="118" t="s">
        <v>39</v>
      </c>
      <c r="CL12" s="119"/>
      <c r="CM12" s="120">
        <v>0</v>
      </c>
      <c r="CN12" s="121">
        <v>0</v>
      </c>
      <c r="CO12" s="120">
        <v>0</v>
      </c>
      <c r="CP12" s="121">
        <v>40590</v>
      </c>
      <c r="CQ12" s="121">
        <v>18500</v>
      </c>
      <c r="CR12" s="100"/>
      <c r="CS12" s="121">
        <v>6950</v>
      </c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27</v>
      </c>
      <c r="B13" s="442">
        <v>42175.112500000003</v>
      </c>
      <c r="C13" s="443"/>
      <c r="D13" s="84"/>
      <c r="E13" s="23">
        <v>0.8</v>
      </c>
      <c r="F13" s="15">
        <v>94</v>
      </c>
      <c r="G13" s="213"/>
      <c r="H13" s="27">
        <f t="shared" si="16"/>
        <v>4</v>
      </c>
      <c r="I13" s="216">
        <f t="shared" si="17"/>
        <v>5</v>
      </c>
      <c r="J13" s="29" t="str">
        <f ca="1">IF($J$5&gt;=B13,"N/A",SUM(INDIRECT(ADDRESS(6+(MATCH($J$5,$B$6:$B$59,0)),8)):H13))</f>
        <v>N/A</v>
      </c>
      <c r="K13" s="10">
        <v>2414</v>
      </c>
      <c r="L13" s="88"/>
      <c r="M13" s="4">
        <f t="shared" si="18"/>
        <v>4</v>
      </c>
      <c r="N13" s="220">
        <f t="shared" si="0"/>
        <v>5</v>
      </c>
      <c r="O13" s="30" t="str">
        <f ca="1">IF($O$5&gt;=B13,"N/A",SUM(INDIRECT(ADDRESS(6+(MATCH($O$5,$B$6:$B$59,0)),13)):M13))</f>
        <v>N/A</v>
      </c>
      <c r="P13" s="175">
        <f t="shared" si="19"/>
        <v>56</v>
      </c>
      <c r="Q13" s="175">
        <f t="shared" si="20"/>
        <v>28.898021056905765</v>
      </c>
      <c r="R13" s="175">
        <f t="shared" si="21"/>
        <v>9.1417990000000007</v>
      </c>
      <c r="S13" s="70" t="str">
        <f t="shared" si="22"/>
        <v>BOSP</v>
      </c>
      <c r="T13" s="241">
        <f t="shared" si="23"/>
        <v>42175.112500000003</v>
      </c>
      <c r="U13" s="157">
        <f t="shared" si="1"/>
        <v>0.5</v>
      </c>
      <c r="V13" s="158">
        <f t="shared" si="2"/>
        <v>0.2</v>
      </c>
      <c r="W13" s="158">
        <f t="shared" si="3"/>
        <v>0.6</v>
      </c>
      <c r="X13" s="199">
        <f t="shared" si="4"/>
        <v>1.2999999999999998</v>
      </c>
      <c r="Y13" s="159">
        <f t="shared" si="5"/>
        <v>1593.7</v>
      </c>
      <c r="Z13" s="181"/>
      <c r="AA13" s="148">
        <f t="shared" si="6"/>
        <v>0</v>
      </c>
      <c r="AB13" s="149">
        <f t="shared" si="7"/>
        <v>0</v>
      </c>
      <c r="AC13" s="149">
        <f t="shared" si="8"/>
        <v>0</v>
      </c>
      <c r="AD13" s="203">
        <f t="shared" si="9"/>
        <v>0</v>
      </c>
      <c r="AE13" s="150">
        <f t="shared" si="10"/>
        <v>126.50000000000051</v>
      </c>
      <c r="AF13" s="182"/>
      <c r="AG13" s="139">
        <f t="shared" si="11"/>
        <v>0</v>
      </c>
      <c r="AH13" s="140">
        <f t="shared" si="12"/>
        <v>0</v>
      </c>
      <c r="AI13" s="141">
        <f t="shared" si="13"/>
        <v>170</v>
      </c>
      <c r="AJ13" s="166">
        <f t="shared" si="14"/>
        <v>40573</v>
      </c>
      <c r="AK13" s="167">
        <f t="shared" si="14"/>
        <v>18500</v>
      </c>
      <c r="AL13" s="168">
        <f t="shared" si="15"/>
        <v>6900</v>
      </c>
      <c r="AM13" s="237">
        <f t="shared" si="24"/>
        <v>1.2854497500000002</v>
      </c>
      <c r="AN13" s="70" t="str">
        <f t="shared" si="25"/>
        <v>BOSP</v>
      </c>
      <c r="AO13" s="241">
        <f t="shared" si="26"/>
        <v>42175.112500000003</v>
      </c>
      <c r="AP13" s="45" t="s">
        <v>40</v>
      </c>
      <c r="AQ13" s="98">
        <v>56</v>
      </c>
      <c r="AR13" s="99">
        <v>9.1417990000000007</v>
      </c>
      <c r="AS13" s="99">
        <v>9.1417990000000007</v>
      </c>
      <c r="AT13" s="100">
        <v>6.5</v>
      </c>
      <c r="AU13" s="101">
        <v>6.5</v>
      </c>
      <c r="AV13" s="100">
        <v>6.5</v>
      </c>
      <c r="AW13" s="101">
        <v>6.5</v>
      </c>
      <c r="AX13" s="101">
        <v>28.898021056905765</v>
      </c>
      <c r="AY13" s="99">
        <v>28.898021056905765</v>
      </c>
      <c r="AZ13" s="102"/>
      <c r="BA13" s="102"/>
      <c r="BB13" s="103">
        <v>0.29440000000000011</v>
      </c>
      <c r="BC13" s="104">
        <v>0.5</v>
      </c>
      <c r="BD13" s="98">
        <v>0</v>
      </c>
      <c r="BE13" s="105">
        <v>0.2115999999999999</v>
      </c>
      <c r="BF13" s="104">
        <v>0.2</v>
      </c>
      <c r="BG13" s="115">
        <v>0</v>
      </c>
      <c r="BH13" s="104">
        <v>0</v>
      </c>
      <c r="BI13" s="98">
        <v>0</v>
      </c>
      <c r="BJ13" s="105">
        <v>0.65860000000000007</v>
      </c>
      <c r="BK13" s="104">
        <v>0.6</v>
      </c>
      <c r="BL13" s="104">
        <v>0</v>
      </c>
      <c r="BM13" s="107"/>
      <c r="BN13" s="108">
        <v>1.2999999999999998</v>
      </c>
      <c r="BO13" s="108">
        <v>0</v>
      </c>
      <c r="BP13" s="109">
        <v>0</v>
      </c>
      <c r="BQ13" s="110"/>
      <c r="BR13" s="108">
        <v>1593.7</v>
      </c>
      <c r="BS13" s="109">
        <v>0</v>
      </c>
      <c r="BT13" s="109">
        <v>126.50000000000051</v>
      </c>
      <c r="BU13" s="107"/>
      <c r="BV13" s="111">
        <v>0</v>
      </c>
      <c r="BW13" s="98">
        <v>0</v>
      </c>
      <c r="BX13" s="113"/>
      <c r="BY13" s="113">
        <v>51</v>
      </c>
      <c r="BZ13" s="114">
        <v>51</v>
      </c>
      <c r="CA13" s="114">
        <v>40</v>
      </c>
      <c r="CB13" s="114">
        <v>79</v>
      </c>
      <c r="CC13" s="99">
        <v>170</v>
      </c>
      <c r="CD13" s="115">
        <v>0</v>
      </c>
      <c r="CE13" s="116">
        <v>0</v>
      </c>
      <c r="CF13" s="117">
        <v>0</v>
      </c>
      <c r="CG13" s="118" t="s">
        <v>39</v>
      </c>
      <c r="CH13" s="117">
        <v>0</v>
      </c>
      <c r="CI13" s="118" t="s">
        <v>39</v>
      </c>
      <c r="CJ13" s="117">
        <v>0</v>
      </c>
      <c r="CK13" s="118" t="s">
        <v>39</v>
      </c>
      <c r="CL13" s="119"/>
      <c r="CM13" s="120">
        <v>17</v>
      </c>
      <c r="CN13" s="121">
        <v>17</v>
      </c>
      <c r="CO13" s="120">
        <v>0</v>
      </c>
      <c r="CP13" s="121">
        <v>40573</v>
      </c>
      <c r="CQ13" s="121">
        <v>18500</v>
      </c>
      <c r="CR13" s="100"/>
      <c r="CS13" s="121">
        <v>6900</v>
      </c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11</v>
      </c>
      <c r="B14" s="442">
        <v>42175.5</v>
      </c>
      <c r="C14" s="443"/>
      <c r="D14" s="84"/>
      <c r="E14" s="23">
        <v>9.3000000000000007</v>
      </c>
      <c r="F14" s="15">
        <v>106.6</v>
      </c>
      <c r="G14" s="213">
        <v>94</v>
      </c>
      <c r="H14" s="27">
        <f t="shared" si="16"/>
        <v>106.6</v>
      </c>
      <c r="I14" s="216">
        <f t="shared" si="17"/>
        <v>11.462365591397848</v>
      </c>
      <c r="J14" s="29">
        <f ca="1">IF($J$5&gt;=B14,"N/A",SUM(INDIRECT(ADDRESS(6+(MATCH($J$5,$B$6:$B$59,0)),8)):H14))</f>
        <v>106.6</v>
      </c>
      <c r="K14" s="10">
        <v>2297.3000000000002</v>
      </c>
      <c r="L14" s="88"/>
      <c r="M14" s="4">
        <f t="shared" si="18"/>
        <v>116.69999999999982</v>
      </c>
      <c r="N14" s="220">
        <f t="shared" si="0"/>
        <v>12.548387096774173</v>
      </c>
      <c r="O14" s="30">
        <f ca="1">IF($O$5&gt;=B14,"N/A",SUM(INDIRECT(ADDRESS(6+(MATCH($O$5,$B$6:$B$59,0)),13)):M14))</f>
        <v>116.69999999999982</v>
      </c>
      <c r="P14" s="175">
        <f t="shared" si="19"/>
        <v>78</v>
      </c>
      <c r="Q14" s="175">
        <f t="shared" si="20"/>
        <v>3.0512623545939827E-2</v>
      </c>
      <c r="R14" s="175">
        <f t="shared" si="21"/>
        <v>116.73561910000001</v>
      </c>
      <c r="S14" s="70" t="str">
        <f t="shared" si="22"/>
        <v>NOON</v>
      </c>
      <c r="T14" s="241">
        <f t="shared" si="23"/>
        <v>42175.5</v>
      </c>
      <c r="U14" s="157">
        <f t="shared" si="1"/>
        <v>12.6</v>
      </c>
      <c r="V14" s="158">
        <f t="shared" si="2"/>
        <v>1.3</v>
      </c>
      <c r="W14" s="158">
        <f t="shared" si="3"/>
        <v>5</v>
      </c>
      <c r="X14" s="199">
        <f t="shared" si="4"/>
        <v>18.899999999999999</v>
      </c>
      <c r="Y14" s="159">
        <f t="shared" si="5"/>
        <v>1574.8</v>
      </c>
      <c r="Z14" s="181"/>
      <c r="AA14" s="148">
        <f t="shared" si="6"/>
        <v>0</v>
      </c>
      <c r="AB14" s="149">
        <f t="shared" si="7"/>
        <v>0</v>
      </c>
      <c r="AC14" s="149">
        <f t="shared" si="8"/>
        <v>0</v>
      </c>
      <c r="AD14" s="203">
        <f t="shared" si="9"/>
        <v>0</v>
      </c>
      <c r="AE14" s="150">
        <f t="shared" si="10"/>
        <v>126.50000000000051</v>
      </c>
      <c r="AF14" s="182"/>
      <c r="AG14" s="139">
        <f t="shared" si="11"/>
        <v>2</v>
      </c>
      <c r="AH14" s="140">
        <f t="shared" si="12"/>
        <v>9</v>
      </c>
      <c r="AI14" s="141">
        <f t="shared" si="13"/>
        <v>177</v>
      </c>
      <c r="AJ14" s="166">
        <f t="shared" si="14"/>
        <v>40450</v>
      </c>
      <c r="AK14" s="167">
        <f t="shared" si="14"/>
        <v>18500</v>
      </c>
      <c r="AL14" s="168">
        <f t="shared" si="15"/>
        <v>6900</v>
      </c>
      <c r="AM14" s="237">
        <f t="shared" si="24"/>
        <v>9.5080854596623021E-2</v>
      </c>
      <c r="AN14" s="70" t="str">
        <f t="shared" si="25"/>
        <v>NOON</v>
      </c>
      <c r="AO14" s="241">
        <f t="shared" si="26"/>
        <v>42175.5</v>
      </c>
      <c r="AP14" s="45" t="s">
        <v>40</v>
      </c>
      <c r="AQ14" s="98">
        <v>78</v>
      </c>
      <c r="AR14" s="99">
        <v>116.73561910000001</v>
      </c>
      <c r="AS14" s="99">
        <v>12.688654250000003</v>
      </c>
      <c r="AT14" s="100">
        <v>116.7</v>
      </c>
      <c r="AU14" s="101">
        <v>12.684782608695654</v>
      </c>
      <c r="AV14" s="100">
        <v>116.7</v>
      </c>
      <c r="AW14" s="101">
        <v>12.684782608695654</v>
      </c>
      <c r="AX14" s="101">
        <v>3.0512623545939827E-2</v>
      </c>
      <c r="AY14" s="99">
        <v>3.0512623545939827E-2</v>
      </c>
      <c r="AZ14" s="102"/>
      <c r="BA14" s="102"/>
      <c r="BB14" s="103">
        <v>21.288800000000002</v>
      </c>
      <c r="BC14" s="104">
        <v>12.6</v>
      </c>
      <c r="BD14" s="98">
        <v>0</v>
      </c>
      <c r="BE14" s="105">
        <v>-7.507200000000001</v>
      </c>
      <c r="BF14" s="104">
        <v>1.3</v>
      </c>
      <c r="BG14" s="115">
        <v>0</v>
      </c>
      <c r="BH14" s="104">
        <v>0</v>
      </c>
      <c r="BI14" s="98">
        <v>0</v>
      </c>
      <c r="BJ14" s="105">
        <v>4.9127999999999998</v>
      </c>
      <c r="BK14" s="104">
        <v>5</v>
      </c>
      <c r="BL14" s="104">
        <v>0</v>
      </c>
      <c r="BM14" s="107"/>
      <c r="BN14" s="108">
        <v>18.899999999999999</v>
      </c>
      <c r="BO14" s="108">
        <v>0</v>
      </c>
      <c r="BP14" s="109">
        <v>0</v>
      </c>
      <c r="BQ14" s="110"/>
      <c r="BR14" s="108">
        <v>1574.8</v>
      </c>
      <c r="BS14" s="109">
        <v>0</v>
      </c>
      <c r="BT14" s="109">
        <v>126.50000000000051</v>
      </c>
      <c r="BU14" s="107"/>
      <c r="BV14" s="111">
        <v>106</v>
      </c>
      <c r="BW14" s="98">
        <v>9</v>
      </c>
      <c r="BX14" s="113"/>
      <c r="BY14" s="113">
        <v>58</v>
      </c>
      <c r="BZ14" s="114">
        <v>58</v>
      </c>
      <c r="CA14" s="114">
        <v>40</v>
      </c>
      <c r="CB14" s="114">
        <v>79</v>
      </c>
      <c r="CC14" s="99">
        <v>177</v>
      </c>
      <c r="CD14" s="115">
        <v>2</v>
      </c>
      <c r="CE14" s="116">
        <v>2</v>
      </c>
      <c r="CF14" s="117">
        <v>0</v>
      </c>
      <c r="CG14" s="118" t="s">
        <v>39</v>
      </c>
      <c r="CH14" s="117">
        <v>0</v>
      </c>
      <c r="CI14" s="118" t="s">
        <v>39</v>
      </c>
      <c r="CJ14" s="117">
        <v>0</v>
      </c>
      <c r="CK14" s="118" t="s">
        <v>39</v>
      </c>
      <c r="CL14" s="119"/>
      <c r="CM14" s="120">
        <v>123</v>
      </c>
      <c r="CN14" s="121">
        <v>123</v>
      </c>
      <c r="CO14" s="120">
        <v>0</v>
      </c>
      <c r="CP14" s="121">
        <v>40450</v>
      </c>
      <c r="CQ14" s="121">
        <v>18500</v>
      </c>
      <c r="CR14" s="100"/>
      <c r="CS14" s="121">
        <v>6900</v>
      </c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11</v>
      </c>
      <c r="B15" s="442">
        <v>42176.5</v>
      </c>
      <c r="C15" s="453"/>
      <c r="D15" s="84"/>
      <c r="E15" s="23">
        <v>24</v>
      </c>
      <c r="F15" s="15">
        <v>386.3</v>
      </c>
      <c r="G15" s="213"/>
      <c r="H15" s="27">
        <f t="shared" si="16"/>
        <v>279.70000000000005</v>
      </c>
      <c r="I15" s="216">
        <f t="shared" si="17"/>
        <v>11.654166666666669</v>
      </c>
      <c r="J15" s="29">
        <f ca="1">IF($J$5&gt;=B15,"N/A",SUM(INDIRECT(ADDRESS(6+(MATCH($J$5,$B$6:$B$59,0)),8)):H15))</f>
        <v>386.30000000000007</v>
      </c>
      <c r="K15" s="10">
        <v>2001</v>
      </c>
      <c r="L15" s="88"/>
      <c r="M15" s="4">
        <f t="shared" si="18"/>
        <v>296.30000000000018</v>
      </c>
      <c r="N15" s="220">
        <f t="shared" si="0"/>
        <v>12.34583333333334</v>
      </c>
      <c r="O15" s="30">
        <f ca="1">IF($O$5&gt;=B15,"N/A",SUM(INDIRECT(ADDRESS(6+(MATCH($O$5,$B$6:$B$59,0)),13)):M15))</f>
        <v>413</v>
      </c>
      <c r="P15" s="175">
        <f t="shared" si="19"/>
        <v>78.8</v>
      </c>
      <c r="Q15" s="175">
        <f t="shared" si="20"/>
        <v>3.7588490567336414</v>
      </c>
      <c r="R15" s="175">
        <f t="shared" si="21"/>
        <v>307.87246110000001</v>
      </c>
      <c r="S15" s="70" t="str">
        <f t="shared" si="22"/>
        <v>NOON</v>
      </c>
      <c r="T15" s="241">
        <f t="shared" si="23"/>
        <v>42176.5</v>
      </c>
      <c r="U15" s="157">
        <f t="shared" si="1"/>
        <v>30.2</v>
      </c>
      <c r="V15" s="158">
        <f t="shared" si="2"/>
        <v>2.9</v>
      </c>
      <c r="W15" s="158">
        <f t="shared" si="3"/>
        <v>0</v>
      </c>
      <c r="X15" s="199">
        <f t="shared" si="4"/>
        <v>33.1</v>
      </c>
      <c r="Y15" s="159">
        <f t="shared" si="5"/>
        <v>1541.7</v>
      </c>
      <c r="Z15" s="181"/>
      <c r="AA15" s="148">
        <f t="shared" si="6"/>
        <v>0</v>
      </c>
      <c r="AB15" s="149">
        <f t="shared" si="7"/>
        <v>0</v>
      </c>
      <c r="AC15" s="149">
        <f t="shared" si="8"/>
        <v>0</v>
      </c>
      <c r="AD15" s="203">
        <f t="shared" si="9"/>
        <v>0</v>
      </c>
      <c r="AE15" s="150">
        <f t="shared" si="10"/>
        <v>126.50000000000051</v>
      </c>
      <c r="AF15" s="182"/>
      <c r="AG15" s="139">
        <f t="shared" si="11"/>
        <v>3</v>
      </c>
      <c r="AH15" s="140">
        <f t="shared" si="12"/>
        <v>16</v>
      </c>
      <c r="AI15" s="141">
        <f t="shared" si="13"/>
        <v>190</v>
      </c>
      <c r="AJ15" s="166">
        <f t="shared" si="14"/>
        <v>40136</v>
      </c>
      <c r="AK15" s="167">
        <f t="shared" si="14"/>
        <v>18500</v>
      </c>
      <c r="AL15" s="168">
        <f t="shared" si="15"/>
        <v>6850</v>
      </c>
      <c r="AM15" s="237">
        <f t="shared" si="24"/>
        <v>0.10072385091169095</v>
      </c>
      <c r="AN15" s="70" t="str">
        <f t="shared" si="25"/>
        <v>NOON</v>
      </c>
      <c r="AO15" s="241">
        <f t="shared" si="26"/>
        <v>42176.5</v>
      </c>
      <c r="AP15" s="45" t="s">
        <v>40</v>
      </c>
      <c r="AQ15" s="98">
        <v>78.8</v>
      </c>
      <c r="AR15" s="99">
        <v>307.87246110000001</v>
      </c>
      <c r="AS15" s="99">
        <v>12.828019212500001</v>
      </c>
      <c r="AT15" s="100">
        <v>296.3</v>
      </c>
      <c r="AU15" s="101">
        <v>12.345833333333333</v>
      </c>
      <c r="AV15" s="100">
        <v>296.3</v>
      </c>
      <c r="AW15" s="101">
        <v>12.345833333333333</v>
      </c>
      <c r="AX15" s="101">
        <v>3.7588490567336414</v>
      </c>
      <c r="AY15" s="99">
        <v>3.7588490567336414</v>
      </c>
      <c r="AZ15" s="102"/>
      <c r="BA15" s="102"/>
      <c r="BB15" s="103">
        <v>19.320000000000007</v>
      </c>
      <c r="BC15" s="104">
        <v>30.2</v>
      </c>
      <c r="BD15" s="98">
        <v>0</v>
      </c>
      <c r="BE15" s="105">
        <v>12.797199999999997</v>
      </c>
      <c r="BF15" s="104">
        <v>2.9</v>
      </c>
      <c r="BG15" s="115">
        <v>0</v>
      </c>
      <c r="BH15" s="104">
        <v>0</v>
      </c>
      <c r="BI15" s="98">
        <v>0</v>
      </c>
      <c r="BJ15" s="105">
        <v>0</v>
      </c>
      <c r="BK15" s="104">
        <v>0</v>
      </c>
      <c r="BL15" s="104">
        <v>0</v>
      </c>
      <c r="BM15" s="107"/>
      <c r="BN15" s="108">
        <v>33.1</v>
      </c>
      <c r="BO15" s="108">
        <v>0</v>
      </c>
      <c r="BP15" s="109">
        <v>0</v>
      </c>
      <c r="BQ15" s="110"/>
      <c r="BR15" s="108">
        <v>1541.7</v>
      </c>
      <c r="BS15" s="109">
        <v>0</v>
      </c>
      <c r="BT15" s="109">
        <v>126.50000000000051</v>
      </c>
      <c r="BU15" s="107"/>
      <c r="BV15" s="111">
        <v>16</v>
      </c>
      <c r="BW15" s="98">
        <v>16</v>
      </c>
      <c r="BX15" s="113"/>
      <c r="BY15" s="113">
        <v>71</v>
      </c>
      <c r="BZ15" s="114">
        <v>71</v>
      </c>
      <c r="CA15" s="114">
        <v>40</v>
      </c>
      <c r="CB15" s="114">
        <v>79</v>
      </c>
      <c r="CC15" s="99">
        <v>190</v>
      </c>
      <c r="CD15" s="115">
        <v>3</v>
      </c>
      <c r="CE15" s="116">
        <v>3</v>
      </c>
      <c r="CF15" s="117">
        <v>0</v>
      </c>
      <c r="CG15" s="118" t="s">
        <v>39</v>
      </c>
      <c r="CH15" s="117">
        <v>0</v>
      </c>
      <c r="CI15" s="118" t="s">
        <v>39</v>
      </c>
      <c r="CJ15" s="117">
        <v>0</v>
      </c>
      <c r="CK15" s="118" t="s">
        <v>39</v>
      </c>
      <c r="CL15" s="119"/>
      <c r="CM15" s="120">
        <v>314</v>
      </c>
      <c r="CN15" s="121">
        <v>314</v>
      </c>
      <c r="CO15" s="120">
        <v>0</v>
      </c>
      <c r="CP15" s="121">
        <v>40136</v>
      </c>
      <c r="CQ15" s="121">
        <v>18500</v>
      </c>
      <c r="CR15" s="100">
        <v>50</v>
      </c>
      <c r="CS15" s="121">
        <v>6850</v>
      </c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11</v>
      </c>
      <c r="B16" s="442">
        <v>42177.5</v>
      </c>
      <c r="C16" s="453"/>
      <c r="D16" s="84"/>
      <c r="E16" s="23">
        <v>24</v>
      </c>
      <c r="F16" s="15">
        <v>660.4</v>
      </c>
      <c r="G16" s="213"/>
      <c r="H16" s="27">
        <f t="shared" si="16"/>
        <v>274.09999999999997</v>
      </c>
      <c r="I16" s="216">
        <f t="shared" si="17"/>
        <v>11.420833333333333</v>
      </c>
      <c r="J16" s="29">
        <f ca="1">IF($J$5&gt;=B16,"N/A",SUM(INDIRECT(ADDRESS(6+(MATCH($J$5,$B$6:$B$59,0)),8)):H16))</f>
        <v>660.40000000000009</v>
      </c>
      <c r="K16" s="10">
        <v>1722</v>
      </c>
      <c r="L16" s="88"/>
      <c r="M16" s="4">
        <f t="shared" si="18"/>
        <v>279</v>
      </c>
      <c r="N16" s="220">
        <f t="shared" si="0"/>
        <v>11.625</v>
      </c>
      <c r="O16" s="30">
        <f ca="1">IF($O$5&gt;=B16,"N/A",SUM(INDIRECT(ADDRESS(6+(MATCH($O$5,$B$6:$B$59,0)),13)):M16))</f>
        <v>692</v>
      </c>
      <c r="P16" s="175">
        <f t="shared" si="19"/>
        <v>78</v>
      </c>
      <c r="Q16" s="175">
        <f t="shared" si="20"/>
        <v>8.3745572565831843</v>
      </c>
      <c r="R16" s="175">
        <f t="shared" si="21"/>
        <v>304.50057500000003</v>
      </c>
      <c r="S16" s="70" t="str">
        <f t="shared" si="22"/>
        <v>NOON</v>
      </c>
      <c r="T16" s="241">
        <f t="shared" si="23"/>
        <v>42177.5</v>
      </c>
      <c r="U16" s="157">
        <f t="shared" si="1"/>
        <v>30.7</v>
      </c>
      <c r="V16" s="158">
        <f t="shared" si="2"/>
        <v>2.9</v>
      </c>
      <c r="W16" s="158">
        <f t="shared" si="3"/>
        <v>0</v>
      </c>
      <c r="X16" s="199">
        <f t="shared" si="4"/>
        <v>33.6</v>
      </c>
      <c r="Y16" s="159">
        <f t="shared" si="5"/>
        <v>1508.1000000000001</v>
      </c>
      <c r="Z16" s="181"/>
      <c r="AA16" s="148">
        <f t="shared" si="6"/>
        <v>0</v>
      </c>
      <c r="AB16" s="149">
        <f t="shared" si="7"/>
        <v>0</v>
      </c>
      <c r="AC16" s="149">
        <f t="shared" si="8"/>
        <v>0</v>
      </c>
      <c r="AD16" s="203">
        <f t="shared" si="9"/>
        <v>0</v>
      </c>
      <c r="AE16" s="150">
        <f t="shared" si="10"/>
        <v>126.50000000000051</v>
      </c>
      <c r="AF16" s="182"/>
      <c r="AG16" s="139">
        <f t="shared" si="11"/>
        <v>4</v>
      </c>
      <c r="AH16" s="140">
        <f t="shared" si="12"/>
        <v>12</v>
      </c>
      <c r="AI16" s="141">
        <f t="shared" si="13"/>
        <v>198</v>
      </c>
      <c r="AJ16" s="166">
        <f t="shared" si="14"/>
        <v>39819</v>
      </c>
      <c r="AK16" s="167">
        <f t="shared" si="14"/>
        <v>18000</v>
      </c>
      <c r="AL16" s="168">
        <f t="shared" si="15"/>
        <v>6800</v>
      </c>
      <c r="AM16" s="237">
        <f t="shared" si="24"/>
        <v>0.11091052535570983</v>
      </c>
      <c r="AN16" s="70" t="str">
        <f t="shared" si="25"/>
        <v>NOON</v>
      </c>
      <c r="AO16" s="241">
        <f t="shared" si="26"/>
        <v>42177.5</v>
      </c>
      <c r="AP16" s="45" t="s">
        <v>40</v>
      </c>
      <c r="AQ16" s="98">
        <v>78</v>
      </c>
      <c r="AR16" s="99">
        <v>304.50057500000003</v>
      </c>
      <c r="AS16" s="99">
        <v>12.687523958333335</v>
      </c>
      <c r="AT16" s="100">
        <v>279</v>
      </c>
      <c r="AU16" s="101">
        <v>11.625</v>
      </c>
      <c r="AV16" s="100">
        <v>279</v>
      </c>
      <c r="AW16" s="101">
        <v>11.625</v>
      </c>
      <c r="AX16" s="101">
        <v>8.3745572565831843</v>
      </c>
      <c r="AY16" s="99">
        <v>8.3745572565831843</v>
      </c>
      <c r="AZ16" s="102"/>
      <c r="BA16" s="102"/>
      <c r="BB16" s="103">
        <v>30.093200000000003</v>
      </c>
      <c r="BC16" s="104">
        <v>30.7</v>
      </c>
      <c r="BD16" s="98">
        <v>0</v>
      </c>
      <c r="BE16" s="105">
        <v>3.6247999999999991</v>
      </c>
      <c r="BF16" s="104">
        <v>2.9</v>
      </c>
      <c r="BG16" s="115">
        <v>0</v>
      </c>
      <c r="BH16" s="104">
        <v>0</v>
      </c>
      <c r="BI16" s="98">
        <v>0</v>
      </c>
      <c r="BJ16" s="105">
        <v>0</v>
      </c>
      <c r="BK16" s="104">
        <v>0</v>
      </c>
      <c r="BL16" s="104">
        <v>0</v>
      </c>
      <c r="BM16" s="107"/>
      <c r="BN16" s="108">
        <v>33.6</v>
      </c>
      <c r="BO16" s="108">
        <v>0</v>
      </c>
      <c r="BP16" s="109">
        <v>0</v>
      </c>
      <c r="BQ16" s="110"/>
      <c r="BR16" s="108">
        <v>1508.1000000000001</v>
      </c>
      <c r="BS16" s="109">
        <v>0</v>
      </c>
      <c r="BT16" s="109">
        <v>126.50000000000051</v>
      </c>
      <c r="BU16" s="107"/>
      <c r="BV16" s="111">
        <v>12</v>
      </c>
      <c r="BW16" s="98">
        <v>12</v>
      </c>
      <c r="BX16" s="113"/>
      <c r="BY16" s="113">
        <v>79</v>
      </c>
      <c r="BZ16" s="114">
        <v>79</v>
      </c>
      <c r="CA16" s="114">
        <v>40</v>
      </c>
      <c r="CB16" s="114">
        <v>79</v>
      </c>
      <c r="CC16" s="99">
        <v>198</v>
      </c>
      <c r="CD16" s="115">
        <v>4</v>
      </c>
      <c r="CE16" s="116">
        <v>4</v>
      </c>
      <c r="CF16" s="117">
        <v>0</v>
      </c>
      <c r="CG16" s="118" t="s">
        <v>39</v>
      </c>
      <c r="CH16" s="117">
        <v>0</v>
      </c>
      <c r="CI16" s="118" t="s">
        <v>39</v>
      </c>
      <c r="CJ16" s="117">
        <v>0</v>
      </c>
      <c r="CK16" s="118" t="s">
        <v>39</v>
      </c>
      <c r="CL16" s="119"/>
      <c r="CM16" s="120">
        <v>317</v>
      </c>
      <c r="CN16" s="121">
        <v>317</v>
      </c>
      <c r="CO16" s="120">
        <v>0</v>
      </c>
      <c r="CP16" s="121">
        <v>39819</v>
      </c>
      <c r="CQ16" s="121">
        <v>18000</v>
      </c>
      <c r="CR16" s="100"/>
      <c r="CS16" s="121">
        <v>6800</v>
      </c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11</v>
      </c>
      <c r="B17" s="442">
        <v>42178.5</v>
      </c>
      <c r="C17" s="453"/>
      <c r="D17" s="84"/>
      <c r="E17" s="23">
        <v>24</v>
      </c>
      <c r="F17" s="15">
        <v>926.8</v>
      </c>
      <c r="G17" s="213"/>
      <c r="H17" s="27">
        <f t="shared" si="16"/>
        <v>266.39999999999998</v>
      </c>
      <c r="I17" s="216">
        <f t="shared" si="17"/>
        <v>11.1</v>
      </c>
      <c r="J17" s="29">
        <f ca="1">IF($J$5&gt;=B17,"N/A",SUM(INDIRECT(ADDRESS(6+(MATCH($J$5,$B$6:$B$59,0)),8)):H17))</f>
        <v>926.80000000000007</v>
      </c>
      <c r="K17" s="10">
        <v>1457.9</v>
      </c>
      <c r="L17" s="88"/>
      <c r="M17" s="4">
        <f t="shared" si="18"/>
        <v>264.09999999999991</v>
      </c>
      <c r="N17" s="220">
        <f t="shared" si="0"/>
        <v>11.004166666666663</v>
      </c>
      <c r="O17" s="30">
        <f ca="1">IF($O$5&gt;=B17,"N/A",SUM(INDIRECT(ADDRESS(6+(MATCH($O$5,$B$6:$B$59,0)),13)):M17))</f>
        <v>956.09999999999991</v>
      </c>
      <c r="P17" s="175">
        <f t="shared" si="19"/>
        <v>77.5</v>
      </c>
      <c r="Q17" s="175">
        <f t="shared" si="20"/>
        <v>12.80250341483605</v>
      </c>
      <c r="R17" s="175">
        <f t="shared" si="21"/>
        <v>302.87566770000001</v>
      </c>
      <c r="S17" s="70" t="str">
        <f t="shared" si="22"/>
        <v>NOON</v>
      </c>
      <c r="T17" s="241">
        <f t="shared" si="23"/>
        <v>42178.5</v>
      </c>
      <c r="U17" s="157">
        <f t="shared" si="1"/>
        <v>29.3</v>
      </c>
      <c r="V17" s="158">
        <f t="shared" si="2"/>
        <v>2.9</v>
      </c>
      <c r="W17" s="158">
        <f t="shared" si="3"/>
        <v>0</v>
      </c>
      <c r="X17" s="199">
        <f t="shared" si="4"/>
        <v>32.200000000000003</v>
      </c>
      <c r="Y17" s="159">
        <f t="shared" si="5"/>
        <v>1475.9</v>
      </c>
      <c r="Z17" s="181"/>
      <c r="AA17" s="148">
        <f t="shared" si="6"/>
        <v>0</v>
      </c>
      <c r="AB17" s="149">
        <f t="shared" si="7"/>
        <v>0</v>
      </c>
      <c r="AC17" s="149">
        <f t="shared" si="8"/>
        <v>0</v>
      </c>
      <c r="AD17" s="203">
        <f t="shared" si="9"/>
        <v>0</v>
      </c>
      <c r="AE17" s="150">
        <f t="shared" si="10"/>
        <v>126.50000000000051</v>
      </c>
      <c r="AF17" s="182"/>
      <c r="AG17" s="139">
        <f t="shared" si="11"/>
        <v>4</v>
      </c>
      <c r="AH17" s="140">
        <f t="shared" si="12"/>
        <v>13</v>
      </c>
      <c r="AI17" s="141">
        <f t="shared" si="13"/>
        <v>207</v>
      </c>
      <c r="AJ17" s="166">
        <f t="shared" si="14"/>
        <v>39507</v>
      </c>
      <c r="AK17" s="167">
        <f t="shared" si="14"/>
        <v>18000</v>
      </c>
      <c r="AL17" s="168">
        <f t="shared" si="15"/>
        <v>6750</v>
      </c>
      <c r="AM17" s="237">
        <f t="shared" si="24"/>
        <v>0.13692067454954968</v>
      </c>
      <c r="AN17" s="70" t="str">
        <f t="shared" si="25"/>
        <v>NOON</v>
      </c>
      <c r="AO17" s="241">
        <f t="shared" si="26"/>
        <v>42178.5</v>
      </c>
      <c r="AP17" s="45" t="s">
        <v>40</v>
      </c>
      <c r="AQ17" s="98">
        <v>77.5</v>
      </c>
      <c r="AR17" s="99">
        <v>302.87566770000001</v>
      </c>
      <c r="AS17" s="99">
        <v>12.619819487500001</v>
      </c>
      <c r="AT17" s="100">
        <v>264.10000000000002</v>
      </c>
      <c r="AU17" s="101">
        <v>11.004166666666668</v>
      </c>
      <c r="AV17" s="100">
        <v>264.10000000000002</v>
      </c>
      <c r="AW17" s="101">
        <v>11.004166666666668</v>
      </c>
      <c r="AX17" s="101">
        <v>12.80250341483605</v>
      </c>
      <c r="AY17" s="99">
        <v>12.80250341483605</v>
      </c>
      <c r="AZ17" s="102"/>
      <c r="BA17" s="102"/>
      <c r="BB17" s="103">
        <v>27.83</v>
      </c>
      <c r="BC17" s="104">
        <v>29.3</v>
      </c>
      <c r="BD17" s="98">
        <v>0</v>
      </c>
      <c r="BE17" s="105">
        <v>3.6156000000000024</v>
      </c>
      <c r="BF17" s="104">
        <v>2.9</v>
      </c>
      <c r="BG17" s="115">
        <v>0</v>
      </c>
      <c r="BH17" s="104">
        <v>0</v>
      </c>
      <c r="BI17" s="98">
        <v>0</v>
      </c>
      <c r="BJ17" s="105">
        <v>0</v>
      </c>
      <c r="BK17" s="104">
        <v>0</v>
      </c>
      <c r="BL17" s="104">
        <v>0</v>
      </c>
      <c r="BM17" s="107"/>
      <c r="BN17" s="108">
        <v>32.200000000000003</v>
      </c>
      <c r="BO17" s="108">
        <v>0</v>
      </c>
      <c r="BP17" s="109">
        <v>0</v>
      </c>
      <c r="BQ17" s="110"/>
      <c r="BR17" s="108">
        <v>1475.9</v>
      </c>
      <c r="BS17" s="109">
        <v>0</v>
      </c>
      <c r="BT17" s="109">
        <v>126.50000000000051</v>
      </c>
      <c r="BU17" s="107"/>
      <c r="BV17" s="111">
        <v>13</v>
      </c>
      <c r="BW17" s="98">
        <v>13</v>
      </c>
      <c r="BX17" s="113"/>
      <c r="BY17" s="113">
        <v>88</v>
      </c>
      <c r="BZ17" s="114">
        <v>88</v>
      </c>
      <c r="CA17" s="114">
        <v>40</v>
      </c>
      <c r="CB17" s="114">
        <v>79</v>
      </c>
      <c r="CC17" s="99">
        <v>207</v>
      </c>
      <c r="CD17" s="115">
        <v>4</v>
      </c>
      <c r="CE17" s="116">
        <v>4</v>
      </c>
      <c r="CF17" s="117">
        <v>0</v>
      </c>
      <c r="CG17" s="118" t="s">
        <v>39</v>
      </c>
      <c r="CH17" s="117">
        <v>0</v>
      </c>
      <c r="CI17" s="118" t="s">
        <v>39</v>
      </c>
      <c r="CJ17" s="117">
        <v>0</v>
      </c>
      <c r="CK17" s="118" t="s">
        <v>39</v>
      </c>
      <c r="CL17" s="119"/>
      <c r="CM17" s="120">
        <v>312</v>
      </c>
      <c r="CN17" s="121">
        <v>312</v>
      </c>
      <c r="CO17" s="120">
        <v>0</v>
      </c>
      <c r="CP17" s="121">
        <v>39507</v>
      </c>
      <c r="CQ17" s="121">
        <v>18000</v>
      </c>
      <c r="CR17" s="100"/>
      <c r="CS17" s="121">
        <v>6750</v>
      </c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11</v>
      </c>
      <c r="B18" s="442">
        <v>42179.5</v>
      </c>
      <c r="C18" s="453"/>
      <c r="D18" s="84"/>
      <c r="E18" s="23">
        <v>24</v>
      </c>
      <c r="F18" s="15">
        <v>1196.5999999999999</v>
      </c>
      <c r="G18" s="213"/>
      <c r="H18" s="27">
        <f t="shared" si="16"/>
        <v>269.79999999999995</v>
      </c>
      <c r="I18" s="216">
        <f t="shared" si="17"/>
        <v>11.241666666666665</v>
      </c>
      <c r="J18" s="29">
        <f ca="1">IF($J$5&gt;=B18,"N/A",SUM(INDIRECT(ADDRESS(6+(MATCH($J$5,$B$6:$B$59,0)),8)):H18))</f>
        <v>1196.5999999999999</v>
      </c>
      <c r="K18" s="10">
        <v>1174.5</v>
      </c>
      <c r="L18" s="88"/>
      <c r="M18" s="4">
        <f t="shared" si="18"/>
        <v>283.40000000000009</v>
      </c>
      <c r="N18" s="220">
        <f t="shared" si="0"/>
        <v>11.808333333333337</v>
      </c>
      <c r="O18" s="30">
        <f ca="1">IF($O$5&gt;=B18,"N/A",SUM(INDIRECT(ADDRESS(6+(MATCH($O$5,$B$6:$B$59,0)),13)):M18))</f>
        <v>1239.5</v>
      </c>
      <c r="P18" s="175">
        <f t="shared" si="19"/>
        <v>77.099999999999994</v>
      </c>
      <c r="Q18" s="175">
        <f t="shared" si="20"/>
        <v>5.8780859664607581</v>
      </c>
      <c r="R18" s="175">
        <f t="shared" si="21"/>
        <v>301.09884920000002</v>
      </c>
      <c r="S18" s="70" t="str">
        <f t="shared" si="22"/>
        <v>NOON</v>
      </c>
      <c r="T18" s="241">
        <f t="shared" si="23"/>
        <v>42179.5</v>
      </c>
      <c r="U18" s="157">
        <f t="shared" si="1"/>
        <v>29</v>
      </c>
      <c r="V18" s="158">
        <f t="shared" si="2"/>
        <v>3</v>
      </c>
      <c r="W18" s="158">
        <f t="shared" si="3"/>
        <v>0</v>
      </c>
      <c r="X18" s="199">
        <f t="shared" si="4"/>
        <v>32</v>
      </c>
      <c r="Y18" s="159">
        <f t="shared" si="5"/>
        <v>1443.9</v>
      </c>
      <c r="Z18" s="181"/>
      <c r="AA18" s="148">
        <f t="shared" si="6"/>
        <v>0</v>
      </c>
      <c r="AB18" s="149">
        <f t="shared" si="7"/>
        <v>0</v>
      </c>
      <c r="AC18" s="149">
        <f t="shared" si="8"/>
        <v>0</v>
      </c>
      <c r="AD18" s="203">
        <f t="shared" si="9"/>
        <v>0</v>
      </c>
      <c r="AE18" s="150">
        <f t="shared" si="10"/>
        <v>126.50000000000051</v>
      </c>
      <c r="AF18" s="182"/>
      <c r="AG18" s="139">
        <f t="shared" si="11"/>
        <v>5</v>
      </c>
      <c r="AH18" s="140">
        <f t="shared" si="12"/>
        <v>10</v>
      </c>
      <c r="AI18" s="141">
        <f t="shared" si="13"/>
        <v>212</v>
      </c>
      <c r="AJ18" s="166">
        <f t="shared" si="14"/>
        <v>39194</v>
      </c>
      <c r="AK18" s="167">
        <f t="shared" si="14"/>
        <v>18000</v>
      </c>
      <c r="AL18" s="168">
        <f t="shared" si="15"/>
        <v>6700</v>
      </c>
      <c r="AM18" s="237">
        <f t="shared" si="24"/>
        <v>0.11600759525574525</v>
      </c>
      <c r="AN18" s="70" t="str">
        <f t="shared" si="25"/>
        <v>NOON</v>
      </c>
      <c r="AO18" s="241">
        <f t="shared" si="26"/>
        <v>42179.5</v>
      </c>
      <c r="AP18" s="45" t="s">
        <v>40</v>
      </c>
      <c r="AQ18" s="98">
        <v>77.099999999999994</v>
      </c>
      <c r="AR18" s="99">
        <v>301.09884920000002</v>
      </c>
      <c r="AS18" s="99">
        <v>12.545785383333333</v>
      </c>
      <c r="AT18" s="100">
        <v>283.39999999999998</v>
      </c>
      <c r="AU18" s="101">
        <v>11.808333333333332</v>
      </c>
      <c r="AV18" s="100">
        <v>283.39999999999998</v>
      </c>
      <c r="AW18" s="101">
        <v>11.808333333333332</v>
      </c>
      <c r="AX18" s="101">
        <v>5.8780859664607581</v>
      </c>
      <c r="AY18" s="99">
        <v>5.8780859664607581</v>
      </c>
      <c r="AZ18" s="102"/>
      <c r="BA18" s="102"/>
      <c r="BB18" s="103">
        <v>27.702199999999998</v>
      </c>
      <c r="BC18" s="104">
        <v>29</v>
      </c>
      <c r="BD18" s="98">
        <v>0</v>
      </c>
      <c r="BE18" s="105">
        <v>3.7168000000000028</v>
      </c>
      <c r="BF18" s="104">
        <v>3</v>
      </c>
      <c r="BG18" s="115">
        <v>0</v>
      </c>
      <c r="BH18" s="104">
        <v>0</v>
      </c>
      <c r="BI18" s="98">
        <v>0</v>
      </c>
      <c r="BJ18" s="105">
        <v>0</v>
      </c>
      <c r="BK18" s="104">
        <v>0</v>
      </c>
      <c r="BL18" s="104">
        <v>0</v>
      </c>
      <c r="BM18" s="107"/>
      <c r="BN18" s="108">
        <v>32</v>
      </c>
      <c r="BO18" s="108">
        <v>0</v>
      </c>
      <c r="BP18" s="109">
        <v>0</v>
      </c>
      <c r="BQ18" s="110"/>
      <c r="BR18" s="108">
        <v>1443.9</v>
      </c>
      <c r="BS18" s="109">
        <v>0</v>
      </c>
      <c r="BT18" s="109">
        <v>126.50000000000051</v>
      </c>
      <c r="BU18" s="107"/>
      <c r="BV18" s="111">
        <v>10</v>
      </c>
      <c r="BW18" s="98">
        <v>10</v>
      </c>
      <c r="BX18" s="113"/>
      <c r="BY18" s="113">
        <v>93</v>
      </c>
      <c r="BZ18" s="114">
        <v>93</v>
      </c>
      <c r="CA18" s="114">
        <v>40</v>
      </c>
      <c r="CB18" s="114">
        <v>79</v>
      </c>
      <c r="CC18" s="99">
        <v>212</v>
      </c>
      <c r="CD18" s="115">
        <v>5</v>
      </c>
      <c r="CE18" s="116">
        <v>5</v>
      </c>
      <c r="CF18" s="117">
        <v>0</v>
      </c>
      <c r="CG18" s="118" t="s">
        <v>39</v>
      </c>
      <c r="CH18" s="117">
        <v>0</v>
      </c>
      <c r="CI18" s="118" t="s">
        <v>39</v>
      </c>
      <c r="CJ18" s="117">
        <v>0</v>
      </c>
      <c r="CK18" s="118" t="s">
        <v>39</v>
      </c>
      <c r="CL18" s="119"/>
      <c r="CM18" s="120">
        <v>313</v>
      </c>
      <c r="CN18" s="121">
        <v>313</v>
      </c>
      <c r="CO18" s="120">
        <v>0</v>
      </c>
      <c r="CP18" s="121">
        <v>39194</v>
      </c>
      <c r="CQ18" s="121">
        <v>18000</v>
      </c>
      <c r="CR18" s="100"/>
      <c r="CS18" s="121">
        <v>6700</v>
      </c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11</v>
      </c>
      <c r="B19" s="442">
        <v>42180.5</v>
      </c>
      <c r="C19" s="453"/>
      <c r="D19" s="84"/>
      <c r="E19" s="23">
        <v>24</v>
      </c>
      <c r="F19" s="15">
        <v>1469.5</v>
      </c>
      <c r="G19" s="213"/>
      <c r="H19" s="27">
        <f t="shared" si="16"/>
        <v>272.90000000000009</v>
      </c>
      <c r="I19" s="216">
        <f t="shared" si="17"/>
        <v>11.370833333333337</v>
      </c>
      <c r="J19" s="29">
        <f ca="1">IF($J$5&gt;=B19,"N/A",SUM(INDIRECT(ADDRESS(6+(MATCH($J$5,$B$6:$B$59,0)),8)):H19))</f>
        <v>1469.5</v>
      </c>
      <c r="K19" s="10">
        <v>888.8</v>
      </c>
      <c r="L19" s="88"/>
      <c r="M19" s="4">
        <f t="shared" si="18"/>
        <v>285.70000000000005</v>
      </c>
      <c r="N19" s="220">
        <f t="shared" si="0"/>
        <v>11.904166666666669</v>
      </c>
      <c r="O19" s="30">
        <f ca="1">IF($O$5&gt;=B19,"N/A",SUM(INDIRECT(ADDRESS(6+(MATCH($O$5,$B$6:$B$59,0)),13)):M19))</f>
        <v>1525.2</v>
      </c>
      <c r="P19" s="175">
        <f t="shared" si="19"/>
        <v>77</v>
      </c>
      <c r="Q19" s="175">
        <f t="shared" si="20"/>
        <v>4.7658708267938863</v>
      </c>
      <c r="R19" s="175">
        <f t="shared" si="21"/>
        <v>299.99749300000002</v>
      </c>
      <c r="S19" s="70" t="str">
        <f t="shared" si="22"/>
        <v>NOON</v>
      </c>
      <c r="T19" s="241">
        <f t="shared" si="23"/>
        <v>42180.5</v>
      </c>
      <c r="U19" s="157">
        <f t="shared" si="1"/>
        <v>28.8</v>
      </c>
      <c r="V19" s="158">
        <f t="shared" si="2"/>
        <v>3.1</v>
      </c>
      <c r="W19" s="158">
        <f t="shared" si="3"/>
        <v>0</v>
      </c>
      <c r="X19" s="199">
        <f t="shared" si="4"/>
        <v>31.900000000000002</v>
      </c>
      <c r="Y19" s="159">
        <f t="shared" si="5"/>
        <v>1412</v>
      </c>
      <c r="Z19" s="181"/>
      <c r="AA19" s="148">
        <f t="shared" si="6"/>
        <v>0</v>
      </c>
      <c r="AB19" s="149">
        <f t="shared" si="7"/>
        <v>0</v>
      </c>
      <c r="AC19" s="149">
        <f t="shared" si="8"/>
        <v>0</v>
      </c>
      <c r="AD19" s="203">
        <f t="shared" si="9"/>
        <v>0</v>
      </c>
      <c r="AE19" s="150">
        <f t="shared" si="10"/>
        <v>126.50000000000051</v>
      </c>
      <c r="AF19" s="182"/>
      <c r="AG19" s="139">
        <f t="shared" si="11"/>
        <v>6</v>
      </c>
      <c r="AH19" s="140">
        <f t="shared" si="12"/>
        <v>11</v>
      </c>
      <c r="AI19" s="141">
        <f t="shared" si="13"/>
        <v>217</v>
      </c>
      <c r="AJ19" s="166">
        <f t="shared" si="14"/>
        <v>38884</v>
      </c>
      <c r="AK19" s="167">
        <f t="shared" si="14"/>
        <v>18000</v>
      </c>
      <c r="AL19" s="168">
        <f t="shared" si="15"/>
        <v>6700</v>
      </c>
      <c r="AM19" s="237">
        <f t="shared" si="24"/>
        <v>9.9294587761084352E-2</v>
      </c>
      <c r="AN19" s="70" t="str">
        <f t="shared" si="25"/>
        <v>NOON</v>
      </c>
      <c r="AO19" s="241">
        <f t="shared" si="26"/>
        <v>42180.5</v>
      </c>
      <c r="AP19" s="45" t="s">
        <v>40</v>
      </c>
      <c r="AQ19" s="98">
        <v>77</v>
      </c>
      <c r="AR19" s="99">
        <v>299.99749300000002</v>
      </c>
      <c r="AS19" s="99">
        <v>12.499895541666667</v>
      </c>
      <c r="AT19" s="100">
        <v>285.7</v>
      </c>
      <c r="AU19" s="101">
        <v>11.904166666666667</v>
      </c>
      <c r="AV19" s="100">
        <v>285.7</v>
      </c>
      <c r="AW19" s="101">
        <v>11.904166666666667</v>
      </c>
      <c r="AX19" s="101">
        <v>4.7658708267938863</v>
      </c>
      <c r="AY19" s="99">
        <v>4.7658708267938863</v>
      </c>
      <c r="AZ19" s="102"/>
      <c r="BA19" s="102"/>
      <c r="BB19" s="103">
        <v>26.636199999999999</v>
      </c>
      <c r="BC19" s="104">
        <v>28.8</v>
      </c>
      <c r="BD19" s="98">
        <v>0</v>
      </c>
      <c r="BE19" s="105">
        <v>4.7287999999999997</v>
      </c>
      <c r="BF19" s="104">
        <v>3.1</v>
      </c>
      <c r="BG19" s="115">
        <v>0</v>
      </c>
      <c r="BH19" s="104">
        <v>0</v>
      </c>
      <c r="BI19" s="98">
        <v>0</v>
      </c>
      <c r="BJ19" s="105">
        <v>0</v>
      </c>
      <c r="BK19" s="104">
        <v>0</v>
      </c>
      <c r="BL19" s="104">
        <v>0</v>
      </c>
      <c r="BM19" s="107"/>
      <c r="BN19" s="108">
        <v>31.900000000000002</v>
      </c>
      <c r="BO19" s="108">
        <v>0</v>
      </c>
      <c r="BP19" s="109">
        <v>0</v>
      </c>
      <c r="BQ19" s="110"/>
      <c r="BR19" s="108">
        <v>1412</v>
      </c>
      <c r="BS19" s="109">
        <v>0</v>
      </c>
      <c r="BT19" s="109">
        <v>126.50000000000051</v>
      </c>
      <c r="BU19" s="107"/>
      <c r="BV19" s="111">
        <v>11</v>
      </c>
      <c r="BW19" s="98">
        <v>11</v>
      </c>
      <c r="BX19" s="113"/>
      <c r="BY19" s="113">
        <v>98</v>
      </c>
      <c r="BZ19" s="114">
        <v>98</v>
      </c>
      <c r="CA19" s="114">
        <v>40</v>
      </c>
      <c r="CB19" s="114">
        <v>79</v>
      </c>
      <c r="CC19" s="99">
        <v>217</v>
      </c>
      <c r="CD19" s="115">
        <v>6</v>
      </c>
      <c r="CE19" s="116">
        <v>6</v>
      </c>
      <c r="CF19" s="117">
        <v>0</v>
      </c>
      <c r="CG19" s="118" t="s">
        <v>39</v>
      </c>
      <c r="CH19" s="117">
        <v>0</v>
      </c>
      <c r="CI19" s="118" t="s">
        <v>39</v>
      </c>
      <c r="CJ19" s="117">
        <v>0</v>
      </c>
      <c r="CK19" s="118" t="s">
        <v>39</v>
      </c>
      <c r="CL19" s="119"/>
      <c r="CM19" s="120">
        <v>310</v>
      </c>
      <c r="CN19" s="121">
        <v>310</v>
      </c>
      <c r="CO19" s="120">
        <v>0</v>
      </c>
      <c r="CP19" s="121">
        <v>38884</v>
      </c>
      <c r="CQ19" s="121">
        <v>18000</v>
      </c>
      <c r="CR19" s="100"/>
      <c r="CS19" s="121">
        <v>6700</v>
      </c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11</v>
      </c>
      <c r="B20" s="442">
        <v>42181.5</v>
      </c>
      <c r="C20" s="453"/>
      <c r="D20" s="84"/>
      <c r="E20" s="23">
        <v>24</v>
      </c>
      <c r="F20" s="15">
        <v>1747</v>
      </c>
      <c r="G20" s="213"/>
      <c r="H20" s="27">
        <f t="shared" si="16"/>
        <v>277.5</v>
      </c>
      <c r="I20" s="216">
        <f t="shared" si="17"/>
        <v>11.5625</v>
      </c>
      <c r="J20" s="29">
        <f ca="1">IF($J$5&gt;=B20,"N/A",SUM(INDIRECT(ADDRESS(6+(MATCH($J$5,$B$6:$B$59,0)),8)):H20))</f>
        <v>1747</v>
      </c>
      <c r="K20" s="10">
        <v>581.20000000000005</v>
      </c>
      <c r="L20" s="88"/>
      <c r="M20" s="4">
        <f t="shared" si="18"/>
        <v>307.59999999999991</v>
      </c>
      <c r="N20" s="220">
        <f t="shared" si="0"/>
        <v>12.816666666666663</v>
      </c>
      <c r="O20" s="30">
        <f ca="1">IF($O$5&gt;=B20,"N/A",SUM(INDIRECT(ADDRESS(6+(MATCH($O$5,$B$6:$B$59,0)),13)):M20))</f>
        <v>1832.8</v>
      </c>
      <c r="P20" s="175">
        <f t="shared" si="19"/>
        <v>78.099999999999994</v>
      </c>
      <c r="Q20" s="175">
        <f t="shared" si="20"/>
        <v>-0.86511378506261605</v>
      </c>
      <c r="R20" s="175">
        <f t="shared" si="21"/>
        <v>304.96173400000004</v>
      </c>
      <c r="S20" s="70" t="str">
        <f t="shared" si="22"/>
        <v>NOON</v>
      </c>
      <c r="T20" s="241">
        <f t="shared" si="23"/>
        <v>42181.5</v>
      </c>
      <c r="U20" s="157">
        <f t="shared" si="1"/>
        <v>30.8</v>
      </c>
      <c r="V20" s="158">
        <f t="shared" si="2"/>
        <v>3.1</v>
      </c>
      <c r="W20" s="158">
        <f t="shared" si="3"/>
        <v>2</v>
      </c>
      <c r="X20" s="199">
        <f t="shared" si="4"/>
        <v>35.9</v>
      </c>
      <c r="Y20" s="159">
        <f t="shared" si="5"/>
        <v>1376.1</v>
      </c>
      <c r="Z20" s="181"/>
      <c r="AA20" s="148">
        <f t="shared" si="6"/>
        <v>0</v>
      </c>
      <c r="AB20" s="149">
        <f t="shared" si="7"/>
        <v>0</v>
      </c>
      <c r="AC20" s="149">
        <f t="shared" si="8"/>
        <v>0</v>
      </c>
      <c r="AD20" s="203">
        <f t="shared" si="9"/>
        <v>0</v>
      </c>
      <c r="AE20" s="150">
        <f t="shared" si="10"/>
        <v>126.50000000000051</v>
      </c>
      <c r="AF20" s="182"/>
      <c r="AG20" s="139">
        <f t="shared" si="11"/>
        <v>6</v>
      </c>
      <c r="AH20" s="140">
        <f t="shared" si="12"/>
        <v>12</v>
      </c>
      <c r="AI20" s="141">
        <f t="shared" si="13"/>
        <v>220</v>
      </c>
      <c r="AJ20" s="166">
        <f t="shared" si="14"/>
        <v>38568</v>
      </c>
      <c r="AK20" s="167">
        <f t="shared" si="14"/>
        <v>18000</v>
      </c>
      <c r="AL20" s="168">
        <f t="shared" si="15"/>
        <v>6650</v>
      </c>
      <c r="AM20" s="237">
        <f t="shared" si="24"/>
        <v>9.8961203603603734E-2</v>
      </c>
      <c r="AN20" s="70" t="str">
        <f t="shared" si="25"/>
        <v>NOON</v>
      </c>
      <c r="AO20" s="241">
        <f t="shared" si="26"/>
        <v>42181.5</v>
      </c>
      <c r="AP20" s="45" t="s">
        <v>40</v>
      </c>
      <c r="AQ20" s="98">
        <v>78.099999999999994</v>
      </c>
      <c r="AR20" s="99">
        <v>304.96173400000004</v>
      </c>
      <c r="AS20" s="99">
        <v>12.706738916666668</v>
      </c>
      <c r="AT20" s="100">
        <v>307.60000000000002</v>
      </c>
      <c r="AU20" s="101">
        <v>12.816666666666668</v>
      </c>
      <c r="AV20" s="100">
        <v>307.60000000000002</v>
      </c>
      <c r="AW20" s="101">
        <v>12.816666666666668</v>
      </c>
      <c r="AX20" s="101">
        <v>-0.86511378506261605</v>
      </c>
      <c r="AY20" s="99">
        <v>-0.86511378506261605</v>
      </c>
      <c r="AZ20" s="102"/>
      <c r="BA20" s="102"/>
      <c r="BB20" s="103">
        <v>29.534399999999998</v>
      </c>
      <c r="BC20" s="104">
        <v>30.8</v>
      </c>
      <c r="BD20" s="98">
        <v>0</v>
      </c>
      <c r="BE20" s="105">
        <v>3.0636000000000023</v>
      </c>
      <c r="BF20" s="104">
        <v>3.1</v>
      </c>
      <c r="BG20" s="115">
        <v>0</v>
      </c>
      <c r="BH20" s="104">
        <v>0</v>
      </c>
      <c r="BI20" s="98">
        <v>0</v>
      </c>
      <c r="BJ20" s="105">
        <v>0.97010000000000007</v>
      </c>
      <c r="BK20" s="104">
        <v>2</v>
      </c>
      <c r="BL20" s="104">
        <v>0</v>
      </c>
      <c r="BM20" s="107"/>
      <c r="BN20" s="108">
        <v>35.9</v>
      </c>
      <c r="BO20" s="108">
        <v>0</v>
      </c>
      <c r="BP20" s="109">
        <v>0</v>
      </c>
      <c r="BQ20" s="110"/>
      <c r="BR20" s="108">
        <v>1376.1</v>
      </c>
      <c r="BS20" s="109">
        <v>0</v>
      </c>
      <c r="BT20" s="109">
        <v>126.50000000000051</v>
      </c>
      <c r="BU20" s="107"/>
      <c r="BV20" s="111"/>
      <c r="BW20" s="98">
        <v>12</v>
      </c>
      <c r="BX20" s="113"/>
      <c r="BY20" s="113">
        <v>102</v>
      </c>
      <c r="BZ20" s="114">
        <v>102</v>
      </c>
      <c r="CA20" s="114">
        <v>40</v>
      </c>
      <c r="CB20" s="114">
        <v>78</v>
      </c>
      <c r="CC20" s="99">
        <v>220</v>
      </c>
      <c r="CD20" s="115">
        <v>9</v>
      </c>
      <c r="CE20" s="116">
        <v>6</v>
      </c>
      <c r="CF20" s="117">
        <v>0</v>
      </c>
      <c r="CG20" s="118" t="s">
        <v>39</v>
      </c>
      <c r="CH20" s="117">
        <v>0</v>
      </c>
      <c r="CI20" s="118" t="s">
        <v>39</v>
      </c>
      <c r="CJ20" s="117">
        <v>0</v>
      </c>
      <c r="CK20" s="118" t="s">
        <v>39</v>
      </c>
      <c r="CL20" s="119"/>
      <c r="CM20" s="120">
        <v>316</v>
      </c>
      <c r="CN20" s="121">
        <v>316</v>
      </c>
      <c r="CO20" s="120">
        <v>0</v>
      </c>
      <c r="CP20" s="121">
        <v>38568</v>
      </c>
      <c r="CQ20" s="121">
        <v>18000</v>
      </c>
      <c r="CR20" s="100"/>
      <c r="CS20" s="121">
        <v>6650</v>
      </c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11</v>
      </c>
      <c r="B21" s="442">
        <v>42182.5</v>
      </c>
      <c r="C21" s="453"/>
      <c r="D21" s="84"/>
      <c r="E21" s="23">
        <v>24</v>
      </c>
      <c r="F21" s="15">
        <v>2025.1</v>
      </c>
      <c r="G21" s="213"/>
      <c r="H21" s="27">
        <f t="shared" si="16"/>
        <v>278.09999999999991</v>
      </c>
      <c r="I21" s="216">
        <f t="shared" si="17"/>
        <v>11.587499999999997</v>
      </c>
      <c r="J21" s="29">
        <f ca="1">IF($J$5&gt;=B21,"N/A",SUM(INDIRECT(ADDRESS(6+(MATCH($J$5,$B$6:$B$59,0)),8)):H21))</f>
        <v>2025.1</v>
      </c>
      <c r="K21" s="10">
        <v>452.7</v>
      </c>
      <c r="L21" s="88">
        <v>164.6</v>
      </c>
      <c r="M21" s="4">
        <f t="shared" si="18"/>
        <v>293.10000000000002</v>
      </c>
      <c r="N21" s="220">
        <f t="shared" si="0"/>
        <v>12.2125</v>
      </c>
      <c r="O21" s="30">
        <f ca="1">IF($O$5&gt;=B21,"N/A",SUM(INDIRECT(ADDRESS(6+(MATCH($O$5,$B$6:$B$59,0)),13)):M21))</f>
        <v>2125.9</v>
      </c>
      <c r="P21" s="175">
        <f t="shared" si="19"/>
        <v>78.2</v>
      </c>
      <c r="Q21" s="175">
        <f t="shared" si="20"/>
        <v>3.9920624528652895</v>
      </c>
      <c r="R21" s="175">
        <f t="shared" si="21"/>
        <v>305.28725800000001</v>
      </c>
      <c r="S21" s="70" t="str">
        <f t="shared" si="22"/>
        <v>NOON</v>
      </c>
      <c r="T21" s="241">
        <f t="shared" si="23"/>
        <v>42182.5</v>
      </c>
      <c r="U21" s="157">
        <f t="shared" si="1"/>
        <v>30.5</v>
      </c>
      <c r="V21" s="158">
        <f t="shared" si="2"/>
        <v>4.7</v>
      </c>
      <c r="W21" s="158">
        <f t="shared" si="3"/>
        <v>22.2</v>
      </c>
      <c r="X21" s="199">
        <f t="shared" si="4"/>
        <v>57.400000000000006</v>
      </c>
      <c r="Y21" s="159">
        <f t="shared" si="5"/>
        <v>1318.6999999999998</v>
      </c>
      <c r="Z21" s="181"/>
      <c r="AA21" s="148">
        <f t="shared" si="6"/>
        <v>0</v>
      </c>
      <c r="AB21" s="149">
        <f t="shared" si="7"/>
        <v>0</v>
      </c>
      <c r="AC21" s="149">
        <f t="shared" si="8"/>
        <v>0</v>
      </c>
      <c r="AD21" s="203">
        <f t="shared" si="9"/>
        <v>0</v>
      </c>
      <c r="AE21" s="150">
        <f t="shared" si="10"/>
        <v>126.50000000000051</v>
      </c>
      <c r="AF21" s="182"/>
      <c r="AG21" s="139">
        <f t="shared" si="11"/>
        <v>9</v>
      </c>
      <c r="AH21" s="140">
        <f t="shared" si="12"/>
        <v>11</v>
      </c>
      <c r="AI21" s="141">
        <f t="shared" si="13"/>
        <v>222</v>
      </c>
      <c r="AJ21" s="166">
        <f t="shared" si="14"/>
        <v>38252</v>
      </c>
      <c r="AK21" s="167">
        <f t="shared" si="14"/>
        <v>18000</v>
      </c>
      <c r="AL21" s="168">
        <f t="shared" si="15"/>
        <v>6600</v>
      </c>
      <c r="AM21" s="237">
        <f t="shared" ref="AM21:AM59" si="27">((R21-H21)/R21)</f>
        <v>8.905467649750419E-2</v>
      </c>
      <c r="AN21" s="70" t="str">
        <f t="shared" si="25"/>
        <v>NOON</v>
      </c>
      <c r="AO21" s="241">
        <f t="shared" si="26"/>
        <v>42182.5</v>
      </c>
      <c r="AP21" s="45" t="s">
        <v>40</v>
      </c>
      <c r="AQ21" s="98">
        <v>78.2</v>
      </c>
      <c r="AR21" s="99">
        <v>305.28725800000001</v>
      </c>
      <c r="AS21" s="99">
        <v>12.720302416666668</v>
      </c>
      <c r="AT21" s="100">
        <v>293.10000000000002</v>
      </c>
      <c r="AU21" s="101">
        <v>12.2125</v>
      </c>
      <c r="AV21" s="100">
        <v>293.10000000000002</v>
      </c>
      <c r="AW21" s="101">
        <v>12.2125</v>
      </c>
      <c r="AX21" s="101">
        <v>3.9920624528652895</v>
      </c>
      <c r="AY21" s="99">
        <v>3.9920624528652895</v>
      </c>
      <c r="AZ21" s="102"/>
      <c r="BA21" s="102"/>
      <c r="BB21" s="103">
        <v>28.914000000000001</v>
      </c>
      <c r="BC21" s="104">
        <v>30.5</v>
      </c>
      <c r="BD21" s="98">
        <v>0</v>
      </c>
      <c r="BE21" s="105">
        <v>4.6920000000000002</v>
      </c>
      <c r="BF21" s="104">
        <v>4.7</v>
      </c>
      <c r="BG21" s="115">
        <v>0</v>
      </c>
      <c r="BH21" s="104">
        <v>0</v>
      </c>
      <c r="BI21" s="98">
        <v>0</v>
      </c>
      <c r="BJ21" s="105">
        <v>20.220800000000001</v>
      </c>
      <c r="BK21" s="104">
        <v>22.2</v>
      </c>
      <c r="BL21" s="104">
        <v>0</v>
      </c>
      <c r="BM21" s="107"/>
      <c r="BN21" s="108">
        <v>57.400000000000006</v>
      </c>
      <c r="BO21" s="108">
        <v>0</v>
      </c>
      <c r="BP21" s="109">
        <v>0</v>
      </c>
      <c r="BQ21" s="110"/>
      <c r="BR21" s="108">
        <v>1318.6999999999998</v>
      </c>
      <c r="BS21" s="109">
        <v>0</v>
      </c>
      <c r="BT21" s="109">
        <v>126.50000000000051</v>
      </c>
      <c r="BU21" s="107"/>
      <c r="BV21" s="111">
        <v>11</v>
      </c>
      <c r="BW21" s="98">
        <v>11</v>
      </c>
      <c r="BX21" s="113"/>
      <c r="BY21" s="113">
        <v>105</v>
      </c>
      <c r="BZ21" s="114">
        <v>105</v>
      </c>
      <c r="CA21" s="114">
        <v>40</v>
      </c>
      <c r="CB21" s="114">
        <v>77</v>
      </c>
      <c r="CC21" s="99">
        <v>222</v>
      </c>
      <c r="CD21" s="115">
        <v>9</v>
      </c>
      <c r="CE21" s="116">
        <v>9</v>
      </c>
      <c r="CF21" s="117">
        <v>0</v>
      </c>
      <c r="CG21" s="118" t="s">
        <v>39</v>
      </c>
      <c r="CH21" s="117">
        <v>0</v>
      </c>
      <c r="CI21" s="118" t="s">
        <v>39</v>
      </c>
      <c r="CJ21" s="117">
        <v>0</v>
      </c>
      <c r="CK21" s="118" t="s">
        <v>39</v>
      </c>
      <c r="CL21" s="119"/>
      <c r="CM21" s="120">
        <v>316</v>
      </c>
      <c r="CN21" s="121">
        <v>316</v>
      </c>
      <c r="CO21" s="120">
        <v>0</v>
      </c>
      <c r="CP21" s="121">
        <v>38252</v>
      </c>
      <c r="CQ21" s="121">
        <v>18000</v>
      </c>
      <c r="CR21" s="100"/>
      <c r="CS21" s="121">
        <v>6600</v>
      </c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11</v>
      </c>
      <c r="B22" s="442">
        <v>42183.5</v>
      </c>
      <c r="C22" s="453"/>
      <c r="D22" s="84"/>
      <c r="E22" s="23">
        <v>24</v>
      </c>
      <c r="F22" s="15">
        <v>2300.6</v>
      </c>
      <c r="G22" s="213"/>
      <c r="H22" s="27">
        <f t="shared" si="16"/>
        <v>275.5</v>
      </c>
      <c r="I22" s="216">
        <f t="shared" si="17"/>
        <v>11.479166666666666</v>
      </c>
      <c r="J22" s="29">
        <f ca="1">IF($J$5&gt;=B22,"N/A",SUM(INDIRECT(ADDRESS(6+(MATCH($J$5,$B$6:$B$59,0)),8)):H22))</f>
        <v>2300.6</v>
      </c>
      <c r="K22" s="10">
        <v>161.69999999999999</v>
      </c>
      <c r="L22" s="88"/>
      <c r="M22" s="4">
        <f t="shared" si="18"/>
        <v>291</v>
      </c>
      <c r="N22" s="220">
        <f t="shared" si="0"/>
        <v>12.125</v>
      </c>
      <c r="O22" s="30">
        <f ca="1">IF($O$5&gt;=B22,"N/A",SUM(INDIRECT(ADDRESS(6+(MATCH($O$5,$B$6:$B$59,0)),13)):M22))</f>
        <v>2416.9</v>
      </c>
      <c r="P22" s="175">
        <f t="shared" si="19"/>
        <v>77</v>
      </c>
      <c r="Q22" s="175">
        <f t="shared" si="20"/>
        <v>3.2171018807955996</v>
      </c>
      <c r="R22" s="175">
        <f t="shared" si="21"/>
        <v>300.67295530000001</v>
      </c>
      <c r="S22" s="70" t="str">
        <f t="shared" si="22"/>
        <v>NOON</v>
      </c>
      <c r="T22" s="241">
        <f t="shared" si="23"/>
        <v>42183.5</v>
      </c>
      <c r="U22" s="157">
        <f t="shared" si="1"/>
        <v>28.9</v>
      </c>
      <c r="V22" s="158">
        <f t="shared" si="2"/>
        <v>4.4000000000000004</v>
      </c>
      <c r="W22" s="158">
        <f t="shared" si="3"/>
        <v>15</v>
      </c>
      <c r="X22" s="199">
        <f t="shared" si="4"/>
        <v>48.3</v>
      </c>
      <c r="Y22" s="159">
        <f t="shared" si="5"/>
        <v>1270.3999999999999</v>
      </c>
      <c r="Z22" s="181"/>
      <c r="AA22" s="148">
        <f t="shared" si="6"/>
        <v>0</v>
      </c>
      <c r="AB22" s="149">
        <f t="shared" si="7"/>
        <v>0</v>
      </c>
      <c r="AC22" s="149">
        <f t="shared" si="8"/>
        <v>0</v>
      </c>
      <c r="AD22" s="203">
        <f t="shared" si="9"/>
        <v>0</v>
      </c>
      <c r="AE22" s="150">
        <f t="shared" si="10"/>
        <v>126.50000000000051</v>
      </c>
      <c r="AF22" s="182"/>
      <c r="AG22" s="139">
        <f t="shared" si="11"/>
        <v>8</v>
      </c>
      <c r="AH22" s="140">
        <f t="shared" si="12"/>
        <v>12</v>
      </c>
      <c r="AI22" s="141">
        <f t="shared" si="13"/>
        <v>226</v>
      </c>
      <c r="AJ22" s="166">
        <f t="shared" si="14"/>
        <v>37941</v>
      </c>
      <c r="AK22" s="167">
        <f t="shared" si="14"/>
        <v>18000</v>
      </c>
      <c r="AL22" s="168">
        <f t="shared" si="15"/>
        <v>6550</v>
      </c>
      <c r="AM22" s="237">
        <f t="shared" si="27"/>
        <v>8.3722047015779649E-2</v>
      </c>
      <c r="AN22" s="70" t="str">
        <f t="shared" si="25"/>
        <v>NOON</v>
      </c>
      <c r="AO22" s="241">
        <f t="shared" si="26"/>
        <v>42183.5</v>
      </c>
      <c r="AP22" s="45" t="s">
        <v>40</v>
      </c>
      <c r="AQ22" s="98">
        <v>77</v>
      </c>
      <c r="AR22" s="99">
        <v>300.67295530000001</v>
      </c>
      <c r="AS22" s="99">
        <v>12.528039804166667</v>
      </c>
      <c r="AT22" s="100">
        <v>291</v>
      </c>
      <c r="AU22" s="101">
        <v>12.125</v>
      </c>
      <c r="AV22" s="100">
        <v>291</v>
      </c>
      <c r="AW22" s="101">
        <v>12.125</v>
      </c>
      <c r="AX22" s="101">
        <v>3.2171018807955996</v>
      </c>
      <c r="AY22" s="99">
        <v>3.2171018807955996</v>
      </c>
      <c r="AZ22" s="102"/>
      <c r="BA22" s="102"/>
      <c r="BB22" s="103">
        <v>28.665999999999997</v>
      </c>
      <c r="BC22" s="104">
        <v>28.9</v>
      </c>
      <c r="BD22" s="98">
        <v>0</v>
      </c>
      <c r="BE22" s="105">
        <v>3.8780000000000001</v>
      </c>
      <c r="BF22" s="104">
        <v>4.4000000000000004</v>
      </c>
      <c r="BG22" s="115">
        <v>0</v>
      </c>
      <c r="BH22" s="104">
        <v>0</v>
      </c>
      <c r="BI22" s="98">
        <v>0</v>
      </c>
      <c r="BJ22" s="105">
        <v>14.934200000000001</v>
      </c>
      <c r="BK22" s="104">
        <v>15</v>
      </c>
      <c r="BL22" s="104">
        <v>0</v>
      </c>
      <c r="BM22" s="107"/>
      <c r="BN22" s="108">
        <v>48.3</v>
      </c>
      <c r="BO22" s="108">
        <v>0</v>
      </c>
      <c r="BP22" s="109">
        <v>0</v>
      </c>
      <c r="BQ22" s="110"/>
      <c r="BR22" s="108">
        <v>1270.3999999999999</v>
      </c>
      <c r="BS22" s="109">
        <v>0</v>
      </c>
      <c r="BT22" s="109">
        <v>126.50000000000051</v>
      </c>
      <c r="BU22" s="107"/>
      <c r="BV22" s="111">
        <v>12</v>
      </c>
      <c r="BW22" s="98">
        <v>12</v>
      </c>
      <c r="BX22" s="113"/>
      <c r="BY22" s="113">
        <v>110</v>
      </c>
      <c r="BZ22" s="114">
        <v>110</v>
      </c>
      <c r="CA22" s="114">
        <v>40</v>
      </c>
      <c r="CB22" s="114">
        <v>76</v>
      </c>
      <c r="CC22" s="99">
        <v>226</v>
      </c>
      <c r="CD22" s="115">
        <v>8</v>
      </c>
      <c r="CE22" s="116">
        <v>8</v>
      </c>
      <c r="CF22" s="117">
        <v>0</v>
      </c>
      <c r="CG22" s="118" t="s">
        <v>39</v>
      </c>
      <c r="CH22" s="117">
        <v>0</v>
      </c>
      <c r="CI22" s="118" t="s">
        <v>39</v>
      </c>
      <c r="CJ22" s="117">
        <v>0</v>
      </c>
      <c r="CK22" s="118" t="s">
        <v>39</v>
      </c>
      <c r="CL22" s="119"/>
      <c r="CM22" s="120">
        <v>311</v>
      </c>
      <c r="CN22" s="121">
        <v>311</v>
      </c>
      <c r="CO22" s="120">
        <v>0</v>
      </c>
      <c r="CP22" s="121">
        <v>37941</v>
      </c>
      <c r="CQ22" s="121">
        <v>18000</v>
      </c>
      <c r="CR22" s="100"/>
      <c r="CS22" s="121">
        <v>6550</v>
      </c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 t="s">
        <v>97</v>
      </c>
      <c r="B23" s="442">
        <v>42183.925000000003</v>
      </c>
      <c r="C23" s="453"/>
      <c r="D23" s="84"/>
      <c r="E23" s="23">
        <v>10.199999999999999</v>
      </c>
      <c r="F23" s="15">
        <v>2421</v>
      </c>
      <c r="G23" s="213"/>
      <c r="H23" s="27">
        <f t="shared" si="16"/>
        <v>120.40000000000009</v>
      </c>
      <c r="I23" s="216">
        <f t="shared" si="17"/>
        <v>11.803921568627461</v>
      </c>
      <c r="J23" s="29">
        <f ca="1">IF($J$5&gt;=B23,"N/A",SUM(INDIRECT(ADDRESS(6+(MATCH($J$5,$B$6:$B$59,0)),8)):H23))</f>
        <v>2421</v>
      </c>
      <c r="K23" s="10">
        <v>41</v>
      </c>
      <c r="L23" s="88"/>
      <c r="M23" s="4">
        <f t="shared" si="18"/>
        <v>120.69999999999999</v>
      </c>
      <c r="N23" s="220">
        <f t="shared" si="0"/>
        <v>11.833333333333334</v>
      </c>
      <c r="O23" s="30">
        <f ca="1">IF($O$5&gt;=B23,"N/A",SUM(INDIRECT(ADDRESS(6+(MATCH($O$5,$B$6:$B$59,0)),13)):M23))</f>
        <v>2537.6</v>
      </c>
      <c r="P23" s="175">
        <f t="shared" si="19"/>
        <v>79.2</v>
      </c>
      <c r="Q23" s="175">
        <f t="shared" si="20"/>
        <v>8.204049517589203</v>
      </c>
      <c r="R23" s="175">
        <f t="shared" si="21"/>
        <v>131.48728170000001</v>
      </c>
      <c r="S23" s="70" t="str">
        <f t="shared" si="22"/>
        <v>EOSP</v>
      </c>
      <c r="T23" s="241">
        <f t="shared" si="23"/>
        <v>42183.925000000003</v>
      </c>
      <c r="U23" s="157">
        <f t="shared" si="1"/>
        <v>12.7</v>
      </c>
      <c r="V23" s="158">
        <f t="shared" si="2"/>
        <v>1.7</v>
      </c>
      <c r="W23" s="158">
        <f t="shared" si="3"/>
        <v>1.5</v>
      </c>
      <c r="X23" s="199">
        <f t="shared" si="4"/>
        <v>15.899999999999999</v>
      </c>
      <c r="Y23" s="159">
        <f t="shared" si="5"/>
        <v>1254.4999999999998</v>
      </c>
      <c r="Z23" s="181"/>
      <c r="AA23" s="148">
        <f t="shared" si="6"/>
        <v>0</v>
      </c>
      <c r="AB23" s="149">
        <f t="shared" si="7"/>
        <v>0</v>
      </c>
      <c r="AC23" s="149">
        <f t="shared" si="8"/>
        <v>0</v>
      </c>
      <c r="AD23" s="203">
        <f t="shared" si="9"/>
        <v>0</v>
      </c>
      <c r="AE23" s="150">
        <f t="shared" si="10"/>
        <v>126.50000000000051</v>
      </c>
      <c r="AF23" s="182"/>
      <c r="AG23" s="139">
        <f t="shared" si="11"/>
        <v>2</v>
      </c>
      <c r="AH23" s="140">
        <f t="shared" si="12"/>
        <v>4</v>
      </c>
      <c r="AI23" s="141">
        <f t="shared" si="13"/>
        <v>228</v>
      </c>
      <c r="AJ23" s="166">
        <f t="shared" si="14"/>
        <v>37803</v>
      </c>
      <c r="AK23" s="167">
        <f t="shared" si="14"/>
        <v>18000</v>
      </c>
      <c r="AL23" s="168">
        <f t="shared" si="15"/>
        <v>6500</v>
      </c>
      <c r="AM23" s="237">
        <f t="shared" si="27"/>
        <v>8.4322084665926431E-2</v>
      </c>
      <c r="AN23" s="70" t="str">
        <f t="shared" si="25"/>
        <v>EOSP</v>
      </c>
      <c r="AO23" s="241">
        <f t="shared" si="26"/>
        <v>42183.925000000003</v>
      </c>
      <c r="AP23" s="45" t="s">
        <v>40</v>
      </c>
      <c r="AQ23" s="98">
        <v>79.2</v>
      </c>
      <c r="AR23" s="99">
        <v>131.48728170000001</v>
      </c>
      <c r="AS23" s="99">
        <v>12.890909970588238</v>
      </c>
      <c r="AT23" s="100">
        <v>120.7</v>
      </c>
      <c r="AU23" s="101">
        <v>11.833333333333334</v>
      </c>
      <c r="AV23" s="100">
        <v>120.7</v>
      </c>
      <c r="AW23" s="101">
        <v>11.833333333333334</v>
      </c>
      <c r="AX23" s="101">
        <v>8.204049517589203</v>
      </c>
      <c r="AY23" s="99">
        <v>8.204049517589203</v>
      </c>
      <c r="AZ23" s="102"/>
      <c r="BA23" s="102"/>
      <c r="BB23" s="103">
        <v>12.734999999999999</v>
      </c>
      <c r="BC23" s="104">
        <v>12.7</v>
      </c>
      <c r="BD23" s="98">
        <v>0</v>
      </c>
      <c r="BE23" s="105">
        <v>1.6919999999999999</v>
      </c>
      <c r="BF23" s="104">
        <v>1.7</v>
      </c>
      <c r="BG23" s="115">
        <v>0</v>
      </c>
      <c r="BH23" s="104">
        <v>0</v>
      </c>
      <c r="BI23" s="98">
        <v>0</v>
      </c>
      <c r="BJ23" s="105">
        <v>0.50729999999999997</v>
      </c>
      <c r="BK23" s="104">
        <v>1.5</v>
      </c>
      <c r="BL23" s="104">
        <v>0</v>
      </c>
      <c r="BM23" s="107"/>
      <c r="BN23" s="108">
        <v>15.899999999999999</v>
      </c>
      <c r="BO23" s="108">
        <v>0</v>
      </c>
      <c r="BP23" s="109">
        <v>0</v>
      </c>
      <c r="BQ23" s="110"/>
      <c r="BR23" s="108">
        <v>1254.4999999999998</v>
      </c>
      <c r="BS23" s="109">
        <v>0</v>
      </c>
      <c r="BT23" s="109">
        <v>126.50000000000051</v>
      </c>
      <c r="BU23" s="107"/>
      <c r="BV23" s="111">
        <v>4</v>
      </c>
      <c r="BW23" s="98">
        <v>4</v>
      </c>
      <c r="BX23" s="113"/>
      <c r="BY23" s="113">
        <v>112</v>
      </c>
      <c r="BZ23" s="114">
        <v>112</v>
      </c>
      <c r="CA23" s="114">
        <v>40</v>
      </c>
      <c r="CB23" s="114">
        <v>76</v>
      </c>
      <c r="CC23" s="99">
        <v>228</v>
      </c>
      <c r="CD23" s="115">
        <v>2</v>
      </c>
      <c r="CE23" s="116">
        <v>2</v>
      </c>
      <c r="CF23" s="117">
        <v>0</v>
      </c>
      <c r="CG23" s="118" t="s">
        <v>39</v>
      </c>
      <c r="CH23" s="117">
        <v>0</v>
      </c>
      <c r="CI23" s="118" t="s">
        <v>39</v>
      </c>
      <c r="CJ23" s="117">
        <v>0</v>
      </c>
      <c r="CK23" s="118" t="s">
        <v>39</v>
      </c>
      <c r="CL23" s="119"/>
      <c r="CM23" s="120">
        <v>138</v>
      </c>
      <c r="CN23" s="121">
        <v>138</v>
      </c>
      <c r="CO23" s="120">
        <v>0</v>
      </c>
      <c r="CP23" s="121">
        <v>37803</v>
      </c>
      <c r="CQ23" s="121">
        <v>18000</v>
      </c>
      <c r="CR23" s="100"/>
      <c r="CS23" s="121">
        <v>6500</v>
      </c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 t="s">
        <v>10</v>
      </c>
      <c r="B24" s="442">
        <v>42184.14166666667</v>
      </c>
      <c r="C24" s="453"/>
      <c r="D24" s="84"/>
      <c r="E24" s="23">
        <v>4.8</v>
      </c>
      <c r="F24" s="15">
        <v>2453.6999999999998</v>
      </c>
      <c r="G24" s="213"/>
      <c r="H24" s="27">
        <f t="shared" si="16"/>
        <v>32.699999999999818</v>
      </c>
      <c r="I24" s="216">
        <f t="shared" si="17"/>
        <v>6.8124999999999627</v>
      </c>
      <c r="J24" s="29">
        <f ca="1">IF($J$5&gt;=B24,"N/A",SUM(INDIRECT(ADDRESS(6+(MATCH($J$5,$B$6:$B$59,0)),8)):H24))</f>
        <v>2453.6999999999998</v>
      </c>
      <c r="K24" s="10">
        <v>0</v>
      </c>
      <c r="L24" s="88">
        <v>-6.3</v>
      </c>
      <c r="M24" s="4">
        <f t="shared" si="18"/>
        <v>34.700000000000003</v>
      </c>
      <c r="N24" s="220">
        <f t="shared" si="0"/>
        <v>7.2291666666666679</v>
      </c>
      <c r="O24" s="30">
        <f ca="1">IF($O$5&gt;=B24,"N/A",SUM(INDIRECT(ADDRESS(6+(MATCH($O$5,$B$6:$B$59,0)),13)):M24))</f>
        <v>2572.2999999999997</v>
      </c>
      <c r="P24" s="175">
        <f t="shared" si="19"/>
        <v>40</v>
      </c>
      <c r="Q24" s="175">
        <f t="shared" si="20"/>
        <v>-2.810509262998742</v>
      </c>
      <c r="R24" s="175">
        <f t="shared" si="21"/>
        <v>33.751413400000004</v>
      </c>
      <c r="S24" s="70" t="str">
        <f t="shared" si="22"/>
        <v>FWE</v>
      </c>
      <c r="T24" s="241">
        <f t="shared" si="23"/>
        <v>42184.14166666667</v>
      </c>
      <c r="U24" s="157">
        <f t="shared" si="1"/>
        <v>3</v>
      </c>
      <c r="V24" s="158">
        <f t="shared" si="2"/>
        <v>1</v>
      </c>
      <c r="W24" s="158">
        <f t="shared" si="3"/>
        <v>0.5</v>
      </c>
      <c r="X24" s="199">
        <f t="shared" si="4"/>
        <v>4.5</v>
      </c>
      <c r="Y24" s="159">
        <f t="shared" si="5"/>
        <v>1249.9999999999998</v>
      </c>
      <c r="Z24" s="181"/>
      <c r="AA24" s="148">
        <f t="shared" si="6"/>
        <v>0</v>
      </c>
      <c r="AB24" s="149">
        <f t="shared" si="7"/>
        <v>0</v>
      </c>
      <c r="AC24" s="149">
        <f t="shared" si="8"/>
        <v>0</v>
      </c>
      <c r="AD24" s="203">
        <f t="shared" si="9"/>
        <v>0</v>
      </c>
      <c r="AE24" s="150">
        <f t="shared" si="10"/>
        <v>126.50000000000051</v>
      </c>
      <c r="AF24" s="182"/>
      <c r="AG24" s="139">
        <f t="shared" si="11"/>
        <v>0</v>
      </c>
      <c r="AH24" s="140">
        <f t="shared" si="12"/>
        <v>3</v>
      </c>
      <c r="AI24" s="141">
        <f t="shared" si="13"/>
        <v>231</v>
      </c>
      <c r="AJ24" s="166">
        <f t="shared" si="14"/>
        <v>37743</v>
      </c>
      <c r="AK24" s="167">
        <f t="shared" si="14"/>
        <v>18000</v>
      </c>
      <c r="AL24" s="168">
        <f t="shared" si="15"/>
        <v>6500</v>
      </c>
      <c r="AM24" s="237">
        <f t="shared" si="27"/>
        <v>3.1151685043216172E-2</v>
      </c>
      <c r="AN24" s="70" t="str">
        <f t="shared" si="25"/>
        <v>FWE</v>
      </c>
      <c r="AO24" s="241">
        <f t="shared" si="26"/>
        <v>42184.14166666667</v>
      </c>
      <c r="AP24" s="45" t="s">
        <v>40</v>
      </c>
      <c r="AQ24" s="98">
        <v>40</v>
      </c>
      <c r="AR24" s="99">
        <v>33.751413400000004</v>
      </c>
      <c r="AS24" s="99">
        <v>6.4906564230769233</v>
      </c>
      <c r="AT24" s="100">
        <v>34.700000000000003</v>
      </c>
      <c r="AU24" s="101">
        <v>6.6730769230769234</v>
      </c>
      <c r="AV24" s="100">
        <v>34.700000000000003</v>
      </c>
      <c r="AW24" s="101">
        <v>6.6730769230769234</v>
      </c>
      <c r="AX24" s="101">
        <v>-2.810509262998742</v>
      </c>
      <c r="AY24" s="99">
        <v>-2.810509262998742</v>
      </c>
      <c r="AZ24" s="102"/>
      <c r="BA24" s="102"/>
      <c r="BB24" s="103">
        <v>1.8046000000000002</v>
      </c>
      <c r="BC24" s="104">
        <v>3</v>
      </c>
      <c r="BD24" s="98">
        <v>0</v>
      </c>
      <c r="BE24" s="105">
        <v>0.88639999999999963</v>
      </c>
      <c r="BF24" s="104">
        <v>1</v>
      </c>
      <c r="BG24" s="115">
        <v>0</v>
      </c>
      <c r="BH24" s="104">
        <v>0</v>
      </c>
      <c r="BI24" s="98">
        <v>0</v>
      </c>
      <c r="BJ24" s="105">
        <v>0.47170000000000001</v>
      </c>
      <c r="BK24" s="104">
        <v>0.5</v>
      </c>
      <c r="BL24" s="104">
        <v>0</v>
      </c>
      <c r="BM24" s="107"/>
      <c r="BN24" s="108">
        <v>4.5</v>
      </c>
      <c r="BO24" s="108">
        <v>0</v>
      </c>
      <c r="BP24" s="109">
        <v>0</v>
      </c>
      <c r="BQ24" s="110"/>
      <c r="BR24" s="108">
        <v>1249.9999999999998</v>
      </c>
      <c r="BS24" s="109">
        <v>0</v>
      </c>
      <c r="BT24" s="109">
        <v>126.50000000000051</v>
      </c>
      <c r="BU24" s="107"/>
      <c r="BV24" s="111">
        <v>3</v>
      </c>
      <c r="BW24" s="98">
        <v>3</v>
      </c>
      <c r="BX24" s="113"/>
      <c r="BY24" s="113">
        <v>115</v>
      </c>
      <c r="BZ24" s="114">
        <v>115</v>
      </c>
      <c r="CA24" s="114">
        <v>40</v>
      </c>
      <c r="CB24" s="114">
        <v>76</v>
      </c>
      <c r="CC24" s="99">
        <v>231</v>
      </c>
      <c r="CD24" s="115">
        <v>0</v>
      </c>
      <c r="CE24" s="116">
        <v>0</v>
      </c>
      <c r="CF24" s="117">
        <v>0</v>
      </c>
      <c r="CG24" s="118" t="s">
        <v>39</v>
      </c>
      <c r="CH24" s="117">
        <v>0</v>
      </c>
      <c r="CI24" s="118" t="s">
        <v>39</v>
      </c>
      <c r="CJ24" s="117">
        <v>0</v>
      </c>
      <c r="CK24" s="118" t="s">
        <v>39</v>
      </c>
      <c r="CL24" s="119"/>
      <c r="CM24" s="120">
        <v>60</v>
      </c>
      <c r="CN24" s="121">
        <v>60</v>
      </c>
      <c r="CO24" s="120">
        <v>0</v>
      </c>
      <c r="CP24" s="121">
        <v>37743</v>
      </c>
      <c r="CQ24" s="121">
        <v>18000</v>
      </c>
      <c r="CR24" s="100"/>
      <c r="CS24" s="121">
        <v>6500</v>
      </c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 t="s">
        <v>11</v>
      </c>
      <c r="B25" s="442">
        <v>42184.5</v>
      </c>
      <c r="C25" s="453"/>
      <c r="D25" s="84"/>
      <c r="E25" s="23"/>
      <c r="F25" s="15">
        <v>2453.6999999999998</v>
      </c>
      <c r="G25" s="213"/>
      <c r="H25" s="27">
        <f t="shared" si="16"/>
        <v>0</v>
      </c>
      <c r="I25" s="216" t="str">
        <f t="shared" si="17"/>
        <v/>
      </c>
      <c r="J25" s="29">
        <f ca="1">IF($J$5&gt;=B25,"N/A",SUM(INDIRECT(ADDRESS(6+(MATCH($J$5,$B$6:$B$59,0)),8)):H25))</f>
        <v>2453.6999999999998</v>
      </c>
      <c r="K25" s="10">
        <v>0</v>
      </c>
      <c r="L25" s="88"/>
      <c r="M25" s="4">
        <f t="shared" si="18"/>
        <v>0</v>
      </c>
      <c r="N25" s="220" t="str">
        <f t="shared" si="0"/>
        <v/>
      </c>
      <c r="O25" s="30">
        <f ca="1">IF($O$5&gt;=B25,"N/A",SUM(INDIRECT(ADDRESS(6+(MATCH($O$5,$B$6:$B$59,0)),13)):M25))</f>
        <v>2572.2999999999997</v>
      </c>
      <c r="P25" s="175" t="str">
        <f t="shared" si="19"/>
        <v/>
      </c>
      <c r="Q25" s="175" t="str">
        <f t="shared" si="20"/>
        <v/>
      </c>
      <c r="R25" s="175" t="str">
        <f t="shared" si="21"/>
        <v/>
      </c>
      <c r="S25" s="70" t="str">
        <f t="shared" si="22"/>
        <v>NOON</v>
      </c>
      <c r="T25" s="241">
        <f t="shared" si="23"/>
        <v>42184.5</v>
      </c>
      <c r="U25" s="157">
        <f t="shared" si="1"/>
        <v>0</v>
      </c>
      <c r="V25" s="158">
        <f t="shared" si="2"/>
        <v>0.9</v>
      </c>
      <c r="W25" s="158">
        <f t="shared" si="3"/>
        <v>1.5</v>
      </c>
      <c r="X25" s="199">
        <f t="shared" si="4"/>
        <v>2.4</v>
      </c>
      <c r="Y25" s="159">
        <f t="shared" si="5"/>
        <v>1247.5999999999997</v>
      </c>
      <c r="Z25" s="181"/>
      <c r="AA25" s="148">
        <f t="shared" si="6"/>
        <v>0</v>
      </c>
      <c r="AB25" s="149">
        <f t="shared" si="7"/>
        <v>0</v>
      </c>
      <c r="AC25" s="149">
        <f t="shared" si="8"/>
        <v>0</v>
      </c>
      <c r="AD25" s="203">
        <f t="shared" si="9"/>
        <v>0</v>
      </c>
      <c r="AE25" s="150">
        <f t="shared" si="10"/>
        <v>126.50000000000051</v>
      </c>
      <c r="AF25" s="182"/>
      <c r="AG25" s="139">
        <f t="shared" si="11"/>
        <v>3</v>
      </c>
      <c r="AH25" s="140">
        <f t="shared" si="12"/>
        <v>3</v>
      </c>
      <c r="AI25" s="141">
        <f t="shared" si="13"/>
        <v>231</v>
      </c>
      <c r="AJ25" s="166">
        <f t="shared" si="14"/>
        <v>37743</v>
      </c>
      <c r="AK25" s="167">
        <f t="shared" si="14"/>
        <v>18000</v>
      </c>
      <c r="AL25" s="168">
        <f t="shared" si="15"/>
        <v>6450</v>
      </c>
      <c r="AM25" s="237" t="e">
        <f t="shared" si="27"/>
        <v>#VALUE!</v>
      </c>
      <c r="AN25" s="70" t="str">
        <f t="shared" si="25"/>
        <v>NOON</v>
      </c>
      <c r="AO25" s="241">
        <f t="shared" si="26"/>
        <v>42184.5</v>
      </c>
      <c r="AP25" s="45" t="s">
        <v>40</v>
      </c>
      <c r="AQ25" s="98"/>
      <c r="AR25" s="99" t="s">
        <v>39</v>
      </c>
      <c r="AS25" s="99" t="s">
        <v>39</v>
      </c>
      <c r="AT25" s="100" t="s">
        <v>39</v>
      </c>
      <c r="AU25" s="101" t="s">
        <v>39</v>
      </c>
      <c r="AV25" s="100" t="s">
        <v>39</v>
      </c>
      <c r="AW25" s="101" t="s">
        <v>39</v>
      </c>
      <c r="AX25" s="101" t="s">
        <v>39</v>
      </c>
      <c r="AY25" s="99" t="s">
        <v>39</v>
      </c>
      <c r="AZ25" s="102"/>
      <c r="BA25" s="102"/>
      <c r="BB25" s="103">
        <v>-0.11279999999999923</v>
      </c>
      <c r="BC25" s="104">
        <v>0</v>
      </c>
      <c r="BD25" s="98">
        <v>0</v>
      </c>
      <c r="BE25" s="105">
        <v>1.0487999999999993</v>
      </c>
      <c r="BF25" s="104">
        <v>0.9</v>
      </c>
      <c r="BG25" s="115">
        <v>0</v>
      </c>
      <c r="BH25" s="104">
        <v>0</v>
      </c>
      <c r="BI25" s="98">
        <v>0</v>
      </c>
      <c r="BJ25" s="105">
        <v>1.4684999999999999</v>
      </c>
      <c r="BK25" s="104">
        <v>1.5</v>
      </c>
      <c r="BL25" s="104">
        <v>0</v>
      </c>
      <c r="BM25" s="107"/>
      <c r="BN25" s="108">
        <v>2.4</v>
      </c>
      <c r="BO25" s="108">
        <v>0</v>
      </c>
      <c r="BP25" s="109">
        <v>0</v>
      </c>
      <c r="BQ25" s="110"/>
      <c r="BR25" s="108">
        <v>1247.5999999999997</v>
      </c>
      <c r="BS25" s="109">
        <v>0</v>
      </c>
      <c r="BT25" s="109">
        <v>126.50000000000051</v>
      </c>
      <c r="BU25" s="107"/>
      <c r="BV25" s="111">
        <v>3</v>
      </c>
      <c r="BW25" s="98">
        <v>3</v>
      </c>
      <c r="BX25" s="113"/>
      <c r="BY25" s="113">
        <v>116</v>
      </c>
      <c r="BZ25" s="114">
        <v>116</v>
      </c>
      <c r="CA25" s="114">
        <v>40</v>
      </c>
      <c r="CB25" s="114">
        <v>75</v>
      </c>
      <c r="CC25" s="99">
        <v>231</v>
      </c>
      <c r="CD25" s="115">
        <v>3</v>
      </c>
      <c r="CE25" s="116">
        <v>3</v>
      </c>
      <c r="CF25" s="117">
        <v>0</v>
      </c>
      <c r="CG25" s="118" t="s">
        <v>39</v>
      </c>
      <c r="CH25" s="117">
        <v>0</v>
      </c>
      <c r="CI25" s="118" t="s">
        <v>39</v>
      </c>
      <c r="CJ25" s="117">
        <v>0</v>
      </c>
      <c r="CK25" s="118" t="s">
        <v>39</v>
      </c>
      <c r="CL25" s="119"/>
      <c r="CM25" s="120">
        <v>0</v>
      </c>
      <c r="CN25" s="121">
        <v>0</v>
      </c>
      <c r="CO25" s="120">
        <v>0</v>
      </c>
      <c r="CP25" s="121">
        <v>37743</v>
      </c>
      <c r="CQ25" s="121">
        <v>18000</v>
      </c>
      <c r="CR25" s="100"/>
      <c r="CS25" s="121">
        <v>6450</v>
      </c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 t="s">
        <v>11</v>
      </c>
      <c r="B26" s="442">
        <v>42185.5</v>
      </c>
      <c r="C26" s="453"/>
      <c r="D26" s="84"/>
      <c r="E26" s="23"/>
      <c r="F26" s="15">
        <v>2453.77</v>
      </c>
      <c r="G26" s="213"/>
      <c r="H26" s="27">
        <f t="shared" si="16"/>
        <v>7.0000000000163709E-2</v>
      </c>
      <c r="I26" s="216" t="str">
        <f t="shared" si="17"/>
        <v/>
      </c>
      <c r="J26" s="29">
        <f ca="1">IF($J$5&gt;=B26,"N/A",SUM(INDIRECT(ADDRESS(6+(MATCH($J$5,$B$6:$B$59,0)),8)):H26))</f>
        <v>2453.77</v>
      </c>
      <c r="K26" s="10">
        <v>0</v>
      </c>
      <c r="L26" s="88"/>
      <c r="M26" s="4">
        <f t="shared" si="18"/>
        <v>0</v>
      </c>
      <c r="N26" s="220" t="str">
        <f t="shared" si="0"/>
        <v/>
      </c>
      <c r="O26" s="30">
        <f ca="1">IF($O$5&gt;=B26,"N/A",SUM(INDIRECT(ADDRESS(6+(MATCH($O$5,$B$6:$B$59,0)),13)):M26))</f>
        <v>2572.2999999999997</v>
      </c>
      <c r="P26" s="175" t="str">
        <f t="shared" si="19"/>
        <v/>
      </c>
      <c r="Q26" s="175" t="str">
        <f t="shared" si="20"/>
        <v/>
      </c>
      <c r="R26" s="175" t="str">
        <f t="shared" si="21"/>
        <v/>
      </c>
      <c r="S26" s="70" t="str">
        <f t="shared" si="22"/>
        <v>NOON</v>
      </c>
      <c r="T26" s="241">
        <f t="shared" si="23"/>
        <v>42185.5</v>
      </c>
      <c r="U26" s="157">
        <f t="shared" si="1"/>
        <v>0</v>
      </c>
      <c r="V26" s="158">
        <f t="shared" si="2"/>
        <v>2.9</v>
      </c>
      <c r="W26" s="158">
        <f t="shared" si="3"/>
        <v>2.7</v>
      </c>
      <c r="X26" s="199">
        <f t="shared" si="4"/>
        <v>5.6</v>
      </c>
      <c r="Y26" s="159">
        <f t="shared" si="5"/>
        <v>1241.9999999999998</v>
      </c>
      <c r="Z26" s="181"/>
      <c r="AA26" s="148">
        <f t="shared" si="6"/>
        <v>0</v>
      </c>
      <c r="AB26" s="149">
        <f t="shared" si="7"/>
        <v>0</v>
      </c>
      <c r="AC26" s="149">
        <f t="shared" si="8"/>
        <v>0.1</v>
      </c>
      <c r="AD26" s="203">
        <f t="shared" si="9"/>
        <v>0.1</v>
      </c>
      <c r="AE26" s="150">
        <f t="shared" si="10"/>
        <v>126.40000000000052</v>
      </c>
      <c r="AF26" s="182"/>
      <c r="AG26" s="139">
        <f t="shared" si="11"/>
        <v>7</v>
      </c>
      <c r="AH26" s="140">
        <f t="shared" si="12"/>
        <v>0</v>
      </c>
      <c r="AI26" s="141">
        <f t="shared" si="13"/>
        <v>224</v>
      </c>
      <c r="AJ26" s="166">
        <f t="shared" si="14"/>
        <v>37743</v>
      </c>
      <c r="AK26" s="167">
        <f t="shared" si="14"/>
        <v>18000</v>
      </c>
      <c r="AL26" s="168">
        <f t="shared" si="15"/>
        <v>6450</v>
      </c>
      <c r="AM26" s="237" t="e">
        <f t="shared" si="27"/>
        <v>#VALUE!</v>
      </c>
      <c r="AN26" s="70" t="str">
        <f t="shared" si="25"/>
        <v>NOON</v>
      </c>
      <c r="AO26" s="241">
        <f t="shared" si="26"/>
        <v>42185.5</v>
      </c>
      <c r="AP26" s="45" t="s">
        <v>40</v>
      </c>
      <c r="AQ26" s="98"/>
      <c r="AR26" s="99" t="s">
        <v>39</v>
      </c>
      <c r="AS26" s="99" t="s">
        <v>39</v>
      </c>
      <c r="AT26" s="100" t="s">
        <v>39</v>
      </c>
      <c r="AU26" s="101" t="s">
        <v>39</v>
      </c>
      <c r="AV26" s="100" t="s">
        <v>39</v>
      </c>
      <c r="AW26" s="101" t="s">
        <v>39</v>
      </c>
      <c r="AX26" s="101" t="s">
        <v>39</v>
      </c>
      <c r="AY26" s="99" t="s">
        <v>39</v>
      </c>
      <c r="AZ26" s="102"/>
      <c r="BA26" s="102"/>
      <c r="BB26" s="103">
        <v>-0.45179999999999909</v>
      </c>
      <c r="BC26" s="104">
        <v>0</v>
      </c>
      <c r="BD26" s="98">
        <v>0</v>
      </c>
      <c r="BE26" s="105">
        <v>2.4677999999999991</v>
      </c>
      <c r="BF26" s="104">
        <v>2.9</v>
      </c>
      <c r="BG26" s="115">
        <v>0</v>
      </c>
      <c r="BH26" s="104">
        <v>0</v>
      </c>
      <c r="BI26" s="98">
        <v>0</v>
      </c>
      <c r="BJ26" s="105">
        <v>3.7113</v>
      </c>
      <c r="BK26" s="104">
        <v>2.7</v>
      </c>
      <c r="BL26" s="104">
        <v>0.1</v>
      </c>
      <c r="BM26" s="107"/>
      <c r="BN26" s="108">
        <v>5.6</v>
      </c>
      <c r="BO26" s="108">
        <v>0</v>
      </c>
      <c r="BP26" s="109">
        <v>0.1</v>
      </c>
      <c r="BQ26" s="110"/>
      <c r="BR26" s="108">
        <v>1241.9999999999998</v>
      </c>
      <c r="BS26" s="109">
        <v>0</v>
      </c>
      <c r="BT26" s="109">
        <v>126.40000000000052</v>
      </c>
      <c r="BU26" s="107"/>
      <c r="BV26" s="111">
        <v>0</v>
      </c>
      <c r="BW26" s="98">
        <v>0</v>
      </c>
      <c r="BX26" s="113"/>
      <c r="BY26" s="113">
        <v>110</v>
      </c>
      <c r="BZ26" s="114">
        <v>110</v>
      </c>
      <c r="CA26" s="114">
        <v>39</v>
      </c>
      <c r="CB26" s="114">
        <v>75</v>
      </c>
      <c r="CC26" s="99">
        <v>224</v>
      </c>
      <c r="CD26" s="115">
        <v>7</v>
      </c>
      <c r="CE26" s="116">
        <v>7</v>
      </c>
      <c r="CF26" s="117">
        <v>0</v>
      </c>
      <c r="CG26" s="118" t="s">
        <v>39</v>
      </c>
      <c r="CH26" s="117">
        <v>0</v>
      </c>
      <c r="CI26" s="118" t="s">
        <v>39</v>
      </c>
      <c r="CJ26" s="117">
        <v>0</v>
      </c>
      <c r="CK26" s="118" t="s">
        <v>39</v>
      </c>
      <c r="CL26" s="119"/>
      <c r="CM26" s="120">
        <v>0</v>
      </c>
      <c r="CN26" s="121">
        <v>0</v>
      </c>
      <c r="CO26" s="120">
        <v>0</v>
      </c>
      <c r="CP26" s="121">
        <v>37743</v>
      </c>
      <c r="CQ26" s="121">
        <v>18000</v>
      </c>
      <c r="CR26" s="100"/>
      <c r="CS26" s="121">
        <v>6450</v>
      </c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 t="s">
        <v>11</v>
      </c>
      <c r="B27" s="442">
        <v>42186.5</v>
      </c>
      <c r="C27" s="453"/>
      <c r="D27" s="84"/>
      <c r="E27" s="23"/>
      <c r="F27" s="15">
        <v>2453.8000000000002</v>
      </c>
      <c r="G27" s="213"/>
      <c r="H27" s="27">
        <f t="shared" si="16"/>
        <v>3.0000000000200089E-2</v>
      </c>
      <c r="I27" s="216" t="str">
        <f t="shared" si="17"/>
        <v/>
      </c>
      <c r="J27" s="29">
        <f ca="1">IF($J$5&gt;=B27,"N/A",SUM(INDIRECT(ADDRESS(6+(MATCH($J$5,$B$6:$B$59,0)),8)):H27))</f>
        <v>2453.8000000000002</v>
      </c>
      <c r="K27" s="10">
        <v>0</v>
      </c>
      <c r="L27" s="88"/>
      <c r="M27" s="4">
        <f t="shared" si="18"/>
        <v>0</v>
      </c>
      <c r="N27" s="220" t="str">
        <f t="shared" si="0"/>
        <v/>
      </c>
      <c r="O27" s="30">
        <f ca="1">IF($O$5&gt;=B27,"N/A",SUM(INDIRECT(ADDRESS(6+(MATCH($O$5,$B$6:$B$59,0)),13)):M27))</f>
        <v>2572.2999999999997</v>
      </c>
      <c r="P27" s="175" t="str">
        <f t="shared" si="19"/>
        <v/>
      </c>
      <c r="Q27" s="175" t="str">
        <f t="shared" si="20"/>
        <v/>
      </c>
      <c r="R27" s="175" t="str">
        <f t="shared" si="21"/>
        <v/>
      </c>
      <c r="S27" s="70" t="str">
        <f t="shared" si="22"/>
        <v>NOON</v>
      </c>
      <c r="T27" s="241">
        <f t="shared" si="23"/>
        <v>42186.5</v>
      </c>
      <c r="U27" s="157">
        <f t="shared" si="1"/>
        <v>0</v>
      </c>
      <c r="V27" s="158">
        <f t="shared" si="2"/>
        <v>2.7</v>
      </c>
      <c r="W27" s="158">
        <f t="shared" si="3"/>
        <v>2.6</v>
      </c>
      <c r="X27" s="199">
        <f t="shared" si="4"/>
        <v>5.3000000000000007</v>
      </c>
      <c r="Y27" s="159">
        <f t="shared" si="5"/>
        <v>1236.6999999999998</v>
      </c>
      <c r="Z27" s="181"/>
      <c r="AA27" s="148">
        <f t="shared" si="6"/>
        <v>0</v>
      </c>
      <c r="AB27" s="149">
        <f t="shared" si="7"/>
        <v>0</v>
      </c>
      <c r="AC27" s="149">
        <f t="shared" si="8"/>
        <v>0</v>
      </c>
      <c r="AD27" s="203">
        <f t="shared" si="9"/>
        <v>0</v>
      </c>
      <c r="AE27" s="150">
        <f t="shared" si="10"/>
        <v>126.40000000000052</v>
      </c>
      <c r="AF27" s="182"/>
      <c r="AG27" s="139">
        <f t="shared" si="11"/>
        <v>4</v>
      </c>
      <c r="AH27" s="140" t="str">
        <f t="shared" si="12"/>
        <v/>
      </c>
      <c r="AI27" s="141">
        <f t="shared" si="13"/>
        <v>220</v>
      </c>
      <c r="AJ27" s="166">
        <f t="shared" si="14"/>
        <v>37743</v>
      </c>
      <c r="AK27" s="167">
        <f t="shared" si="14"/>
        <v>17500</v>
      </c>
      <c r="AL27" s="168">
        <f t="shared" si="15"/>
        <v>6400</v>
      </c>
      <c r="AM27" s="237" t="e">
        <f t="shared" si="27"/>
        <v>#VALUE!</v>
      </c>
      <c r="AN27" s="70" t="str">
        <f t="shared" si="25"/>
        <v>NOON</v>
      </c>
      <c r="AO27" s="241">
        <f t="shared" si="26"/>
        <v>42186.5</v>
      </c>
      <c r="AP27" s="45" t="s">
        <v>40</v>
      </c>
      <c r="AQ27" s="98"/>
      <c r="AR27" s="99" t="s">
        <v>39</v>
      </c>
      <c r="AS27" s="99" t="s">
        <v>39</v>
      </c>
      <c r="AT27" s="100" t="s">
        <v>39</v>
      </c>
      <c r="AU27" s="101" t="s">
        <v>39</v>
      </c>
      <c r="AV27" s="100" t="s">
        <v>39</v>
      </c>
      <c r="AW27" s="101" t="s">
        <v>39</v>
      </c>
      <c r="AX27" s="101" t="s">
        <v>39</v>
      </c>
      <c r="AY27" s="99" t="s">
        <v>39</v>
      </c>
      <c r="AZ27" s="102"/>
      <c r="BA27" s="102"/>
      <c r="BB27" s="105">
        <v>-0.46600000000000019</v>
      </c>
      <c r="BC27" s="104">
        <v>0</v>
      </c>
      <c r="BD27" s="98">
        <v>0</v>
      </c>
      <c r="BE27" s="105">
        <v>2.77</v>
      </c>
      <c r="BF27" s="104">
        <v>2.7</v>
      </c>
      <c r="BG27" s="106">
        <v>0</v>
      </c>
      <c r="BH27" s="104">
        <v>0</v>
      </c>
      <c r="BI27" s="98">
        <v>0</v>
      </c>
      <c r="BJ27" s="105">
        <v>3.9516</v>
      </c>
      <c r="BK27" s="104">
        <v>2.6</v>
      </c>
      <c r="BL27" s="104">
        <v>0</v>
      </c>
      <c r="BM27" s="107"/>
      <c r="BN27" s="108">
        <v>5.3000000000000007</v>
      </c>
      <c r="BO27" s="108">
        <v>0</v>
      </c>
      <c r="BP27" s="109">
        <v>0</v>
      </c>
      <c r="BQ27" s="110"/>
      <c r="BR27" s="108">
        <v>1236.6999999999998</v>
      </c>
      <c r="BS27" s="109">
        <v>0</v>
      </c>
      <c r="BT27" s="109">
        <v>126.40000000000052</v>
      </c>
      <c r="BU27" s="107"/>
      <c r="BV27" s="111">
        <v>0</v>
      </c>
      <c r="BW27" s="98"/>
      <c r="BX27" s="113"/>
      <c r="BY27" s="113">
        <v>106</v>
      </c>
      <c r="BZ27" s="114">
        <v>106</v>
      </c>
      <c r="CA27" s="114">
        <v>39</v>
      </c>
      <c r="CB27" s="114">
        <v>75</v>
      </c>
      <c r="CC27" s="99">
        <v>220</v>
      </c>
      <c r="CD27" s="111">
        <v>4</v>
      </c>
      <c r="CE27" s="116">
        <v>4</v>
      </c>
      <c r="CF27" s="225">
        <v>0</v>
      </c>
      <c r="CG27" s="226" t="s">
        <v>39</v>
      </c>
      <c r="CH27" s="225">
        <v>0</v>
      </c>
      <c r="CI27" s="226" t="s">
        <v>39</v>
      </c>
      <c r="CJ27" s="225">
        <v>0</v>
      </c>
      <c r="CK27" s="226" t="s">
        <v>39</v>
      </c>
      <c r="CL27" s="227"/>
      <c r="CM27" s="228">
        <v>0</v>
      </c>
      <c r="CN27" s="229">
        <v>0</v>
      </c>
      <c r="CO27" s="228">
        <v>0</v>
      </c>
      <c r="CP27" s="121">
        <v>37743</v>
      </c>
      <c r="CQ27" s="121">
        <v>17500</v>
      </c>
      <c r="CR27" s="100"/>
      <c r="CS27" s="121">
        <v>6400</v>
      </c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 t="s">
        <v>11</v>
      </c>
      <c r="B28" s="442">
        <v>42187.5</v>
      </c>
      <c r="C28" s="453"/>
      <c r="D28" s="84"/>
      <c r="E28" s="23"/>
      <c r="F28" s="15">
        <v>2501</v>
      </c>
      <c r="G28" s="213">
        <v>-47.2</v>
      </c>
      <c r="H28" s="27">
        <f t="shared" si="16"/>
        <v>-1.8474111129762605E-13</v>
      </c>
      <c r="I28" s="216" t="str">
        <f t="shared" si="17"/>
        <v/>
      </c>
      <c r="J28" s="29">
        <f ca="1">IF($J$5&gt;=B28,"N/A",SUM(INDIRECT(ADDRESS(6+(MATCH($J$5,$B$6:$B$59,0)),8)):H28))</f>
        <v>2453.8000000000002</v>
      </c>
      <c r="K28" s="10">
        <v>51.5</v>
      </c>
      <c r="L28" s="88">
        <v>51.5</v>
      </c>
      <c r="M28" s="4">
        <f t="shared" si="18"/>
        <v>0</v>
      </c>
      <c r="N28" s="220" t="str">
        <f t="shared" si="0"/>
        <v/>
      </c>
      <c r="O28" s="30">
        <f ca="1">IF($O$5&gt;=B28,"N/A",SUM(INDIRECT(ADDRESS(6+(MATCH($O$5,$B$6:$B$59,0)),13)):M28))</f>
        <v>2572.2999999999997</v>
      </c>
      <c r="P28" s="175" t="str">
        <f t="shared" si="19"/>
        <v/>
      </c>
      <c r="Q28" s="175" t="str">
        <f t="shared" si="20"/>
        <v/>
      </c>
      <c r="R28" s="175" t="str">
        <f t="shared" si="21"/>
        <v/>
      </c>
      <c r="S28" s="70" t="str">
        <f t="shared" si="22"/>
        <v>NOON</v>
      </c>
      <c r="T28" s="241">
        <f t="shared" si="23"/>
        <v>42187.5</v>
      </c>
      <c r="U28" s="157">
        <f t="shared" si="1"/>
        <v>0</v>
      </c>
      <c r="V28" s="158">
        <f t="shared" si="2"/>
        <v>2.4</v>
      </c>
      <c r="W28" s="158">
        <f t="shared" si="3"/>
        <v>3</v>
      </c>
      <c r="X28" s="199">
        <f t="shared" si="4"/>
        <v>5.4</v>
      </c>
      <c r="Y28" s="159">
        <f t="shared" si="5"/>
        <v>1231.2999999999997</v>
      </c>
      <c r="Z28" s="181"/>
      <c r="AA28" s="148">
        <f t="shared" si="6"/>
        <v>0</v>
      </c>
      <c r="AB28" s="149">
        <f t="shared" si="7"/>
        <v>0</v>
      </c>
      <c r="AC28" s="149">
        <f t="shared" si="8"/>
        <v>0</v>
      </c>
      <c r="AD28" s="203">
        <f t="shared" si="9"/>
        <v>0</v>
      </c>
      <c r="AE28" s="150">
        <f t="shared" si="10"/>
        <v>126.40000000000052</v>
      </c>
      <c r="AF28" s="182"/>
      <c r="AG28" s="139">
        <f t="shared" si="11"/>
        <v>5</v>
      </c>
      <c r="AH28" s="140">
        <f t="shared" si="12"/>
        <v>0</v>
      </c>
      <c r="AI28" s="141">
        <f t="shared" si="13"/>
        <v>215</v>
      </c>
      <c r="AJ28" s="166">
        <f t="shared" si="14"/>
        <v>37743</v>
      </c>
      <c r="AK28" s="167">
        <f t="shared" si="14"/>
        <v>17500</v>
      </c>
      <c r="AL28" s="168">
        <f t="shared" si="15"/>
        <v>6350</v>
      </c>
      <c r="AM28" s="237" t="e">
        <f t="shared" si="27"/>
        <v>#VALUE!</v>
      </c>
      <c r="AN28" s="70" t="str">
        <f t="shared" si="25"/>
        <v>NOON</v>
      </c>
      <c r="AO28" s="241">
        <f t="shared" si="26"/>
        <v>42187.5</v>
      </c>
      <c r="AP28" s="45" t="s">
        <v>40</v>
      </c>
      <c r="AQ28" s="98"/>
      <c r="AR28" s="99" t="s">
        <v>39</v>
      </c>
      <c r="AS28" s="99" t="s">
        <v>39</v>
      </c>
      <c r="AT28" s="100" t="s">
        <v>39</v>
      </c>
      <c r="AU28" s="101" t="s">
        <v>39</v>
      </c>
      <c r="AV28" s="100" t="s">
        <v>39</v>
      </c>
      <c r="AW28" s="101" t="s">
        <v>39</v>
      </c>
      <c r="AX28" s="101" t="s">
        <v>39</v>
      </c>
      <c r="AY28" s="99" t="s">
        <v>39</v>
      </c>
      <c r="AZ28" s="102"/>
      <c r="BA28" s="102"/>
      <c r="BB28" s="105">
        <v>-0.23220000000000063</v>
      </c>
      <c r="BC28" s="104">
        <v>0</v>
      </c>
      <c r="BD28" s="98">
        <v>0</v>
      </c>
      <c r="BE28" s="105">
        <v>2.3652000000000006</v>
      </c>
      <c r="BF28" s="104">
        <v>2.4</v>
      </c>
      <c r="BG28" s="106">
        <v>0</v>
      </c>
      <c r="BH28" s="104">
        <v>0</v>
      </c>
      <c r="BI28" s="98">
        <v>0</v>
      </c>
      <c r="BJ28" s="105">
        <v>3.6223000000000001</v>
      </c>
      <c r="BK28" s="104">
        <v>3</v>
      </c>
      <c r="BL28" s="104">
        <v>0</v>
      </c>
      <c r="BM28" s="107"/>
      <c r="BN28" s="108">
        <v>5.4</v>
      </c>
      <c r="BO28" s="108">
        <v>0</v>
      </c>
      <c r="BP28" s="109">
        <v>0</v>
      </c>
      <c r="BQ28" s="110"/>
      <c r="BR28" s="108">
        <v>1231.2999999999997</v>
      </c>
      <c r="BS28" s="109">
        <v>0</v>
      </c>
      <c r="BT28" s="109">
        <v>126.40000000000052</v>
      </c>
      <c r="BU28" s="107"/>
      <c r="BV28" s="111">
        <v>0</v>
      </c>
      <c r="BW28" s="98">
        <v>0</v>
      </c>
      <c r="BX28" s="113"/>
      <c r="BY28" s="113">
        <v>102</v>
      </c>
      <c r="BZ28" s="114">
        <v>102</v>
      </c>
      <c r="CA28" s="114">
        <v>39</v>
      </c>
      <c r="CB28" s="114">
        <v>74</v>
      </c>
      <c r="CC28" s="99">
        <v>215</v>
      </c>
      <c r="CD28" s="115">
        <v>5</v>
      </c>
      <c r="CE28" s="116">
        <v>5</v>
      </c>
      <c r="CF28" s="225">
        <v>0</v>
      </c>
      <c r="CG28" s="226" t="s">
        <v>39</v>
      </c>
      <c r="CH28" s="225">
        <v>0</v>
      </c>
      <c r="CI28" s="226" t="s">
        <v>39</v>
      </c>
      <c r="CJ28" s="225">
        <v>0</v>
      </c>
      <c r="CK28" s="226" t="s">
        <v>39</v>
      </c>
      <c r="CL28" s="227"/>
      <c r="CM28" s="228">
        <v>0</v>
      </c>
      <c r="CN28" s="229">
        <v>0</v>
      </c>
      <c r="CO28" s="228">
        <v>0</v>
      </c>
      <c r="CP28" s="121">
        <v>37743</v>
      </c>
      <c r="CQ28" s="121">
        <v>17500</v>
      </c>
      <c r="CR28" s="100"/>
      <c r="CS28" s="121">
        <v>6350</v>
      </c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 t="s">
        <v>9</v>
      </c>
      <c r="B29" s="442">
        <v>42188.17083333333</v>
      </c>
      <c r="C29" s="453"/>
      <c r="D29" s="84"/>
      <c r="E29" s="23"/>
      <c r="F29" s="15">
        <v>2512.6</v>
      </c>
      <c r="G29" s="213">
        <v>-11.6</v>
      </c>
      <c r="H29" s="27">
        <f t="shared" si="16"/>
        <v>-9.0594198809412774E-14</v>
      </c>
      <c r="I29" s="216" t="str">
        <f t="shared" si="17"/>
        <v/>
      </c>
      <c r="J29" s="29">
        <f ca="1">IF($J$5&gt;=B29,"N/A",SUM(INDIRECT(ADDRESS(6+(MATCH($J$5,$B$6:$B$59,0)),8)):H29))</f>
        <v>2453.8000000000002</v>
      </c>
      <c r="K29" s="10">
        <v>51.5</v>
      </c>
      <c r="L29" s="88"/>
      <c r="M29" s="4">
        <f t="shared" si="18"/>
        <v>0</v>
      </c>
      <c r="N29" s="220" t="str">
        <f t="shared" si="0"/>
        <v/>
      </c>
      <c r="O29" s="30">
        <f ca="1">IF($O$5&gt;=B29,"N/A",SUM(INDIRECT(ADDRESS(6+(MATCH($O$5,$B$6:$B$59,0)),13)):M29))</f>
        <v>2572.2999999999997</v>
      </c>
      <c r="P29" s="175" t="str">
        <f t="shared" si="19"/>
        <v/>
      </c>
      <c r="Q29" s="175" t="str">
        <f t="shared" si="20"/>
        <v/>
      </c>
      <c r="R29" s="175" t="str">
        <f t="shared" si="21"/>
        <v/>
      </c>
      <c r="S29" s="70" t="str">
        <f t="shared" si="22"/>
        <v>SBE</v>
      </c>
      <c r="T29" s="241">
        <f t="shared" si="23"/>
        <v>42188.17083333333</v>
      </c>
      <c r="U29" s="157">
        <f t="shared" si="1"/>
        <v>0</v>
      </c>
      <c r="V29" s="158">
        <f t="shared" si="2"/>
        <v>1.6</v>
      </c>
      <c r="W29" s="158">
        <f t="shared" si="3"/>
        <v>7.2</v>
      </c>
      <c r="X29" s="199">
        <f t="shared" si="4"/>
        <v>8.8000000000000007</v>
      </c>
      <c r="Y29" s="159">
        <f t="shared" si="5"/>
        <v>1222.4999999999998</v>
      </c>
      <c r="Z29" s="181"/>
      <c r="AA29" s="148">
        <f t="shared" si="6"/>
        <v>0</v>
      </c>
      <c r="AB29" s="149">
        <f t="shared" si="7"/>
        <v>0</v>
      </c>
      <c r="AC29" s="149">
        <f t="shared" si="8"/>
        <v>0.1</v>
      </c>
      <c r="AD29" s="203">
        <f t="shared" si="9"/>
        <v>0.1</v>
      </c>
      <c r="AE29" s="150">
        <f t="shared" si="10"/>
        <v>126.30000000000052</v>
      </c>
      <c r="AF29" s="182"/>
      <c r="AG29" s="139">
        <f t="shared" si="11"/>
        <v>4</v>
      </c>
      <c r="AH29" s="140">
        <f t="shared" si="12"/>
        <v>0</v>
      </c>
      <c r="AI29" s="141">
        <f t="shared" si="13"/>
        <v>211</v>
      </c>
      <c r="AJ29" s="166">
        <f t="shared" si="14"/>
        <v>37743</v>
      </c>
      <c r="AK29" s="167">
        <f t="shared" si="14"/>
        <v>17500</v>
      </c>
      <c r="AL29" s="168">
        <f t="shared" si="15"/>
        <v>6300</v>
      </c>
      <c r="AM29" s="237" t="e">
        <f t="shared" si="27"/>
        <v>#VALUE!</v>
      </c>
      <c r="AN29" s="70" t="str">
        <f t="shared" si="25"/>
        <v>SBE</v>
      </c>
      <c r="AO29" s="241">
        <f t="shared" si="26"/>
        <v>42188.17083333333</v>
      </c>
      <c r="AP29" s="45" t="s">
        <v>40</v>
      </c>
      <c r="AQ29" s="98"/>
      <c r="AR29" s="99" t="s">
        <v>39</v>
      </c>
      <c r="AS29" s="99" t="s">
        <v>39</v>
      </c>
      <c r="AT29" s="100" t="s">
        <v>39</v>
      </c>
      <c r="AU29" s="101" t="s">
        <v>39</v>
      </c>
      <c r="AV29" s="100" t="s">
        <v>39</v>
      </c>
      <c r="AW29" s="101" t="s">
        <v>39</v>
      </c>
      <c r="AX29" s="101" t="s">
        <v>39</v>
      </c>
      <c r="AY29" s="99" t="s">
        <v>39</v>
      </c>
      <c r="AZ29" s="102"/>
      <c r="BA29" s="102"/>
      <c r="BB29" s="105">
        <v>-0.73459999999999859</v>
      </c>
      <c r="BC29" s="104">
        <v>0</v>
      </c>
      <c r="BD29" s="98">
        <v>0</v>
      </c>
      <c r="BE29" s="105">
        <v>2.3185999999999987</v>
      </c>
      <c r="BF29" s="104">
        <v>1.6</v>
      </c>
      <c r="BG29" s="106">
        <v>0</v>
      </c>
      <c r="BH29" s="104">
        <v>0</v>
      </c>
      <c r="BI29" s="98">
        <v>0</v>
      </c>
      <c r="BJ29" s="105">
        <v>8.3659999999999997</v>
      </c>
      <c r="BK29" s="104">
        <v>7.2</v>
      </c>
      <c r="BL29" s="104">
        <v>0.1</v>
      </c>
      <c r="BM29" s="107"/>
      <c r="BN29" s="108">
        <v>8.8000000000000007</v>
      </c>
      <c r="BO29" s="108">
        <v>0</v>
      </c>
      <c r="BP29" s="109">
        <v>0.1</v>
      </c>
      <c r="BQ29" s="110"/>
      <c r="BR29" s="108">
        <v>1222.4999999999998</v>
      </c>
      <c r="BS29" s="109">
        <v>0</v>
      </c>
      <c r="BT29" s="109">
        <v>126.30000000000052</v>
      </c>
      <c r="BU29" s="107"/>
      <c r="BV29" s="111">
        <v>0</v>
      </c>
      <c r="BW29" s="98">
        <v>0</v>
      </c>
      <c r="BX29" s="113"/>
      <c r="BY29" s="113">
        <v>98</v>
      </c>
      <c r="BZ29" s="114">
        <v>98</v>
      </c>
      <c r="CA29" s="114">
        <v>39</v>
      </c>
      <c r="CB29" s="114">
        <v>74</v>
      </c>
      <c r="CC29" s="99">
        <v>211</v>
      </c>
      <c r="CD29" s="111">
        <v>4</v>
      </c>
      <c r="CE29" s="116">
        <v>4</v>
      </c>
      <c r="CF29" s="225">
        <v>0</v>
      </c>
      <c r="CG29" s="226" t="s">
        <v>39</v>
      </c>
      <c r="CH29" s="225">
        <v>0</v>
      </c>
      <c r="CI29" s="226" t="s">
        <v>39</v>
      </c>
      <c r="CJ29" s="225">
        <v>0</v>
      </c>
      <c r="CK29" s="226" t="s">
        <v>39</v>
      </c>
      <c r="CL29" s="227"/>
      <c r="CM29" s="228">
        <v>0</v>
      </c>
      <c r="CN29" s="229">
        <v>0</v>
      </c>
      <c r="CO29" s="228">
        <v>0</v>
      </c>
      <c r="CP29" s="121">
        <v>37743</v>
      </c>
      <c r="CQ29" s="121">
        <v>17500</v>
      </c>
      <c r="CR29" s="100"/>
      <c r="CS29" s="121">
        <v>6300</v>
      </c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 t="s">
        <v>11</v>
      </c>
      <c r="B30" s="442">
        <v>42188.5</v>
      </c>
      <c r="C30" s="453"/>
      <c r="D30" s="84"/>
      <c r="E30" s="23">
        <v>7.2</v>
      </c>
      <c r="F30" s="15">
        <v>2567.4</v>
      </c>
      <c r="G30" s="213"/>
      <c r="H30" s="27">
        <f t="shared" si="16"/>
        <v>54.800000000000182</v>
      </c>
      <c r="I30" s="216">
        <f t="shared" si="17"/>
        <v>7.6111111111111365</v>
      </c>
      <c r="J30" s="29">
        <f ca="1">IF($J$5&gt;=B30,"N/A",SUM(INDIRECT(ADDRESS(6+(MATCH($J$5,$B$6:$B$59,0)),8)):H30))</f>
        <v>2508.6000000000004</v>
      </c>
      <c r="K30" s="10">
        <v>0</v>
      </c>
      <c r="L30" s="88">
        <v>1</v>
      </c>
      <c r="M30" s="4">
        <f t="shared" si="18"/>
        <v>52.5</v>
      </c>
      <c r="N30" s="220">
        <f t="shared" si="0"/>
        <v>7.2916666666666661</v>
      </c>
      <c r="O30" s="30">
        <f ca="1">IF($O$5&gt;=B30,"N/A",SUM(INDIRECT(ADDRESS(6+(MATCH($O$5,$B$6:$B$59,0)),13)):M30))</f>
        <v>2624.7999999999997</v>
      </c>
      <c r="P30" s="175">
        <f t="shared" si="19"/>
        <v>48.3</v>
      </c>
      <c r="Q30" s="175">
        <f t="shared" si="20"/>
        <v>15.383824195476176</v>
      </c>
      <c r="R30" s="175">
        <f t="shared" si="21"/>
        <v>62.044874400000005</v>
      </c>
      <c r="S30" s="70" t="str">
        <f t="shared" si="22"/>
        <v>NOON</v>
      </c>
      <c r="T30" s="241">
        <f t="shared" si="23"/>
        <v>42188.5</v>
      </c>
      <c r="U30" s="157">
        <f t="shared" si="1"/>
        <v>3.3</v>
      </c>
      <c r="V30" s="158">
        <f t="shared" si="2"/>
        <v>1.2</v>
      </c>
      <c r="W30" s="158">
        <f t="shared" si="3"/>
        <v>3.2</v>
      </c>
      <c r="X30" s="199">
        <f t="shared" si="4"/>
        <v>7.7</v>
      </c>
      <c r="Y30" s="159">
        <f t="shared" si="5"/>
        <v>1214.7999999999997</v>
      </c>
      <c r="Z30" s="181"/>
      <c r="AA30" s="148">
        <f t="shared" si="6"/>
        <v>0</v>
      </c>
      <c r="AB30" s="149">
        <f t="shared" si="7"/>
        <v>0</v>
      </c>
      <c r="AC30" s="149">
        <f t="shared" si="8"/>
        <v>0</v>
      </c>
      <c r="AD30" s="203">
        <f t="shared" si="9"/>
        <v>0</v>
      </c>
      <c r="AE30" s="150">
        <f t="shared" si="10"/>
        <v>126.30000000000052</v>
      </c>
      <c r="AF30" s="182"/>
      <c r="AG30" s="139">
        <f t="shared" si="11"/>
        <v>0</v>
      </c>
      <c r="AH30" s="140" t="str">
        <f t="shared" si="12"/>
        <v/>
      </c>
      <c r="AI30" s="141">
        <f t="shared" si="13"/>
        <v>211</v>
      </c>
      <c r="AJ30" s="166">
        <f t="shared" si="14"/>
        <v>37635</v>
      </c>
      <c r="AK30" s="167">
        <f t="shared" si="14"/>
        <v>17500</v>
      </c>
      <c r="AL30" s="168">
        <f t="shared" si="15"/>
        <v>6300</v>
      </c>
      <c r="AM30" s="237">
        <f t="shared" si="27"/>
        <v>0.11676829826896744</v>
      </c>
      <c r="AN30" s="70" t="str">
        <f t="shared" si="25"/>
        <v>NOON</v>
      </c>
      <c r="AO30" s="241">
        <f t="shared" si="26"/>
        <v>42188.5</v>
      </c>
      <c r="AP30" s="45" t="s">
        <v>40</v>
      </c>
      <c r="AQ30" s="98">
        <v>48.3</v>
      </c>
      <c r="AR30" s="99">
        <v>62.044874400000005</v>
      </c>
      <c r="AS30" s="99">
        <v>7.8537815696202538</v>
      </c>
      <c r="AT30" s="100">
        <v>52.5</v>
      </c>
      <c r="AU30" s="101">
        <v>6.6455696202531644</v>
      </c>
      <c r="AV30" s="100">
        <v>52.5</v>
      </c>
      <c r="AW30" s="101">
        <v>6.6455696202531644</v>
      </c>
      <c r="AX30" s="101">
        <v>15.383824195476176</v>
      </c>
      <c r="AY30" s="99">
        <v>15.383824195476176</v>
      </c>
      <c r="AZ30" s="102"/>
      <c r="BA30" s="102"/>
      <c r="BB30" s="103">
        <v>3.5418000000000003</v>
      </c>
      <c r="BC30" s="104">
        <v>3.3</v>
      </c>
      <c r="BD30" s="98">
        <v>0</v>
      </c>
      <c r="BE30" s="105">
        <v>1.3091999999999999</v>
      </c>
      <c r="BF30" s="104">
        <v>1.2</v>
      </c>
      <c r="BG30" s="115">
        <v>0</v>
      </c>
      <c r="BH30" s="104">
        <v>0</v>
      </c>
      <c r="BI30" s="98">
        <v>0</v>
      </c>
      <c r="BJ30" s="105">
        <v>3.5154999999999998</v>
      </c>
      <c r="BK30" s="104">
        <v>3.2</v>
      </c>
      <c r="BL30" s="104">
        <v>0</v>
      </c>
      <c r="BM30" s="107"/>
      <c r="BN30" s="108">
        <v>7.7</v>
      </c>
      <c r="BO30" s="108">
        <v>0</v>
      </c>
      <c r="BP30" s="109">
        <v>0</v>
      </c>
      <c r="BQ30" s="110"/>
      <c r="BR30" s="108">
        <v>1214.7999999999997</v>
      </c>
      <c r="BS30" s="109">
        <v>0</v>
      </c>
      <c r="BT30" s="109">
        <v>126.30000000000052</v>
      </c>
      <c r="BU30" s="107"/>
      <c r="BV30" s="111">
        <v>0</v>
      </c>
      <c r="BW30" s="98"/>
      <c r="BX30" s="113"/>
      <c r="BY30" s="113">
        <v>98</v>
      </c>
      <c r="BZ30" s="114">
        <v>98</v>
      </c>
      <c r="CA30" s="114">
        <v>39</v>
      </c>
      <c r="CB30" s="114">
        <v>74</v>
      </c>
      <c r="CC30" s="99">
        <v>211</v>
      </c>
      <c r="CD30" s="115">
        <v>0</v>
      </c>
      <c r="CE30" s="116">
        <v>0</v>
      </c>
      <c r="CF30" s="90">
        <v>0</v>
      </c>
      <c r="CG30" s="90" t="s">
        <v>39</v>
      </c>
      <c r="CH30" s="90">
        <v>0</v>
      </c>
      <c r="CI30" s="90" t="s">
        <v>39</v>
      </c>
      <c r="CJ30" s="90">
        <v>0</v>
      </c>
      <c r="CK30" s="90" t="s">
        <v>39</v>
      </c>
      <c r="CL30" s="90"/>
      <c r="CM30" s="90">
        <v>108</v>
      </c>
      <c r="CN30" s="90">
        <v>108</v>
      </c>
      <c r="CO30" s="90">
        <v>0</v>
      </c>
      <c r="CP30" s="121">
        <v>37635</v>
      </c>
      <c r="CQ30" s="121">
        <v>17500</v>
      </c>
      <c r="CR30" s="100"/>
      <c r="CS30" s="121">
        <v>6300</v>
      </c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 t="s">
        <v>10</v>
      </c>
      <c r="B31" s="442">
        <v>42188.537499999999</v>
      </c>
      <c r="C31" s="453"/>
      <c r="D31" s="84"/>
      <c r="E31" s="23"/>
      <c r="F31" s="15">
        <v>2567.4</v>
      </c>
      <c r="G31" s="213"/>
      <c r="H31" s="27">
        <f t="shared" si="16"/>
        <v>0</v>
      </c>
      <c r="I31" s="216" t="str">
        <f t="shared" si="17"/>
        <v/>
      </c>
      <c r="J31" s="29">
        <f ca="1">IF($J$5&gt;=B31,"N/A",SUM(INDIRECT(ADDRESS(6+(MATCH($J$5,$B$6:$B$59,0)),8)):H31))</f>
        <v>2508.6000000000004</v>
      </c>
      <c r="K31" s="10">
        <v>0</v>
      </c>
      <c r="L31" s="88"/>
      <c r="M31" s="4">
        <f t="shared" si="18"/>
        <v>0</v>
      </c>
      <c r="N31" s="220" t="str">
        <f t="shared" si="0"/>
        <v/>
      </c>
      <c r="O31" s="30">
        <f ca="1">IF($O$5&gt;=B31,"N/A",SUM(INDIRECT(ADDRESS(6+(MATCH($O$5,$B$6:$B$59,0)),13)):M31))</f>
        <v>2624.7999999999997</v>
      </c>
      <c r="P31" s="175" t="str">
        <f t="shared" si="19"/>
        <v/>
      </c>
      <c r="Q31" s="175" t="str">
        <f t="shared" si="20"/>
        <v/>
      </c>
      <c r="R31" s="175" t="str">
        <f t="shared" si="21"/>
        <v/>
      </c>
      <c r="S31" s="70" t="str">
        <f t="shared" si="22"/>
        <v>FWE</v>
      </c>
      <c r="T31" s="241">
        <f t="shared" si="23"/>
        <v>42188.537499999999</v>
      </c>
      <c r="U31" s="157">
        <f t="shared" si="1"/>
        <v>0</v>
      </c>
      <c r="V31" s="158">
        <f t="shared" si="2"/>
        <v>0.2</v>
      </c>
      <c r="W31" s="158">
        <f t="shared" si="3"/>
        <v>0.5</v>
      </c>
      <c r="X31" s="199">
        <f t="shared" si="4"/>
        <v>0.7</v>
      </c>
      <c r="Y31" s="159">
        <f t="shared" si="5"/>
        <v>1214.0999999999997</v>
      </c>
      <c r="Z31" s="181"/>
      <c r="AA31" s="148">
        <f t="shared" si="6"/>
        <v>0</v>
      </c>
      <c r="AB31" s="149">
        <f t="shared" si="7"/>
        <v>0</v>
      </c>
      <c r="AC31" s="149">
        <f t="shared" si="8"/>
        <v>0</v>
      </c>
      <c r="AD31" s="203">
        <f t="shared" si="9"/>
        <v>0</v>
      </c>
      <c r="AE31" s="150">
        <f t="shared" si="10"/>
        <v>126.30000000000052</v>
      </c>
      <c r="AF31" s="182"/>
      <c r="AG31" s="139">
        <f t="shared" si="11"/>
        <v>1</v>
      </c>
      <c r="AH31" s="140" t="str">
        <f t="shared" si="12"/>
        <v/>
      </c>
      <c r="AI31" s="141">
        <f t="shared" si="13"/>
        <v>210</v>
      </c>
      <c r="AJ31" s="166">
        <f t="shared" si="14"/>
        <v>37635</v>
      </c>
      <c r="AK31" s="167">
        <f t="shared" si="14"/>
        <v>17500</v>
      </c>
      <c r="AL31" s="168">
        <f t="shared" si="15"/>
        <v>6300</v>
      </c>
      <c r="AM31" s="237" t="e">
        <f t="shared" si="27"/>
        <v>#VALUE!</v>
      </c>
      <c r="AN31" s="70" t="str">
        <f t="shared" si="25"/>
        <v>FWE</v>
      </c>
      <c r="AO31" s="241">
        <f t="shared" si="26"/>
        <v>42188.537499999999</v>
      </c>
      <c r="AP31" s="45" t="s">
        <v>40</v>
      </c>
      <c r="AQ31" s="98"/>
      <c r="AR31" s="99"/>
      <c r="AS31" s="99">
        <v>0</v>
      </c>
      <c r="AT31" s="100" t="s">
        <v>39</v>
      </c>
      <c r="AU31" s="101" t="e">
        <v>#VALUE!</v>
      </c>
      <c r="AV31" s="100" t="s">
        <v>39</v>
      </c>
      <c r="AW31" s="101" t="e">
        <v>#VALUE!</v>
      </c>
      <c r="AX31" s="101" t="e">
        <v>#VALUE!</v>
      </c>
      <c r="AY31" s="99"/>
      <c r="AZ31" s="102"/>
      <c r="BA31" s="102"/>
      <c r="BB31" s="103">
        <v>-2.5799999999999962E-2</v>
      </c>
      <c r="BC31" s="104">
        <v>0</v>
      </c>
      <c r="BD31" s="98">
        <v>0</v>
      </c>
      <c r="BE31" s="105">
        <v>0.21479999999999996</v>
      </c>
      <c r="BF31" s="104">
        <v>0.2</v>
      </c>
      <c r="BG31" s="115">
        <v>0</v>
      </c>
      <c r="BH31" s="104">
        <v>0</v>
      </c>
      <c r="BI31" s="98">
        <v>0</v>
      </c>
      <c r="BJ31" s="105">
        <v>0.54289999999999994</v>
      </c>
      <c r="BK31" s="104">
        <v>0.5</v>
      </c>
      <c r="BL31" s="104">
        <v>0</v>
      </c>
      <c r="BM31" s="107"/>
      <c r="BN31" s="108">
        <v>0.7</v>
      </c>
      <c r="BO31" s="108">
        <v>0</v>
      </c>
      <c r="BP31" s="109">
        <v>0</v>
      </c>
      <c r="BQ31" s="110"/>
      <c r="BR31" s="108">
        <v>1214.0999999999997</v>
      </c>
      <c r="BS31" s="109">
        <v>0</v>
      </c>
      <c r="BT31" s="109">
        <v>126.30000000000052</v>
      </c>
      <c r="BU31" s="107"/>
      <c r="BV31" s="111">
        <v>0</v>
      </c>
      <c r="BW31" s="98"/>
      <c r="BX31" s="113"/>
      <c r="BY31" s="113">
        <v>97</v>
      </c>
      <c r="BZ31" s="114">
        <v>97</v>
      </c>
      <c r="CA31" s="114">
        <v>39</v>
      </c>
      <c r="CB31" s="114">
        <v>74</v>
      </c>
      <c r="CC31" s="99">
        <v>210</v>
      </c>
      <c r="CD31" s="115">
        <v>1</v>
      </c>
      <c r="CE31" s="116">
        <v>1</v>
      </c>
      <c r="CF31" s="90">
        <v>0</v>
      </c>
      <c r="CG31" s="90" t="s">
        <v>39</v>
      </c>
      <c r="CH31" s="90">
        <v>0</v>
      </c>
      <c r="CI31" s="90" t="s">
        <v>39</v>
      </c>
      <c r="CJ31" s="90">
        <v>0</v>
      </c>
      <c r="CK31" s="90" t="s">
        <v>39</v>
      </c>
      <c r="CL31" s="90"/>
      <c r="CM31" s="90">
        <v>0</v>
      </c>
      <c r="CN31" s="90">
        <v>0</v>
      </c>
      <c r="CO31" s="90">
        <v>0</v>
      </c>
      <c r="CP31" s="121">
        <v>37635</v>
      </c>
      <c r="CQ31" s="121">
        <v>17500</v>
      </c>
      <c r="CR31" s="100"/>
      <c r="CS31" s="121">
        <v>6300</v>
      </c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 t="s">
        <v>99</v>
      </c>
      <c r="B32" s="442">
        <v>42189.5</v>
      </c>
      <c r="C32" s="453"/>
      <c r="D32" s="84"/>
      <c r="E32" s="23"/>
      <c r="F32" s="15">
        <v>2567.4</v>
      </c>
      <c r="G32" s="213"/>
      <c r="H32" s="27">
        <f t="shared" si="16"/>
        <v>0</v>
      </c>
      <c r="I32" s="216" t="str">
        <f t="shared" si="17"/>
        <v/>
      </c>
      <c r="J32" s="29">
        <f ca="1">IF($J$5&gt;=B32,"N/A",SUM(INDIRECT(ADDRESS(6+(MATCH($J$5,$B$6:$B$59,0)),8)):H32))</f>
        <v>2508.6000000000004</v>
      </c>
      <c r="K32" s="10">
        <v>0</v>
      </c>
      <c r="L32" s="88"/>
      <c r="M32" s="4">
        <f t="shared" si="18"/>
        <v>0</v>
      </c>
      <c r="N32" s="220" t="str">
        <f t="shared" si="0"/>
        <v/>
      </c>
      <c r="O32" s="30">
        <f ca="1">IF($O$5&gt;=B32,"N/A",SUM(INDIRECT(ADDRESS(6+(MATCH($O$5,$B$6:$B$59,0)),13)):M32))</f>
        <v>2624.7999999999997</v>
      </c>
      <c r="P32" s="175" t="str">
        <f t="shared" si="19"/>
        <v/>
      </c>
      <c r="Q32" s="175" t="str">
        <f t="shared" si="20"/>
        <v/>
      </c>
      <c r="R32" s="175" t="str">
        <f t="shared" si="21"/>
        <v/>
      </c>
      <c r="S32" s="70" t="str">
        <f t="shared" si="22"/>
        <v>P NOON</v>
      </c>
      <c r="T32" s="241">
        <f t="shared" si="23"/>
        <v>42189.5</v>
      </c>
      <c r="U32" s="157">
        <f t="shared" si="1"/>
        <v>0</v>
      </c>
      <c r="V32" s="158">
        <f t="shared" si="2"/>
        <v>3.7</v>
      </c>
      <c r="W32" s="158">
        <f t="shared" si="3"/>
        <v>28.2</v>
      </c>
      <c r="X32" s="199">
        <f t="shared" si="4"/>
        <v>31.9</v>
      </c>
      <c r="Y32" s="159">
        <f t="shared" si="5"/>
        <v>1182.1999999999996</v>
      </c>
      <c r="Z32" s="181"/>
      <c r="AA32" s="148">
        <f t="shared" si="6"/>
        <v>0</v>
      </c>
      <c r="AB32" s="149">
        <f t="shared" si="7"/>
        <v>0</v>
      </c>
      <c r="AC32" s="149">
        <f t="shared" si="8"/>
        <v>0</v>
      </c>
      <c r="AD32" s="203">
        <f t="shared" si="9"/>
        <v>0</v>
      </c>
      <c r="AE32" s="150">
        <f t="shared" si="10"/>
        <v>126.30000000000052</v>
      </c>
      <c r="AF32" s="182"/>
      <c r="AG32" s="139">
        <f t="shared" si="11"/>
        <v>11</v>
      </c>
      <c r="AH32" s="140">
        <f t="shared" si="12"/>
        <v>200</v>
      </c>
      <c r="AI32" s="141">
        <f t="shared" si="13"/>
        <v>399</v>
      </c>
      <c r="AJ32" s="166">
        <f t="shared" si="14"/>
        <v>37635</v>
      </c>
      <c r="AK32" s="167">
        <f t="shared" si="14"/>
        <v>17500</v>
      </c>
      <c r="AL32" s="168">
        <f t="shared" si="15"/>
        <v>6250</v>
      </c>
      <c r="AM32" s="237" t="e">
        <f t="shared" si="27"/>
        <v>#VALUE!</v>
      </c>
      <c r="AN32" s="70" t="str">
        <f t="shared" si="25"/>
        <v>P NOON</v>
      </c>
      <c r="AO32" s="241">
        <f t="shared" si="26"/>
        <v>42189.5</v>
      </c>
      <c r="AP32" s="45" t="s">
        <v>40</v>
      </c>
      <c r="AQ32" s="98"/>
      <c r="AR32" s="99" t="s">
        <v>39</v>
      </c>
      <c r="AS32" s="99" t="s">
        <v>39</v>
      </c>
      <c r="AT32" s="100" t="s">
        <v>39</v>
      </c>
      <c r="AU32" s="101" t="s">
        <v>39</v>
      </c>
      <c r="AV32" s="100" t="s">
        <v>39</v>
      </c>
      <c r="AW32" s="101" t="s">
        <v>39</v>
      </c>
      <c r="AX32" s="101" t="s">
        <v>39</v>
      </c>
      <c r="AY32" s="99" t="s">
        <v>39</v>
      </c>
      <c r="AZ32" s="102"/>
      <c r="BA32" s="102"/>
      <c r="BB32" s="103">
        <v>-0.55559999999999832</v>
      </c>
      <c r="BC32" s="104">
        <v>0</v>
      </c>
      <c r="BD32" s="98">
        <v>0</v>
      </c>
      <c r="BE32" s="105">
        <v>4.3535999999999984</v>
      </c>
      <c r="BF32" s="104">
        <v>3.7</v>
      </c>
      <c r="BG32" s="115">
        <v>0</v>
      </c>
      <c r="BH32" s="104">
        <v>0</v>
      </c>
      <c r="BI32" s="98">
        <v>0</v>
      </c>
      <c r="BJ32" s="105">
        <v>33.738599999999998</v>
      </c>
      <c r="BK32" s="104">
        <v>28.2</v>
      </c>
      <c r="BL32" s="104">
        <v>0</v>
      </c>
      <c r="BM32" s="107"/>
      <c r="BN32" s="108">
        <v>31.9</v>
      </c>
      <c r="BO32" s="108">
        <v>0</v>
      </c>
      <c r="BP32" s="109">
        <v>0</v>
      </c>
      <c r="BQ32" s="110"/>
      <c r="BR32" s="108">
        <v>1182.1999999999996</v>
      </c>
      <c r="BS32" s="109">
        <v>0</v>
      </c>
      <c r="BT32" s="109">
        <v>126.30000000000052</v>
      </c>
      <c r="BU32" s="107"/>
      <c r="BV32" s="111">
        <v>200</v>
      </c>
      <c r="BW32" s="98">
        <v>200</v>
      </c>
      <c r="BX32" s="113"/>
      <c r="BY32" s="113">
        <v>292</v>
      </c>
      <c r="BZ32" s="114">
        <v>297</v>
      </c>
      <c r="CA32" s="114">
        <v>34</v>
      </c>
      <c r="CB32" s="114">
        <v>73</v>
      </c>
      <c r="CC32" s="99">
        <v>399</v>
      </c>
      <c r="CD32" s="115">
        <v>11</v>
      </c>
      <c r="CE32" s="116">
        <v>11</v>
      </c>
      <c r="CF32" s="90">
        <v>0</v>
      </c>
      <c r="CG32" s="90" t="s">
        <v>39</v>
      </c>
      <c r="CH32" s="90">
        <v>0</v>
      </c>
      <c r="CI32" s="90" t="s">
        <v>39</v>
      </c>
      <c r="CJ32" s="90">
        <v>0</v>
      </c>
      <c r="CK32" s="90" t="s">
        <v>39</v>
      </c>
      <c r="CL32" s="90"/>
      <c r="CM32" s="90">
        <v>0</v>
      </c>
      <c r="CN32" s="90">
        <v>0</v>
      </c>
      <c r="CO32" s="90">
        <v>0</v>
      </c>
      <c r="CP32" s="121">
        <v>37635</v>
      </c>
      <c r="CQ32" s="121">
        <v>17500</v>
      </c>
      <c r="CR32" s="100"/>
      <c r="CS32" s="121">
        <v>6250</v>
      </c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 t="s">
        <v>99</v>
      </c>
      <c r="B33" s="442">
        <v>42190.5</v>
      </c>
      <c r="C33" s="453"/>
      <c r="D33" s="84"/>
      <c r="E33" s="23"/>
      <c r="F33" s="15">
        <v>2567.4</v>
      </c>
      <c r="G33" s="213"/>
      <c r="H33" s="27">
        <f t="shared" si="16"/>
        <v>0</v>
      </c>
      <c r="I33" s="216" t="str">
        <f t="shared" si="17"/>
        <v/>
      </c>
      <c r="J33" s="29">
        <f ca="1">IF($J$5&gt;=B33,"N/A",SUM(INDIRECT(ADDRESS(6+(MATCH($J$5,$B$6:$B$59,0)),8)):H33))</f>
        <v>2508.6000000000004</v>
      </c>
      <c r="K33" s="10">
        <v>0</v>
      </c>
      <c r="L33" s="88"/>
      <c r="M33" s="4">
        <f t="shared" si="18"/>
        <v>0</v>
      </c>
      <c r="N33" s="220" t="str">
        <f t="shared" si="0"/>
        <v/>
      </c>
      <c r="O33" s="30">
        <f ca="1">IF($O$5&gt;=B33,"N/A",SUM(INDIRECT(ADDRESS(6+(MATCH($O$5,$B$6:$B$59,0)),13)):M33))</f>
        <v>2624.7999999999997</v>
      </c>
      <c r="P33" s="175" t="str">
        <f t="shared" si="19"/>
        <v/>
      </c>
      <c r="Q33" s="175" t="str">
        <f t="shared" si="20"/>
        <v/>
      </c>
      <c r="R33" s="175" t="str">
        <f t="shared" si="21"/>
        <v/>
      </c>
      <c r="S33" s="70" t="str">
        <f t="shared" si="22"/>
        <v>P NOON</v>
      </c>
      <c r="T33" s="241">
        <f t="shared" si="23"/>
        <v>42190.5</v>
      </c>
      <c r="U33" s="157">
        <f t="shared" si="1"/>
        <v>0</v>
      </c>
      <c r="V33" s="158">
        <f t="shared" si="2"/>
        <v>4.3</v>
      </c>
      <c r="W33" s="158">
        <f t="shared" si="3"/>
        <v>34</v>
      </c>
      <c r="X33" s="199">
        <f t="shared" si="4"/>
        <v>38.299999999999997</v>
      </c>
      <c r="Y33" s="159">
        <f t="shared" si="5"/>
        <v>1143.8999999999996</v>
      </c>
      <c r="Z33" s="181"/>
      <c r="AA33" s="148">
        <f t="shared" si="6"/>
        <v>0</v>
      </c>
      <c r="AB33" s="149">
        <f t="shared" si="7"/>
        <v>0</v>
      </c>
      <c r="AC33" s="149">
        <f t="shared" si="8"/>
        <v>0</v>
      </c>
      <c r="AD33" s="203">
        <f t="shared" si="9"/>
        <v>0</v>
      </c>
      <c r="AE33" s="150">
        <f t="shared" si="10"/>
        <v>126.30000000000052</v>
      </c>
      <c r="AF33" s="182"/>
      <c r="AG33" s="139">
        <f t="shared" si="11"/>
        <v>10</v>
      </c>
      <c r="AH33" s="140">
        <f t="shared" si="12"/>
        <v>0</v>
      </c>
      <c r="AI33" s="141">
        <f t="shared" si="13"/>
        <v>389</v>
      </c>
      <c r="AJ33" s="166">
        <f t="shared" si="14"/>
        <v>37635</v>
      </c>
      <c r="AK33" s="167">
        <f t="shared" si="14"/>
        <v>17500</v>
      </c>
      <c r="AL33" s="168">
        <f t="shared" si="15"/>
        <v>6200</v>
      </c>
      <c r="AM33" s="237" t="e">
        <f t="shared" si="27"/>
        <v>#VALUE!</v>
      </c>
      <c r="AN33" s="70" t="str">
        <f t="shared" si="25"/>
        <v>P NOON</v>
      </c>
      <c r="AO33" s="241">
        <f t="shared" si="26"/>
        <v>42190.5</v>
      </c>
      <c r="AP33" s="45" t="s">
        <v>40</v>
      </c>
      <c r="AQ33" s="98"/>
      <c r="AR33" s="99" t="s">
        <v>39</v>
      </c>
      <c r="AS33" s="99" t="s">
        <v>39</v>
      </c>
      <c r="AT33" s="100" t="s">
        <v>39</v>
      </c>
      <c r="AU33" s="101" t="s">
        <v>39</v>
      </c>
      <c r="AV33" s="100" t="s">
        <v>39</v>
      </c>
      <c r="AW33" s="101" t="s">
        <v>39</v>
      </c>
      <c r="AX33" s="101" t="s">
        <v>39</v>
      </c>
      <c r="AY33" s="99" t="s">
        <v>39</v>
      </c>
      <c r="AZ33" s="102"/>
      <c r="BA33" s="102"/>
      <c r="BB33" s="103">
        <v>-0.62079999999999913</v>
      </c>
      <c r="BC33" s="104">
        <v>0</v>
      </c>
      <c r="BD33" s="98">
        <v>0</v>
      </c>
      <c r="BE33" s="105">
        <v>4.9317999999999991</v>
      </c>
      <c r="BF33" s="104">
        <v>4.3</v>
      </c>
      <c r="BG33" s="115">
        <v>0</v>
      </c>
      <c r="BH33" s="104">
        <v>0</v>
      </c>
      <c r="BI33" s="98">
        <v>0</v>
      </c>
      <c r="BJ33" s="105">
        <v>40.842100000000002</v>
      </c>
      <c r="BK33" s="104">
        <v>34</v>
      </c>
      <c r="BL33" s="104">
        <v>0</v>
      </c>
      <c r="BM33" s="107"/>
      <c r="BN33" s="108">
        <v>38.299999999999997</v>
      </c>
      <c r="BO33" s="108">
        <v>0</v>
      </c>
      <c r="BP33" s="109">
        <v>0</v>
      </c>
      <c r="BQ33" s="110"/>
      <c r="BR33" s="108">
        <v>1143.8999999999996</v>
      </c>
      <c r="BS33" s="109">
        <v>0</v>
      </c>
      <c r="BT33" s="109">
        <v>126.30000000000052</v>
      </c>
      <c r="BU33" s="107"/>
      <c r="BV33" s="111">
        <v>0</v>
      </c>
      <c r="BW33" s="98">
        <v>0</v>
      </c>
      <c r="BX33" s="113"/>
      <c r="BY33" s="113">
        <v>290</v>
      </c>
      <c r="BZ33" s="114">
        <v>290</v>
      </c>
      <c r="CA33" s="114">
        <v>29</v>
      </c>
      <c r="CB33" s="114">
        <v>70</v>
      </c>
      <c r="CC33" s="99">
        <v>389</v>
      </c>
      <c r="CD33" s="115">
        <v>10</v>
      </c>
      <c r="CE33" s="116">
        <v>10</v>
      </c>
      <c r="CF33" s="90">
        <v>0</v>
      </c>
      <c r="CG33" s="90" t="s">
        <v>39</v>
      </c>
      <c r="CH33" s="90">
        <v>0</v>
      </c>
      <c r="CI33" s="90" t="s">
        <v>39</v>
      </c>
      <c r="CJ33" s="90">
        <v>0</v>
      </c>
      <c r="CK33" s="90" t="s">
        <v>39</v>
      </c>
      <c r="CL33" s="90"/>
      <c r="CM33" s="90">
        <v>0</v>
      </c>
      <c r="CN33" s="90">
        <v>0</v>
      </c>
      <c r="CO33" s="90">
        <v>0</v>
      </c>
      <c r="CP33" s="121">
        <v>37635</v>
      </c>
      <c r="CQ33" s="121">
        <v>17500</v>
      </c>
      <c r="CR33" s="100"/>
      <c r="CS33" s="121">
        <v>6200</v>
      </c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 t="s">
        <v>9</v>
      </c>
      <c r="B34" s="442">
        <v>42191.224999999999</v>
      </c>
      <c r="C34" s="443"/>
      <c r="D34" s="84"/>
      <c r="E34" s="23"/>
      <c r="F34" s="15">
        <v>0</v>
      </c>
      <c r="G34" s="213"/>
      <c r="H34" s="27" t="str">
        <f t="shared" si="16"/>
        <v/>
      </c>
      <c r="I34" s="216" t="str">
        <f t="shared" si="17"/>
        <v/>
      </c>
      <c r="J34" s="29">
        <f ca="1">IF($J$5&gt;=B34,"N/A",SUM(INDIRECT(ADDRESS(6+(MATCH($J$5,$B$6:$B$59,0)),8)):H34))</f>
        <v>2508.6000000000004</v>
      </c>
      <c r="K34" s="10">
        <v>1057.0999999999999</v>
      </c>
      <c r="L34" s="88">
        <v>1057.0999999999999</v>
      </c>
      <c r="M34" s="4">
        <f t="shared" si="18"/>
        <v>0</v>
      </c>
      <c r="N34" s="220" t="str">
        <f t="shared" si="0"/>
        <v/>
      </c>
      <c r="O34" s="30">
        <f ca="1">IF($O$5&gt;=B34,"N/A",SUM(INDIRECT(ADDRESS(6+(MATCH($O$5,$B$6:$B$59,0)),13)):M34))</f>
        <v>2624.7999999999997</v>
      </c>
      <c r="P34" s="175" t="str">
        <f t="shared" si="19"/>
        <v/>
      </c>
      <c r="Q34" s="175" t="str">
        <f t="shared" si="20"/>
        <v/>
      </c>
      <c r="R34" s="175" t="str">
        <f t="shared" si="21"/>
        <v/>
      </c>
      <c r="S34" s="70" t="str">
        <f t="shared" si="22"/>
        <v>SBE</v>
      </c>
      <c r="T34" s="241">
        <f t="shared" si="23"/>
        <v>42191.224999999999</v>
      </c>
      <c r="U34" s="157">
        <f t="shared" si="1"/>
        <v>0</v>
      </c>
      <c r="V34" s="158">
        <f t="shared" si="2"/>
        <v>3.1</v>
      </c>
      <c r="W34" s="158">
        <f t="shared" si="3"/>
        <v>10.5</v>
      </c>
      <c r="X34" s="199">
        <f t="shared" si="4"/>
        <v>13.6</v>
      </c>
      <c r="Y34" s="159">
        <f t="shared" si="5"/>
        <v>1130.2999999999997</v>
      </c>
      <c r="Z34" s="181"/>
      <c r="AA34" s="148">
        <f t="shared" si="6"/>
        <v>0</v>
      </c>
      <c r="AB34" s="149">
        <f t="shared" si="7"/>
        <v>0</v>
      </c>
      <c r="AC34" s="149">
        <f t="shared" si="8"/>
        <v>0.1</v>
      </c>
      <c r="AD34" s="203">
        <f t="shared" si="9"/>
        <v>0.1</v>
      </c>
      <c r="AE34" s="150">
        <f t="shared" si="10"/>
        <v>126.20000000000053</v>
      </c>
      <c r="AF34" s="182"/>
      <c r="AG34" s="139">
        <f t="shared" si="11"/>
        <v>5</v>
      </c>
      <c r="AH34" s="140">
        <f t="shared" si="12"/>
        <v>0</v>
      </c>
      <c r="AI34" s="141">
        <f t="shared" si="13"/>
        <v>384</v>
      </c>
      <c r="AJ34" s="166">
        <f t="shared" si="14"/>
        <v>37635</v>
      </c>
      <c r="AK34" s="167">
        <f t="shared" si="14"/>
        <v>17500</v>
      </c>
      <c r="AL34" s="168">
        <f t="shared" si="15"/>
        <v>6200</v>
      </c>
      <c r="AM34" s="237" t="e">
        <f t="shared" si="27"/>
        <v>#VALUE!</v>
      </c>
      <c r="AN34" s="70" t="str">
        <f t="shared" si="25"/>
        <v>SBE</v>
      </c>
      <c r="AO34" s="241">
        <f t="shared" si="26"/>
        <v>42191.224999999999</v>
      </c>
      <c r="AP34" s="45" t="s">
        <v>40</v>
      </c>
      <c r="AQ34" s="98"/>
      <c r="AR34" s="99" t="s">
        <v>39</v>
      </c>
      <c r="AS34" s="99" t="s">
        <v>39</v>
      </c>
      <c r="AT34" s="100" t="s">
        <v>39</v>
      </c>
      <c r="AU34" s="101" t="s">
        <v>39</v>
      </c>
      <c r="AV34" s="100" t="s">
        <v>39</v>
      </c>
      <c r="AW34" s="101" t="s">
        <v>39</v>
      </c>
      <c r="AX34" s="101" t="s">
        <v>39</v>
      </c>
      <c r="AY34" s="99" t="s">
        <v>39</v>
      </c>
      <c r="AZ34" s="102"/>
      <c r="BA34" s="102"/>
      <c r="BB34" s="103">
        <v>2.7810000000000001</v>
      </c>
      <c r="BC34" s="104">
        <v>0</v>
      </c>
      <c r="BD34" s="98">
        <v>0</v>
      </c>
      <c r="BE34" s="105">
        <v>0</v>
      </c>
      <c r="BF34" s="104">
        <v>3.1</v>
      </c>
      <c r="BG34" s="115">
        <v>0</v>
      </c>
      <c r="BH34" s="104">
        <v>0</v>
      </c>
      <c r="BI34" s="98">
        <v>0</v>
      </c>
      <c r="BJ34" s="105">
        <v>8.6685999999999996</v>
      </c>
      <c r="BK34" s="104">
        <v>10.5</v>
      </c>
      <c r="BL34" s="104">
        <v>0.1</v>
      </c>
      <c r="BM34" s="107"/>
      <c r="BN34" s="108">
        <v>13.6</v>
      </c>
      <c r="BO34" s="108">
        <v>0</v>
      </c>
      <c r="BP34" s="109">
        <v>0.1</v>
      </c>
      <c r="BQ34" s="110"/>
      <c r="BR34" s="108">
        <v>1130.2999999999997</v>
      </c>
      <c r="BS34" s="109">
        <v>0</v>
      </c>
      <c r="BT34" s="109">
        <v>126.20000000000053</v>
      </c>
      <c r="BU34" s="107"/>
      <c r="BV34" s="111">
        <v>0</v>
      </c>
      <c r="BW34" s="98">
        <v>0</v>
      </c>
      <c r="BX34" s="113"/>
      <c r="BY34" s="113">
        <v>287</v>
      </c>
      <c r="BZ34" s="114">
        <v>287</v>
      </c>
      <c r="CA34" s="114">
        <v>28</v>
      </c>
      <c r="CB34" s="114">
        <v>69</v>
      </c>
      <c r="CC34" s="99">
        <v>384</v>
      </c>
      <c r="CD34" s="115">
        <v>5</v>
      </c>
      <c r="CE34" s="116">
        <v>5</v>
      </c>
      <c r="CF34" s="90">
        <v>0</v>
      </c>
      <c r="CG34" s="90" t="s">
        <v>39</v>
      </c>
      <c r="CH34" s="90">
        <v>0</v>
      </c>
      <c r="CI34" s="90" t="s">
        <v>39</v>
      </c>
      <c r="CJ34" s="90">
        <v>0</v>
      </c>
      <c r="CK34" s="90" t="s">
        <v>39</v>
      </c>
      <c r="CL34" s="90"/>
      <c r="CM34" s="90">
        <v>0</v>
      </c>
      <c r="CN34" s="90">
        <v>0</v>
      </c>
      <c r="CO34" s="90">
        <v>0</v>
      </c>
      <c r="CP34" s="121">
        <v>37635</v>
      </c>
      <c r="CQ34" s="121">
        <v>17500</v>
      </c>
      <c r="CR34" s="100"/>
      <c r="CS34" s="121">
        <v>6200</v>
      </c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 t="s">
        <v>27</v>
      </c>
      <c r="B35" s="442">
        <v>42191.316666666666</v>
      </c>
      <c r="C35" s="443"/>
      <c r="D35" s="84"/>
      <c r="E35" s="23">
        <v>1.9</v>
      </c>
      <c r="F35" s="15">
        <v>16.899999999999999</v>
      </c>
      <c r="G35" s="213"/>
      <c r="H35" s="27">
        <f t="shared" si="16"/>
        <v>16.899999999999999</v>
      </c>
      <c r="I35" s="216">
        <f t="shared" si="17"/>
        <v>8.8947368421052619</v>
      </c>
      <c r="J35" s="29">
        <f ca="1">IF($J$5&gt;=B35,"N/A",SUM(INDIRECT(ADDRESS(6+(MATCH($J$5,$B$6:$B$59,0)),8)):H35))</f>
        <v>2525.5000000000005</v>
      </c>
      <c r="K35" s="10">
        <v>1040</v>
      </c>
      <c r="L35" s="88"/>
      <c r="M35" s="4">
        <f t="shared" si="18"/>
        <v>17.099999999999909</v>
      </c>
      <c r="N35" s="220">
        <f t="shared" si="0"/>
        <v>8.999999999999952</v>
      </c>
      <c r="O35" s="30">
        <f ca="1">IF($O$5&gt;=B35,"N/A",SUM(INDIRECT(ADDRESS(6+(MATCH($O$5,$B$6:$B$59,0)),13)):M35))</f>
        <v>2641.8999999999996</v>
      </c>
      <c r="P35" s="175" t="str">
        <f t="shared" si="19"/>
        <v/>
      </c>
      <c r="Q35" s="175" t="str">
        <f t="shared" si="20"/>
        <v/>
      </c>
      <c r="R35" s="175" t="str">
        <f t="shared" si="21"/>
        <v/>
      </c>
      <c r="S35" s="70" t="str">
        <f t="shared" si="22"/>
        <v>BOSP</v>
      </c>
      <c r="T35" s="241">
        <f t="shared" si="23"/>
        <v>42191.316666666666</v>
      </c>
      <c r="U35" s="157">
        <f t="shared" si="1"/>
        <v>1.6</v>
      </c>
      <c r="V35" s="158">
        <f t="shared" si="2"/>
        <v>0.4</v>
      </c>
      <c r="W35" s="158">
        <f t="shared" si="3"/>
        <v>0</v>
      </c>
      <c r="X35" s="199">
        <f t="shared" si="4"/>
        <v>2</v>
      </c>
      <c r="Y35" s="159">
        <f t="shared" si="5"/>
        <v>1128.2999999999997</v>
      </c>
      <c r="Z35" s="181"/>
      <c r="AA35" s="148">
        <f t="shared" si="6"/>
        <v>0</v>
      </c>
      <c r="AB35" s="149">
        <f t="shared" si="7"/>
        <v>0</v>
      </c>
      <c r="AC35" s="149">
        <f t="shared" si="8"/>
        <v>0</v>
      </c>
      <c r="AD35" s="203">
        <f t="shared" si="9"/>
        <v>0</v>
      </c>
      <c r="AE35" s="150">
        <f t="shared" si="10"/>
        <v>126.20000000000053</v>
      </c>
      <c r="AF35" s="182"/>
      <c r="AG35" s="139">
        <f t="shared" si="11"/>
        <v>2</v>
      </c>
      <c r="AH35" s="140">
        <f t="shared" si="12"/>
        <v>0</v>
      </c>
      <c r="AI35" s="141">
        <f t="shared" si="13"/>
        <v>382</v>
      </c>
      <c r="AJ35" s="166">
        <f t="shared" si="14"/>
        <v>37600</v>
      </c>
      <c r="AK35" s="167">
        <f t="shared" si="14"/>
        <v>17500</v>
      </c>
      <c r="AL35" s="168">
        <f t="shared" si="15"/>
        <v>6150</v>
      </c>
      <c r="AM35" s="237" t="e">
        <f t="shared" si="27"/>
        <v>#VALUE!</v>
      </c>
      <c r="AN35" s="70" t="str">
        <f t="shared" si="25"/>
        <v>BOSP</v>
      </c>
      <c r="AO35" s="241">
        <f t="shared" si="26"/>
        <v>42191.316666666666</v>
      </c>
      <c r="AP35" s="45" t="s">
        <v>40</v>
      </c>
      <c r="AQ35" s="98"/>
      <c r="AR35" s="99" t="s">
        <v>39</v>
      </c>
      <c r="AS35" s="99" t="s">
        <v>39</v>
      </c>
      <c r="AT35" s="100" t="s">
        <v>39</v>
      </c>
      <c r="AU35" s="101" t="s">
        <v>39</v>
      </c>
      <c r="AV35" s="100" t="s">
        <v>39</v>
      </c>
      <c r="AW35" s="101" t="s">
        <v>39</v>
      </c>
      <c r="AX35" s="101" t="s">
        <v>39</v>
      </c>
      <c r="AY35" s="99" t="s">
        <v>39</v>
      </c>
      <c r="AZ35" s="102"/>
      <c r="BA35" s="102"/>
      <c r="BB35" s="103">
        <v>1.5631999999999999</v>
      </c>
      <c r="BC35" s="104">
        <v>1.6</v>
      </c>
      <c r="BD35" s="98">
        <v>0</v>
      </c>
      <c r="BE35" s="105">
        <v>0.36279999999999996</v>
      </c>
      <c r="BF35" s="104">
        <v>0.4</v>
      </c>
      <c r="BG35" s="115">
        <v>0</v>
      </c>
      <c r="BH35" s="104">
        <v>0</v>
      </c>
      <c r="BI35" s="98">
        <v>0</v>
      </c>
      <c r="BJ35" s="105">
        <v>8.0099999999999991E-2</v>
      </c>
      <c r="BK35" s="104">
        <v>0</v>
      </c>
      <c r="BL35" s="104">
        <v>0</v>
      </c>
      <c r="BM35" s="107"/>
      <c r="BN35" s="108">
        <v>2</v>
      </c>
      <c r="BO35" s="108">
        <v>0</v>
      </c>
      <c r="BP35" s="109">
        <v>0</v>
      </c>
      <c r="BQ35" s="110"/>
      <c r="BR35" s="108">
        <v>1128.2999999999997</v>
      </c>
      <c r="BS35" s="109">
        <v>0</v>
      </c>
      <c r="BT35" s="109">
        <v>126.20000000000053</v>
      </c>
      <c r="BU35" s="107"/>
      <c r="BV35" s="111">
        <v>1</v>
      </c>
      <c r="BW35" s="98">
        <v>0</v>
      </c>
      <c r="BX35" s="113"/>
      <c r="BY35" s="113">
        <v>286</v>
      </c>
      <c r="BZ35" s="114">
        <v>286</v>
      </c>
      <c r="CA35" s="114">
        <v>27</v>
      </c>
      <c r="CB35" s="114">
        <v>69</v>
      </c>
      <c r="CC35" s="99">
        <v>382</v>
      </c>
      <c r="CD35" s="115">
        <v>2</v>
      </c>
      <c r="CE35" s="116">
        <v>2</v>
      </c>
      <c r="CF35" s="90">
        <v>0</v>
      </c>
      <c r="CG35" s="90" t="s">
        <v>39</v>
      </c>
      <c r="CH35" s="90">
        <v>0</v>
      </c>
      <c r="CI35" s="90" t="s">
        <v>39</v>
      </c>
      <c r="CJ35" s="90">
        <v>0</v>
      </c>
      <c r="CK35" s="90" t="s">
        <v>39</v>
      </c>
      <c r="CL35" s="90"/>
      <c r="CM35" s="90">
        <v>35</v>
      </c>
      <c r="CN35" s="90">
        <v>35</v>
      </c>
      <c r="CO35" s="90">
        <v>0</v>
      </c>
      <c r="CP35" s="121">
        <v>37600</v>
      </c>
      <c r="CQ35" s="121">
        <v>17500</v>
      </c>
      <c r="CR35" s="100"/>
      <c r="CS35" s="121">
        <v>6150</v>
      </c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 t="s">
        <v>11</v>
      </c>
      <c r="B36" s="442">
        <v>42191.5</v>
      </c>
      <c r="C36" s="453"/>
      <c r="D36" s="84"/>
      <c r="E36" s="23">
        <v>4.4000000000000004</v>
      </c>
      <c r="F36" s="15">
        <v>50.6</v>
      </c>
      <c r="G36" s="213">
        <v>16.899999999999999</v>
      </c>
      <c r="H36" s="27">
        <f t="shared" si="16"/>
        <v>50.6</v>
      </c>
      <c r="I36" s="216">
        <f t="shared" si="17"/>
        <v>11.5</v>
      </c>
      <c r="J36" s="29">
        <f ca="1">IF($J$5&gt;=B36,"N/A",SUM(INDIRECT(ADDRESS(6+(MATCH($J$5,$B$6:$B$59,0)),8)):H36))</f>
        <v>2576.1000000000004</v>
      </c>
      <c r="K36" s="10">
        <v>988.5</v>
      </c>
      <c r="L36" s="88"/>
      <c r="M36" s="4">
        <f t="shared" si="18"/>
        <v>51.5</v>
      </c>
      <c r="N36" s="220">
        <f t="shared" si="0"/>
        <v>11.704545454545453</v>
      </c>
      <c r="O36" s="30">
        <f ca="1">IF($O$5&gt;=B36,"N/A",SUM(INDIRECT(ADDRESS(6+(MATCH($O$5,$B$6:$B$59,0)),13)):M36))</f>
        <v>2693.3999999999996</v>
      </c>
      <c r="P36" s="175">
        <f t="shared" si="19"/>
        <v>67.599999999999994</v>
      </c>
      <c r="Q36" s="175">
        <f t="shared" si="20"/>
        <v>-6.3215463491584067</v>
      </c>
      <c r="R36" s="175">
        <f t="shared" si="21"/>
        <v>48.4379712</v>
      </c>
      <c r="S36" s="70" t="str">
        <f t="shared" si="22"/>
        <v>NOON</v>
      </c>
      <c r="T36" s="241">
        <f t="shared" si="23"/>
        <v>42191.5</v>
      </c>
      <c r="U36" s="157">
        <f t="shared" si="1"/>
        <v>4.4000000000000004</v>
      </c>
      <c r="V36" s="158">
        <f t="shared" si="2"/>
        <v>0.6</v>
      </c>
      <c r="W36" s="158">
        <f t="shared" si="3"/>
        <v>0</v>
      </c>
      <c r="X36" s="199">
        <f t="shared" si="4"/>
        <v>5</v>
      </c>
      <c r="Y36" s="159">
        <f t="shared" si="5"/>
        <v>1123.2999999999997</v>
      </c>
      <c r="Z36" s="181"/>
      <c r="AA36" s="148">
        <f t="shared" si="6"/>
        <v>0</v>
      </c>
      <c r="AB36" s="149">
        <f t="shared" si="7"/>
        <v>0</v>
      </c>
      <c r="AC36" s="149">
        <f t="shared" si="8"/>
        <v>0</v>
      </c>
      <c r="AD36" s="203">
        <f t="shared" si="9"/>
        <v>0</v>
      </c>
      <c r="AE36" s="150">
        <f t="shared" si="10"/>
        <v>126.20000000000053</v>
      </c>
      <c r="AF36" s="182"/>
      <c r="AG36" s="139">
        <f t="shared" si="11"/>
        <v>3</v>
      </c>
      <c r="AH36" s="140">
        <f t="shared" si="12"/>
        <v>4</v>
      </c>
      <c r="AI36" s="141">
        <f t="shared" si="13"/>
        <v>394</v>
      </c>
      <c r="AJ36" s="166">
        <f t="shared" si="14"/>
        <v>37551</v>
      </c>
      <c r="AK36" s="167">
        <f t="shared" si="14"/>
        <v>17500</v>
      </c>
      <c r="AL36" s="168">
        <f t="shared" si="15"/>
        <v>6150</v>
      </c>
      <c r="AM36" s="237">
        <f t="shared" si="27"/>
        <v>-4.4634999081051556E-2</v>
      </c>
      <c r="AN36" s="70" t="str">
        <f t="shared" si="25"/>
        <v>NOON</v>
      </c>
      <c r="AO36" s="241">
        <f t="shared" si="26"/>
        <v>42191.5</v>
      </c>
      <c r="AP36" s="45" t="s">
        <v>40</v>
      </c>
      <c r="AQ36" s="98">
        <v>67.599999999999994</v>
      </c>
      <c r="AR36" s="99">
        <v>48.4379712</v>
      </c>
      <c r="AS36" s="99">
        <v>11.008629818181817</v>
      </c>
      <c r="AT36" s="100">
        <v>51.5</v>
      </c>
      <c r="AU36" s="101">
        <v>11.704545454545453</v>
      </c>
      <c r="AV36" s="100">
        <v>51.5</v>
      </c>
      <c r="AW36" s="101">
        <v>11.704545454545453</v>
      </c>
      <c r="AX36" s="101">
        <v>-6.3215463491584067</v>
      </c>
      <c r="AY36" s="99">
        <v>-6.3215463491584067</v>
      </c>
      <c r="AZ36" s="102"/>
      <c r="BA36" s="102"/>
      <c r="BB36" s="103">
        <v>3.7477999999999998</v>
      </c>
      <c r="BC36" s="104">
        <v>4.4000000000000004</v>
      </c>
      <c r="BD36" s="98">
        <v>0</v>
      </c>
      <c r="BE36" s="105">
        <v>0.53619999999999979</v>
      </c>
      <c r="BF36" s="104">
        <v>0.6</v>
      </c>
      <c r="BG36" s="115">
        <v>0</v>
      </c>
      <c r="BH36" s="104">
        <v>0</v>
      </c>
      <c r="BI36" s="98">
        <v>0</v>
      </c>
      <c r="BJ36" s="105">
        <v>0</v>
      </c>
      <c r="BK36" s="104">
        <v>0</v>
      </c>
      <c r="BL36" s="104">
        <v>0</v>
      </c>
      <c r="BM36" s="107"/>
      <c r="BN36" s="108">
        <v>5</v>
      </c>
      <c r="BO36" s="108">
        <v>0</v>
      </c>
      <c r="BP36" s="109">
        <v>0</v>
      </c>
      <c r="BQ36" s="110"/>
      <c r="BR36" s="108">
        <v>1123.2999999999997</v>
      </c>
      <c r="BS36" s="109">
        <v>0</v>
      </c>
      <c r="BT36" s="109">
        <v>126.20000000000053</v>
      </c>
      <c r="BU36" s="107"/>
      <c r="BV36" s="111">
        <v>20</v>
      </c>
      <c r="BW36" s="98">
        <v>4</v>
      </c>
      <c r="BX36" s="113"/>
      <c r="BY36" s="113">
        <v>279</v>
      </c>
      <c r="BZ36" s="114">
        <v>279</v>
      </c>
      <c r="CA36" s="114">
        <v>26</v>
      </c>
      <c r="CB36" s="114">
        <v>89</v>
      </c>
      <c r="CC36" s="99">
        <v>394</v>
      </c>
      <c r="CD36" s="115">
        <v>-8</v>
      </c>
      <c r="CE36" s="116">
        <v>3</v>
      </c>
      <c r="CF36" s="90">
        <v>0</v>
      </c>
      <c r="CG36" s="90" t="s">
        <v>39</v>
      </c>
      <c r="CH36" s="90">
        <v>0</v>
      </c>
      <c r="CI36" s="90" t="s">
        <v>39</v>
      </c>
      <c r="CJ36" s="90">
        <v>0</v>
      </c>
      <c r="CK36" s="90" t="s">
        <v>39</v>
      </c>
      <c r="CL36" s="90"/>
      <c r="CM36" s="90">
        <v>49</v>
      </c>
      <c r="CN36" s="90">
        <v>49</v>
      </c>
      <c r="CO36" s="90">
        <v>0</v>
      </c>
      <c r="CP36" s="121">
        <v>37551</v>
      </c>
      <c r="CQ36" s="121">
        <v>17500</v>
      </c>
      <c r="CR36" s="100"/>
      <c r="CS36" s="121">
        <v>6150</v>
      </c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thickBot="1" x14ac:dyDescent="0.3">
      <c r="A37" s="83"/>
      <c r="B37" s="442"/>
      <c r="C37" s="453"/>
      <c r="D37" s="84"/>
      <c r="E37" s="23"/>
      <c r="F37" s="15"/>
      <c r="G37" s="213"/>
      <c r="H37" s="27" t="str">
        <f t="shared" si="16"/>
        <v/>
      </c>
      <c r="I37" s="216" t="str">
        <f t="shared" si="17"/>
        <v/>
      </c>
      <c r="J37" s="29" t="str">
        <f ca="1">IF($J$5&gt;=B37,"N/A",SUM(INDIRECT(ADDRESS(6+(MATCH($J$5,$B$6:$B$59,0)),8)):H37))</f>
        <v>N/A</v>
      </c>
      <c r="K37" s="10"/>
      <c r="L37" s="88"/>
      <c r="M37" s="4" t="str">
        <f t="shared" si="18"/>
        <v/>
      </c>
      <c r="N37" s="220" t="str">
        <f t="shared" si="0"/>
        <v/>
      </c>
      <c r="O37" s="30" t="str">
        <f ca="1">IF($O$5&gt;=B37,"N/A",SUM(INDIRECT(ADDRESS(6+(MATCH($O$5,$B$6:$B$59,0)),13)):M37))</f>
        <v>N/A</v>
      </c>
      <c r="P37" s="175" t="str">
        <f t="shared" si="19"/>
        <v/>
      </c>
      <c r="Q37" s="175" t="str">
        <f t="shared" si="20"/>
        <v/>
      </c>
      <c r="R37" s="175" t="str">
        <f t="shared" si="21"/>
        <v/>
      </c>
      <c r="S37" s="70" t="str">
        <f t="shared" si="22"/>
        <v/>
      </c>
      <c r="T37" s="241" t="str">
        <f t="shared" si="23"/>
        <v/>
      </c>
      <c r="U37" s="157" t="str">
        <f t="shared" si="1"/>
        <v/>
      </c>
      <c r="V37" s="158" t="str">
        <f t="shared" si="2"/>
        <v/>
      </c>
      <c r="W37" s="158" t="str">
        <f t="shared" si="3"/>
        <v/>
      </c>
      <c r="X37" s="199" t="str">
        <f t="shared" si="4"/>
        <v/>
      </c>
      <c r="Y37" s="159" t="str">
        <f t="shared" si="5"/>
        <v/>
      </c>
      <c r="Z37" s="181"/>
      <c r="AA37" s="148" t="str">
        <f t="shared" si="6"/>
        <v/>
      </c>
      <c r="AB37" s="149">
        <f t="shared" si="7"/>
        <v>0</v>
      </c>
      <c r="AC37" s="149" t="str">
        <f t="shared" si="8"/>
        <v/>
      </c>
      <c r="AD37" s="203">
        <f t="shared" si="9"/>
        <v>0</v>
      </c>
      <c r="AE37" s="150" t="str">
        <f t="shared" si="10"/>
        <v/>
      </c>
      <c r="AF37" s="182"/>
      <c r="AG37" s="139" t="str">
        <f t="shared" si="11"/>
        <v/>
      </c>
      <c r="AH37" s="140" t="str">
        <f t="shared" si="12"/>
        <v/>
      </c>
      <c r="AI37" s="141" t="str">
        <f t="shared" si="13"/>
        <v/>
      </c>
      <c r="AJ37" s="166" t="str">
        <f t="shared" si="14"/>
        <v/>
      </c>
      <c r="AK37" s="167" t="str">
        <f t="shared" si="14"/>
        <v/>
      </c>
      <c r="AL37" s="168" t="str">
        <f t="shared" si="15"/>
        <v/>
      </c>
      <c r="AM37" s="237" t="e">
        <f t="shared" si="27"/>
        <v>#VALUE!</v>
      </c>
      <c r="AN37" s="70" t="str">
        <f t="shared" si="25"/>
        <v/>
      </c>
      <c r="AO37" s="241" t="str">
        <f t="shared" si="26"/>
        <v/>
      </c>
      <c r="AP37" s="45" t="s">
        <v>40</v>
      </c>
      <c r="AQ37" s="98"/>
      <c r="AR37" s="99"/>
      <c r="AS37" s="99"/>
      <c r="AT37" s="100"/>
      <c r="AU37" s="101"/>
      <c r="AV37" s="100"/>
      <c r="AW37" s="101"/>
      <c r="AX37" s="101"/>
      <c r="AY37" s="99"/>
      <c r="AZ37" s="102"/>
      <c r="BA37" s="102"/>
      <c r="BB37" s="103"/>
      <c r="BC37" s="104"/>
      <c r="BD37" s="98"/>
      <c r="BE37" s="105"/>
      <c r="BF37" s="104"/>
      <c r="BG37" s="115"/>
      <c r="BH37" s="104"/>
      <c r="BI37" s="98"/>
      <c r="BJ37" s="105"/>
      <c r="BK37" s="104"/>
      <c r="BL37" s="104"/>
      <c r="BM37" s="107"/>
      <c r="BN37" s="108"/>
      <c r="BO37" s="108"/>
      <c r="BP37" s="109"/>
      <c r="BQ37" s="110"/>
      <c r="BR37" s="108"/>
      <c r="BS37" s="109"/>
      <c r="BT37" s="109"/>
      <c r="BU37" s="107"/>
      <c r="BV37" s="111"/>
      <c r="BW37" s="98"/>
      <c r="BX37" s="113"/>
      <c r="BY37" s="113"/>
      <c r="BZ37" s="114"/>
      <c r="CA37" s="114"/>
      <c r="CB37" s="114"/>
      <c r="CC37" s="99"/>
      <c r="CD37" s="115"/>
      <c r="CE37" s="116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121"/>
      <c r="CQ37" s="121"/>
      <c r="CR37" s="100"/>
      <c r="CS37" s="121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hidden="1" customHeight="1" x14ac:dyDescent="0.25">
      <c r="A38" s="83"/>
      <c r="B38" s="442"/>
      <c r="C38" s="453"/>
      <c r="D38" s="84"/>
      <c r="E38" s="23"/>
      <c r="F38" s="15"/>
      <c r="G38" s="213"/>
      <c r="H38" s="27" t="str">
        <f t="shared" si="16"/>
        <v/>
      </c>
      <c r="I38" s="216" t="str">
        <f t="shared" si="17"/>
        <v/>
      </c>
      <c r="J38" s="29" t="str">
        <f ca="1">IF($J$5&gt;=B38,"N/A",SUM(INDIRECT(ADDRESS(6+(MATCH($J$5,$B$6:$B$59,0)),8)):H38))</f>
        <v>N/A</v>
      </c>
      <c r="K38" s="10">
        <v>0</v>
      </c>
      <c r="L38" s="88"/>
      <c r="M38" s="4">
        <f t="shared" si="18"/>
        <v>0</v>
      </c>
      <c r="N38" s="220" t="str">
        <f t="shared" si="0"/>
        <v/>
      </c>
      <c r="O38" s="30" t="str">
        <f ca="1">IF($O$5&gt;=B38,"N/A",SUM(INDIRECT(ADDRESS(6+(MATCH($O$5,$B$6:$B$59,0)),13)):M38))</f>
        <v>N/A</v>
      </c>
      <c r="P38" s="175" t="str">
        <f t="shared" si="19"/>
        <v/>
      </c>
      <c r="Q38" s="175" t="str">
        <f t="shared" si="20"/>
        <v/>
      </c>
      <c r="R38" s="175" t="str">
        <f t="shared" si="21"/>
        <v/>
      </c>
      <c r="S38" s="70" t="str">
        <f t="shared" si="22"/>
        <v/>
      </c>
      <c r="T38" s="241" t="str">
        <f t="shared" si="23"/>
        <v/>
      </c>
      <c r="U38" s="157" t="str">
        <f t="shared" si="1"/>
        <v/>
      </c>
      <c r="V38" s="158" t="str">
        <f t="shared" si="2"/>
        <v/>
      </c>
      <c r="W38" s="158" t="str">
        <f t="shared" si="3"/>
        <v/>
      </c>
      <c r="X38" s="199" t="str">
        <f t="shared" si="4"/>
        <v/>
      </c>
      <c r="Y38" s="159" t="str">
        <f t="shared" si="5"/>
        <v/>
      </c>
      <c r="Z38" s="181"/>
      <c r="AA38" s="148" t="str">
        <f t="shared" si="6"/>
        <v/>
      </c>
      <c r="AB38" s="149">
        <f t="shared" si="7"/>
        <v>0</v>
      </c>
      <c r="AC38" s="149" t="str">
        <f t="shared" si="8"/>
        <v/>
      </c>
      <c r="AD38" s="203">
        <f t="shared" si="9"/>
        <v>0</v>
      </c>
      <c r="AE38" s="150" t="str">
        <f t="shared" si="10"/>
        <v/>
      </c>
      <c r="AF38" s="182"/>
      <c r="AG38" s="139" t="str">
        <f t="shared" si="11"/>
        <v/>
      </c>
      <c r="AH38" s="140" t="str">
        <f t="shared" si="12"/>
        <v/>
      </c>
      <c r="AI38" s="141" t="str">
        <f t="shared" si="13"/>
        <v/>
      </c>
      <c r="AJ38" s="166" t="str">
        <f t="shared" si="14"/>
        <v/>
      </c>
      <c r="AK38" s="167" t="str">
        <f t="shared" si="14"/>
        <v/>
      </c>
      <c r="AL38" s="168" t="str">
        <f t="shared" si="15"/>
        <v/>
      </c>
      <c r="AM38" s="237" t="e">
        <f t="shared" si="27"/>
        <v>#VALUE!</v>
      </c>
      <c r="AN38" s="70" t="str">
        <f t="shared" si="25"/>
        <v/>
      </c>
      <c r="AO38" s="241" t="str">
        <f t="shared" si="26"/>
        <v/>
      </c>
      <c r="AP38" s="45" t="s">
        <v>40</v>
      </c>
      <c r="AQ38" s="98"/>
      <c r="AR38" s="99"/>
      <c r="AS38" s="99"/>
      <c r="AT38" s="100"/>
      <c r="AU38" s="101"/>
      <c r="AV38" s="100"/>
      <c r="AW38" s="101"/>
      <c r="AX38" s="101"/>
      <c r="AY38" s="99"/>
      <c r="AZ38" s="102"/>
      <c r="BA38" s="102"/>
      <c r="BB38" s="103"/>
      <c r="BC38" s="104"/>
      <c r="BD38" s="98"/>
      <c r="BE38" s="105"/>
      <c r="BF38" s="104"/>
      <c r="BG38" s="115"/>
      <c r="BH38" s="104"/>
      <c r="BI38" s="98"/>
      <c r="BJ38" s="105"/>
      <c r="BK38" s="104"/>
      <c r="BL38" s="104"/>
      <c r="BM38" s="107"/>
      <c r="BN38" s="108"/>
      <c r="BO38" s="108"/>
      <c r="BP38" s="109"/>
      <c r="BQ38" s="110"/>
      <c r="BR38" s="108"/>
      <c r="BS38" s="109"/>
      <c r="BT38" s="109"/>
      <c r="BU38" s="107"/>
      <c r="BV38" s="111"/>
      <c r="BW38" s="98"/>
      <c r="BX38" s="113"/>
      <c r="BY38" s="113"/>
      <c r="BZ38" s="114"/>
      <c r="CA38" s="114"/>
      <c r="CB38" s="114"/>
      <c r="CC38" s="99"/>
      <c r="CD38" s="115"/>
      <c r="CE38" s="116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hidden="1" customHeight="1" x14ac:dyDescent="0.25">
      <c r="A39" s="83"/>
      <c r="B39" s="442"/>
      <c r="C39" s="453"/>
      <c r="D39" s="84"/>
      <c r="E39" s="23"/>
      <c r="F39" s="15"/>
      <c r="G39" s="213"/>
      <c r="H39" s="27" t="str">
        <f t="shared" si="16"/>
        <v/>
      </c>
      <c r="I39" s="216" t="str">
        <f t="shared" si="17"/>
        <v/>
      </c>
      <c r="J39" s="29" t="str">
        <f ca="1">IF($J$5&gt;=B39,"N/A",SUM(INDIRECT(ADDRESS(6+(MATCH($J$5,$B$6:$B$59,0)),8)):H39))</f>
        <v>N/A</v>
      </c>
      <c r="K39" s="10">
        <v>0</v>
      </c>
      <c r="L39" s="88"/>
      <c r="M39" s="4">
        <f t="shared" si="18"/>
        <v>0</v>
      </c>
      <c r="N39" s="220" t="str">
        <f t="shared" si="0"/>
        <v/>
      </c>
      <c r="O39" s="30" t="str">
        <f ca="1">IF($O$5&gt;=B39,"N/A",SUM(INDIRECT(ADDRESS(6+(MATCH($O$5,$B$6:$B$59,0)),13)):M39))</f>
        <v>N/A</v>
      </c>
      <c r="P39" s="175" t="str">
        <f t="shared" si="19"/>
        <v/>
      </c>
      <c r="Q39" s="175" t="str">
        <f t="shared" si="20"/>
        <v/>
      </c>
      <c r="R39" s="175" t="str">
        <f t="shared" si="21"/>
        <v/>
      </c>
      <c r="S39" s="70" t="str">
        <f t="shared" si="22"/>
        <v/>
      </c>
      <c r="T39" s="241" t="str">
        <f t="shared" si="23"/>
        <v/>
      </c>
      <c r="U39" s="157" t="str">
        <f t="shared" si="1"/>
        <v/>
      </c>
      <c r="V39" s="158" t="str">
        <f t="shared" si="2"/>
        <v/>
      </c>
      <c r="W39" s="158" t="str">
        <f t="shared" si="3"/>
        <v/>
      </c>
      <c r="X39" s="199" t="str">
        <f t="shared" si="4"/>
        <v/>
      </c>
      <c r="Y39" s="159" t="str">
        <f t="shared" si="5"/>
        <v/>
      </c>
      <c r="Z39" s="181"/>
      <c r="AA39" s="148" t="str">
        <f t="shared" si="6"/>
        <v/>
      </c>
      <c r="AB39" s="149">
        <f t="shared" si="7"/>
        <v>0</v>
      </c>
      <c r="AC39" s="149" t="str">
        <f t="shared" si="8"/>
        <v/>
      </c>
      <c r="AD39" s="203">
        <f t="shared" si="9"/>
        <v>0</v>
      </c>
      <c r="AE39" s="150" t="str">
        <f t="shared" si="10"/>
        <v/>
      </c>
      <c r="AF39" s="182"/>
      <c r="AG39" s="139" t="str">
        <f t="shared" si="11"/>
        <v/>
      </c>
      <c r="AH39" s="140" t="str">
        <f t="shared" si="12"/>
        <v/>
      </c>
      <c r="AI39" s="141" t="str">
        <f t="shared" si="13"/>
        <v/>
      </c>
      <c r="AJ39" s="166" t="str">
        <f t="shared" si="14"/>
        <v/>
      </c>
      <c r="AK39" s="167" t="str">
        <f t="shared" si="14"/>
        <v/>
      </c>
      <c r="AL39" s="168" t="str">
        <f t="shared" si="15"/>
        <v/>
      </c>
      <c r="AM39" s="237" t="e">
        <f t="shared" si="27"/>
        <v>#VALUE!</v>
      </c>
      <c r="AN39" s="70" t="str">
        <f t="shared" si="25"/>
        <v/>
      </c>
      <c r="AO39" s="241" t="str">
        <f t="shared" si="26"/>
        <v/>
      </c>
      <c r="AP39" s="45" t="s">
        <v>40</v>
      </c>
      <c r="AQ39" s="98"/>
      <c r="AR39" s="99"/>
      <c r="AS39" s="99"/>
      <c r="AT39" s="100"/>
      <c r="AU39" s="101"/>
      <c r="AV39" s="100"/>
      <c r="AW39" s="101"/>
      <c r="AX39" s="101"/>
      <c r="AY39" s="99"/>
      <c r="AZ39" s="102"/>
      <c r="BA39" s="102"/>
      <c r="BB39" s="103"/>
      <c r="BC39" s="104"/>
      <c r="BD39" s="98"/>
      <c r="BE39" s="105"/>
      <c r="BF39" s="104"/>
      <c r="BG39" s="115"/>
      <c r="BH39" s="104"/>
      <c r="BI39" s="98"/>
      <c r="BJ39" s="105"/>
      <c r="BK39" s="104"/>
      <c r="BL39" s="104"/>
      <c r="BM39" s="107"/>
      <c r="BN39" s="108"/>
      <c r="BO39" s="108"/>
      <c r="BP39" s="109"/>
      <c r="BQ39" s="110"/>
      <c r="BR39" s="108"/>
      <c r="BS39" s="109"/>
      <c r="BT39" s="109"/>
      <c r="BU39" s="107"/>
      <c r="BV39" s="111"/>
      <c r="BW39" s="98"/>
      <c r="BX39" s="113"/>
      <c r="BY39" s="113"/>
      <c r="BZ39" s="114"/>
      <c r="CA39" s="114"/>
      <c r="CB39" s="114"/>
      <c r="CC39" s="99"/>
      <c r="CD39" s="115"/>
      <c r="CE39" s="116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hidden="1" customHeight="1" x14ac:dyDescent="0.25">
      <c r="A40" s="83"/>
      <c r="B40" s="442"/>
      <c r="C40" s="453"/>
      <c r="D40" s="84"/>
      <c r="E40" s="23"/>
      <c r="F40" s="15"/>
      <c r="G40" s="213"/>
      <c r="H40" s="27" t="str">
        <f t="shared" si="16"/>
        <v/>
      </c>
      <c r="I40" s="216" t="str">
        <f t="shared" si="17"/>
        <v/>
      </c>
      <c r="J40" s="29" t="str">
        <f ca="1">IF($J$5&gt;=B40,"N/A",SUM(INDIRECT(ADDRESS(6+(MATCH($J$5,$B$6:$B$59,0)),8)):H40))</f>
        <v>N/A</v>
      </c>
      <c r="K40" s="10">
        <v>0</v>
      </c>
      <c r="L40" s="88"/>
      <c r="M40" s="4">
        <f t="shared" si="18"/>
        <v>0</v>
      </c>
      <c r="N40" s="220" t="str">
        <f t="shared" si="0"/>
        <v/>
      </c>
      <c r="O40" s="30" t="str">
        <f ca="1">IF($O$5&gt;=B40,"N/A",SUM(INDIRECT(ADDRESS(6+(MATCH($O$5,$B$6:$B$59,0)),13)):M40))</f>
        <v>N/A</v>
      </c>
      <c r="P40" s="175" t="str">
        <f t="shared" si="19"/>
        <v/>
      </c>
      <c r="Q40" s="175" t="str">
        <f t="shared" si="20"/>
        <v/>
      </c>
      <c r="R40" s="175" t="str">
        <f t="shared" si="21"/>
        <v/>
      </c>
      <c r="S40" s="70" t="str">
        <f t="shared" si="22"/>
        <v/>
      </c>
      <c r="T40" s="241" t="str">
        <f t="shared" si="23"/>
        <v/>
      </c>
      <c r="U40" s="157" t="str">
        <f t="shared" si="1"/>
        <v/>
      </c>
      <c r="V40" s="158" t="str">
        <f t="shared" si="2"/>
        <v/>
      </c>
      <c r="W40" s="158" t="str">
        <f t="shared" si="3"/>
        <v/>
      </c>
      <c r="X40" s="199" t="str">
        <f t="shared" si="4"/>
        <v/>
      </c>
      <c r="Y40" s="159" t="str">
        <f t="shared" si="5"/>
        <v/>
      </c>
      <c r="Z40" s="181"/>
      <c r="AA40" s="148" t="str">
        <f t="shared" si="6"/>
        <v/>
      </c>
      <c r="AB40" s="149">
        <f t="shared" si="7"/>
        <v>0</v>
      </c>
      <c r="AC40" s="149" t="str">
        <f t="shared" si="8"/>
        <v/>
      </c>
      <c r="AD40" s="203">
        <f t="shared" si="9"/>
        <v>0</v>
      </c>
      <c r="AE40" s="150" t="str">
        <f t="shared" si="10"/>
        <v/>
      </c>
      <c r="AF40" s="182"/>
      <c r="AG40" s="139" t="str">
        <f t="shared" si="11"/>
        <v/>
      </c>
      <c r="AH40" s="140" t="str">
        <f t="shared" si="12"/>
        <v/>
      </c>
      <c r="AI40" s="141" t="str">
        <f t="shared" si="13"/>
        <v/>
      </c>
      <c r="AJ40" s="166" t="str">
        <f t="shared" si="14"/>
        <v/>
      </c>
      <c r="AK40" s="167" t="str">
        <f t="shared" si="14"/>
        <v/>
      </c>
      <c r="AL40" s="168" t="str">
        <f t="shared" si="15"/>
        <v/>
      </c>
      <c r="AM40" s="237" t="e">
        <f t="shared" si="27"/>
        <v>#VALUE!</v>
      </c>
      <c r="AN40" s="70" t="str">
        <f t="shared" si="25"/>
        <v/>
      </c>
      <c r="AO40" s="241" t="str">
        <f t="shared" si="26"/>
        <v/>
      </c>
      <c r="AP40" s="45" t="s">
        <v>40</v>
      </c>
      <c r="AQ40" s="98"/>
      <c r="AR40" s="99"/>
      <c r="AS40" s="99"/>
      <c r="AT40" s="100"/>
      <c r="AU40" s="101"/>
      <c r="AV40" s="100"/>
      <c r="AW40" s="101"/>
      <c r="AX40" s="101"/>
      <c r="AY40" s="99"/>
      <c r="AZ40" s="102"/>
      <c r="BA40" s="102"/>
      <c r="BB40" s="103"/>
      <c r="BC40" s="104"/>
      <c r="BD40" s="98"/>
      <c r="BE40" s="105"/>
      <c r="BF40" s="104"/>
      <c r="BG40" s="115"/>
      <c r="BH40" s="104"/>
      <c r="BI40" s="98"/>
      <c r="BJ40" s="105"/>
      <c r="BK40" s="104"/>
      <c r="BL40" s="104"/>
      <c r="BM40" s="107"/>
      <c r="BN40" s="108"/>
      <c r="BO40" s="108"/>
      <c r="BP40" s="109"/>
      <c r="BQ40" s="110"/>
      <c r="BR40" s="108"/>
      <c r="BS40" s="109"/>
      <c r="BT40" s="109"/>
      <c r="BU40" s="107"/>
      <c r="BV40" s="111"/>
      <c r="BW40" s="98"/>
      <c r="BX40" s="113"/>
      <c r="BY40" s="113"/>
      <c r="BZ40" s="114"/>
      <c r="CA40" s="114"/>
      <c r="CB40" s="114"/>
      <c r="CC40" s="99"/>
      <c r="CD40" s="115"/>
      <c r="CE40" s="116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hidden="1" customHeight="1" x14ac:dyDescent="0.25">
      <c r="A41" s="83"/>
      <c r="B41" s="442"/>
      <c r="C41" s="453"/>
      <c r="D41" s="84"/>
      <c r="E41" s="23"/>
      <c r="F41" s="15"/>
      <c r="G41" s="213"/>
      <c r="H41" s="27" t="str">
        <f t="shared" si="16"/>
        <v/>
      </c>
      <c r="I41" s="216" t="str">
        <f t="shared" si="17"/>
        <v/>
      </c>
      <c r="J41" s="29" t="str">
        <f ca="1">IF($J$5&gt;=B41,"N/A",SUM(INDIRECT(ADDRESS(6+(MATCH($J$5,$B$6:$B$59,0)),8)):H41))</f>
        <v>N/A</v>
      </c>
      <c r="K41" s="10">
        <v>0</v>
      </c>
      <c r="L41" s="88"/>
      <c r="M41" s="4">
        <f t="shared" si="18"/>
        <v>0</v>
      </c>
      <c r="N41" s="220" t="str">
        <f t="shared" si="0"/>
        <v/>
      </c>
      <c r="O41" s="30" t="str">
        <f ca="1">IF($O$5&gt;=B41,"N/A",SUM(INDIRECT(ADDRESS(6+(MATCH($O$5,$B$6:$B$59,0)),13)):M41))</f>
        <v>N/A</v>
      </c>
      <c r="P41" s="175" t="str">
        <f t="shared" si="19"/>
        <v/>
      </c>
      <c r="Q41" s="175" t="str">
        <f t="shared" si="20"/>
        <v/>
      </c>
      <c r="R41" s="175" t="str">
        <f t="shared" si="21"/>
        <v/>
      </c>
      <c r="S41" s="70" t="str">
        <f t="shared" si="22"/>
        <v/>
      </c>
      <c r="T41" s="241" t="str">
        <f t="shared" si="23"/>
        <v/>
      </c>
      <c r="U41" s="157" t="str">
        <f t="shared" si="1"/>
        <v/>
      </c>
      <c r="V41" s="158" t="str">
        <f t="shared" si="2"/>
        <v/>
      </c>
      <c r="W41" s="158" t="str">
        <f t="shared" si="3"/>
        <v/>
      </c>
      <c r="X41" s="199" t="str">
        <f t="shared" si="4"/>
        <v/>
      </c>
      <c r="Y41" s="159" t="str">
        <f t="shared" si="5"/>
        <v/>
      </c>
      <c r="Z41" s="181"/>
      <c r="AA41" s="148" t="str">
        <f t="shared" si="6"/>
        <v/>
      </c>
      <c r="AB41" s="149">
        <f t="shared" si="7"/>
        <v>0</v>
      </c>
      <c r="AC41" s="149" t="str">
        <f t="shared" si="8"/>
        <v/>
      </c>
      <c r="AD41" s="203">
        <f t="shared" si="9"/>
        <v>0</v>
      </c>
      <c r="AE41" s="150" t="str">
        <f t="shared" si="10"/>
        <v/>
      </c>
      <c r="AF41" s="182"/>
      <c r="AG41" s="139" t="str">
        <f t="shared" si="11"/>
        <v/>
      </c>
      <c r="AH41" s="140" t="str">
        <f t="shared" si="12"/>
        <v/>
      </c>
      <c r="AI41" s="141" t="str">
        <f t="shared" si="13"/>
        <v/>
      </c>
      <c r="AJ41" s="166" t="str">
        <f t="shared" si="14"/>
        <v/>
      </c>
      <c r="AK41" s="167" t="str">
        <f t="shared" si="14"/>
        <v/>
      </c>
      <c r="AL41" s="168" t="str">
        <f t="shared" si="15"/>
        <v/>
      </c>
      <c r="AM41" s="237" t="e">
        <f t="shared" si="27"/>
        <v>#VALUE!</v>
      </c>
      <c r="AN41" s="70" t="str">
        <f t="shared" si="25"/>
        <v/>
      </c>
      <c r="AO41" s="241" t="str">
        <f t="shared" si="26"/>
        <v/>
      </c>
      <c r="AP41" s="45" t="s">
        <v>40</v>
      </c>
      <c r="AQ41" s="98"/>
      <c r="AR41" s="99"/>
      <c r="AS41" s="99"/>
      <c r="AT41" s="100"/>
      <c r="AU41" s="101"/>
      <c r="AV41" s="100"/>
      <c r="AW41" s="101"/>
      <c r="AX41" s="101"/>
      <c r="AY41" s="99"/>
      <c r="AZ41" s="102"/>
      <c r="BA41" s="102"/>
      <c r="BB41" s="103"/>
      <c r="BC41" s="104"/>
      <c r="BD41" s="98"/>
      <c r="BE41" s="105"/>
      <c r="BF41" s="104"/>
      <c r="BG41" s="115"/>
      <c r="BH41" s="104"/>
      <c r="BI41" s="98"/>
      <c r="BJ41" s="105"/>
      <c r="BK41" s="104"/>
      <c r="BL41" s="104"/>
      <c r="BM41" s="107"/>
      <c r="BN41" s="108"/>
      <c r="BO41" s="108"/>
      <c r="BP41" s="109"/>
      <c r="BQ41" s="110"/>
      <c r="BR41" s="108"/>
      <c r="BS41" s="109"/>
      <c r="BT41" s="109"/>
      <c r="BU41" s="107"/>
      <c r="BV41" s="111"/>
      <c r="BW41" s="98"/>
      <c r="BX41" s="113"/>
      <c r="BY41" s="113"/>
      <c r="BZ41" s="114"/>
      <c r="CA41" s="114"/>
      <c r="CB41" s="114"/>
      <c r="CC41" s="99"/>
      <c r="CD41" s="115"/>
      <c r="CE41" s="116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hidden="1" customHeight="1" x14ac:dyDescent="0.25">
      <c r="A42" s="83"/>
      <c r="B42" s="442"/>
      <c r="C42" s="453"/>
      <c r="D42" s="84"/>
      <c r="E42" s="23"/>
      <c r="F42" s="15"/>
      <c r="G42" s="213"/>
      <c r="H42" s="27" t="str">
        <f t="shared" si="16"/>
        <v/>
      </c>
      <c r="I42" s="216" t="str">
        <f t="shared" si="17"/>
        <v/>
      </c>
      <c r="J42" s="29" t="str">
        <f ca="1">IF($J$5&gt;=B42,"N/A",SUM(INDIRECT(ADDRESS(6+(MATCH($J$5,$B$6:$B$59,0)),8)):H42))</f>
        <v>N/A</v>
      </c>
      <c r="K42" s="10">
        <v>0</v>
      </c>
      <c r="L42" s="88"/>
      <c r="M42" s="4">
        <f t="shared" si="18"/>
        <v>0</v>
      </c>
      <c r="N42" s="220" t="str">
        <f t="shared" si="0"/>
        <v/>
      </c>
      <c r="O42" s="30" t="str">
        <f ca="1">IF($O$5&gt;=B42,"N/A",SUM(INDIRECT(ADDRESS(6+(MATCH($O$5,$B$6:$B$59,0)),13)):M42))</f>
        <v>N/A</v>
      </c>
      <c r="P42" s="175" t="str">
        <f t="shared" si="19"/>
        <v/>
      </c>
      <c r="Q42" s="175" t="str">
        <f t="shared" si="20"/>
        <v/>
      </c>
      <c r="R42" s="175" t="str">
        <f t="shared" si="21"/>
        <v/>
      </c>
      <c r="S42" s="70" t="str">
        <f t="shared" si="22"/>
        <v/>
      </c>
      <c r="T42" s="241" t="str">
        <f t="shared" si="23"/>
        <v/>
      </c>
      <c r="U42" s="157" t="str">
        <f t="shared" si="1"/>
        <v/>
      </c>
      <c r="V42" s="158" t="str">
        <f t="shared" si="2"/>
        <v/>
      </c>
      <c r="W42" s="158" t="str">
        <f t="shared" si="3"/>
        <v/>
      </c>
      <c r="X42" s="199" t="str">
        <f t="shared" si="4"/>
        <v/>
      </c>
      <c r="Y42" s="159" t="str">
        <f t="shared" si="5"/>
        <v/>
      </c>
      <c r="Z42" s="181"/>
      <c r="AA42" s="148" t="str">
        <f t="shared" si="6"/>
        <v/>
      </c>
      <c r="AB42" s="149">
        <f t="shared" si="7"/>
        <v>0</v>
      </c>
      <c r="AC42" s="149" t="str">
        <f t="shared" si="8"/>
        <v/>
      </c>
      <c r="AD42" s="203">
        <f t="shared" si="9"/>
        <v>0</v>
      </c>
      <c r="AE42" s="150" t="str">
        <f t="shared" si="10"/>
        <v/>
      </c>
      <c r="AF42" s="182"/>
      <c r="AG42" s="139" t="str">
        <f t="shared" si="11"/>
        <v/>
      </c>
      <c r="AH42" s="140" t="str">
        <f t="shared" si="12"/>
        <v/>
      </c>
      <c r="AI42" s="141" t="str">
        <f t="shared" si="13"/>
        <v/>
      </c>
      <c r="AJ42" s="166" t="str">
        <f t="shared" si="14"/>
        <v/>
      </c>
      <c r="AK42" s="167" t="str">
        <f t="shared" si="14"/>
        <v/>
      </c>
      <c r="AL42" s="168" t="str">
        <f t="shared" si="15"/>
        <v/>
      </c>
      <c r="AM42" s="237" t="e">
        <f t="shared" si="27"/>
        <v>#VALUE!</v>
      </c>
      <c r="AN42" s="70" t="str">
        <f t="shared" si="25"/>
        <v/>
      </c>
      <c r="AO42" s="241" t="str">
        <f t="shared" si="26"/>
        <v/>
      </c>
      <c r="AP42" s="45" t="s">
        <v>40</v>
      </c>
      <c r="AQ42" s="98"/>
      <c r="AR42" s="99"/>
      <c r="AS42" s="99"/>
      <c r="AT42" s="100"/>
      <c r="AU42" s="101"/>
      <c r="AV42" s="100"/>
      <c r="AW42" s="101"/>
      <c r="AX42" s="101"/>
      <c r="AY42" s="99"/>
      <c r="AZ42" s="102"/>
      <c r="BA42" s="102"/>
      <c r="BB42" s="103"/>
      <c r="BC42" s="104"/>
      <c r="BD42" s="98"/>
      <c r="BE42" s="105"/>
      <c r="BF42" s="104"/>
      <c r="BG42" s="115"/>
      <c r="BH42" s="104"/>
      <c r="BI42" s="98"/>
      <c r="BJ42" s="105"/>
      <c r="BK42" s="104"/>
      <c r="BL42" s="104"/>
      <c r="BM42" s="107"/>
      <c r="BN42" s="108"/>
      <c r="BO42" s="108"/>
      <c r="BP42" s="109"/>
      <c r="BQ42" s="110"/>
      <c r="BR42" s="108"/>
      <c r="BS42" s="109"/>
      <c r="BT42" s="109"/>
      <c r="BU42" s="107"/>
      <c r="BV42" s="111"/>
      <c r="BW42" s="98"/>
      <c r="BX42" s="113"/>
      <c r="BY42" s="113"/>
      <c r="BZ42" s="114"/>
      <c r="CA42" s="114"/>
      <c r="CB42" s="114"/>
      <c r="CC42" s="99"/>
      <c r="CD42" s="115"/>
      <c r="CE42" s="116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hidden="1" customHeight="1" x14ac:dyDescent="0.25">
      <c r="A43" s="83"/>
      <c r="B43" s="442"/>
      <c r="C43" s="453"/>
      <c r="D43" s="84"/>
      <c r="E43" s="23"/>
      <c r="F43" s="15"/>
      <c r="G43" s="213"/>
      <c r="H43" s="27" t="str">
        <f t="shared" si="16"/>
        <v/>
      </c>
      <c r="I43" s="216" t="str">
        <f t="shared" si="17"/>
        <v/>
      </c>
      <c r="J43" s="29" t="str">
        <f ca="1">IF($J$5&gt;=B43,"N/A",SUM(INDIRECT(ADDRESS(6+(MATCH($J$5,$B$6:$B$59,0)),8)):H43))</f>
        <v>N/A</v>
      </c>
      <c r="K43" s="10">
        <v>0</v>
      </c>
      <c r="L43" s="88"/>
      <c r="M43" s="4">
        <f t="shared" si="18"/>
        <v>0</v>
      </c>
      <c r="N43" s="220" t="str">
        <f t="shared" si="0"/>
        <v/>
      </c>
      <c r="O43" s="30" t="str">
        <f ca="1">IF($O$5&gt;=B43,"N/A",SUM(INDIRECT(ADDRESS(6+(MATCH($O$5,$B$6:$B$59,0)),13)):M43))</f>
        <v>N/A</v>
      </c>
      <c r="P43" s="175" t="str">
        <f t="shared" si="19"/>
        <v/>
      </c>
      <c r="Q43" s="175" t="str">
        <f t="shared" si="20"/>
        <v/>
      </c>
      <c r="R43" s="175" t="str">
        <f t="shared" si="21"/>
        <v/>
      </c>
      <c r="S43" s="70" t="str">
        <f t="shared" si="22"/>
        <v/>
      </c>
      <c r="T43" s="241" t="str">
        <f t="shared" si="23"/>
        <v/>
      </c>
      <c r="U43" s="157" t="str">
        <f t="shared" si="1"/>
        <v/>
      </c>
      <c r="V43" s="158" t="str">
        <f t="shared" si="2"/>
        <v/>
      </c>
      <c r="W43" s="158" t="str">
        <f t="shared" si="3"/>
        <v/>
      </c>
      <c r="X43" s="199" t="str">
        <f t="shared" si="4"/>
        <v/>
      </c>
      <c r="Y43" s="159" t="str">
        <f t="shared" si="5"/>
        <v/>
      </c>
      <c r="Z43" s="181"/>
      <c r="AA43" s="148" t="str">
        <f t="shared" si="6"/>
        <v/>
      </c>
      <c r="AB43" s="149">
        <f t="shared" si="7"/>
        <v>0</v>
      </c>
      <c r="AC43" s="149" t="str">
        <f t="shared" si="8"/>
        <v/>
      </c>
      <c r="AD43" s="203">
        <f t="shared" si="9"/>
        <v>0</v>
      </c>
      <c r="AE43" s="150" t="str">
        <f t="shared" si="10"/>
        <v/>
      </c>
      <c r="AF43" s="182"/>
      <c r="AG43" s="139" t="str">
        <f t="shared" si="11"/>
        <v/>
      </c>
      <c r="AH43" s="140" t="str">
        <f t="shared" si="12"/>
        <v/>
      </c>
      <c r="AI43" s="141" t="str">
        <f t="shared" si="13"/>
        <v/>
      </c>
      <c r="AJ43" s="166" t="str">
        <f t="shared" si="14"/>
        <v/>
      </c>
      <c r="AK43" s="167" t="str">
        <f t="shared" si="14"/>
        <v/>
      </c>
      <c r="AL43" s="168" t="str">
        <f t="shared" si="15"/>
        <v/>
      </c>
      <c r="AM43" s="237" t="e">
        <f t="shared" si="27"/>
        <v>#VALUE!</v>
      </c>
      <c r="AN43" s="70" t="str">
        <f t="shared" si="25"/>
        <v/>
      </c>
      <c r="AO43" s="241" t="str">
        <f t="shared" si="26"/>
        <v/>
      </c>
      <c r="AP43" s="45" t="s">
        <v>40</v>
      </c>
      <c r="AQ43" s="98"/>
      <c r="AR43" s="99"/>
      <c r="AS43" s="99"/>
      <c r="AT43" s="100"/>
      <c r="AU43" s="101"/>
      <c r="AV43" s="100"/>
      <c r="AW43" s="101"/>
      <c r="AX43" s="101"/>
      <c r="AY43" s="99"/>
      <c r="AZ43" s="102"/>
      <c r="BA43" s="102"/>
      <c r="BB43" s="103"/>
      <c r="BC43" s="104"/>
      <c r="BD43" s="98"/>
      <c r="BE43" s="105"/>
      <c r="BF43" s="104"/>
      <c r="BG43" s="115"/>
      <c r="BH43" s="104"/>
      <c r="BI43" s="98"/>
      <c r="BJ43" s="105"/>
      <c r="BK43" s="104"/>
      <c r="BL43" s="104"/>
      <c r="BM43" s="107"/>
      <c r="BN43" s="108"/>
      <c r="BO43" s="108"/>
      <c r="BP43" s="109"/>
      <c r="BQ43" s="110"/>
      <c r="BR43" s="108"/>
      <c r="BS43" s="109"/>
      <c r="BT43" s="109"/>
      <c r="BU43" s="107"/>
      <c r="BV43" s="111"/>
      <c r="BW43" s="98"/>
      <c r="BX43" s="113"/>
      <c r="BY43" s="113"/>
      <c r="BZ43" s="114"/>
      <c r="CA43" s="114"/>
      <c r="CB43" s="114"/>
      <c r="CC43" s="99"/>
      <c r="CD43" s="115"/>
      <c r="CE43" s="116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hidden="1" customHeight="1" x14ac:dyDescent="0.25">
      <c r="A44" s="83"/>
      <c r="B44" s="442"/>
      <c r="C44" s="453"/>
      <c r="D44" s="84"/>
      <c r="E44" s="23"/>
      <c r="F44" s="15"/>
      <c r="G44" s="213"/>
      <c r="H44" s="27" t="str">
        <f t="shared" si="16"/>
        <v/>
      </c>
      <c r="I44" s="216" t="str">
        <f t="shared" si="17"/>
        <v/>
      </c>
      <c r="J44" s="29" t="str">
        <f ca="1">IF($J$5&gt;=B44,"N/A",SUM(INDIRECT(ADDRESS(6+(MATCH($J$5,$B$6:$B$59,0)),8)):H44))</f>
        <v>N/A</v>
      </c>
      <c r="K44" s="10">
        <v>0</v>
      </c>
      <c r="L44" s="88"/>
      <c r="M44" s="4">
        <f t="shared" si="18"/>
        <v>0</v>
      </c>
      <c r="N44" s="220" t="str">
        <f t="shared" si="0"/>
        <v/>
      </c>
      <c r="O44" s="30" t="str">
        <f ca="1">IF($O$5&gt;=B44,"N/A",SUM(INDIRECT(ADDRESS(6+(MATCH($O$5,$B$6:$B$59,0)),13)):M44))</f>
        <v>N/A</v>
      </c>
      <c r="P44" s="175" t="str">
        <f t="shared" si="19"/>
        <v/>
      </c>
      <c r="Q44" s="175" t="str">
        <f t="shared" si="20"/>
        <v/>
      </c>
      <c r="R44" s="175" t="str">
        <f t="shared" si="21"/>
        <v/>
      </c>
      <c r="S44" s="70" t="str">
        <f t="shared" si="22"/>
        <v/>
      </c>
      <c r="T44" s="241" t="str">
        <f t="shared" si="23"/>
        <v/>
      </c>
      <c r="U44" s="157" t="str">
        <f t="shared" si="1"/>
        <v/>
      </c>
      <c r="V44" s="158" t="str">
        <f t="shared" si="2"/>
        <v/>
      </c>
      <c r="W44" s="158" t="str">
        <f t="shared" si="3"/>
        <v/>
      </c>
      <c r="X44" s="199" t="str">
        <f t="shared" si="4"/>
        <v/>
      </c>
      <c r="Y44" s="159" t="str">
        <f t="shared" si="5"/>
        <v/>
      </c>
      <c r="Z44" s="181"/>
      <c r="AA44" s="148" t="str">
        <f t="shared" si="6"/>
        <v/>
      </c>
      <c r="AB44" s="149">
        <f t="shared" si="7"/>
        <v>0</v>
      </c>
      <c r="AC44" s="149" t="str">
        <f t="shared" si="8"/>
        <v/>
      </c>
      <c r="AD44" s="203">
        <f t="shared" si="9"/>
        <v>0</v>
      </c>
      <c r="AE44" s="150" t="str">
        <f t="shared" si="10"/>
        <v/>
      </c>
      <c r="AF44" s="182"/>
      <c r="AG44" s="139" t="str">
        <f t="shared" si="11"/>
        <v/>
      </c>
      <c r="AH44" s="140" t="str">
        <f t="shared" si="12"/>
        <v/>
      </c>
      <c r="AI44" s="141" t="str">
        <f t="shared" si="13"/>
        <v/>
      </c>
      <c r="AJ44" s="166" t="str">
        <f t="shared" si="14"/>
        <v/>
      </c>
      <c r="AK44" s="167" t="str">
        <f t="shared" si="14"/>
        <v/>
      </c>
      <c r="AL44" s="168" t="str">
        <f t="shared" si="15"/>
        <v/>
      </c>
      <c r="AM44" s="237" t="e">
        <f t="shared" si="27"/>
        <v>#VALUE!</v>
      </c>
      <c r="AN44" s="70" t="str">
        <f t="shared" si="25"/>
        <v/>
      </c>
      <c r="AO44" s="241" t="str">
        <f t="shared" si="26"/>
        <v/>
      </c>
      <c r="AP44" s="45" t="s">
        <v>40</v>
      </c>
      <c r="AQ44" s="98"/>
      <c r="AR44" s="99"/>
      <c r="AS44" s="99"/>
      <c r="AT44" s="100"/>
      <c r="AU44" s="101"/>
      <c r="AV44" s="100"/>
      <c r="AW44" s="101"/>
      <c r="AX44" s="101"/>
      <c r="AY44" s="99"/>
      <c r="AZ44" s="102"/>
      <c r="BA44" s="102"/>
      <c r="BB44" s="103"/>
      <c r="BC44" s="104"/>
      <c r="BD44" s="98"/>
      <c r="BE44" s="105"/>
      <c r="BF44" s="104"/>
      <c r="BG44" s="115"/>
      <c r="BH44" s="104"/>
      <c r="BI44" s="98"/>
      <c r="BJ44" s="105"/>
      <c r="BK44" s="104"/>
      <c r="BL44" s="104"/>
      <c r="BM44" s="107"/>
      <c r="BN44" s="108"/>
      <c r="BO44" s="108"/>
      <c r="BP44" s="109"/>
      <c r="BQ44" s="110"/>
      <c r="BR44" s="108"/>
      <c r="BS44" s="109"/>
      <c r="BT44" s="109"/>
      <c r="BU44" s="107"/>
      <c r="BV44" s="111"/>
      <c r="BW44" s="98"/>
      <c r="BX44" s="113"/>
      <c r="BY44" s="113"/>
      <c r="BZ44" s="114"/>
      <c r="CA44" s="114"/>
      <c r="CB44" s="114"/>
      <c r="CC44" s="99"/>
      <c r="CD44" s="115"/>
      <c r="CE44" s="116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hidden="1" customHeight="1" x14ac:dyDescent="0.25">
      <c r="A45" s="83"/>
      <c r="B45" s="442"/>
      <c r="C45" s="453"/>
      <c r="D45" s="84"/>
      <c r="E45" s="23"/>
      <c r="F45" s="15"/>
      <c r="G45" s="213"/>
      <c r="H45" s="27" t="str">
        <f t="shared" si="16"/>
        <v/>
      </c>
      <c r="I45" s="216" t="str">
        <f t="shared" si="17"/>
        <v/>
      </c>
      <c r="J45" s="29" t="str">
        <f ca="1">IF($J$5&gt;=B45,"N/A",SUM(INDIRECT(ADDRESS(6+(MATCH($J$5,$B$6:$B$59,0)),8)):H45))</f>
        <v>N/A</v>
      </c>
      <c r="K45" s="10">
        <v>0</v>
      </c>
      <c r="L45" s="88"/>
      <c r="M45" s="4">
        <f t="shared" si="18"/>
        <v>0</v>
      </c>
      <c r="N45" s="220" t="str">
        <f t="shared" si="0"/>
        <v/>
      </c>
      <c r="O45" s="30" t="str">
        <f ca="1">IF($O$5&gt;=B45,"N/A",SUM(INDIRECT(ADDRESS(6+(MATCH($O$5,$B$6:$B$59,0)),13)):M45))</f>
        <v>N/A</v>
      </c>
      <c r="P45" s="175" t="str">
        <f t="shared" si="19"/>
        <v/>
      </c>
      <c r="Q45" s="175" t="str">
        <f t="shared" si="20"/>
        <v/>
      </c>
      <c r="R45" s="175" t="str">
        <f t="shared" si="21"/>
        <v/>
      </c>
      <c r="S45" s="70" t="str">
        <f t="shared" si="22"/>
        <v/>
      </c>
      <c r="T45" s="241" t="str">
        <f t="shared" si="23"/>
        <v/>
      </c>
      <c r="U45" s="157" t="str">
        <f t="shared" si="1"/>
        <v/>
      </c>
      <c r="V45" s="158" t="str">
        <f t="shared" si="2"/>
        <v/>
      </c>
      <c r="W45" s="158" t="str">
        <f t="shared" si="3"/>
        <v/>
      </c>
      <c r="X45" s="199" t="str">
        <f t="shared" si="4"/>
        <v/>
      </c>
      <c r="Y45" s="159" t="str">
        <f t="shared" si="5"/>
        <v/>
      </c>
      <c r="Z45" s="181"/>
      <c r="AA45" s="148" t="str">
        <f t="shared" si="6"/>
        <v/>
      </c>
      <c r="AB45" s="149">
        <f t="shared" si="7"/>
        <v>0</v>
      </c>
      <c r="AC45" s="149" t="str">
        <f t="shared" si="8"/>
        <v/>
      </c>
      <c r="AD45" s="203">
        <f t="shared" si="9"/>
        <v>0</v>
      </c>
      <c r="AE45" s="150" t="str">
        <f t="shared" si="10"/>
        <v/>
      </c>
      <c r="AF45" s="182"/>
      <c r="AG45" s="139" t="str">
        <f t="shared" si="11"/>
        <v/>
      </c>
      <c r="AH45" s="140" t="str">
        <f t="shared" si="12"/>
        <v/>
      </c>
      <c r="AI45" s="141" t="str">
        <f t="shared" si="13"/>
        <v/>
      </c>
      <c r="AJ45" s="166" t="str">
        <f t="shared" si="14"/>
        <v/>
      </c>
      <c r="AK45" s="167" t="str">
        <f t="shared" si="14"/>
        <v/>
      </c>
      <c r="AL45" s="168" t="str">
        <f t="shared" si="15"/>
        <v/>
      </c>
      <c r="AM45" s="237" t="e">
        <f t="shared" si="27"/>
        <v>#VALUE!</v>
      </c>
      <c r="AN45" s="70" t="str">
        <f t="shared" si="25"/>
        <v/>
      </c>
      <c r="AO45" s="241" t="str">
        <f t="shared" si="26"/>
        <v/>
      </c>
      <c r="AP45" s="45" t="s">
        <v>40</v>
      </c>
      <c r="AQ45" s="98"/>
      <c r="AR45" s="99"/>
      <c r="AS45" s="99"/>
      <c r="AT45" s="100"/>
      <c r="AU45" s="101"/>
      <c r="AV45" s="100"/>
      <c r="AW45" s="101"/>
      <c r="AX45" s="101"/>
      <c r="AY45" s="99"/>
      <c r="AZ45" s="102"/>
      <c r="BA45" s="102"/>
      <c r="BB45" s="103"/>
      <c r="BC45" s="104"/>
      <c r="BD45" s="98"/>
      <c r="BE45" s="105"/>
      <c r="BF45" s="104"/>
      <c r="BG45" s="115"/>
      <c r="BH45" s="104"/>
      <c r="BI45" s="98"/>
      <c r="BJ45" s="105"/>
      <c r="BK45" s="104"/>
      <c r="BL45" s="104"/>
      <c r="BM45" s="107"/>
      <c r="BN45" s="108"/>
      <c r="BO45" s="108"/>
      <c r="BP45" s="109"/>
      <c r="BQ45" s="110"/>
      <c r="BR45" s="108"/>
      <c r="BS45" s="109"/>
      <c r="BT45" s="109"/>
      <c r="BU45" s="107"/>
      <c r="BV45" s="111"/>
      <c r="BW45" s="98"/>
      <c r="BX45" s="113"/>
      <c r="BY45" s="113"/>
      <c r="BZ45" s="114"/>
      <c r="CA45" s="114"/>
      <c r="CB45" s="114"/>
      <c r="CC45" s="99"/>
      <c r="CD45" s="115"/>
      <c r="CE45" s="116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hidden="1" customHeight="1" x14ac:dyDescent="0.25">
      <c r="A46" s="83"/>
      <c r="B46" s="442"/>
      <c r="C46" s="453"/>
      <c r="D46" s="84"/>
      <c r="E46" s="23"/>
      <c r="F46" s="15"/>
      <c r="G46" s="213"/>
      <c r="H46" s="27" t="str">
        <f t="shared" si="16"/>
        <v/>
      </c>
      <c r="I46" s="216" t="str">
        <f t="shared" si="17"/>
        <v/>
      </c>
      <c r="J46" s="29" t="str">
        <f ca="1">IF($J$5&gt;=B46,"N/A",SUM(INDIRECT(ADDRESS(6+(MATCH($J$5,$B$6:$B$59,0)),8)):H46))</f>
        <v>N/A</v>
      </c>
      <c r="K46" s="10">
        <v>0</v>
      </c>
      <c r="L46" s="88"/>
      <c r="M46" s="4">
        <f t="shared" si="18"/>
        <v>0</v>
      </c>
      <c r="N46" s="220" t="str">
        <f t="shared" si="0"/>
        <v/>
      </c>
      <c r="O46" s="30" t="str">
        <f ca="1">IF($O$5&gt;=B46,"N/A",SUM(INDIRECT(ADDRESS(6+(MATCH($O$5,$B$6:$B$59,0)),13)):M46))</f>
        <v>N/A</v>
      </c>
      <c r="P46" s="175" t="str">
        <f t="shared" si="19"/>
        <v/>
      </c>
      <c r="Q46" s="175" t="str">
        <f t="shared" si="20"/>
        <v/>
      </c>
      <c r="R46" s="175" t="str">
        <f t="shared" si="21"/>
        <v/>
      </c>
      <c r="S46" s="70" t="str">
        <f t="shared" si="22"/>
        <v/>
      </c>
      <c r="T46" s="241" t="str">
        <f t="shared" si="23"/>
        <v/>
      </c>
      <c r="U46" s="157" t="str">
        <f t="shared" si="1"/>
        <v/>
      </c>
      <c r="V46" s="158" t="str">
        <f t="shared" si="2"/>
        <v/>
      </c>
      <c r="W46" s="158" t="str">
        <f t="shared" si="3"/>
        <v/>
      </c>
      <c r="X46" s="199" t="str">
        <f t="shared" si="4"/>
        <v/>
      </c>
      <c r="Y46" s="159" t="str">
        <f t="shared" si="5"/>
        <v/>
      </c>
      <c r="Z46" s="181"/>
      <c r="AA46" s="148" t="str">
        <f t="shared" si="6"/>
        <v/>
      </c>
      <c r="AB46" s="149">
        <f t="shared" si="7"/>
        <v>0</v>
      </c>
      <c r="AC46" s="149" t="str">
        <f t="shared" si="8"/>
        <v/>
      </c>
      <c r="AD46" s="203">
        <f t="shared" si="9"/>
        <v>0</v>
      </c>
      <c r="AE46" s="150" t="str">
        <f t="shared" si="10"/>
        <v/>
      </c>
      <c r="AF46" s="182"/>
      <c r="AG46" s="139" t="str">
        <f t="shared" si="11"/>
        <v/>
      </c>
      <c r="AH46" s="140" t="str">
        <f t="shared" si="12"/>
        <v/>
      </c>
      <c r="AI46" s="141" t="str">
        <f t="shared" si="13"/>
        <v/>
      </c>
      <c r="AJ46" s="166" t="str">
        <f t="shared" si="14"/>
        <v/>
      </c>
      <c r="AK46" s="167" t="str">
        <f t="shared" si="14"/>
        <v/>
      </c>
      <c r="AL46" s="168" t="str">
        <f t="shared" si="15"/>
        <v/>
      </c>
      <c r="AM46" s="237" t="e">
        <f t="shared" si="27"/>
        <v>#VALUE!</v>
      </c>
      <c r="AN46" s="70" t="str">
        <f t="shared" si="25"/>
        <v/>
      </c>
      <c r="AO46" s="241" t="str">
        <f t="shared" si="26"/>
        <v/>
      </c>
      <c r="AP46" s="45" t="s">
        <v>40</v>
      </c>
      <c r="AQ46" s="98"/>
      <c r="AR46" s="99"/>
      <c r="AS46" s="99"/>
      <c r="AT46" s="100"/>
      <c r="AU46" s="101"/>
      <c r="AV46" s="100"/>
      <c r="AW46" s="101"/>
      <c r="AX46" s="101"/>
      <c r="AY46" s="99"/>
      <c r="AZ46" s="102"/>
      <c r="BA46" s="102"/>
      <c r="BB46" s="103"/>
      <c r="BC46" s="104"/>
      <c r="BD46" s="98"/>
      <c r="BE46" s="105"/>
      <c r="BF46" s="104"/>
      <c r="BG46" s="115"/>
      <c r="BH46" s="104"/>
      <c r="BI46" s="98"/>
      <c r="BJ46" s="105"/>
      <c r="BK46" s="104"/>
      <c r="BL46" s="104"/>
      <c r="BM46" s="107"/>
      <c r="BN46" s="108"/>
      <c r="BO46" s="108"/>
      <c r="BP46" s="109"/>
      <c r="BQ46" s="110"/>
      <c r="BR46" s="108"/>
      <c r="BS46" s="109"/>
      <c r="BT46" s="109"/>
      <c r="BU46" s="107"/>
      <c r="BV46" s="111"/>
      <c r="BW46" s="98"/>
      <c r="BX46" s="113"/>
      <c r="BY46" s="113"/>
      <c r="BZ46" s="114"/>
      <c r="CA46" s="114"/>
      <c r="CB46" s="114"/>
      <c r="CC46" s="99"/>
      <c r="CD46" s="115"/>
      <c r="CE46" s="116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hidden="1" customHeight="1" x14ac:dyDescent="0.25">
      <c r="A47" s="83"/>
      <c r="B47" s="442"/>
      <c r="C47" s="453"/>
      <c r="D47" s="84"/>
      <c r="E47" s="23"/>
      <c r="F47" s="15"/>
      <c r="G47" s="213"/>
      <c r="H47" s="27" t="str">
        <f t="shared" si="16"/>
        <v/>
      </c>
      <c r="I47" s="216" t="str">
        <f t="shared" si="17"/>
        <v/>
      </c>
      <c r="J47" s="29" t="str">
        <f ca="1">IF($J$5&gt;=B47,"N/A",SUM(INDIRECT(ADDRESS(6+(MATCH($J$5,$B$6:$B$59,0)),8)):H47))</f>
        <v>N/A</v>
      </c>
      <c r="K47" s="10">
        <v>0</v>
      </c>
      <c r="L47" s="88"/>
      <c r="M47" s="4">
        <f t="shared" si="18"/>
        <v>0</v>
      </c>
      <c r="N47" s="220" t="str">
        <f t="shared" si="0"/>
        <v/>
      </c>
      <c r="O47" s="30" t="str">
        <f ca="1">IF($O$5&gt;=B47,"N/A",SUM(INDIRECT(ADDRESS(6+(MATCH($O$5,$B$6:$B$59,0)),13)):M47))</f>
        <v>N/A</v>
      </c>
      <c r="P47" s="175" t="str">
        <f t="shared" si="19"/>
        <v/>
      </c>
      <c r="Q47" s="175" t="str">
        <f t="shared" si="20"/>
        <v/>
      </c>
      <c r="R47" s="175" t="str">
        <f t="shared" si="21"/>
        <v/>
      </c>
      <c r="S47" s="70" t="str">
        <f t="shared" si="22"/>
        <v/>
      </c>
      <c r="T47" s="241" t="str">
        <f t="shared" si="23"/>
        <v/>
      </c>
      <c r="U47" s="157" t="str">
        <f t="shared" si="1"/>
        <v/>
      </c>
      <c r="V47" s="158" t="str">
        <f t="shared" si="2"/>
        <v/>
      </c>
      <c r="W47" s="158" t="str">
        <f t="shared" si="3"/>
        <v/>
      </c>
      <c r="X47" s="199" t="str">
        <f t="shared" si="4"/>
        <v/>
      </c>
      <c r="Y47" s="159" t="str">
        <f t="shared" si="5"/>
        <v/>
      </c>
      <c r="Z47" s="181"/>
      <c r="AA47" s="148" t="str">
        <f t="shared" si="6"/>
        <v/>
      </c>
      <c r="AB47" s="149">
        <f t="shared" si="7"/>
        <v>0</v>
      </c>
      <c r="AC47" s="149" t="str">
        <f t="shared" si="8"/>
        <v/>
      </c>
      <c r="AD47" s="203">
        <f t="shared" si="9"/>
        <v>0</v>
      </c>
      <c r="AE47" s="150" t="str">
        <f t="shared" si="10"/>
        <v/>
      </c>
      <c r="AF47" s="182"/>
      <c r="AG47" s="139" t="str">
        <f t="shared" si="11"/>
        <v/>
      </c>
      <c r="AH47" s="140" t="str">
        <f t="shared" si="12"/>
        <v/>
      </c>
      <c r="AI47" s="141" t="str">
        <f t="shared" si="13"/>
        <v/>
      </c>
      <c r="AJ47" s="166" t="str">
        <f t="shared" si="14"/>
        <v/>
      </c>
      <c r="AK47" s="167" t="str">
        <f t="shared" si="14"/>
        <v/>
      </c>
      <c r="AL47" s="168" t="str">
        <f t="shared" si="15"/>
        <v/>
      </c>
      <c r="AM47" s="237" t="e">
        <f t="shared" si="27"/>
        <v>#VALUE!</v>
      </c>
      <c r="AN47" s="70" t="str">
        <f t="shared" si="25"/>
        <v/>
      </c>
      <c r="AO47" s="241" t="str">
        <f t="shared" si="26"/>
        <v/>
      </c>
      <c r="AP47" s="45" t="s">
        <v>40</v>
      </c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hidden="1" customHeight="1" x14ac:dyDescent="0.25">
      <c r="A48" s="83"/>
      <c r="B48" s="442"/>
      <c r="C48" s="453"/>
      <c r="D48" s="84"/>
      <c r="E48" s="23"/>
      <c r="F48" s="15"/>
      <c r="G48" s="213"/>
      <c r="H48" s="27" t="str">
        <f t="shared" si="16"/>
        <v/>
      </c>
      <c r="I48" s="216" t="str">
        <f t="shared" si="17"/>
        <v/>
      </c>
      <c r="J48" s="29" t="str">
        <f ca="1">IF($J$5&gt;=B48,"N/A",SUM(INDIRECT(ADDRESS(6+(MATCH($J$5,$B$6:$B$59,0)),8)):H48))</f>
        <v>N/A</v>
      </c>
      <c r="K48" s="10">
        <v>0</v>
      </c>
      <c r="L48" s="88"/>
      <c r="M48" s="4">
        <f t="shared" si="18"/>
        <v>0</v>
      </c>
      <c r="N48" s="220" t="str">
        <f t="shared" si="0"/>
        <v/>
      </c>
      <c r="O48" s="30" t="str">
        <f ca="1">IF($O$5&gt;=B48,"N/A",SUM(INDIRECT(ADDRESS(6+(MATCH($O$5,$B$6:$B$59,0)),13)):M48))</f>
        <v>N/A</v>
      </c>
      <c r="P48" s="175" t="str">
        <f t="shared" si="19"/>
        <v/>
      </c>
      <c r="Q48" s="175" t="str">
        <f t="shared" si="20"/>
        <v/>
      </c>
      <c r="R48" s="175" t="str">
        <f t="shared" si="21"/>
        <v/>
      </c>
      <c r="S48" s="70" t="str">
        <f t="shared" si="22"/>
        <v/>
      </c>
      <c r="T48" s="241" t="str">
        <f t="shared" si="23"/>
        <v/>
      </c>
      <c r="U48" s="157" t="str">
        <f t="shared" si="1"/>
        <v/>
      </c>
      <c r="V48" s="158" t="str">
        <f t="shared" si="2"/>
        <v/>
      </c>
      <c r="W48" s="158" t="str">
        <f t="shared" si="3"/>
        <v/>
      </c>
      <c r="X48" s="199" t="str">
        <f t="shared" si="4"/>
        <v/>
      </c>
      <c r="Y48" s="159" t="str">
        <f t="shared" si="5"/>
        <v/>
      </c>
      <c r="Z48" s="181"/>
      <c r="AA48" s="148" t="str">
        <f t="shared" si="6"/>
        <v/>
      </c>
      <c r="AB48" s="149">
        <f t="shared" si="7"/>
        <v>0</v>
      </c>
      <c r="AC48" s="149" t="str">
        <f t="shared" si="8"/>
        <v/>
      </c>
      <c r="AD48" s="203">
        <f t="shared" si="9"/>
        <v>0</v>
      </c>
      <c r="AE48" s="150" t="str">
        <f t="shared" si="10"/>
        <v/>
      </c>
      <c r="AF48" s="182"/>
      <c r="AG48" s="139" t="str">
        <f t="shared" si="11"/>
        <v/>
      </c>
      <c r="AH48" s="140" t="str">
        <f t="shared" si="12"/>
        <v/>
      </c>
      <c r="AI48" s="141" t="str">
        <f t="shared" si="13"/>
        <v/>
      </c>
      <c r="AJ48" s="166" t="str">
        <f t="shared" si="14"/>
        <v/>
      </c>
      <c r="AK48" s="167" t="str">
        <f t="shared" si="14"/>
        <v/>
      </c>
      <c r="AL48" s="168" t="str">
        <f t="shared" si="15"/>
        <v/>
      </c>
      <c r="AM48" s="237" t="e">
        <f t="shared" si="27"/>
        <v>#VALUE!</v>
      </c>
      <c r="AN48" s="70" t="str">
        <f t="shared" si="25"/>
        <v/>
      </c>
      <c r="AO48" s="241" t="str">
        <f t="shared" si="26"/>
        <v/>
      </c>
      <c r="AP48" s="45" t="s">
        <v>40</v>
      </c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hidden="1" customHeight="1" x14ac:dyDescent="0.25">
      <c r="A49" s="83"/>
      <c r="B49" s="442"/>
      <c r="C49" s="453"/>
      <c r="D49" s="84"/>
      <c r="E49" s="23"/>
      <c r="F49" s="15"/>
      <c r="G49" s="213"/>
      <c r="H49" s="27" t="str">
        <f t="shared" si="16"/>
        <v/>
      </c>
      <c r="I49" s="216" t="str">
        <f t="shared" si="17"/>
        <v/>
      </c>
      <c r="J49" s="29" t="str">
        <f ca="1">IF($J$5&gt;=B49,"N/A",SUM(INDIRECT(ADDRESS(6+(MATCH($J$5,$B$6:$B$59,0)),8)):H49))</f>
        <v>N/A</v>
      </c>
      <c r="K49" s="10">
        <v>0</v>
      </c>
      <c r="L49" s="88"/>
      <c r="M49" s="4">
        <f t="shared" si="18"/>
        <v>0</v>
      </c>
      <c r="N49" s="220" t="str">
        <f t="shared" si="0"/>
        <v/>
      </c>
      <c r="O49" s="30" t="str">
        <f ca="1">IF($O$5&gt;=B49,"N/A",SUM(INDIRECT(ADDRESS(6+(MATCH($O$5,$B$6:$B$59,0)),13)):M49))</f>
        <v>N/A</v>
      </c>
      <c r="P49" s="175" t="str">
        <f t="shared" si="19"/>
        <v/>
      </c>
      <c r="Q49" s="175" t="str">
        <f t="shared" si="20"/>
        <v/>
      </c>
      <c r="R49" s="175" t="str">
        <f t="shared" si="21"/>
        <v/>
      </c>
      <c r="S49" s="70" t="str">
        <f t="shared" si="22"/>
        <v/>
      </c>
      <c r="T49" s="241" t="str">
        <f t="shared" si="23"/>
        <v/>
      </c>
      <c r="U49" s="157" t="str">
        <f t="shared" si="1"/>
        <v/>
      </c>
      <c r="V49" s="158" t="str">
        <f t="shared" si="2"/>
        <v/>
      </c>
      <c r="W49" s="158" t="str">
        <f t="shared" si="3"/>
        <v/>
      </c>
      <c r="X49" s="199" t="str">
        <f t="shared" si="4"/>
        <v/>
      </c>
      <c r="Y49" s="159" t="str">
        <f t="shared" si="5"/>
        <v/>
      </c>
      <c r="Z49" s="181"/>
      <c r="AA49" s="148" t="str">
        <f t="shared" si="6"/>
        <v/>
      </c>
      <c r="AB49" s="149">
        <f t="shared" si="7"/>
        <v>0</v>
      </c>
      <c r="AC49" s="149" t="str">
        <f t="shared" si="8"/>
        <v/>
      </c>
      <c r="AD49" s="203">
        <f t="shared" si="9"/>
        <v>0</v>
      </c>
      <c r="AE49" s="150" t="str">
        <f t="shared" si="10"/>
        <v/>
      </c>
      <c r="AF49" s="182"/>
      <c r="AG49" s="139" t="str">
        <f t="shared" si="11"/>
        <v/>
      </c>
      <c r="AH49" s="140" t="str">
        <f t="shared" si="12"/>
        <v/>
      </c>
      <c r="AI49" s="141" t="str">
        <f t="shared" si="13"/>
        <v/>
      </c>
      <c r="AJ49" s="166" t="str">
        <f t="shared" si="14"/>
        <v/>
      </c>
      <c r="AK49" s="167" t="str">
        <f t="shared" si="14"/>
        <v/>
      </c>
      <c r="AL49" s="168" t="str">
        <f t="shared" si="15"/>
        <v/>
      </c>
      <c r="AM49" s="237" t="e">
        <f t="shared" si="27"/>
        <v>#VALUE!</v>
      </c>
      <c r="AN49" s="70" t="str">
        <f t="shared" si="25"/>
        <v/>
      </c>
      <c r="AO49" s="241" t="str">
        <f t="shared" si="26"/>
        <v/>
      </c>
      <c r="AP49" s="45" t="s">
        <v>40</v>
      </c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hidden="1" customHeight="1" x14ac:dyDescent="0.25">
      <c r="A50" s="83"/>
      <c r="B50" s="442"/>
      <c r="C50" s="453"/>
      <c r="D50" s="84"/>
      <c r="E50" s="23"/>
      <c r="F50" s="15"/>
      <c r="G50" s="213"/>
      <c r="H50" s="27" t="str">
        <f t="shared" si="16"/>
        <v/>
      </c>
      <c r="I50" s="216" t="str">
        <f t="shared" si="17"/>
        <v/>
      </c>
      <c r="J50" s="29" t="str">
        <f ca="1">IF($J$5&gt;=B50,"N/A",SUM(INDIRECT(ADDRESS(6+(MATCH($J$5,$B$6:$B$59,0)),8)):H50))</f>
        <v>N/A</v>
      </c>
      <c r="K50" s="10">
        <v>0</v>
      </c>
      <c r="L50" s="88"/>
      <c r="M50" s="4">
        <f t="shared" si="18"/>
        <v>0</v>
      </c>
      <c r="N50" s="220" t="str">
        <f t="shared" si="0"/>
        <v/>
      </c>
      <c r="O50" s="30" t="str">
        <f ca="1">IF($O$5&gt;=B50,"N/A",SUM(INDIRECT(ADDRESS(6+(MATCH($O$5,$B$6:$B$59,0)),13)):M50))</f>
        <v>N/A</v>
      </c>
      <c r="P50" s="175" t="str">
        <f t="shared" si="19"/>
        <v/>
      </c>
      <c r="Q50" s="175" t="str">
        <f t="shared" si="20"/>
        <v/>
      </c>
      <c r="R50" s="175" t="str">
        <f t="shared" si="21"/>
        <v/>
      </c>
      <c r="S50" s="70" t="str">
        <f t="shared" si="22"/>
        <v/>
      </c>
      <c r="T50" s="241" t="str">
        <f t="shared" si="23"/>
        <v/>
      </c>
      <c r="U50" s="157" t="str">
        <f t="shared" si="1"/>
        <v/>
      </c>
      <c r="V50" s="158" t="str">
        <f t="shared" si="2"/>
        <v/>
      </c>
      <c r="W50" s="158" t="str">
        <f t="shared" si="3"/>
        <v/>
      </c>
      <c r="X50" s="199" t="str">
        <f t="shared" si="4"/>
        <v/>
      </c>
      <c r="Y50" s="159" t="str">
        <f t="shared" si="5"/>
        <v/>
      </c>
      <c r="Z50" s="181"/>
      <c r="AA50" s="148" t="str">
        <f t="shared" si="6"/>
        <v/>
      </c>
      <c r="AB50" s="149">
        <f t="shared" si="7"/>
        <v>0</v>
      </c>
      <c r="AC50" s="149" t="str">
        <f t="shared" si="8"/>
        <v/>
      </c>
      <c r="AD50" s="203">
        <f t="shared" si="9"/>
        <v>0</v>
      </c>
      <c r="AE50" s="150" t="str">
        <f t="shared" si="10"/>
        <v/>
      </c>
      <c r="AF50" s="182"/>
      <c r="AG50" s="139" t="str">
        <f t="shared" si="11"/>
        <v/>
      </c>
      <c r="AH50" s="140" t="str">
        <f t="shared" si="12"/>
        <v/>
      </c>
      <c r="AI50" s="141" t="str">
        <f t="shared" si="13"/>
        <v/>
      </c>
      <c r="AJ50" s="166" t="str">
        <f t="shared" si="14"/>
        <v/>
      </c>
      <c r="AK50" s="167" t="str">
        <f t="shared" si="14"/>
        <v/>
      </c>
      <c r="AL50" s="168" t="str">
        <f t="shared" si="15"/>
        <v/>
      </c>
      <c r="AM50" s="237" t="e">
        <f t="shared" si="27"/>
        <v>#VALUE!</v>
      </c>
      <c r="AN50" s="70" t="str">
        <f t="shared" si="25"/>
        <v/>
      </c>
      <c r="AO50" s="241" t="str">
        <f t="shared" si="26"/>
        <v/>
      </c>
      <c r="AP50" s="45" t="s">
        <v>40</v>
      </c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hidden="1" customHeight="1" x14ac:dyDescent="0.25">
      <c r="A51" s="83"/>
      <c r="B51" s="442"/>
      <c r="C51" s="453"/>
      <c r="D51" s="84"/>
      <c r="E51" s="23"/>
      <c r="F51" s="15"/>
      <c r="G51" s="213"/>
      <c r="H51" s="27" t="str">
        <f t="shared" si="16"/>
        <v/>
      </c>
      <c r="I51" s="216" t="str">
        <f t="shared" si="17"/>
        <v/>
      </c>
      <c r="J51" s="29" t="str">
        <f ca="1">IF($J$5&gt;=B51,"N/A",SUM(INDIRECT(ADDRESS(6+(MATCH($J$5,$B$6:$B$59,0)),8)):H51))</f>
        <v>N/A</v>
      </c>
      <c r="K51" s="10">
        <v>0</v>
      </c>
      <c r="L51" s="88"/>
      <c r="M51" s="4">
        <f t="shared" si="18"/>
        <v>0</v>
      </c>
      <c r="N51" s="220" t="str">
        <f t="shared" si="0"/>
        <v/>
      </c>
      <c r="O51" s="30" t="str">
        <f ca="1">IF($O$5&gt;=B51,"N/A",SUM(INDIRECT(ADDRESS(6+(MATCH($O$5,$B$6:$B$59,0)),13)):M51))</f>
        <v>N/A</v>
      </c>
      <c r="P51" s="175" t="str">
        <f t="shared" si="19"/>
        <v/>
      </c>
      <c r="Q51" s="175" t="str">
        <f t="shared" si="20"/>
        <v/>
      </c>
      <c r="R51" s="175" t="str">
        <f t="shared" si="21"/>
        <v/>
      </c>
      <c r="S51" s="70" t="str">
        <f t="shared" si="22"/>
        <v/>
      </c>
      <c r="T51" s="241" t="str">
        <f t="shared" si="23"/>
        <v/>
      </c>
      <c r="U51" s="157" t="str">
        <f t="shared" si="1"/>
        <v/>
      </c>
      <c r="V51" s="158" t="str">
        <f t="shared" si="2"/>
        <v/>
      </c>
      <c r="W51" s="158" t="str">
        <f t="shared" si="3"/>
        <v/>
      </c>
      <c r="X51" s="199" t="str">
        <f t="shared" si="4"/>
        <v/>
      </c>
      <c r="Y51" s="159" t="str">
        <f t="shared" si="5"/>
        <v/>
      </c>
      <c r="Z51" s="181"/>
      <c r="AA51" s="148" t="str">
        <f t="shared" si="6"/>
        <v/>
      </c>
      <c r="AB51" s="149">
        <f t="shared" si="7"/>
        <v>0</v>
      </c>
      <c r="AC51" s="149" t="str">
        <f t="shared" si="8"/>
        <v/>
      </c>
      <c r="AD51" s="203">
        <f t="shared" si="9"/>
        <v>0</v>
      </c>
      <c r="AE51" s="150" t="str">
        <f t="shared" si="10"/>
        <v/>
      </c>
      <c r="AF51" s="182"/>
      <c r="AG51" s="139" t="str">
        <f t="shared" si="11"/>
        <v/>
      </c>
      <c r="AH51" s="140" t="str">
        <f t="shared" si="12"/>
        <v/>
      </c>
      <c r="AI51" s="141" t="str">
        <f t="shared" si="13"/>
        <v/>
      </c>
      <c r="AJ51" s="166" t="str">
        <f t="shared" si="14"/>
        <v/>
      </c>
      <c r="AK51" s="167" t="str">
        <f t="shared" si="14"/>
        <v/>
      </c>
      <c r="AL51" s="168" t="str">
        <f t="shared" si="15"/>
        <v/>
      </c>
      <c r="AM51" s="237" t="e">
        <f t="shared" si="27"/>
        <v>#VALUE!</v>
      </c>
      <c r="AN51" s="70" t="str">
        <f t="shared" si="25"/>
        <v/>
      </c>
      <c r="AO51" s="241" t="str">
        <f t="shared" si="26"/>
        <v/>
      </c>
      <c r="AP51" s="45" t="s">
        <v>40</v>
      </c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hidden="1" customHeight="1" x14ac:dyDescent="0.25">
      <c r="A52" s="83"/>
      <c r="B52" s="442"/>
      <c r="C52" s="453"/>
      <c r="D52" s="84"/>
      <c r="E52" s="23"/>
      <c r="F52" s="15"/>
      <c r="G52" s="213"/>
      <c r="H52" s="27" t="str">
        <f t="shared" si="16"/>
        <v/>
      </c>
      <c r="I52" s="216" t="str">
        <f t="shared" si="17"/>
        <v/>
      </c>
      <c r="J52" s="29" t="str">
        <f ca="1">IF($J$5&gt;=B52,"N/A",SUM(INDIRECT(ADDRESS(6+(MATCH($J$5,$B$6:$B$59,0)),8)):H52))</f>
        <v>N/A</v>
      </c>
      <c r="K52" s="10">
        <v>0</v>
      </c>
      <c r="L52" s="88"/>
      <c r="M52" s="4">
        <f t="shared" si="18"/>
        <v>0</v>
      </c>
      <c r="N52" s="220" t="str">
        <f t="shared" si="0"/>
        <v/>
      </c>
      <c r="O52" s="30" t="str">
        <f ca="1">IF($O$5&gt;=B52,"N/A",SUM(INDIRECT(ADDRESS(6+(MATCH($O$5,$B$6:$B$59,0)),13)):M52))</f>
        <v>N/A</v>
      </c>
      <c r="P52" s="175" t="str">
        <f t="shared" si="19"/>
        <v/>
      </c>
      <c r="Q52" s="175" t="str">
        <f t="shared" si="20"/>
        <v/>
      </c>
      <c r="R52" s="175" t="str">
        <f t="shared" si="21"/>
        <v/>
      </c>
      <c r="S52" s="70" t="str">
        <f t="shared" si="22"/>
        <v/>
      </c>
      <c r="T52" s="241" t="str">
        <f t="shared" si="23"/>
        <v/>
      </c>
      <c r="U52" s="157" t="str">
        <f t="shared" si="1"/>
        <v/>
      </c>
      <c r="V52" s="158" t="str">
        <f t="shared" si="2"/>
        <v/>
      </c>
      <c r="W52" s="158" t="str">
        <f t="shared" si="3"/>
        <v/>
      </c>
      <c r="X52" s="199" t="str">
        <f t="shared" si="4"/>
        <v/>
      </c>
      <c r="Y52" s="159" t="str">
        <f t="shared" si="5"/>
        <v/>
      </c>
      <c r="Z52" s="181"/>
      <c r="AA52" s="148" t="str">
        <f t="shared" si="6"/>
        <v/>
      </c>
      <c r="AB52" s="149">
        <f t="shared" si="7"/>
        <v>0</v>
      </c>
      <c r="AC52" s="149" t="str">
        <f t="shared" si="8"/>
        <v/>
      </c>
      <c r="AD52" s="203">
        <f t="shared" si="9"/>
        <v>0</v>
      </c>
      <c r="AE52" s="150" t="str">
        <f t="shared" si="10"/>
        <v/>
      </c>
      <c r="AF52" s="182"/>
      <c r="AG52" s="139" t="str">
        <f t="shared" si="11"/>
        <v/>
      </c>
      <c r="AH52" s="140" t="str">
        <f t="shared" si="12"/>
        <v/>
      </c>
      <c r="AI52" s="141" t="str">
        <f t="shared" si="13"/>
        <v/>
      </c>
      <c r="AJ52" s="166" t="str">
        <f t="shared" si="14"/>
        <v/>
      </c>
      <c r="AK52" s="167" t="str">
        <f t="shared" si="14"/>
        <v/>
      </c>
      <c r="AL52" s="168" t="str">
        <f t="shared" si="15"/>
        <v/>
      </c>
      <c r="AM52" s="237" t="e">
        <f t="shared" si="27"/>
        <v>#VALUE!</v>
      </c>
      <c r="AN52" s="70" t="str">
        <f t="shared" si="25"/>
        <v/>
      </c>
      <c r="AO52" s="241" t="str">
        <f t="shared" si="26"/>
        <v/>
      </c>
      <c r="AP52" s="45" t="s">
        <v>40</v>
      </c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hidden="1" customHeight="1" x14ac:dyDescent="0.25">
      <c r="A53" s="83"/>
      <c r="B53" s="442"/>
      <c r="C53" s="453"/>
      <c r="D53" s="84"/>
      <c r="E53" s="23"/>
      <c r="F53" s="15"/>
      <c r="G53" s="213"/>
      <c r="H53" s="27" t="str">
        <f t="shared" si="16"/>
        <v/>
      </c>
      <c r="I53" s="216" t="str">
        <f t="shared" si="17"/>
        <v/>
      </c>
      <c r="J53" s="29" t="str">
        <f ca="1">IF($J$5&gt;=B53,"N/A",SUM(INDIRECT(ADDRESS(6+(MATCH($J$5,$B$6:$B$59,0)),8)):H53))</f>
        <v>N/A</v>
      </c>
      <c r="K53" s="10">
        <v>0</v>
      </c>
      <c r="L53" s="88"/>
      <c r="M53" s="4">
        <f t="shared" si="18"/>
        <v>0</v>
      </c>
      <c r="N53" s="220" t="str">
        <f t="shared" si="0"/>
        <v/>
      </c>
      <c r="O53" s="30" t="str">
        <f ca="1">IF($O$5&gt;=B53,"N/A",SUM(INDIRECT(ADDRESS(6+(MATCH($O$5,$B$6:$B$59,0)),13)):M53))</f>
        <v>N/A</v>
      </c>
      <c r="P53" s="175" t="str">
        <f t="shared" si="19"/>
        <v/>
      </c>
      <c r="Q53" s="175" t="str">
        <f t="shared" si="20"/>
        <v/>
      </c>
      <c r="R53" s="175" t="str">
        <f t="shared" si="21"/>
        <v/>
      </c>
      <c r="S53" s="70" t="str">
        <f t="shared" si="22"/>
        <v/>
      </c>
      <c r="T53" s="241" t="str">
        <f t="shared" si="23"/>
        <v/>
      </c>
      <c r="U53" s="157" t="str">
        <f t="shared" si="1"/>
        <v/>
      </c>
      <c r="V53" s="158" t="str">
        <f t="shared" si="2"/>
        <v/>
      </c>
      <c r="W53" s="158" t="str">
        <f t="shared" si="3"/>
        <v/>
      </c>
      <c r="X53" s="199" t="str">
        <f t="shared" si="4"/>
        <v/>
      </c>
      <c r="Y53" s="159" t="str">
        <f t="shared" si="5"/>
        <v/>
      </c>
      <c r="Z53" s="181"/>
      <c r="AA53" s="148" t="str">
        <f t="shared" si="6"/>
        <v/>
      </c>
      <c r="AB53" s="149">
        <f t="shared" si="7"/>
        <v>0</v>
      </c>
      <c r="AC53" s="149" t="str">
        <f t="shared" si="8"/>
        <v/>
      </c>
      <c r="AD53" s="203">
        <f t="shared" si="9"/>
        <v>0</v>
      </c>
      <c r="AE53" s="150" t="str">
        <f t="shared" si="10"/>
        <v/>
      </c>
      <c r="AF53" s="182"/>
      <c r="AG53" s="139" t="str">
        <f t="shared" si="11"/>
        <v/>
      </c>
      <c r="AH53" s="140" t="str">
        <f t="shared" si="12"/>
        <v/>
      </c>
      <c r="AI53" s="141" t="str">
        <f t="shared" si="13"/>
        <v/>
      </c>
      <c r="AJ53" s="166" t="str">
        <f t="shared" si="14"/>
        <v/>
      </c>
      <c r="AK53" s="167" t="str">
        <f t="shared" si="14"/>
        <v/>
      </c>
      <c r="AL53" s="168" t="str">
        <f t="shared" si="15"/>
        <v/>
      </c>
      <c r="AM53" s="237" t="e">
        <f t="shared" si="27"/>
        <v>#VALUE!</v>
      </c>
      <c r="AN53" s="70" t="str">
        <f t="shared" si="25"/>
        <v/>
      </c>
      <c r="AO53" s="241" t="str">
        <f t="shared" si="26"/>
        <v/>
      </c>
      <c r="AP53" s="45" t="s">
        <v>40</v>
      </c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hidden="1" customHeight="1" x14ac:dyDescent="0.25">
      <c r="A54" s="83"/>
      <c r="B54" s="442"/>
      <c r="C54" s="453"/>
      <c r="D54" s="84"/>
      <c r="E54" s="23"/>
      <c r="F54" s="15"/>
      <c r="G54" s="213"/>
      <c r="H54" s="27" t="str">
        <f t="shared" si="16"/>
        <v/>
      </c>
      <c r="I54" s="216" t="str">
        <f t="shared" si="17"/>
        <v/>
      </c>
      <c r="J54" s="29" t="str">
        <f ca="1">IF($J$5&gt;=B54,"N/A",SUM(INDIRECT(ADDRESS(6+(MATCH($J$5,$B$6:$B$59,0)),8)):H54))</f>
        <v>N/A</v>
      </c>
      <c r="K54" s="10">
        <v>0</v>
      </c>
      <c r="L54" s="88"/>
      <c r="M54" s="4">
        <f t="shared" si="18"/>
        <v>0</v>
      </c>
      <c r="N54" s="220" t="str">
        <f t="shared" si="0"/>
        <v/>
      </c>
      <c r="O54" s="30" t="str">
        <f ca="1">IF($O$5&gt;=B54,"N/A",SUM(INDIRECT(ADDRESS(6+(MATCH($O$5,$B$6:$B$59,0)),13)):M54))</f>
        <v>N/A</v>
      </c>
      <c r="P54" s="175" t="str">
        <f t="shared" si="19"/>
        <v/>
      </c>
      <c r="Q54" s="175" t="str">
        <f t="shared" si="20"/>
        <v/>
      </c>
      <c r="R54" s="175" t="str">
        <f t="shared" si="21"/>
        <v/>
      </c>
      <c r="S54" s="70" t="str">
        <f t="shared" si="22"/>
        <v/>
      </c>
      <c r="T54" s="241" t="str">
        <f t="shared" si="23"/>
        <v/>
      </c>
      <c r="U54" s="157" t="str">
        <f t="shared" si="1"/>
        <v/>
      </c>
      <c r="V54" s="158" t="str">
        <f t="shared" si="2"/>
        <v/>
      </c>
      <c r="W54" s="158" t="str">
        <f t="shared" si="3"/>
        <v/>
      </c>
      <c r="X54" s="199" t="str">
        <f t="shared" si="4"/>
        <v/>
      </c>
      <c r="Y54" s="159" t="str">
        <f t="shared" si="5"/>
        <v/>
      </c>
      <c r="Z54" s="181"/>
      <c r="AA54" s="148" t="str">
        <f t="shared" si="6"/>
        <v/>
      </c>
      <c r="AB54" s="149">
        <f t="shared" si="7"/>
        <v>0</v>
      </c>
      <c r="AC54" s="149" t="str">
        <f t="shared" si="8"/>
        <v/>
      </c>
      <c r="AD54" s="203">
        <f t="shared" si="9"/>
        <v>0</v>
      </c>
      <c r="AE54" s="150" t="str">
        <f t="shared" si="10"/>
        <v/>
      </c>
      <c r="AF54" s="182"/>
      <c r="AG54" s="139" t="str">
        <f t="shared" si="11"/>
        <v/>
      </c>
      <c r="AH54" s="140" t="str">
        <f t="shared" si="12"/>
        <v/>
      </c>
      <c r="AI54" s="141" t="str">
        <f t="shared" si="13"/>
        <v/>
      </c>
      <c r="AJ54" s="166" t="str">
        <f t="shared" si="14"/>
        <v/>
      </c>
      <c r="AK54" s="167" t="str">
        <f t="shared" si="14"/>
        <v/>
      </c>
      <c r="AL54" s="168" t="str">
        <f t="shared" si="15"/>
        <v/>
      </c>
      <c r="AM54" s="237" t="e">
        <f t="shared" si="27"/>
        <v>#VALUE!</v>
      </c>
      <c r="AN54" s="70" t="str">
        <f t="shared" si="25"/>
        <v/>
      </c>
      <c r="AO54" s="241" t="str">
        <f t="shared" si="26"/>
        <v/>
      </c>
      <c r="AP54" s="45" t="s">
        <v>40</v>
      </c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hidden="1" customHeight="1" x14ac:dyDescent="0.25">
      <c r="A55" s="83"/>
      <c r="B55" s="442"/>
      <c r="C55" s="453"/>
      <c r="D55" s="84"/>
      <c r="E55" s="23"/>
      <c r="F55" s="15"/>
      <c r="G55" s="213"/>
      <c r="H55" s="27" t="str">
        <f t="shared" si="16"/>
        <v/>
      </c>
      <c r="I55" s="216" t="str">
        <f t="shared" si="17"/>
        <v/>
      </c>
      <c r="J55" s="29" t="str">
        <f ca="1">IF($J$5&gt;=B55,"N/A",SUM(INDIRECT(ADDRESS(6+(MATCH($J$5,$B$6:$B$59,0)),8)):H55))</f>
        <v>N/A</v>
      </c>
      <c r="K55" s="10">
        <v>0</v>
      </c>
      <c r="L55" s="88"/>
      <c r="M55" s="4">
        <f t="shared" si="18"/>
        <v>0</v>
      </c>
      <c r="N55" s="220" t="str">
        <f t="shared" si="0"/>
        <v/>
      </c>
      <c r="O55" s="30" t="str">
        <f ca="1">IF($O$5&gt;=B55,"N/A",SUM(INDIRECT(ADDRESS(6+(MATCH($O$5,$B$6:$B$59,0)),13)):M55))</f>
        <v>N/A</v>
      </c>
      <c r="P55" s="175" t="str">
        <f t="shared" si="19"/>
        <v/>
      </c>
      <c r="Q55" s="175" t="str">
        <f t="shared" si="20"/>
        <v/>
      </c>
      <c r="R55" s="175" t="str">
        <f t="shared" si="21"/>
        <v/>
      </c>
      <c r="S55" s="70" t="str">
        <f t="shared" si="22"/>
        <v/>
      </c>
      <c r="T55" s="241" t="str">
        <f t="shared" si="23"/>
        <v/>
      </c>
      <c r="U55" s="157" t="str">
        <f t="shared" si="1"/>
        <v/>
      </c>
      <c r="V55" s="158" t="str">
        <f t="shared" si="2"/>
        <v/>
      </c>
      <c r="W55" s="158" t="str">
        <f t="shared" si="3"/>
        <v/>
      </c>
      <c r="X55" s="199" t="str">
        <f t="shared" si="4"/>
        <v/>
      </c>
      <c r="Y55" s="159" t="str">
        <f t="shared" si="5"/>
        <v/>
      </c>
      <c r="Z55" s="181"/>
      <c r="AA55" s="148" t="str">
        <f t="shared" si="6"/>
        <v/>
      </c>
      <c r="AB55" s="149">
        <f t="shared" si="7"/>
        <v>0</v>
      </c>
      <c r="AC55" s="149" t="str">
        <f t="shared" si="8"/>
        <v/>
      </c>
      <c r="AD55" s="203">
        <f t="shared" si="9"/>
        <v>0</v>
      </c>
      <c r="AE55" s="150" t="str">
        <f t="shared" si="10"/>
        <v/>
      </c>
      <c r="AF55" s="182"/>
      <c r="AG55" s="139" t="str">
        <f t="shared" si="11"/>
        <v/>
      </c>
      <c r="AH55" s="140" t="str">
        <f t="shared" si="12"/>
        <v/>
      </c>
      <c r="AI55" s="141" t="str">
        <f t="shared" si="13"/>
        <v/>
      </c>
      <c r="AJ55" s="166" t="str">
        <f t="shared" si="14"/>
        <v/>
      </c>
      <c r="AK55" s="167" t="str">
        <f t="shared" si="14"/>
        <v/>
      </c>
      <c r="AL55" s="168" t="str">
        <f t="shared" si="15"/>
        <v/>
      </c>
      <c r="AM55" s="237" t="e">
        <f t="shared" si="27"/>
        <v>#VALUE!</v>
      </c>
      <c r="AN55" s="70" t="str">
        <f t="shared" si="25"/>
        <v/>
      </c>
      <c r="AO55" s="241" t="str">
        <f t="shared" si="26"/>
        <v/>
      </c>
      <c r="AP55" s="45" t="s">
        <v>40</v>
      </c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hidden="1" customHeight="1" x14ac:dyDescent="0.25">
      <c r="A56" s="83"/>
      <c r="B56" s="442"/>
      <c r="C56" s="453"/>
      <c r="D56" s="84"/>
      <c r="E56" s="23"/>
      <c r="F56" s="15"/>
      <c r="G56" s="213"/>
      <c r="H56" s="27" t="str">
        <f t="shared" si="16"/>
        <v/>
      </c>
      <c r="I56" s="216" t="str">
        <f t="shared" si="17"/>
        <v/>
      </c>
      <c r="J56" s="29" t="str">
        <f ca="1">IF($J$5&gt;=B56,"N/A",SUM(INDIRECT(ADDRESS(6+(MATCH($J$5,$B$6:$B$59,0)),8)):H56))</f>
        <v>N/A</v>
      </c>
      <c r="K56" s="10">
        <v>0</v>
      </c>
      <c r="L56" s="88"/>
      <c r="M56" s="4">
        <f t="shared" si="18"/>
        <v>0</v>
      </c>
      <c r="N56" s="220" t="str">
        <f t="shared" si="0"/>
        <v/>
      </c>
      <c r="O56" s="30" t="str">
        <f ca="1">IF($O$5&gt;=B56,"N/A",SUM(INDIRECT(ADDRESS(6+(MATCH($O$5,$B$6:$B$59,0)),13)):M56))</f>
        <v>N/A</v>
      </c>
      <c r="P56" s="175" t="str">
        <f t="shared" si="19"/>
        <v/>
      </c>
      <c r="Q56" s="175" t="str">
        <f t="shared" si="20"/>
        <v/>
      </c>
      <c r="R56" s="175" t="str">
        <f t="shared" si="21"/>
        <v/>
      </c>
      <c r="S56" s="70" t="str">
        <f t="shared" si="22"/>
        <v/>
      </c>
      <c r="T56" s="241" t="str">
        <f t="shared" si="23"/>
        <v/>
      </c>
      <c r="U56" s="157" t="str">
        <f t="shared" si="1"/>
        <v/>
      </c>
      <c r="V56" s="158" t="str">
        <f t="shared" si="2"/>
        <v/>
      </c>
      <c r="W56" s="158" t="str">
        <f t="shared" si="3"/>
        <v/>
      </c>
      <c r="X56" s="199" t="str">
        <f t="shared" si="4"/>
        <v/>
      </c>
      <c r="Y56" s="159" t="str">
        <f t="shared" si="5"/>
        <v/>
      </c>
      <c r="Z56" s="181"/>
      <c r="AA56" s="148" t="str">
        <f t="shared" si="6"/>
        <v/>
      </c>
      <c r="AB56" s="149">
        <f t="shared" si="7"/>
        <v>0</v>
      </c>
      <c r="AC56" s="149" t="str">
        <f t="shared" si="8"/>
        <v/>
      </c>
      <c r="AD56" s="203">
        <f t="shared" si="9"/>
        <v>0</v>
      </c>
      <c r="AE56" s="150" t="str">
        <f t="shared" si="10"/>
        <v/>
      </c>
      <c r="AF56" s="182"/>
      <c r="AG56" s="139" t="str">
        <f t="shared" si="11"/>
        <v/>
      </c>
      <c r="AH56" s="140" t="str">
        <f t="shared" si="12"/>
        <v/>
      </c>
      <c r="AI56" s="141" t="str">
        <f t="shared" si="13"/>
        <v/>
      </c>
      <c r="AJ56" s="166" t="str">
        <f t="shared" si="14"/>
        <v/>
      </c>
      <c r="AK56" s="167" t="str">
        <f t="shared" si="14"/>
        <v/>
      </c>
      <c r="AL56" s="168" t="str">
        <f t="shared" si="15"/>
        <v/>
      </c>
      <c r="AM56" s="237" t="e">
        <f t="shared" si="27"/>
        <v>#VALUE!</v>
      </c>
      <c r="AN56" s="70" t="str">
        <f t="shared" si="25"/>
        <v/>
      </c>
      <c r="AO56" s="241" t="str">
        <f t="shared" si="26"/>
        <v/>
      </c>
      <c r="AP56" s="45" t="s">
        <v>40</v>
      </c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hidden="1" customHeight="1" x14ac:dyDescent="0.25">
      <c r="A57" s="83"/>
      <c r="B57" s="442"/>
      <c r="C57" s="453"/>
      <c r="D57" s="84"/>
      <c r="E57" s="23"/>
      <c r="F57" s="15"/>
      <c r="G57" s="213"/>
      <c r="H57" s="27" t="str">
        <f t="shared" si="16"/>
        <v/>
      </c>
      <c r="I57" s="216" t="str">
        <f t="shared" si="17"/>
        <v/>
      </c>
      <c r="J57" s="29" t="str">
        <f ca="1">IF($J$5&gt;=B57,"N/A",SUM(INDIRECT(ADDRESS(6+(MATCH($J$5,$B$6:$B$59,0)),8)):H57))</f>
        <v>N/A</v>
      </c>
      <c r="K57" s="10">
        <v>0</v>
      </c>
      <c r="L57" s="88"/>
      <c r="M57" s="4">
        <f t="shared" si="18"/>
        <v>0</v>
      </c>
      <c r="N57" s="220" t="str">
        <f t="shared" si="0"/>
        <v/>
      </c>
      <c r="O57" s="30" t="str">
        <f ca="1">IF($O$5&gt;=B57,"N/A",SUM(INDIRECT(ADDRESS(6+(MATCH($O$5,$B$6:$B$59,0)),13)):M57))</f>
        <v>N/A</v>
      </c>
      <c r="P57" s="175" t="str">
        <f t="shared" si="19"/>
        <v/>
      </c>
      <c r="Q57" s="175" t="str">
        <f t="shared" si="20"/>
        <v/>
      </c>
      <c r="R57" s="175" t="str">
        <f t="shared" si="21"/>
        <v/>
      </c>
      <c r="S57" s="70" t="str">
        <f t="shared" si="22"/>
        <v/>
      </c>
      <c r="T57" s="241" t="str">
        <f t="shared" si="23"/>
        <v/>
      </c>
      <c r="U57" s="157" t="str">
        <f t="shared" si="1"/>
        <v/>
      </c>
      <c r="V57" s="158" t="str">
        <f t="shared" si="2"/>
        <v/>
      </c>
      <c r="W57" s="158" t="str">
        <f t="shared" si="3"/>
        <v/>
      </c>
      <c r="X57" s="199" t="str">
        <f t="shared" si="4"/>
        <v/>
      </c>
      <c r="Y57" s="159" t="str">
        <f t="shared" si="5"/>
        <v/>
      </c>
      <c r="Z57" s="181"/>
      <c r="AA57" s="148" t="str">
        <f t="shared" si="6"/>
        <v/>
      </c>
      <c r="AB57" s="149">
        <f t="shared" si="7"/>
        <v>0</v>
      </c>
      <c r="AC57" s="149" t="str">
        <f t="shared" si="8"/>
        <v/>
      </c>
      <c r="AD57" s="203">
        <f t="shared" si="9"/>
        <v>0</v>
      </c>
      <c r="AE57" s="150" t="str">
        <f t="shared" si="10"/>
        <v/>
      </c>
      <c r="AF57" s="182"/>
      <c r="AG57" s="139" t="str">
        <f t="shared" si="11"/>
        <v/>
      </c>
      <c r="AH57" s="140" t="str">
        <f t="shared" si="12"/>
        <v/>
      </c>
      <c r="AI57" s="141" t="str">
        <f t="shared" si="13"/>
        <v/>
      </c>
      <c r="AJ57" s="166" t="str">
        <f t="shared" si="14"/>
        <v/>
      </c>
      <c r="AK57" s="167" t="str">
        <f t="shared" si="14"/>
        <v/>
      </c>
      <c r="AL57" s="168" t="str">
        <f t="shared" si="15"/>
        <v/>
      </c>
      <c r="AM57" s="237" t="e">
        <f t="shared" si="27"/>
        <v>#VALUE!</v>
      </c>
      <c r="AN57" s="70" t="str">
        <f t="shared" si="25"/>
        <v/>
      </c>
      <c r="AO57" s="241" t="str">
        <f t="shared" si="26"/>
        <v/>
      </c>
      <c r="AP57" s="45" t="s">
        <v>40</v>
      </c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hidden="1" customHeight="1" x14ac:dyDescent="0.25">
      <c r="A58" s="83"/>
      <c r="B58" s="442"/>
      <c r="C58" s="453"/>
      <c r="D58" s="84"/>
      <c r="E58" s="23"/>
      <c r="F58" s="15"/>
      <c r="G58" s="213"/>
      <c r="H58" s="27" t="str">
        <f t="shared" si="16"/>
        <v/>
      </c>
      <c r="I58" s="216" t="str">
        <f t="shared" si="17"/>
        <v/>
      </c>
      <c r="J58" s="29" t="str">
        <f ca="1">IF($J$5&gt;=B58,"N/A",SUM(INDIRECT(ADDRESS(6+(MATCH($J$5,$B$6:$B$59,0)),8)):H58))</f>
        <v>N/A</v>
      </c>
      <c r="K58" s="10">
        <v>0</v>
      </c>
      <c r="L58" s="88"/>
      <c r="M58" s="4">
        <f t="shared" si="18"/>
        <v>0</v>
      </c>
      <c r="N58" s="220" t="str">
        <f t="shared" si="0"/>
        <v/>
      </c>
      <c r="O58" s="30" t="str">
        <f ca="1">IF($O$5&gt;=B58,"N/A",SUM(INDIRECT(ADDRESS(6+(MATCH($O$5,$B$6:$B$59,0)),13)):M58))</f>
        <v>N/A</v>
      </c>
      <c r="P58" s="175" t="str">
        <f t="shared" si="19"/>
        <v/>
      </c>
      <c r="Q58" s="175" t="str">
        <f t="shared" si="20"/>
        <v/>
      </c>
      <c r="R58" s="175" t="str">
        <f t="shared" si="21"/>
        <v/>
      </c>
      <c r="S58" s="70" t="str">
        <f t="shared" si="22"/>
        <v/>
      </c>
      <c r="T58" s="241" t="str">
        <f t="shared" si="23"/>
        <v/>
      </c>
      <c r="U58" s="157" t="str">
        <f t="shared" si="1"/>
        <v/>
      </c>
      <c r="V58" s="158" t="str">
        <f t="shared" si="2"/>
        <v/>
      </c>
      <c r="W58" s="158" t="str">
        <f t="shared" si="3"/>
        <v/>
      </c>
      <c r="X58" s="199" t="str">
        <f t="shared" si="4"/>
        <v/>
      </c>
      <c r="Y58" s="159" t="str">
        <f t="shared" si="5"/>
        <v/>
      </c>
      <c r="Z58" s="181"/>
      <c r="AA58" s="148" t="str">
        <f t="shared" si="6"/>
        <v/>
      </c>
      <c r="AB58" s="149">
        <f t="shared" si="7"/>
        <v>0</v>
      </c>
      <c r="AC58" s="149" t="str">
        <f t="shared" si="8"/>
        <v/>
      </c>
      <c r="AD58" s="203">
        <f t="shared" si="9"/>
        <v>0</v>
      </c>
      <c r="AE58" s="150" t="str">
        <f t="shared" si="10"/>
        <v/>
      </c>
      <c r="AF58" s="182"/>
      <c r="AG58" s="139" t="str">
        <f t="shared" si="11"/>
        <v/>
      </c>
      <c r="AH58" s="140" t="str">
        <f t="shared" si="12"/>
        <v/>
      </c>
      <c r="AI58" s="141" t="str">
        <f t="shared" si="13"/>
        <v/>
      </c>
      <c r="AJ58" s="166" t="str">
        <f t="shared" si="14"/>
        <v/>
      </c>
      <c r="AK58" s="167" t="str">
        <f t="shared" si="14"/>
        <v/>
      </c>
      <c r="AL58" s="168" t="str">
        <f t="shared" si="15"/>
        <v/>
      </c>
      <c r="AM58" s="237" t="e">
        <f t="shared" si="27"/>
        <v>#VALUE!</v>
      </c>
      <c r="AN58" s="70" t="str">
        <f t="shared" si="25"/>
        <v/>
      </c>
      <c r="AO58" s="241" t="str">
        <f t="shared" si="26"/>
        <v/>
      </c>
      <c r="AP58" s="45" t="s">
        <v>40</v>
      </c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hidden="1" customHeight="1" thickBot="1" x14ac:dyDescent="0.3">
      <c r="A59" s="85"/>
      <c r="B59" s="454"/>
      <c r="C59" s="455"/>
      <c r="D59" s="86"/>
      <c r="E59" s="24"/>
      <c r="F59" s="95"/>
      <c r="G59" s="214"/>
      <c r="H59" s="27" t="str">
        <f t="shared" si="16"/>
        <v/>
      </c>
      <c r="I59" s="217" t="str">
        <f t="shared" si="17"/>
        <v/>
      </c>
      <c r="J59" s="29" t="str">
        <f ca="1">IF($J$5&gt;=B59,"N/A",SUM(INDIRECT(ADDRESS(6+(MATCH($J$5,$B$6:$B$59,0)),8)):H59))</f>
        <v>N/A</v>
      </c>
      <c r="K59" s="10">
        <v>0</v>
      </c>
      <c r="L59" s="89"/>
      <c r="M59" s="4">
        <f t="shared" si="18"/>
        <v>0</v>
      </c>
      <c r="N59" s="221" t="str">
        <f t="shared" si="0"/>
        <v/>
      </c>
      <c r="O59" s="30" t="str">
        <f ca="1">IF($O$5&gt;=B59,"N/A",SUM(INDIRECT(ADDRESS(6+(MATCH($O$5,$B$6:$B$59,0)),13)):M59))</f>
        <v>N/A</v>
      </c>
      <c r="P59" s="176" t="str">
        <f t="shared" si="19"/>
        <v/>
      </c>
      <c r="Q59" s="176" t="str">
        <f t="shared" si="20"/>
        <v/>
      </c>
      <c r="R59" s="176" t="str">
        <f t="shared" si="21"/>
        <v/>
      </c>
      <c r="S59" s="71" t="str">
        <f t="shared" si="22"/>
        <v/>
      </c>
      <c r="T59" s="242" t="str">
        <f t="shared" si="23"/>
        <v/>
      </c>
      <c r="U59" s="183" t="str">
        <f t="shared" si="1"/>
        <v/>
      </c>
      <c r="V59" s="184" t="str">
        <f t="shared" si="2"/>
        <v/>
      </c>
      <c r="W59" s="184" t="str">
        <f t="shared" si="3"/>
        <v/>
      </c>
      <c r="X59" s="200" t="str">
        <f t="shared" si="4"/>
        <v/>
      </c>
      <c r="Y59" s="185" t="str">
        <f t="shared" si="5"/>
        <v/>
      </c>
      <c r="Z59" s="186"/>
      <c r="AA59" s="187" t="str">
        <f t="shared" si="6"/>
        <v/>
      </c>
      <c r="AB59" s="188">
        <f t="shared" si="7"/>
        <v>0</v>
      </c>
      <c r="AC59" s="188" t="str">
        <f t="shared" si="8"/>
        <v/>
      </c>
      <c r="AD59" s="204">
        <f t="shared" si="9"/>
        <v>0</v>
      </c>
      <c r="AE59" s="189" t="str">
        <f t="shared" si="10"/>
        <v/>
      </c>
      <c r="AF59" s="190"/>
      <c r="AG59" s="191" t="str">
        <f t="shared" si="11"/>
        <v/>
      </c>
      <c r="AH59" s="192" t="str">
        <f t="shared" si="12"/>
        <v/>
      </c>
      <c r="AI59" s="193" t="str">
        <f t="shared" si="13"/>
        <v/>
      </c>
      <c r="AJ59" s="194" t="str">
        <f t="shared" si="14"/>
        <v/>
      </c>
      <c r="AK59" s="195" t="str">
        <f t="shared" si="14"/>
        <v/>
      </c>
      <c r="AL59" s="196" t="str">
        <f t="shared" si="15"/>
        <v/>
      </c>
      <c r="AM59" s="237" t="e">
        <f t="shared" si="27"/>
        <v>#VALUE!</v>
      </c>
      <c r="AN59" s="71" t="str">
        <f t="shared" si="25"/>
        <v/>
      </c>
      <c r="AO59" s="242" t="str">
        <f t="shared" si="26"/>
        <v/>
      </c>
      <c r="AP59" s="45" t="s">
        <v>40</v>
      </c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e">
        <f ca="1">INDIRECT(ADDRESS(5+$U$61,1))</f>
        <v>#N/A</v>
      </c>
      <c r="L61" s="462">
        <v>42164.5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 t="e">
        <f>MATCH(L61,B6:B59,0)</f>
        <v>#N/A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>
        <f>MATCH(B6,B6:B59,0)</f>
        <v>1</v>
      </c>
      <c r="C62" s="72" t="e">
        <f>MATCH(L61,B6:B59,0)</f>
        <v>#N/A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248"/>
      <c r="H63" s="33" t="s">
        <v>2</v>
      </c>
      <c r="I63" s="210" t="s">
        <v>4</v>
      </c>
      <c r="J63" s="77"/>
      <c r="K63" s="246"/>
      <c r="L63" s="78"/>
      <c r="M63" s="78" t="s">
        <v>28</v>
      </c>
      <c r="N63" s="210" t="s">
        <v>4</v>
      </c>
      <c r="O63" s="77"/>
      <c r="P63" s="250" t="s">
        <v>0</v>
      </c>
      <c r="Q63" s="249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 t="e">
        <f ca="1">SUM(E6:INDIRECT(ADDRESS(5+$C$62,5)))</f>
        <v>#N/A</v>
      </c>
      <c r="F64" s="13"/>
      <c r="G64" s="223"/>
      <c r="H64" s="16" t="e">
        <f ca="1">SUM(H6:INDIRECT(ADDRESS(5+$C$62,8)))</f>
        <v>#N/A</v>
      </c>
      <c r="I64" s="222" t="e">
        <f ca="1">H64/E64</f>
        <v>#N/A</v>
      </c>
      <c r="J64" s="17"/>
      <c r="K64" s="8"/>
      <c r="L64" s="171"/>
      <c r="M64" s="11" t="e">
        <f ca="1">SUM(M6:INDIRECT(ADDRESS(5+$C$62,13)))</f>
        <v>#N/A</v>
      </c>
      <c r="N64" s="12" t="e">
        <f ca="1">M64/E64</f>
        <v>#N/A</v>
      </c>
      <c r="O64" s="172"/>
      <c r="P64" s="173"/>
      <c r="Q64" s="173"/>
      <c r="R64" s="174" t="e">
        <f ca="1">SUM(R6:INDIRECT(ADDRESS(5+$C$62,18)))</f>
        <v>#N/A</v>
      </c>
      <c r="S64" s="458">
        <f>L61</f>
        <v>42164.5</v>
      </c>
      <c r="T64" s="459"/>
      <c r="U64" s="151" t="e">
        <f ca="1">SUM(U6:INDIRECT(ADDRESS(5+$C$62,21)))</f>
        <v>#N/A</v>
      </c>
      <c r="V64" s="152" t="e">
        <f ca="1">SUM(V6:INDIRECT(ADDRESS(5+$C$62,22)))</f>
        <v>#N/A</v>
      </c>
      <c r="W64" s="152" t="e">
        <f ca="1">SUM(W6:INDIRECT(ADDRESS(5+$C$62,23)))</f>
        <v>#N/A</v>
      </c>
      <c r="X64" s="197" t="e">
        <f ca="1">SUM(X6:INDIRECT(ADDRESS(5+$C$62,24)))</f>
        <v>#N/A</v>
      </c>
      <c r="Y64" s="153" t="e">
        <f ca="1">INDIRECT(ADDRESS(5+$C$62,25))</f>
        <v>#N/A</v>
      </c>
      <c r="Z64" s="169" t="e">
        <f ca="1">SUM(Z6:INDIRECT(ADDRESS(5+$C$62,26)))</f>
        <v>#N/A</v>
      </c>
      <c r="AA64" s="142" t="e">
        <f ca="1">SUM(AA6:INDIRECT(ADDRESS(5+$C$62,27)))</f>
        <v>#N/A</v>
      </c>
      <c r="AB64" s="143" t="e">
        <f ca="1">SUM(AB6:INDIRECT(ADDRESS(5+$C$62,28)))</f>
        <v>#N/A</v>
      </c>
      <c r="AC64" s="143" t="e">
        <f ca="1">SUM(AC6:INDIRECT(ADDRESS(5+$C$62,29)))</f>
        <v>#N/A</v>
      </c>
      <c r="AD64" s="201" t="e">
        <f ca="1">SUM(AD6:INDIRECT(ADDRESS(5+$C$62,30)))</f>
        <v>#N/A</v>
      </c>
      <c r="AE64" s="144" t="e">
        <f ca="1">INDIRECT(ADDRESS(5+$C$62,31))</f>
        <v>#N/A</v>
      </c>
      <c r="AF64" s="170" t="e">
        <f ca="1">SUM(AF6:INDIRECT(ADDRESS(5+$C$62,32)))</f>
        <v>#N/A</v>
      </c>
      <c r="AG64" s="133" t="e">
        <f ca="1">SUM(AG6:INDIRECT(ADDRESS(5+$C$62,33)))</f>
        <v>#N/A</v>
      </c>
      <c r="AH64" s="134" t="e">
        <f ca="1">SUM(AH6:INDIRECT(ADDRESS(5+$C$62,34)))</f>
        <v>#N/A</v>
      </c>
      <c r="AI64" s="135" t="e">
        <f ca="1">INDIRECT(ADDRESS(5+$C$62,35))</f>
        <v>#N/A</v>
      </c>
      <c r="AJ64" s="160" t="e">
        <f ca="1">INDIRECT(ADDRESS(5+$C$62,36))</f>
        <v>#N/A</v>
      </c>
      <c r="AK64" s="161" t="e">
        <f ca="1">INDIRECT(ADDRESS(5+$C$62,37))</f>
        <v>#N/A</v>
      </c>
      <c r="AL64" s="162" t="e">
        <f ca="1">INDIRECT(ADDRESS(5+$C$62,38))</f>
        <v>#N/A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P NOON</v>
      </c>
      <c r="F66" s="462">
        <v>42190.5</v>
      </c>
      <c r="G66" s="462"/>
      <c r="H66" s="462"/>
      <c r="I66" s="75" t="s">
        <v>95</v>
      </c>
      <c r="J66" s="75"/>
      <c r="K66" s="74" t="str">
        <f ca="1">INDIRECT(ADDRESS(5+$U$66,1))</f>
        <v>BOSP</v>
      </c>
      <c r="L66" s="462">
        <v>42191.316666666666</v>
      </c>
      <c r="M66" s="462"/>
      <c r="N66" s="462"/>
      <c r="O66" s="211"/>
      <c r="P66" s="72"/>
      <c r="Q66" s="72"/>
      <c r="R66" s="72"/>
      <c r="S66" s="94"/>
      <c r="T66" s="207">
        <f>MATCH(F66,B6:B59,0)</f>
        <v>28</v>
      </c>
      <c r="U66" s="206">
        <f>MATCH(L66,B6:B59,0)</f>
        <v>30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28</v>
      </c>
      <c r="C67" s="72">
        <f>MATCH(L66,B6:B59,0)</f>
        <v>30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42190.5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248"/>
      <c r="H68" s="33" t="s">
        <v>2</v>
      </c>
      <c r="I68" s="210" t="s">
        <v>4</v>
      </c>
      <c r="J68" s="77"/>
      <c r="K68" s="246"/>
      <c r="L68" s="78"/>
      <c r="M68" s="78" t="s">
        <v>28</v>
      </c>
      <c r="N68" s="210" t="s">
        <v>4</v>
      </c>
      <c r="O68" s="77"/>
      <c r="P68" s="250" t="s">
        <v>0</v>
      </c>
      <c r="Q68" s="249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1.9</v>
      </c>
      <c r="F69" s="13"/>
      <c r="G69" s="223"/>
      <c r="H69" s="16">
        <f ca="1">SUM(INDIRECT(ADDRESS(6+$B$67,8)):INDIRECT(ADDRESS(5+$C$67,8)))</f>
        <v>16.899999999999999</v>
      </c>
      <c r="I69" s="222">
        <f ca="1">H69/E69</f>
        <v>8.8947368421052619</v>
      </c>
      <c r="J69" s="17"/>
      <c r="K69" s="8"/>
      <c r="L69" s="171"/>
      <c r="M69" s="11">
        <f ca="1">SUM(INDIRECT(ADDRESS(6+$B$67,13)):INDIRECT(ADDRESS(5+$C$67,13)))</f>
        <v>17.099999999999909</v>
      </c>
      <c r="N69" s="12">
        <f ca="1">M69/E69</f>
        <v>8.999999999999952</v>
      </c>
      <c r="O69" s="172"/>
      <c r="P69" s="173"/>
      <c r="Q69" s="173"/>
      <c r="R69" s="174">
        <f ca="1">SUM(INDIRECT(ADDRESS(6+$B$67,18)):INDIRECT(ADDRESS(5+$C$67,18)))</f>
        <v>0</v>
      </c>
      <c r="S69" s="458">
        <f>L66</f>
        <v>42191.316666666666</v>
      </c>
      <c r="T69" s="459"/>
      <c r="U69" s="151">
        <f ca="1">SUM(INDIRECT(ADDRESS(6+$B$67,21)):INDIRECT(ADDRESS(5+$C$67,21)))</f>
        <v>1.6</v>
      </c>
      <c r="V69" s="152">
        <f ca="1">SUM(INDIRECT(ADDRESS(6+$B$67,22)):INDIRECT(ADDRESS(5+$C$67,22)))</f>
        <v>3.5</v>
      </c>
      <c r="W69" s="152">
        <f ca="1">SUM(INDIRECT(ADDRESS(6+$B$67,23)):INDIRECT(ADDRESS(5+$C$67,23)))</f>
        <v>10.5</v>
      </c>
      <c r="X69" s="197">
        <f ca="1">SUM(INDIRECT(ADDRESS(6+$B$67,24)):INDIRECT(ADDRESS(5+$C$67,24)))</f>
        <v>15.6</v>
      </c>
      <c r="Y69" s="153">
        <f ca="1">INDIRECT(ADDRESS(5+$C$67,25))</f>
        <v>1128.2999999999997</v>
      </c>
      <c r="Z69" s="169">
        <f ca="1">SUM(INDIRECT(ADDRESS(6+$B$67,26)):INDIRECT(ADDRESS(5+$C$67,26)))</f>
        <v>0</v>
      </c>
      <c r="AA69" s="142">
        <f ca="1">SUM(INDIRECT(ADDRESS(6+$B$67,27)):INDIRECT(ADDRESS(5+$C$67,27)))</f>
        <v>0</v>
      </c>
      <c r="AB69" s="143">
        <f ca="1">SUM(INDIRECT(ADDRESS(6+$B$67,28)):INDIRECT(ADDRESS(5+$C$67,28)))</f>
        <v>0</v>
      </c>
      <c r="AC69" s="143">
        <f ca="1">SUM(INDIRECT(ADDRESS(6+$B$67,29)):INDIRECT(ADDRESS(5+$C$67,29)))</f>
        <v>0.1</v>
      </c>
      <c r="AD69" s="201">
        <f ca="1">SUM(INDIRECT(ADDRESS(6+$B$67,30)):INDIRECT(ADDRESS(5+$C$67,30)))</f>
        <v>0.1</v>
      </c>
      <c r="AE69" s="144">
        <f ca="1">INDIRECT(ADDRESS(5+$C$67,31))</f>
        <v>126.20000000000053</v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7</v>
      </c>
      <c r="AH69" s="134">
        <f ca="1">SUM(INDIRECT(ADDRESS(6+$B$67,34)):INDIRECT(ADDRESS(5+$C$67,34)))</f>
        <v>0</v>
      </c>
      <c r="AI69" s="135">
        <f ca="1">INDIRECT(ADDRESS(5+$C$67,35))</f>
        <v>382</v>
      </c>
      <c r="AJ69" s="160">
        <f ca="1">INDIRECT(ADDRESS(5+$C$67,36))</f>
        <v>37600</v>
      </c>
      <c r="AK69" s="161">
        <f ca="1">INDIRECT(ADDRESS(5+$C$67,37))</f>
        <v>17500</v>
      </c>
      <c r="AL69" s="162">
        <f ca="1">INDIRECT(ADDRESS(5+$C$67,38))</f>
        <v>6150</v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str">
        <f ca="1">INDIRECT(ADDRESS(5+$T$71,1))</f>
        <v>P NOON</v>
      </c>
      <c r="F71" s="462">
        <v>42174.5</v>
      </c>
      <c r="G71" s="462"/>
      <c r="H71" s="462"/>
      <c r="I71" s="75" t="s">
        <v>95</v>
      </c>
      <c r="J71" s="75"/>
      <c r="K71" s="74" t="str">
        <f ca="1">INDIRECT(ADDRESS(5+$U$71,1))</f>
        <v>BOSP</v>
      </c>
      <c r="L71" s="462">
        <v>42175.112500000003</v>
      </c>
      <c r="M71" s="462"/>
      <c r="N71" s="462"/>
      <c r="O71" s="211"/>
      <c r="P71" s="72"/>
      <c r="Q71" s="72"/>
      <c r="R71" s="72"/>
      <c r="S71" s="94"/>
      <c r="T71" s="207">
        <f>MATCH(F71,B6:B59,0)</f>
        <v>6</v>
      </c>
      <c r="U71" s="206">
        <f>MATCH(L71,B6:B59,0)</f>
        <v>8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>
        <f>MATCH(F71,B6:B59,0)</f>
        <v>6</v>
      </c>
      <c r="C72" s="72">
        <f>MATCH(L71,B6:B59,0)</f>
        <v>8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42174.5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248"/>
      <c r="H73" s="33" t="s">
        <v>2</v>
      </c>
      <c r="I73" s="210" t="s">
        <v>4</v>
      </c>
      <c r="J73" s="77"/>
      <c r="K73" s="246"/>
      <c r="L73" s="78"/>
      <c r="M73" s="78" t="s">
        <v>28</v>
      </c>
      <c r="N73" s="210" t="s">
        <v>4</v>
      </c>
      <c r="O73" s="77"/>
      <c r="P73" s="250" t="s">
        <v>0</v>
      </c>
      <c r="Q73" s="249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>
        <f ca="1">SUM(INDIRECT(ADDRESS(6+$B$72,5)):INDIRECT(ADDRESS(5+$C$72,5)))</f>
        <v>0.8</v>
      </c>
      <c r="F74" s="13"/>
      <c r="G74" s="223"/>
      <c r="H74" s="16">
        <f ca="1">SUM(INDIRECT(ADDRESS(6+$B$72,8)):INDIRECT(ADDRESS(5+$C$72,8)))</f>
        <v>4</v>
      </c>
      <c r="I74" s="222">
        <f ca="1">H74/E74</f>
        <v>5</v>
      </c>
      <c r="J74" s="17"/>
      <c r="K74" s="8"/>
      <c r="L74" s="171"/>
      <c r="M74" s="11">
        <f ca="1">SUM(INDIRECT(ADDRESS(6+$B$72,13)):INDIRECT(ADDRESS(5+$C$72,13)))</f>
        <v>4</v>
      </c>
      <c r="N74" s="12">
        <f ca="1">M74/E74</f>
        <v>5</v>
      </c>
      <c r="O74" s="172"/>
      <c r="P74" s="173"/>
      <c r="Q74" s="173"/>
      <c r="R74" s="174">
        <f ca="1">SUM(INDIRECT(ADDRESS(6+$B$72,18)):INDIRECT(ADDRESS(5+$C$72,18)))</f>
        <v>9.1417990000000007</v>
      </c>
      <c r="S74" s="458">
        <f>L71</f>
        <v>42175.112500000003</v>
      </c>
      <c r="T74" s="459"/>
      <c r="U74" s="151">
        <f ca="1">SUM(INDIRECT(ADDRESS(6+$B$72,21)):INDIRECT(ADDRESS(5+$C$72,21)))</f>
        <v>0.5</v>
      </c>
      <c r="V74" s="152">
        <f ca="1">SUM(INDIRECT(ADDRESS(6+$B$72,22)):INDIRECT(ADDRESS(5+$C$72,22)))</f>
        <v>1.8</v>
      </c>
      <c r="W74" s="152">
        <f ca="1">SUM(INDIRECT(ADDRESS(6+$B$72,23)):INDIRECT(ADDRESS(5+$C$72,23)))</f>
        <v>9.7999999999999989</v>
      </c>
      <c r="X74" s="197">
        <f ca="1">SUM(INDIRECT(ADDRESS(6+$B$72,24)):INDIRECT(ADDRESS(5+$C$72,24)))</f>
        <v>12.099999999999998</v>
      </c>
      <c r="Y74" s="153">
        <f ca="1">INDIRECT(ADDRESS(5+$C$72,25))</f>
        <v>1593.7</v>
      </c>
      <c r="Z74" s="169">
        <f ca="1">SUM(INDIRECT(ADDRESS(6+$B$72,26)):INDIRECT(ADDRESS(5+$C$72,26)))</f>
        <v>0</v>
      </c>
      <c r="AA74" s="142">
        <f ca="1">SUM(INDIRECT(ADDRESS(6+$B$72,27)):INDIRECT(ADDRESS(5+$C$72,27)))</f>
        <v>0</v>
      </c>
      <c r="AB74" s="143">
        <f ca="1">SUM(INDIRECT(ADDRESS(6+$B$72,28)):INDIRECT(ADDRESS(5+$C$72,28)))</f>
        <v>0</v>
      </c>
      <c r="AC74" s="143">
        <f ca="1">SUM(INDIRECT(ADDRESS(6+$B$72,29)):INDIRECT(ADDRESS(5+$C$72,29)))</f>
        <v>0</v>
      </c>
      <c r="AD74" s="201">
        <f ca="1">SUM(INDIRECT(ADDRESS(6+$B$72,30)):INDIRECT(ADDRESS(5+$C$72,30)))</f>
        <v>0</v>
      </c>
      <c r="AE74" s="144">
        <f ca="1">INDIRECT(ADDRESS(5+$C$72,31))</f>
        <v>126.50000000000051</v>
      </c>
      <c r="AF74" s="170">
        <f ca="1">SUM(INDIRECT(ADDRESS(6+$B$72,32)):INDIRECT(ADDRESS(5+$C$72,32)))</f>
        <v>0</v>
      </c>
      <c r="AG74" s="133">
        <f ca="1">SUM(INDIRECT(ADDRESS(6+$B$72,33)):INDIRECT(ADDRESS(5+$C$72,33)))</f>
        <v>3</v>
      </c>
      <c r="AH74" s="134">
        <f ca="1">SUM(INDIRECT(ADDRESS(6+$B$72,34)):INDIRECT(ADDRESS(5+$C$72,34)))</f>
        <v>0</v>
      </c>
      <c r="AI74" s="135">
        <f ca="1">INDIRECT(ADDRESS(5+$C$72,35))</f>
        <v>170</v>
      </c>
      <c r="AJ74" s="160">
        <f ca="1">INDIRECT(ADDRESS(5+$C$72,36))</f>
        <v>40573</v>
      </c>
      <c r="AK74" s="161">
        <f ca="1">INDIRECT(ADDRESS(5+$C$72,37))</f>
        <v>18500</v>
      </c>
      <c r="AL74" s="162">
        <f ca="1">INDIRECT(ADDRESS(5+$C$72,38))</f>
        <v>6900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sheet="1" objects="1" scenarios="1" selectLockedCells="1"/>
  <dataConsolidate/>
  <mergeCells count="141"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</mergeCells>
  <conditionalFormatting sqref="X6:X59">
    <cfRule type="cellIs" dxfId="175" priority="18" operator="notEqual">
      <formula>$U6+$V6+$W6</formula>
    </cfRule>
  </conditionalFormatting>
  <conditionalFormatting sqref="Y7:Y59">
    <cfRule type="cellIs" dxfId="174" priority="17" operator="notEqual">
      <formula>$Y6-$X7+$Z7</formula>
    </cfRule>
  </conditionalFormatting>
  <conditionalFormatting sqref="AD6:AD59">
    <cfRule type="cellIs" dxfId="173" priority="16" operator="notEqual">
      <formula>$AA6+$AB6+$AC6</formula>
    </cfRule>
  </conditionalFormatting>
  <conditionalFormatting sqref="AE7:AE59">
    <cfRule type="cellIs" dxfId="172" priority="15" operator="notEqual">
      <formula>$AE6-$AD7+$AF7</formula>
    </cfRule>
  </conditionalFormatting>
  <conditionalFormatting sqref="L66">
    <cfRule type="cellIs" dxfId="171" priority="14" operator="lessThan">
      <formula>$F$66</formula>
    </cfRule>
  </conditionalFormatting>
  <conditionalFormatting sqref="L71">
    <cfRule type="cellIs" dxfId="170" priority="13" operator="lessThan">
      <formula>$F$71</formula>
    </cfRule>
  </conditionalFormatting>
  <conditionalFormatting sqref="X64">
    <cfRule type="cellIs" dxfId="169" priority="12" operator="notEqual">
      <formula>$U64+$V64+$W64</formula>
    </cfRule>
  </conditionalFormatting>
  <conditionalFormatting sqref="Y64">
    <cfRule type="cellIs" dxfId="168" priority="11" operator="notEqual">
      <formula>$Y63-$X64+$Z64</formula>
    </cfRule>
  </conditionalFormatting>
  <conditionalFormatting sqref="AD64">
    <cfRule type="cellIs" dxfId="167" priority="10" operator="notEqual">
      <formula>$AA64+$AB64+$AC64</formula>
    </cfRule>
  </conditionalFormatting>
  <conditionalFormatting sqref="AE64">
    <cfRule type="cellIs" dxfId="166" priority="9" operator="notEqual">
      <formula>$AE63-$AD64+$AF64</formula>
    </cfRule>
  </conditionalFormatting>
  <conditionalFormatting sqref="X69">
    <cfRule type="cellIs" dxfId="165" priority="8" operator="notEqual">
      <formula>$U69+$V69+$W69</formula>
    </cfRule>
  </conditionalFormatting>
  <conditionalFormatting sqref="Y69">
    <cfRule type="cellIs" dxfId="164" priority="7" operator="notEqual">
      <formula>$Y68-$X69+$Z69</formula>
    </cfRule>
  </conditionalFormatting>
  <conditionalFormatting sqref="AD69">
    <cfRule type="cellIs" dxfId="163" priority="6" operator="notEqual">
      <formula>$AA69+$AB69+$AC69</formula>
    </cfRule>
  </conditionalFormatting>
  <conditionalFormatting sqref="AE69">
    <cfRule type="cellIs" dxfId="162" priority="5" operator="notEqual">
      <formula>$AE68-$AD69+$AF69</formula>
    </cfRule>
  </conditionalFormatting>
  <conditionalFormatting sqref="X74">
    <cfRule type="cellIs" dxfId="161" priority="4" operator="notEqual">
      <formula>$U74+$V74+$W74</formula>
    </cfRule>
  </conditionalFormatting>
  <conditionalFormatting sqref="Y74">
    <cfRule type="cellIs" dxfId="160" priority="3" operator="notEqual">
      <formula>$Y73-$X74+$Z74</formula>
    </cfRule>
  </conditionalFormatting>
  <conditionalFormatting sqref="AD74">
    <cfRule type="cellIs" dxfId="159" priority="2" operator="notEqual">
      <formula>$AA74+$AB74+$AC74</formula>
    </cfRule>
  </conditionalFormatting>
  <conditionalFormatting sqref="AE74">
    <cfRule type="cellIs" dxfId="158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7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63" activePane="bottomRight" state="frozen"/>
      <selection pane="topRight" activeCell="B1" sqref="B1"/>
      <selection pane="bottomLeft" activeCell="A6" sqref="A6"/>
      <selection pane="bottomRight" activeCell="B7" sqref="B7:C7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 t="s">
        <v>106</v>
      </c>
      <c r="B4" s="415" t="s">
        <v>107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258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258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42191.316666666666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42191.316666666666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259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254" t="s">
        <v>8</v>
      </c>
      <c r="B6" s="437">
        <v>42191.224999999999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1057.0999999999999</v>
      </c>
      <c r="L6" s="38" t="s">
        <v>3</v>
      </c>
      <c r="M6" s="38" t="s">
        <v>3</v>
      </c>
      <c r="N6" s="219" t="s">
        <v>3</v>
      </c>
      <c r="O6" s="37" t="s">
        <v>3</v>
      </c>
      <c r="P6" s="257" t="s">
        <v>3</v>
      </c>
      <c r="Q6" s="256" t="s">
        <v>3</v>
      </c>
      <c r="R6" s="26" t="s">
        <v>3</v>
      </c>
      <c r="S6" s="40" t="str">
        <f>$A6</f>
        <v>S.B.E.</v>
      </c>
      <c r="T6" s="239">
        <f>$B6</f>
        <v>42191.224999999999</v>
      </c>
      <c r="U6" s="151">
        <f>IF(BC6="","",BC6)</f>
        <v>0</v>
      </c>
      <c r="V6" s="152">
        <f>IF(BF6="","",BF6)</f>
        <v>3.1</v>
      </c>
      <c r="W6" s="152">
        <f>IF(BK6="","",BK6)</f>
        <v>10.5</v>
      </c>
      <c r="X6" s="197">
        <f>IF(BN6="","",BN6)</f>
        <v>13.6</v>
      </c>
      <c r="Y6" s="153">
        <f>IF(BR6="","",BR6)</f>
        <v>1130.2999999999997</v>
      </c>
      <c r="Z6" s="177"/>
      <c r="AA6" s="142">
        <f>IF(BD6="","",BD6)</f>
        <v>0</v>
      </c>
      <c r="AB6" s="143">
        <f>IF(BH6+BI6="","",BH6+BI6)</f>
        <v>0</v>
      </c>
      <c r="AC6" s="143">
        <f>IF(BL6="","",BL6)</f>
        <v>0.1</v>
      </c>
      <c r="AD6" s="201">
        <f>IF(BO6+BP6="","",BO6+BP6)</f>
        <v>0.1</v>
      </c>
      <c r="AE6" s="144">
        <f>IF(BS6+BT6=0,"",BS6+BT6)</f>
        <v>126.20000000000053</v>
      </c>
      <c r="AF6" s="178"/>
      <c r="AG6" s="133">
        <f>IF(CE6="","",CE6)</f>
        <v>5</v>
      </c>
      <c r="AH6" s="134">
        <f>IF(BW6="","",BW6)</f>
        <v>0</v>
      </c>
      <c r="AI6" s="135">
        <f>IF(CC6="","",CC6)</f>
        <v>384</v>
      </c>
      <c r="AJ6" s="160">
        <f>IF(CP6="","",CP6)</f>
        <v>37635</v>
      </c>
      <c r="AK6" s="161">
        <f>IF(CQ6="","",CQ6)</f>
        <v>17500</v>
      </c>
      <c r="AL6" s="162">
        <f>IF(CS6="","",CS6)</f>
        <v>6200</v>
      </c>
      <c r="AM6" s="237"/>
      <c r="AN6" s="69" t="str">
        <f>$A6</f>
        <v>S.B.E.</v>
      </c>
      <c r="AO6" s="243">
        <f>$B6</f>
        <v>42191.224999999999</v>
      </c>
      <c r="AP6" s="45" t="s">
        <v>40</v>
      </c>
      <c r="AQ6" s="98"/>
      <c r="AR6" s="99" t="s">
        <v>39</v>
      </c>
      <c r="AS6" s="99" t="s">
        <v>39</v>
      </c>
      <c r="AT6" s="100" t="s">
        <v>39</v>
      </c>
      <c r="AU6" s="101" t="s">
        <v>39</v>
      </c>
      <c r="AV6" s="100" t="s">
        <v>39</v>
      </c>
      <c r="AW6" s="101" t="s">
        <v>39</v>
      </c>
      <c r="AX6" s="101" t="s">
        <v>39</v>
      </c>
      <c r="AY6" s="99" t="s">
        <v>39</v>
      </c>
      <c r="AZ6" s="102"/>
      <c r="BA6" s="102"/>
      <c r="BB6" s="103">
        <v>2.7810000000000001</v>
      </c>
      <c r="BC6" s="104">
        <v>0</v>
      </c>
      <c r="BD6" s="98">
        <v>0</v>
      </c>
      <c r="BE6" s="105">
        <v>0</v>
      </c>
      <c r="BF6" s="104">
        <v>3.1</v>
      </c>
      <c r="BG6" s="106">
        <v>0</v>
      </c>
      <c r="BH6" s="104">
        <v>0</v>
      </c>
      <c r="BI6" s="98">
        <v>0</v>
      </c>
      <c r="BJ6" s="105">
        <v>8.6685999999999996</v>
      </c>
      <c r="BK6" s="104">
        <v>10.5</v>
      </c>
      <c r="BL6" s="104">
        <v>0.1</v>
      </c>
      <c r="BM6" s="107"/>
      <c r="BN6" s="108">
        <v>13.6</v>
      </c>
      <c r="BO6" s="108">
        <v>0</v>
      </c>
      <c r="BP6" s="109">
        <v>0.1</v>
      </c>
      <c r="BQ6" s="110"/>
      <c r="BR6" s="108">
        <v>1130.2999999999997</v>
      </c>
      <c r="BS6" s="109">
        <v>0</v>
      </c>
      <c r="BT6" s="109">
        <v>126.20000000000053</v>
      </c>
      <c r="BU6" s="107"/>
      <c r="BV6" s="111">
        <v>0</v>
      </c>
      <c r="BW6" s="98">
        <v>0</v>
      </c>
      <c r="BX6" s="112"/>
      <c r="BY6" s="113">
        <v>287</v>
      </c>
      <c r="BZ6" s="114">
        <v>287</v>
      </c>
      <c r="CA6" s="114">
        <v>28</v>
      </c>
      <c r="CB6" s="114">
        <v>69</v>
      </c>
      <c r="CC6" s="99">
        <v>384</v>
      </c>
      <c r="CD6" s="115">
        <v>5</v>
      </c>
      <c r="CE6" s="116">
        <v>5</v>
      </c>
      <c r="CF6" s="117">
        <v>0</v>
      </c>
      <c r="CG6" s="118" t="s">
        <v>39</v>
      </c>
      <c r="CH6" s="117">
        <v>0</v>
      </c>
      <c r="CI6" s="118" t="s">
        <v>39</v>
      </c>
      <c r="CJ6" s="117">
        <v>0</v>
      </c>
      <c r="CK6" s="118" t="s">
        <v>39</v>
      </c>
      <c r="CL6" s="119"/>
      <c r="CM6" s="120">
        <v>0</v>
      </c>
      <c r="CN6" s="121">
        <v>0</v>
      </c>
      <c r="CO6" s="120">
        <v>0</v>
      </c>
      <c r="CP6" s="121">
        <v>37635</v>
      </c>
      <c r="CQ6" s="121">
        <v>17500</v>
      </c>
      <c r="CR6" s="100"/>
      <c r="CS6" s="121">
        <v>6200</v>
      </c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3" t="s">
        <v>27</v>
      </c>
      <c r="B7" s="442">
        <v>42191.316666666666</v>
      </c>
      <c r="C7" s="443"/>
      <c r="D7" s="84"/>
      <c r="E7" s="23">
        <v>1.9</v>
      </c>
      <c r="F7" s="15">
        <v>16.899999999999999</v>
      </c>
      <c r="G7" s="213"/>
      <c r="H7" s="27">
        <f>IF(F7=0,"",F7-F6+G7)</f>
        <v>16.899999999999999</v>
      </c>
      <c r="I7" s="216">
        <f>IF(E7=0,"",$H7/$E7)</f>
        <v>8.8947368421052619</v>
      </c>
      <c r="J7" s="29" t="str">
        <f ca="1">IF($J$5&gt;=B7,"N/A",SUM(INDIRECT(ADDRESS(6+(MATCH($J$5,$B$6:$B$59,0)),8)):H7))</f>
        <v>N/A</v>
      </c>
      <c r="K7" s="10">
        <v>1040</v>
      </c>
      <c r="L7" s="87"/>
      <c r="M7" s="4">
        <f>IF(K7="","",K6-K7+L7)</f>
        <v>17.099999999999909</v>
      </c>
      <c r="N7" s="220">
        <f t="shared" ref="N7:N59" si="0">IF(E7=0,"",M7/E7)</f>
        <v>8.999999999999952</v>
      </c>
      <c r="O7" s="30" t="str">
        <f ca="1">IF($O$5&gt;=B7,"N/A",SUM(INDIRECT(ADDRESS(6+(MATCH($O$5,$B$6:$B$59,0)),13)):M7))</f>
        <v>N/A</v>
      </c>
      <c r="P7" s="175" t="str">
        <f>IF(AQ7="","",AQ7)</f>
        <v/>
      </c>
      <c r="Q7" s="175" t="str">
        <f>IF(AY7="","",AY7)</f>
        <v/>
      </c>
      <c r="R7" s="175" t="str">
        <f>IF(AR7="","",AR7)</f>
        <v/>
      </c>
      <c r="S7" s="43" t="str">
        <f>IF($A7="","",$A7)</f>
        <v>BOSP</v>
      </c>
      <c r="T7" s="240">
        <f>IF($B7="","",$B7)</f>
        <v>42191.316666666666</v>
      </c>
      <c r="U7" s="154">
        <f t="shared" ref="U7:U59" si="1">IF(BC7="","",BC7)</f>
        <v>1.6</v>
      </c>
      <c r="V7" s="155">
        <f t="shared" ref="V7:V59" si="2">IF(BF7="","",BF7)</f>
        <v>0.4</v>
      </c>
      <c r="W7" s="155">
        <f t="shared" ref="W7:W59" si="3">IF(BK7="","",BK7)</f>
        <v>0</v>
      </c>
      <c r="X7" s="198">
        <f t="shared" ref="X7:X59" si="4">IF(BN7="","",BN7)</f>
        <v>2</v>
      </c>
      <c r="Y7" s="156">
        <f t="shared" ref="Y7:Y59" si="5">IF(BR7="","",BR7)</f>
        <v>1128.2999999999997</v>
      </c>
      <c r="Z7" s="179"/>
      <c r="AA7" s="145">
        <f t="shared" ref="AA7:AA59" si="6">IF(BD7="","",BD7)</f>
        <v>0</v>
      </c>
      <c r="AB7" s="146">
        <f t="shared" ref="AB7:AB59" si="7">IF(BH7+BI7="","",BH7+BI7)</f>
        <v>0</v>
      </c>
      <c r="AC7" s="146">
        <f t="shared" ref="AC7:AC59" si="8">IF(BL7="","",BL7)</f>
        <v>0</v>
      </c>
      <c r="AD7" s="202">
        <f t="shared" ref="AD7:AD59" si="9">IF(BO7+BP7="","",BO7+BP7)</f>
        <v>0</v>
      </c>
      <c r="AE7" s="147">
        <f t="shared" ref="AE7:AE59" si="10">IF(BS7+BT7=0,"",BS7+BT7)</f>
        <v>126.20000000000053</v>
      </c>
      <c r="AF7" s="180"/>
      <c r="AG7" s="136">
        <f t="shared" ref="AG7:AG59" si="11">IF(CE7="","",CE7)</f>
        <v>2</v>
      </c>
      <c r="AH7" s="137">
        <f t="shared" ref="AH7:AH59" si="12">IF(BW7="","",BW7)</f>
        <v>0</v>
      </c>
      <c r="AI7" s="138">
        <f t="shared" ref="AI7:AI59" si="13">IF(CC7="","",CC7)</f>
        <v>382</v>
      </c>
      <c r="AJ7" s="163">
        <f t="shared" ref="AJ7:AK59" si="14">IF(CP7="","",CP7)</f>
        <v>37600</v>
      </c>
      <c r="AK7" s="164">
        <f t="shared" si="14"/>
        <v>17500</v>
      </c>
      <c r="AL7" s="165">
        <f t="shared" ref="AL7:AL59" si="15">IF(CS7="","",CS7)</f>
        <v>6150</v>
      </c>
      <c r="AM7" s="237" t="e">
        <f>((R7-H7)/H7)</f>
        <v>#VALUE!</v>
      </c>
      <c r="AN7" s="70" t="str">
        <f>IF($A7="","",$A7)</f>
        <v>BOSP</v>
      </c>
      <c r="AO7" s="241">
        <f>IF($B7="","",$B7)</f>
        <v>42191.316666666666</v>
      </c>
      <c r="AP7" s="441" t="s">
        <v>90</v>
      </c>
      <c r="AQ7" s="98"/>
      <c r="AR7" s="99" t="s">
        <v>39</v>
      </c>
      <c r="AS7" s="99" t="s">
        <v>39</v>
      </c>
      <c r="AT7" s="100" t="s">
        <v>39</v>
      </c>
      <c r="AU7" s="101" t="s">
        <v>39</v>
      </c>
      <c r="AV7" s="100" t="s">
        <v>39</v>
      </c>
      <c r="AW7" s="101" t="s">
        <v>39</v>
      </c>
      <c r="AX7" s="101" t="s">
        <v>39</v>
      </c>
      <c r="AY7" s="99" t="s">
        <v>39</v>
      </c>
      <c r="AZ7" s="102"/>
      <c r="BA7" s="102"/>
      <c r="BB7" s="105">
        <v>1.5631999999999999</v>
      </c>
      <c r="BC7" s="104">
        <v>1.6</v>
      </c>
      <c r="BD7" s="98">
        <v>0</v>
      </c>
      <c r="BE7" s="105">
        <v>0.36279999999999996</v>
      </c>
      <c r="BF7" s="104">
        <v>0.4</v>
      </c>
      <c r="BG7" s="106">
        <v>0</v>
      </c>
      <c r="BH7" s="104">
        <v>0</v>
      </c>
      <c r="BI7" s="98">
        <v>0</v>
      </c>
      <c r="BJ7" s="105">
        <v>8.0099999999999991E-2</v>
      </c>
      <c r="BK7" s="104">
        <v>0</v>
      </c>
      <c r="BL7" s="104">
        <v>0</v>
      </c>
      <c r="BM7" s="107"/>
      <c r="BN7" s="108">
        <v>2</v>
      </c>
      <c r="BO7" s="108">
        <v>0</v>
      </c>
      <c r="BP7" s="109">
        <v>0</v>
      </c>
      <c r="BQ7" s="110"/>
      <c r="BR7" s="108">
        <v>1128.2999999999997</v>
      </c>
      <c r="BS7" s="109">
        <v>0</v>
      </c>
      <c r="BT7" s="109">
        <v>126.20000000000053</v>
      </c>
      <c r="BU7" s="107"/>
      <c r="BV7" s="111">
        <v>1</v>
      </c>
      <c r="BW7" s="98">
        <v>0</v>
      </c>
      <c r="BX7" s="113"/>
      <c r="BY7" s="113">
        <v>286</v>
      </c>
      <c r="BZ7" s="114">
        <v>286</v>
      </c>
      <c r="CA7" s="114">
        <v>27</v>
      </c>
      <c r="CB7" s="114">
        <v>69</v>
      </c>
      <c r="CC7" s="99">
        <v>382</v>
      </c>
      <c r="CD7" s="111">
        <v>2</v>
      </c>
      <c r="CE7" s="116">
        <v>2</v>
      </c>
      <c r="CF7" s="117">
        <v>0</v>
      </c>
      <c r="CG7" s="118" t="s">
        <v>39</v>
      </c>
      <c r="CH7" s="117">
        <v>0</v>
      </c>
      <c r="CI7" s="118" t="s">
        <v>39</v>
      </c>
      <c r="CJ7" s="117">
        <v>0</v>
      </c>
      <c r="CK7" s="118" t="s">
        <v>39</v>
      </c>
      <c r="CL7" s="119"/>
      <c r="CM7" s="122">
        <v>35</v>
      </c>
      <c r="CN7" s="121">
        <v>35</v>
      </c>
      <c r="CO7" s="120">
        <v>0</v>
      </c>
      <c r="CP7" s="121">
        <v>37600</v>
      </c>
      <c r="CQ7" s="121">
        <v>17500</v>
      </c>
      <c r="CR7" s="100"/>
      <c r="CS7" s="121">
        <v>6150</v>
      </c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11</v>
      </c>
      <c r="B8" s="442">
        <v>42191.5</v>
      </c>
      <c r="C8" s="453"/>
      <c r="D8" s="84"/>
      <c r="E8" s="23">
        <v>4.4000000000000004</v>
      </c>
      <c r="F8" s="15">
        <v>50.6</v>
      </c>
      <c r="G8" s="213">
        <v>16.899999999999999</v>
      </c>
      <c r="H8" s="27">
        <f t="shared" ref="H8:H59" si="16">IF(F8=0,"",F8-F7+G8)</f>
        <v>50.6</v>
      </c>
      <c r="I8" s="216">
        <f t="shared" ref="I8:I59" si="17">IF(E8=0,"",$H8/$E8)</f>
        <v>11.5</v>
      </c>
      <c r="J8" s="29">
        <f ca="1">IF($J$5&gt;=B8,"N/A",SUM(INDIRECT(ADDRESS(6+(MATCH($J$5,$B$6:$B$59,0)),8)):H8))</f>
        <v>50.6</v>
      </c>
      <c r="K8" s="10">
        <v>988.5</v>
      </c>
      <c r="L8" s="88"/>
      <c r="M8" s="4">
        <f t="shared" ref="M8:M59" si="18">IF(K8="","",K7-K8+L8)</f>
        <v>51.5</v>
      </c>
      <c r="N8" s="220">
        <f t="shared" si="0"/>
        <v>11.704545454545453</v>
      </c>
      <c r="O8" s="30">
        <f ca="1">IF($O$5&gt;=B8,"N/A",SUM(INDIRECT(ADDRESS(6+(MATCH($O$5,$B$6:$B$59,0)),13)):M8))</f>
        <v>51.5</v>
      </c>
      <c r="P8" s="175">
        <f t="shared" ref="P8:P59" si="19">IF(AQ8="","",AQ8)</f>
        <v>67.599999999999994</v>
      </c>
      <c r="Q8" s="175">
        <f t="shared" ref="Q8:Q59" si="20">IF(AY8="","",AY8)</f>
        <v>-6.3215463491584067</v>
      </c>
      <c r="R8" s="175">
        <f t="shared" ref="R8:R59" si="21">IF(AR8="","",AR8)</f>
        <v>48.4379712</v>
      </c>
      <c r="S8" s="70" t="str">
        <f t="shared" ref="S8:S59" si="22">IF($A8="","",$A8)</f>
        <v>NOON</v>
      </c>
      <c r="T8" s="241">
        <f t="shared" ref="T8:T59" si="23">IF($B8="","",$B8)</f>
        <v>42191.5</v>
      </c>
      <c r="U8" s="157">
        <f t="shared" si="1"/>
        <v>4.4000000000000004</v>
      </c>
      <c r="V8" s="158">
        <f t="shared" si="2"/>
        <v>0.6</v>
      </c>
      <c r="W8" s="158">
        <f t="shared" si="3"/>
        <v>0</v>
      </c>
      <c r="X8" s="199">
        <f t="shared" si="4"/>
        <v>5</v>
      </c>
      <c r="Y8" s="159">
        <f t="shared" si="5"/>
        <v>1123.2999999999997</v>
      </c>
      <c r="Z8" s="181"/>
      <c r="AA8" s="148">
        <f t="shared" si="6"/>
        <v>0</v>
      </c>
      <c r="AB8" s="149">
        <f t="shared" si="7"/>
        <v>0</v>
      </c>
      <c r="AC8" s="149">
        <f t="shared" si="8"/>
        <v>0</v>
      </c>
      <c r="AD8" s="203">
        <f t="shared" si="9"/>
        <v>0</v>
      </c>
      <c r="AE8" s="150">
        <f t="shared" si="10"/>
        <v>126.20000000000053</v>
      </c>
      <c r="AF8" s="182"/>
      <c r="AG8" s="139">
        <f t="shared" si="11"/>
        <v>3</v>
      </c>
      <c r="AH8" s="140">
        <f t="shared" si="12"/>
        <v>4</v>
      </c>
      <c r="AI8" s="141">
        <f t="shared" si="13"/>
        <v>394</v>
      </c>
      <c r="AJ8" s="166">
        <f t="shared" si="14"/>
        <v>37551</v>
      </c>
      <c r="AK8" s="167">
        <f t="shared" si="14"/>
        <v>17500</v>
      </c>
      <c r="AL8" s="168">
        <f t="shared" si="15"/>
        <v>6150</v>
      </c>
      <c r="AM8" s="237">
        <f t="shared" ref="AM8:AM20" si="24">((R8-H8)/H8)</f>
        <v>-4.2727841897233235E-2</v>
      </c>
      <c r="AN8" s="70" t="str">
        <f t="shared" ref="AN8:AN59" si="25">IF($A8="","",$A8)</f>
        <v>NOON</v>
      </c>
      <c r="AO8" s="241">
        <f t="shared" ref="AO8:AO59" si="26">IF($B8="","",$B8)</f>
        <v>42191.5</v>
      </c>
      <c r="AP8" s="441"/>
      <c r="AQ8" s="98">
        <v>67.599999999999994</v>
      </c>
      <c r="AR8" s="99">
        <v>48.4379712</v>
      </c>
      <c r="AS8" s="99">
        <v>11.008629818181817</v>
      </c>
      <c r="AT8" s="100">
        <v>51.5</v>
      </c>
      <c r="AU8" s="101">
        <v>11.704545454545453</v>
      </c>
      <c r="AV8" s="100">
        <v>51.5</v>
      </c>
      <c r="AW8" s="101">
        <v>11.704545454545453</v>
      </c>
      <c r="AX8" s="101">
        <v>-6.3215463491584067</v>
      </c>
      <c r="AY8" s="99">
        <v>-6.3215463491584067</v>
      </c>
      <c r="AZ8" s="102"/>
      <c r="BA8" s="102"/>
      <c r="BB8" s="105">
        <v>3.7477999999999998</v>
      </c>
      <c r="BC8" s="104">
        <v>4.4000000000000004</v>
      </c>
      <c r="BD8" s="98">
        <v>0</v>
      </c>
      <c r="BE8" s="105">
        <v>0.53619999999999979</v>
      </c>
      <c r="BF8" s="104">
        <v>0.6</v>
      </c>
      <c r="BG8" s="106">
        <v>0</v>
      </c>
      <c r="BH8" s="104">
        <v>0</v>
      </c>
      <c r="BI8" s="98">
        <v>0</v>
      </c>
      <c r="BJ8" s="105">
        <v>0</v>
      </c>
      <c r="BK8" s="104">
        <v>0</v>
      </c>
      <c r="BL8" s="104">
        <v>0</v>
      </c>
      <c r="BM8" s="107"/>
      <c r="BN8" s="108">
        <v>5</v>
      </c>
      <c r="BO8" s="108">
        <v>0</v>
      </c>
      <c r="BP8" s="109">
        <v>0</v>
      </c>
      <c r="BQ8" s="110"/>
      <c r="BR8" s="108">
        <v>1123.2999999999997</v>
      </c>
      <c r="BS8" s="109">
        <v>0</v>
      </c>
      <c r="BT8" s="109">
        <v>126.20000000000053</v>
      </c>
      <c r="BU8" s="107"/>
      <c r="BV8" s="111">
        <v>20</v>
      </c>
      <c r="BW8" s="98">
        <v>4</v>
      </c>
      <c r="BX8" s="113"/>
      <c r="BY8" s="113">
        <v>279</v>
      </c>
      <c r="BZ8" s="114">
        <v>279</v>
      </c>
      <c r="CA8" s="114">
        <v>26</v>
      </c>
      <c r="CB8" s="114">
        <v>89</v>
      </c>
      <c r="CC8" s="99">
        <v>394</v>
      </c>
      <c r="CD8" s="115">
        <v>-8</v>
      </c>
      <c r="CE8" s="116">
        <v>3</v>
      </c>
      <c r="CF8" s="117">
        <v>0</v>
      </c>
      <c r="CG8" s="118" t="s">
        <v>39</v>
      </c>
      <c r="CH8" s="117">
        <v>0</v>
      </c>
      <c r="CI8" s="118" t="s">
        <v>39</v>
      </c>
      <c r="CJ8" s="117">
        <v>0</v>
      </c>
      <c r="CK8" s="118" t="s">
        <v>39</v>
      </c>
      <c r="CL8" s="119"/>
      <c r="CM8" s="122">
        <v>49</v>
      </c>
      <c r="CN8" s="121">
        <v>49</v>
      </c>
      <c r="CO8" s="120">
        <v>0</v>
      </c>
      <c r="CP8" s="121">
        <v>37551</v>
      </c>
      <c r="CQ8" s="121">
        <v>17500</v>
      </c>
      <c r="CR8" s="100"/>
      <c r="CS8" s="121">
        <v>6150</v>
      </c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11</v>
      </c>
      <c r="B9" s="442">
        <v>42192.5</v>
      </c>
      <c r="C9" s="443"/>
      <c r="D9" s="84"/>
      <c r="E9" s="23">
        <v>24</v>
      </c>
      <c r="F9" s="15">
        <v>344.5</v>
      </c>
      <c r="G9" s="213"/>
      <c r="H9" s="27">
        <f t="shared" si="16"/>
        <v>293.89999999999998</v>
      </c>
      <c r="I9" s="216">
        <f t="shared" si="17"/>
        <v>12.245833333333332</v>
      </c>
      <c r="J9" s="29">
        <f ca="1">IF($J$5&gt;=B9,"N/A",SUM(INDIRECT(ADDRESS(6+(MATCH($J$5,$B$6:$B$59,0)),8)):H9))</f>
        <v>344.5</v>
      </c>
      <c r="K9" s="10">
        <v>718.2</v>
      </c>
      <c r="L9" s="88"/>
      <c r="M9" s="4">
        <f t="shared" si="18"/>
        <v>270.29999999999995</v>
      </c>
      <c r="N9" s="220">
        <f t="shared" si="0"/>
        <v>11.262499999999998</v>
      </c>
      <c r="O9" s="30">
        <f ca="1">IF($O$5&gt;=B9,"N/A",SUM(INDIRECT(ADDRESS(6+(MATCH($O$5,$B$6:$B$59,0)),13)):M9))</f>
        <v>321.79999999999995</v>
      </c>
      <c r="P9" s="175">
        <f t="shared" si="19"/>
        <v>69.900000000000006</v>
      </c>
      <c r="Q9" s="175">
        <f t="shared" si="20"/>
        <v>1.054156062805657</v>
      </c>
      <c r="R9" s="175">
        <f t="shared" si="21"/>
        <v>273.17974079999999</v>
      </c>
      <c r="S9" s="70" t="str">
        <f t="shared" si="22"/>
        <v>NOON</v>
      </c>
      <c r="T9" s="241">
        <f t="shared" si="23"/>
        <v>42192.5</v>
      </c>
      <c r="U9" s="157">
        <f t="shared" si="1"/>
        <v>20.9</v>
      </c>
      <c r="V9" s="158">
        <f t="shared" si="2"/>
        <v>3.1</v>
      </c>
      <c r="W9" s="158">
        <f t="shared" si="3"/>
        <v>0</v>
      </c>
      <c r="X9" s="199">
        <f t="shared" si="4"/>
        <v>24</v>
      </c>
      <c r="Y9" s="159">
        <f t="shared" si="5"/>
        <v>1099.2999999999997</v>
      </c>
      <c r="Z9" s="181"/>
      <c r="AA9" s="148">
        <f t="shared" si="6"/>
        <v>0</v>
      </c>
      <c r="AB9" s="149">
        <f t="shared" si="7"/>
        <v>0.1</v>
      </c>
      <c r="AC9" s="149">
        <f t="shared" si="8"/>
        <v>0</v>
      </c>
      <c r="AD9" s="203">
        <f t="shared" si="9"/>
        <v>0.1</v>
      </c>
      <c r="AE9" s="150">
        <f t="shared" si="10"/>
        <v>126.10000000000053</v>
      </c>
      <c r="AF9" s="182"/>
      <c r="AG9" s="139">
        <f t="shared" si="11"/>
        <v>6</v>
      </c>
      <c r="AH9" s="140">
        <f t="shared" si="12"/>
        <v>1</v>
      </c>
      <c r="AI9" s="141">
        <f t="shared" si="13"/>
        <v>388</v>
      </c>
      <c r="AJ9" s="166">
        <f t="shared" si="14"/>
        <v>37267</v>
      </c>
      <c r="AK9" s="167">
        <f t="shared" si="14"/>
        <v>17500</v>
      </c>
      <c r="AL9" s="168">
        <f t="shared" si="15"/>
        <v>6100</v>
      </c>
      <c r="AM9" s="237">
        <f t="shared" si="24"/>
        <v>-7.0501052058523264E-2</v>
      </c>
      <c r="AN9" s="70" t="str">
        <f t="shared" si="25"/>
        <v>NOON</v>
      </c>
      <c r="AO9" s="241">
        <f t="shared" si="26"/>
        <v>42192.5</v>
      </c>
      <c r="AP9" s="441"/>
      <c r="AQ9" s="98">
        <v>69.900000000000006</v>
      </c>
      <c r="AR9" s="99">
        <v>273.17974079999999</v>
      </c>
      <c r="AS9" s="99">
        <v>11.3824892</v>
      </c>
      <c r="AT9" s="100">
        <v>270.3</v>
      </c>
      <c r="AU9" s="101">
        <v>11.262500000000001</v>
      </c>
      <c r="AV9" s="100">
        <v>270.3</v>
      </c>
      <c r="AW9" s="101">
        <v>11.262500000000001</v>
      </c>
      <c r="AX9" s="101">
        <v>1.054156062805657</v>
      </c>
      <c r="AY9" s="99">
        <v>1.054156062805657</v>
      </c>
      <c r="AZ9" s="102"/>
      <c r="BA9" s="102"/>
      <c r="BB9" s="105">
        <v>20.46</v>
      </c>
      <c r="BC9" s="104">
        <v>20.9</v>
      </c>
      <c r="BD9" s="98">
        <v>0</v>
      </c>
      <c r="BE9" s="105">
        <v>3.5375999999999985</v>
      </c>
      <c r="BF9" s="104">
        <v>3.1</v>
      </c>
      <c r="BG9" s="106">
        <v>0</v>
      </c>
      <c r="BH9" s="104">
        <v>0</v>
      </c>
      <c r="BI9" s="98">
        <v>0.1</v>
      </c>
      <c r="BJ9" s="105">
        <v>0</v>
      </c>
      <c r="BK9" s="104">
        <v>0</v>
      </c>
      <c r="BL9" s="104">
        <v>0</v>
      </c>
      <c r="BM9" s="107"/>
      <c r="BN9" s="108">
        <v>24</v>
      </c>
      <c r="BO9" s="108">
        <v>0</v>
      </c>
      <c r="BP9" s="109">
        <v>0.1</v>
      </c>
      <c r="BQ9" s="110"/>
      <c r="BR9" s="108">
        <v>1099.2999999999997</v>
      </c>
      <c r="BS9" s="109">
        <v>0</v>
      </c>
      <c r="BT9" s="109">
        <v>126.10000000000053</v>
      </c>
      <c r="BU9" s="107"/>
      <c r="BV9" s="111">
        <v>1</v>
      </c>
      <c r="BW9" s="98">
        <v>1</v>
      </c>
      <c r="BX9" s="113"/>
      <c r="BY9" s="113">
        <v>275</v>
      </c>
      <c r="BZ9" s="114">
        <v>275</v>
      </c>
      <c r="CA9" s="114">
        <v>25</v>
      </c>
      <c r="CB9" s="114">
        <v>88</v>
      </c>
      <c r="CC9" s="99">
        <v>388</v>
      </c>
      <c r="CD9" s="111">
        <v>7</v>
      </c>
      <c r="CE9" s="116">
        <v>6</v>
      </c>
      <c r="CF9" s="117">
        <v>0</v>
      </c>
      <c r="CG9" s="118" t="s">
        <v>39</v>
      </c>
      <c r="CH9" s="117">
        <v>0</v>
      </c>
      <c r="CI9" s="118" t="s">
        <v>39</v>
      </c>
      <c r="CJ9" s="117">
        <v>0</v>
      </c>
      <c r="CK9" s="118" t="s">
        <v>39</v>
      </c>
      <c r="CL9" s="119"/>
      <c r="CM9" s="122">
        <v>284</v>
      </c>
      <c r="CN9" s="121">
        <v>284</v>
      </c>
      <c r="CO9" s="120">
        <v>0</v>
      </c>
      <c r="CP9" s="121">
        <v>37267</v>
      </c>
      <c r="CQ9" s="121">
        <v>17500</v>
      </c>
      <c r="CR9" s="100"/>
      <c r="CS9" s="121">
        <v>6100</v>
      </c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11</v>
      </c>
      <c r="B10" s="442">
        <v>42193.5</v>
      </c>
      <c r="C10" s="443"/>
      <c r="D10" s="84"/>
      <c r="E10" s="23">
        <v>23</v>
      </c>
      <c r="F10" s="15">
        <v>600.4</v>
      </c>
      <c r="G10" s="213"/>
      <c r="H10" s="27">
        <f t="shared" si="16"/>
        <v>255.89999999999998</v>
      </c>
      <c r="I10" s="216">
        <f t="shared" si="17"/>
        <v>11.126086956521737</v>
      </c>
      <c r="J10" s="29">
        <f ca="1">IF($J$5&gt;=B10,"N/A",SUM(INDIRECT(ADDRESS(6+(MATCH($J$5,$B$6:$B$59,0)),8)):H10))</f>
        <v>600.4</v>
      </c>
      <c r="K10" s="10">
        <v>441.4</v>
      </c>
      <c r="L10" s="88">
        <v>-10.6</v>
      </c>
      <c r="M10" s="4">
        <f t="shared" si="18"/>
        <v>266.20000000000005</v>
      </c>
      <c r="N10" s="220">
        <f t="shared" si="0"/>
        <v>11.573913043478262</v>
      </c>
      <c r="O10" s="30">
        <f ca="1">IF($O$5&gt;=B10,"N/A",SUM(INDIRECT(ADDRESS(6+(MATCH($O$5,$B$6:$B$59,0)),13)):M10))</f>
        <v>588</v>
      </c>
      <c r="P10" s="175">
        <f t="shared" si="19"/>
        <v>70.099999999999994</v>
      </c>
      <c r="Q10" s="175">
        <f t="shared" si="20"/>
        <v>-1.4955922650895384</v>
      </c>
      <c r="R10" s="175">
        <f t="shared" si="21"/>
        <v>262.2773995</v>
      </c>
      <c r="S10" s="70" t="str">
        <f t="shared" si="22"/>
        <v>NOON</v>
      </c>
      <c r="T10" s="241">
        <f t="shared" si="23"/>
        <v>42193.5</v>
      </c>
      <c r="U10" s="157">
        <f t="shared" si="1"/>
        <v>20.399999999999999</v>
      </c>
      <c r="V10" s="158">
        <f t="shared" si="2"/>
        <v>2.8</v>
      </c>
      <c r="W10" s="158">
        <f t="shared" si="3"/>
        <v>0</v>
      </c>
      <c r="X10" s="199">
        <f t="shared" si="4"/>
        <v>23.2</v>
      </c>
      <c r="Y10" s="159">
        <f t="shared" si="5"/>
        <v>1076.0999999999997</v>
      </c>
      <c r="Z10" s="181"/>
      <c r="AA10" s="148">
        <f t="shared" si="6"/>
        <v>0</v>
      </c>
      <c r="AB10" s="149">
        <f t="shared" si="7"/>
        <v>0</v>
      </c>
      <c r="AC10" s="149">
        <f t="shared" si="8"/>
        <v>0</v>
      </c>
      <c r="AD10" s="203">
        <f t="shared" si="9"/>
        <v>0</v>
      </c>
      <c r="AE10" s="150">
        <f t="shared" si="10"/>
        <v>126.10000000000053</v>
      </c>
      <c r="AF10" s="182"/>
      <c r="AG10" s="139">
        <f t="shared" si="11"/>
        <v>15</v>
      </c>
      <c r="AH10" s="140">
        <f t="shared" si="12"/>
        <v>14</v>
      </c>
      <c r="AI10" s="141">
        <f t="shared" si="13"/>
        <v>387</v>
      </c>
      <c r="AJ10" s="166">
        <f t="shared" si="14"/>
        <v>36999</v>
      </c>
      <c r="AK10" s="167">
        <f t="shared" si="14"/>
        <v>17500</v>
      </c>
      <c r="AL10" s="168">
        <f t="shared" si="15"/>
        <v>6050</v>
      </c>
      <c r="AM10" s="237">
        <f t="shared" si="24"/>
        <v>2.492145173896063E-2</v>
      </c>
      <c r="AN10" s="70" t="str">
        <f t="shared" si="25"/>
        <v>NOON</v>
      </c>
      <c r="AO10" s="241">
        <f t="shared" si="26"/>
        <v>42193.5</v>
      </c>
      <c r="AP10" s="441"/>
      <c r="AQ10" s="98">
        <v>70.099999999999994</v>
      </c>
      <c r="AR10" s="99">
        <v>262.2773995</v>
      </c>
      <c r="AS10" s="99">
        <v>11.403365195652174</v>
      </c>
      <c r="AT10" s="100">
        <v>266.2</v>
      </c>
      <c r="AU10" s="101">
        <v>11.57391304347826</v>
      </c>
      <c r="AV10" s="100">
        <v>266.2</v>
      </c>
      <c r="AW10" s="101">
        <v>11.57391304347826</v>
      </c>
      <c r="AX10" s="101">
        <v>-1.4955922650895384</v>
      </c>
      <c r="AY10" s="99">
        <v>-1.4955922650895384</v>
      </c>
      <c r="AZ10" s="102"/>
      <c r="BA10" s="102"/>
      <c r="BB10" s="103">
        <v>20.208799999999997</v>
      </c>
      <c r="BC10" s="104">
        <v>20.399999999999999</v>
      </c>
      <c r="BD10" s="98">
        <v>0</v>
      </c>
      <c r="BE10" s="105">
        <v>2.9967999999999995</v>
      </c>
      <c r="BF10" s="104">
        <v>2.8</v>
      </c>
      <c r="BG10" s="115">
        <v>0</v>
      </c>
      <c r="BH10" s="104">
        <v>0</v>
      </c>
      <c r="BI10" s="98">
        <v>0</v>
      </c>
      <c r="BJ10" s="105">
        <v>0</v>
      </c>
      <c r="BK10" s="104">
        <v>0</v>
      </c>
      <c r="BL10" s="104">
        <v>0</v>
      </c>
      <c r="BM10" s="107"/>
      <c r="BN10" s="108">
        <v>23.2</v>
      </c>
      <c r="BO10" s="108">
        <v>0</v>
      </c>
      <c r="BP10" s="109">
        <v>0</v>
      </c>
      <c r="BQ10" s="110"/>
      <c r="BR10" s="108">
        <v>1076.0999999999997</v>
      </c>
      <c r="BS10" s="109">
        <v>0</v>
      </c>
      <c r="BT10" s="109">
        <v>126.10000000000053</v>
      </c>
      <c r="BU10" s="107"/>
      <c r="BV10" s="111">
        <v>14</v>
      </c>
      <c r="BW10" s="98">
        <v>14</v>
      </c>
      <c r="BX10" s="113"/>
      <c r="BY10" s="113">
        <v>263</v>
      </c>
      <c r="BZ10" s="114">
        <v>263</v>
      </c>
      <c r="CA10" s="114">
        <v>36</v>
      </c>
      <c r="CB10" s="114">
        <v>88</v>
      </c>
      <c r="CC10" s="99">
        <v>387</v>
      </c>
      <c r="CD10" s="115">
        <v>15</v>
      </c>
      <c r="CE10" s="116">
        <v>15</v>
      </c>
      <c r="CF10" s="117">
        <v>0</v>
      </c>
      <c r="CG10" s="118" t="s">
        <v>39</v>
      </c>
      <c r="CH10" s="117">
        <v>0</v>
      </c>
      <c r="CI10" s="118" t="s">
        <v>39</v>
      </c>
      <c r="CJ10" s="117">
        <v>0</v>
      </c>
      <c r="CK10" s="118" t="s">
        <v>39</v>
      </c>
      <c r="CL10" s="119"/>
      <c r="CM10" s="120">
        <v>268</v>
      </c>
      <c r="CN10" s="121">
        <v>268</v>
      </c>
      <c r="CO10" s="120">
        <v>0</v>
      </c>
      <c r="CP10" s="121">
        <v>36999</v>
      </c>
      <c r="CQ10" s="121">
        <v>17500</v>
      </c>
      <c r="CR10" s="100"/>
      <c r="CS10" s="121">
        <v>6050</v>
      </c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11</v>
      </c>
      <c r="B11" s="442">
        <v>42194.5</v>
      </c>
      <c r="C11" s="443"/>
      <c r="D11" s="84"/>
      <c r="E11" s="23">
        <v>24</v>
      </c>
      <c r="F11" s="15">
        <v>853.8</v>
      </c>
      <c r="G11" s="213"/>
      <c r="H11" s="27">
        <f t="shared" si="16"/>
        <v>253.39999999999998</v>
      </c>
      <c r="I11" s="216">
        <f t="shared" si="17"/>
        <v>10.558333333333332</v>
      </c>
      <c r="J11" s="29">
        <f ca="1">IF($J$5&gt;=B11,"N/A",SUM(INDIRECT(ADDRESS(6+(MATCH($J$5,$B$6:$B$59,0)),8)):H11))</f>
        <v>853.8</v>
      </c>
      <c r="K11" s="10">
        <v>183.5</v>
      </c>
      <c r="L11" s="88"/>
      <c r="M11" s="4">
        <f t="shared" si="18"/>
        <v>257.89999999999998</v>
      </c>
      <c r="N11" s="220">
        <f t="shared" si="0"/>
        <v>10.745833333333332</v>
      </c>
      <c r="O11" s="30">
        <f ca="1">IF($O$5&gt;=B11,"N/A",SUM(INDIRECT(ADDRESS(6+(MATCH($O$5,$B$6:$B$59,0)),13)):M11))</f>
        <v>845.9</v>
      </c>
      <c r="P11" s="175">
        <f t="shared" si="19"/>
        <v>66.099999999999994</v>
      </c>
      <c r="Q11" s="175">
        <f t="shared" si="20"/>
        <v>0.17290610053907704</v>
      </c>
      <c r="R11" s="175">
        <f t="shared" si="21"/>
        <v>258.34669719999999</v>
      </c>
      <c r="S11" s="70" t="str">
        <f t="shared" si="22"/>
        <v>NOON</v>
      </c>
      <c r="T11" s="241">
        <f t="shared" si="23"/>
        <v>42194.5</v>
      </c>
      <c r="U11" s="157">
        <f t="shared" si="1"/>
        <v>18.899999999999999</v>
      </c>
      <c r="V11" s="158">
        <f t="shared" si="2"/>
        <v>2.9</v>
      </c>
      <c r="W11" s="158">
        <f t="shared" si="3"/>
        <v>0.3</v>
      </c>
      <c r="X11" s="199">
        <f t="shared" si="4"/>
        <v>22.099999999999998</v>
      </c>
      <c r="Y11" s="159">
        <f t="shared" si="5"/>
        <v>1053.9999999999998</v>
      </c>
      <c r="Z11" s="181"/>
      <c r="AA11" s="148">
        <f t="shared" si="6"/>
        <v>0</v>
      </c>
      <c r="AB11" s="149">
        <f t="shared" si="7"/>
        <v>0</v>
      </c>
      <c r="AC11" s="149">
        <f t="shared" si="8"/>
        <v>0</v>
      </c>
      <c r="AD11" s="203">
        <f t="shared" si="9"/>
        <v>0</v>
      </c>
      <c r="AE11" s="150">
        <f t="shared" si="10"/>
        <v>126.10000000000053</v>
      </c>
      <c r="AF11" s="182"/>
      <c r="AG11" s="139">
        <f t="shared" si="11"/>
        <v>8</v>
      </c>
      <c r="AH11" s="140">
        <f t="shared" si="12"/>
        <v>14</v>
      </c>
      <c r="AI11" s="141">
        <f t="shared" si="13"/>
        <v>393</v>
      </c>
      <c r="AJ11" s="166">
        <f t="shared" si="14"/>
        <v>36723</v>
      </c>
      <c r="AK11" s="167">
        <f t="shared" si="14"/>
        <v>17500</v>
      </c>
      <c r="AL11" s="168">
        <f t="shared" si="15"/>
        <v>6000</v>
      </c>
      <c r="AM11" s="237">
        <f t="shared" si="24"/>
        <v>1.9521299131807487E-2</v>
      </c>
      <c r="AN11" s="70" t="str">
        <f t="shared" si="25"/>
        <v>NOON</v>
      </c>
      <c r="AO11" s="241">
        <f t="shared" si="26"/>
        <v>42194.5</v>
      </c>
      <c r="AP11" s="441"/>
      <c r="AQ11" s="98">
        <v>66.099999999999994</v>
      </c>
      <c r="AR11" s="99">
        <v>258.34669719999999</v>
      </c>
      <c r="AS11" s="99">
        <v>10.764445716666666</v>
      </c>
      <c r="AT11" s="100">
        <v>257.89999999999998</v>
      </c>
      <c r="AU11" s="101">
        <v>10.745833333333332</v>
      </c>
      <c r="AV11" s="100">
        <v>257.89999999999998</v>
      </c>
      <c r="AW11" s="101">
        <v>10.745833333333332</v>
      </c>
      <c r="AX11" s="101">
        <v>0.17290610053907704</v>
      </c>
      <c r="AY11" s="99">
        <v>0.17290610053907704</v>
      </c>
      <c r="AZ11" s="102"/>
      <c r="BA11" s="102"/>
      <c r="BB11" s="103">
        <v>18.4726</v>
      </c>
      <c r="BC11" s="104">
        <v>18.899999999999999</v>
      </c>
      <c r="BD11" s="98">
        <v>0</v>
      </c>
      <c r="BE11" s="105">
        <v>3.5362000000000009</v>
      </c>
      <c r="BF11" s="104">
        <v>2.9</v>
      </c>
      <c r="BG11" s="115">
        <v>0</v>
      </c>
      <c r="BH11" s="104">
        <v>0</v>
      </c>
      <c r="BI11" s="98">
        <v>0</v>
      </c>
      <c r="BJ11" s="105">
        <v>0.3916</v>
      </c>
      <c r="BK11" s="104">
        <v>0.3</v>
      </c>
      <c r="BL11" s="104">
        <v>0</v>
      </c>
      <c r="BM11" s="107"/>
      <c r="BN11" s="108">
        <v>22.099999999999998</v>
      </c>
      <c r="BO11" s="108">
        <v>0</v>
      </c>
      <c r="BP11" s="109">
        <v>0</v>
      </c>
      <c r="BQ11" s="110"/>
      <c r="BR11" s="108">
        <v>1053.9999999999998</v>
      </c>
      <c r="BS11" s="109">
        <v>0</v>
      </c>
      <c r="BT11" s="109">
        <v>126.10000000000053</v>
      </c>
      <c r="BU11" s="107"/>
      <c r="BV11" s="111">
        <v>13</v>
      </c>
      <c r="BW11" s="98">
        <v>14</v>
      </c>
      <c r="BX11" s="113"/>
      <c r="BY11" s="113">
        <v>256</v>
      </c>
      <c r="BZ11" s="114">
        <v>256</v>
      </c>
      <c r="CA11" s="114">
        <v>50</v>
      </c>
      <c r="CB11" s="114">
        <v>87</v>
      </c>
      <c r="CC11" s="99">
        <v>393</v>
      </c>
      <c r="CD11" s="115">
        <v>8</v>
      </c>
      <c r="CE11" s="116">
        <v>8</v>
      </c>
      <c r="CF11" s="117">
        <v>0</v>
      </c>
      <c r="CG11" s="118" t="s">
        <v>39</v>
      </c>
      <c r="CH11" s="117">
        <v>0</v>
      </c>
      <c r="CI11" s="118" t="s">
        <v>39</v>
      </c>
      <c r="CJ11" s="117">
        <v>0</v>
      </c>
      <c r="CK11" s="118" t="s">
        <v>39</v>
      </c>
      <c r="CL11" s="119"/>
      <c r="CM11" s="120">
        <v>276</v>
      </c>
      <c r="CN11" s="121">
        <v>276</v>
      </c>
      <c r="CO11" s="120">
        <v>0</v>
      </c>
      <c r="CP11" s="121">
        <v>36723</v>
      </c>
      <c r="CQ11" s="121">
        <v>17500</v>
      </c>
      <c r="CR11" s="100"/>
      <c r="CS11" s="121">
        <v>6000</v>
      </c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11</v>
      </c>
      <c r="B12" s="442">
        <v>42195.5</v>
      </c>
      <c r="C12" s="443"/>
      <c r="D12" s="84"/>
      <c r="E12" s="23">
        <v>6.8</v>
      </c>
      <c r="F12" s="15">
        <v>921</v>
      </c>
      <c r="G12" s="213"/>
      <c r="H12" s="27">
        <f t="shared" si="16"/>
        <v>67.200000000000045</v>
      </c>
      <c r="I12" s="216">
        <f t="shared" si="17"/>
        <v>9.8823529411764781</v>
      </c>
      <c r="J12" s="29">
        <f ca="1">IF($J$5&gt;=B12,"N/A",SUM(INDIRECT(ADDRESS(6+(MATCH($J$5,$B$6:$B$59,0)),8)):H12))</f>
        <v>921</v>
      </c>
      <c r="K12" s="10">
        <v>122.4</v>
      </c>
      <c r="L12" s="88"/>
      <c r="M12" s="4">
        <f t="shared" si="18"/>
        <v>61.099999999999994</v>
      </c>
      <c r="N12" s="220">
        <f t="shared" si="0"/>
        <v>8.985294117647058</v>
      </c>
      <c r="O12" s="30">
        <f ca="1">IF($O$5&gt;=B12,"N/A",SUM(INDIRECT(ADDRESS(6+(MATCH($O$5,$B$6:$B$59,0)),13)):M12))</f>
        <v>907</v>
      </c>
      <c r="P12" s="175">
        <f t="shared" si="19"/>
        <v>71</v>
      </c>
      <c r="Q12" s="175">
        <f t="shared" si="20"/>
        <v>-5.2311945878966277</v>
      </c>
      <c r="R12" s="175">
        <f t="shared" si="21"/>
        <v>58.062630800000001</v>
      </c>
      <c r="S12" s="70" t="str">
        <f t="shared" si="22"/>
        <v>NOON</v>
      </c>
      <c r="T12" s="241">
        <f t="shared" si="23"/>
        <v>42195.5</v>
      </c>
      <c r="U12" s="157">
        <f t="shared" si="1"/>
        <v>3.9</v>
      </c>
      <c r="V12" s="158">
        <f t="shared" si="2"/>
        <v>3.8</v>
      </c>
      <c r="W12" s="158">
        <f t="shared" si="3"/>
        <v>2.9</v>
      </c>
      <c r="X12" s="199">
        <f t="shared" si="4"/>
        <v>10.6</v>
      </c>
      <c r="Y12" s="159">
        <f t="shared" si="5"/>
        <v>1043.3999999999999</v>
      </c>
      <c r="Z12" s="181"/>
      <c r="AA12" s="148">
        <f t="shared" si="6"/>
        <v>0</v>
      </c>
      <c r="AB12" s="149">
        <f t="shared" si="7"/>
        <v>0</v>
      </c>
      <c r="AC12" s="149">
        <f t="shared" si="8"/>
        <v>0</v>
      </c>
      <c r="AD12" s="203">
        <f t="shared" si="9"/>
        <v>0</v>
      </c>
      <c r="AE12" s="150">
        <f t="shared" si="10"/>
        <v>126.10000000000053</v>
      </c>
      <c r="AF12" s="182"/>
      <c r="AG12" s="139">
        <f t="shared" si="11"/>
        <v>5</v>
      </c>
      <c r="AH12" s="140">
        <f t="shared" si="12"/>
        <v>12</v>
      </c>
      <c r="AI12" s="141">
        <f t="shared" si="13"/>
        <v>400</v>
      </c>
      <c r="AJ12" s="166">
        <f t="shared" si="14"/>
        <v>36637</v>
      </c>
      <c r="AK12" s="167">
        <f t="shared" si="14"/>
        <v>17500</v>
      </c>
      <c r="AL12" s="168">
        <f t="shared" si="15"/>
        <v>6000</v>
      </c>
      <c r="AM12" s="237">
        <f t="shared" si="24"/>
        <v>-0.13597275595238154</v>
      </c>
      <c r="AN12" s="70" t="str">
        <f t="shared" si="25"/>
        <v>NOON</v>
      </c>
      <c r="AO12" s="241">
        <f t="shared" si="26"/>
        <v>42195.5</v>
      </c>
      <c r="AP12" s="45" t="s">
        <v>40</v>
      </c>
      <c r="AQ12" s="98">
        <v>71</v>
      </c>
      <c r="AR12" s="99">
        <v>58.062630800000001</v>
      </c>
      <c r="AS12" s="99">
        <v>11.61252616</v>
      </c>
      <c r="AT12" s="100">
        <v>61.1</v>
      </c>
      <c r="AU12" s="101">
        <v>12.22</v>
      </c>
      <c r="AV12" s="100">
        <v>61.1</v>
      </c>
      <c r="AW12" s="101">
        <v>12.22</v>
      </c>
      <c r="AX12" s="101">
        <v>-5.2311945878966277</v>
      </c>
      <c r="AY12" s="99">
        <v>-5.2311945878966277</v>
      </c>
      <c r="AZ12" s="102"/>
      <c r="BA12" s="102"/>
      <c r="BB12" s="103">
        <v>2.6996000000000029</v>
      </c>
      <c r="BC12" s="104">
        <v>3.9</v>
      </c>
      <c r="BD12" s="98">
        <v>0</v>
      </c>
      <c r="BE12" s="105">
        <v>5.1203999999999974</v>
      </c>
      <c r="BF12" s="104">
        <v>3.8</v>
      </c>
      <c r="BG12" s="115">
        <v>0</v>
      </c>
      <c r="BH12" s="104">
        <v>0</v>
      </c>
      <c r="BI12" s="98">
        <v>0</v>
      </c>
      <c r="BJ12" s="105">
        <v>3.3108</v>
      </c>
      <c r="BK12" s="104">
        <v>2.9</v>
      </c>
      <c r="BL12" s="104">
        <v>0</v>
      </c>
      <c r="BM12" s="107"/>
      <c r="BN12" s="108">
        <v>10.6</v>
      </c>
      <c r="BO12" s="108">
        <v>0</v>
      </c>
      <c r="BP12" s="109">
        <v>0</v>
      </c>
      <c r="BQ12" s="110"/>
      <c r="BR12" s="108">
        <v>1043.3999999999999</v>
      </c>
      <c r="BS12" s="109">
        <v>0</v>
      </c>
      <c r="BT12" s="109">
        <v>126.10000000000053</v>
      </c>
      <c r="BU12" s="107"/>
      <c r="BV12" s="111">
        <v>12</v>
      </c>
      <c r="BW12" s="98">
        <v>12</v>
      </c>
      <c r="BX12" s="113"/>
      <c r="BY12" s="113">
        <v>252</v>
      </c>
      <c r="BZ12" s="114">
        <v>152</v>
      </c>
      <c r="CA12" s="114">
        <v>61</v>
      </c>
      <c r="CB12" s="114">
        <v>87</v>
      </c>
      <c r="CC12" s="99">
        <v>400</v>
      </c>
      <c r="CD12" s="115">
        <v>5</v>
      </c>
      <c r="CE12" s="116">
        <v>5</v>
      </c>
      <c r="CF12" s="117">
        <v>0</v>
      </c>
      <c r="CG12" s="118" t="s">
        <v>39</v>
      </c>
      <c r="CH12" s="117">
        <v>0</v>
      </c>
      <c r="CI12" s="118" t="s">
        <v>39</v>
      </c>
      <c r="CJ12" s="117">
        <v>0</v>
      </c>
      <c r="CK12" s="118" t="s">
        <v>39</v>
      </c>
      <c r="CL12" s="119"/>
      <c r="CM12" s="120">
        <v>86</v>
      </c>
      <c r="CN12" s="121">
        <v>86</v>
      </c>
      <c r="CO12" s="120">
        <v>0</v>
      </c>
      <c r="CP12" s="121">
        <v>36637</v>
      </c>
      <c r="CQ12" s="121">
        <v>17500</v>
      </c>
      <c r="CR12" s="100"/>
      <c r="CS12" s="121">
        <v>6000</v>
      </c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97</v>
      </c>
      <c r="B13" s="442">
        <v>42195.8125</v>
      </c>
      <c r="C13" s="443"/>
      <c r="D13" s="84"/>
      <c r="E13" s="23">
        <v>7.5</v>
      </c>
      <c r="F13" s="15">
        <v>1000</v>
      </c>
      <c r="G13" s="213"/>
      <c r="H13" s="27">
        <f t="shared" si="16"/>
        <v>79</v>
      </c>
      <c r="I13" s="216">
        <f t="shared" si="17"/>
        <v>10.533333333333333</v>
      </c>
      <c r="J13" s="29">
        <f ca="1">IF($J$5&gt;=B13,"N/A",SUM(INDIRECT(ADDRESS(6+(MATCH($J$5,$B$6:$B$59,0)),8)):H13))</f>
        <v>1000</v>
      </c>
      <c r="K13" s="10">
        <v>49.7</v>
      </c>
      <c r="L13" s="88">
        <v>1</v>
      </c>
      <c r="M13" s="4">
        <f t="shared" si="18"/>
        <v>73.7</v>
      </c>
      <c r="N13" s="220">
        <f t="shared" si="0"/>
        <v>9.8266666666666662</v>
      </c>
      <c r="O13" s="30">
        <f ca="1">IF($O$5&gt;=B13,"N/A",SUM(INDIRECT(ADDRESS(6+(MATCH($O$5,$B$6:$B$59,0)),13)):M13))</f>
        <v>980.7</v>
      </c>
      <c r="P13" s="175">
        <f t="shared" si="19"/>
        <v>61.9</v>
      </c>
      <c r="Q13" s="175">
        <f t="shared" si="20"/>
        <v>2.4224986359373584</v>
      </c>
      <c r="R13" s="175">
        <f t="shared" si="21"/>
        <v>75.529706099999999</v>
      </c>
      <c r="S13" s="70" t="str">
        <f t="shared" si="22"/>
        <v>EOSP</v>
      </c>
      <c r="T13" s="241">
        <f t="shared" si="23"/>
        <v>42195.8125</v>
      </c>
      <c r="U13" s="157">
        <f t="shared" si="1"/>
        <v>5</v>
      </c>
      <c r="V13" s="158">
        <f t="shared" si="2"/>
        <v>1</v>
      </c>
      <c r="W13" s="158">
        <f t="shared" si="3"/>
        <v>0.4</v>
      </c>
      <c r="X13" s="199">
        <f t="shared" si="4"/>
        <v>6.4</v>
      </c>
      <c r="Y13" s="159">
        <f t="shared" si="5"/>
        <v>1036.9999999999998</v>
      </c>
      <c r="Z13" s="181"/>
      <c r="AA13" s="148">
        <f t="shared" si="6"/>
        <v>0</v>
      </c>
      <c r="AB13" s="149">
        <f t="shared" si="7"/>
        <v>0</v>
      </c>
      <c r="AC13" s="149">
        <f t="shared" si="8"/>
        <v>0.1</v>
      </c>
      <c r="AD13" s="203">
        <f t="shared" si="9"/>
        <v>0.1</v>
      </c>
      <c r="AE13" s="150">
        <f t="shared" si="10"/>
        <v>126.00000000000054</v>
      </c>
      <c r="AF13" s="182"/>
      <c r="AG13" s="139">
        <f t="shared" si="11"/>
        <v>105</v>
      </c>
      <c r="AH13" s="140">
        <f t="shared" si="12"/>
        <v>5</v>
      </c>
      <c r="AI13" s="141">
        <f t="shared" si="13"/>
        <v>300</v>
      </c>
      <c r="AJ13" s="166">
        <f t="shared" si="14"/>
        <v>36556</v>
      </c>
      <c r="AK13" s="167">
        <f t="shared" si="14"/>
        <v>17500</v>
      </c>
      <c r="AL13" s="168">
        <f t="shared" si="15"/>
        <v>5950</v>
      </c>
      <c r="AM13" s="237">
        <f t="shared" si="24"/>
        <v>-4.3927770886075967E-2</v>
      </c>
      <c r="AN13" s="70" t="str">
        <f t="shared" si="25"/>
        <v>EOSP</v>
      </c>
      <c r="AO13" s="241">
        <f t="shared" si="26"/>
        <v>42195.8125</v>
      </c>
      <c r="AP13" s="45" t="s">
        <v>40</v>
      </c>
      <c r="AQ13" s="98">
        <v>61.9</v>
      </c>
      <c r="AR13" s="99">
        <v>75.529706099999999</v>
      </c>
      <c r="AS13" s="99">
        <v>10.070627480000001</v>
      </c>
      <c r="AT13" s="100">
        <v>73.7</v>
      </c>
      <c r="AU13" s="101">
        <v>9.8266666666666662</v>
      </c>
      <c r="AV13" s="100">
        <v>73.7</v>
      </c>
      <c r="AW13" s="101">
        <v>9.8266666666666662</v>
      </c>
      <c r="AX13" s="101">
        <v>2.4224986359373584</v>
      </c>
      <c r="AY13" s="99">
        <v>2.4224986359373584</v>
      </c>
      <c r="AZ13" s="102"/>
      <c r="BA13" s="102"/>
      <c r="BB13" s="103">
        <v>6.1814000000000009</v>
      </c>
      <c r="BC13" s="104">
        <v>5</v>
      </c>
      <c r="BD13" s="98">
        <v>0</v>
      </c>
      <c r="BE13" s="105">
        <v>0.4701999999999989</v>
      </c>
      <c r="BF13" s="104">
        <v>1</v>
      </c>
      <c r="BG13" s="115">
        <v>0</v>
      </c>
      <c r="BH13" s="104">
        <v>0</v>
      </c>
      <c r="BI13" s="98">
        <v>0</v>
      </c>
      <c r="BJ13" s="105">
        <v>0.47170000000000001</v>
      </c>
      <c r="BK13" s="104">
        <v>0.4</v>
      </c>
      <c r="BL13" s="104">
        <v>0.1</v>
      </c>
      <c r="BM13" s="107"/>
      <c r="BN13" s="108">
        <v>6.4</v>
      </c>
      <c r="BO13" s="108">
        <v>0</v>
      </c>
      <c r="BP13" s="109">
        <v>0.1</v>
      </c>
      <c r="BQ13" s="110"/>
      <c r="BR13" s="108">
        <v>1036.9999999999998</v>
      </c>
      <c r="BS13" s="109">
        <v>0</v>
      </c>
      <c r="BT13" s="109">
        <v>126.00000000000054</v>
      </c>
      <c r="BU13" s="107"/>
      <c r="BV13" s="111">
        <v>5</v>
      </c>
      <c r="BW13" s="98">
        <v>5</v>
      </c>
      <c r="BX13" s="113"/>
      <c r="BY13" s="113">
        <v>148</v>
      </c>
      <c r="BZ13" s="114">
        <v>148</v>
      </c>
      <c r="CA13" s="114">
        <v>65</v>
      </c>
      <c r="CB13" s="114">
        <v>87</v>
      </c>
      <c r="CC13" s="99">
        <v>300</v>
      </c>
      <c r="CD13" s="115">
        <v>105</v>
      </c>
      <c r="CE13" s="116">
        <v>105</v>
      </c>
      <c r="CF13" s="117">
        <v>0</v>
      </c>
      <c r="CG13" s="118" t="s">
        <v>39</v>
      </c>
      <c r="CH13" s="117">
        <v>0</v>
      </c>
      <c r="CI13" s="118" t="s">
        <v>39</v>
      </c>
      <c r="CJ13" s="117">
        <v>0</v>
      </c>
      <c r="CK13" s="118" t="s">
        <v>39</v>
      </c>
      <c r="CL13" s="119"/>
      <c r="CM13" s="120">
        <v>81</v>
      </c>
      <c r="CN13" s="121">
        <v>81</v>
      </c>
      <c r="CO13" s="120">
        <v>0</v>
      </c>
      <c r="CP13" s="121">
        <v>36556</v>
      </c>
      <c r="CQ13" s="121">
        <v>17500</v>
      </c>
      <c r="CR13" s="100"/>
      <c r="CS13" s="121">
        <v>5950</v>
      </c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11</v>
      </c>
      <c r="B14" s="442">
        <v>42196.5</v>
      </c>
      <c r="C14" s="443"/>
      <c r="D14" s="84"/>
      <c r="E14" s="23">
        <v>0</v>
      </c>
      <c r="F14" s="15">
        <v>1009</v>
      </c>
      <c r="G14" s="213"/>
      <c r="H14" s="27">
        <f t="shared" si="16"/>
        <v>9</v>
      </c>
      <c r="I14" s="216" t="str">
        <f t="shared" si="17"/>
        <v/>
      </c>
      <c r="J14" s="29">
        <f ca="1">IF($J$5&gt;=B14,"N/A",SUM(INDIRECT(ADDRESS(6+(MATCH($J$5,$B$6:$B$59,0)),8)):H14))</f>
        <v>1009</v>
      </c>
      <c r="K14" s="10">
        <v>56.1</v>
      </c>
      <c r="L14" s="88">
        <v>17.399999999999999</v>
      </c>
      <c r="M14" s="4">
        <f t="shared" si="18"/>
        <v>11</v>
      </c>
      <c r="N14" s="220" t="str">
        <f t="shared" si="0"/>
        <v/>
      </c>
      <c r="O14" s="30">
        <f ca="1">IF($O$5&gt;=B14,"N/A",SUM(INDIRECT(ADDRESS(6+(MATCH($O$5,$B$6:$B$59,0)),13)):M14))</f>
        <v>991.7</v>
      </c>
      <c r="P14" s="175">
        <f t="shared" si="19"/>
        <v>0</v>
      </c>
      <c r="Q14" s="175" t="e">
        <f t="shared" si="20"/>
        <v>#VALUE!</v>
      </c>
      <c r="R14" s="175">
        <f t="shared" si="21"/>
        <v>0</v>
      </c>
      <c r="S14" s="70" t="str">
        <f t="shared" si="22"/>
        <v>NOON</v>
      </c>
      <c r="T14" s="241">
        <f t="shared" si="23"/>
        <v>42196.5</v>
      </c>
      <c r="U14" s="157">
        <f t="shared" si="1"/>
        <v>0</v>
      </c>
      <c r="V14" s="158">
        <f t="shared" si="2"/>
        <v>1.7</v>
      </c>
      <c r="W14" s="158">
        <f t="shared" si="3"/>
        <v>2.5</v>
      </c>
      <c r="X14" s="199">
        <f t="shared" si="4"/>
        <v>4.2</v>
      </c>
      <c r="Y14" s="159">
        <f t="shared" si="5"/>
        <v>1032.7999999999997</v>
      </c>
      <c r="Z14" s="181"/>
      <c r="AA14" s="148">
        <f t="shared" si="6"/>
        <v>0</v>
      </c>
      <c r="AB14" s="149">
        <f t="shared" si="7"/>
        <v>0</v>
      </c>
      <c r="AC14" s="149">
        <f t="shared" si="8"/>
        <v>0</v>
      </c>
      <c r="AD14" s="203">
        <f t="shared" si="9"/>
        <v>0</v>
      </c>
      <c r="AE14" s="150">
        <f t="shared" si="10"/>
        <v>126.00000000000054</v>
      </c>
      <c r="AF14" s="182"/>
      <c r="AG14" s="139">
        <f t="shared" si="11"/>
        <v>2</v>
      </c>
      <c r="AH14" s="140">
        <f t="shared" si="12"/>
        <v>0</v>
      </c>
      <c r="AI14" s="141">
        <f t="shared" si="13"/>
        <v>298</v>
      </c>
      <c r="AJ14" s="166">
        <f t="shared" si="14"/>
        <v>36556</v>
      </c>
      <c r="AK14" s="167">
        <f t="shared" si="14"/>
        <v>17500</v>
      </c>
      <c r="AL14" s="168">
        <f t="shared" si="15"/>
        <v>5950</v>
      </c>
      <c r="AM14" s="237">
        <f t="shared" si="24"/>
        <v>-1</v>
      </c>
      <c r="AN14" s="70" t="str">
        <f t="shared" si="25"/>
        <v>NOON</v>
      </c>
      <c r="AO14" s="241">
        <f t="shared" si="26"/>
        <v>42196.5</v>
      </c>
      <c r="AP14" s="45" t="s">
        <v>40</v>
      </c>
      <c r="AQ14" s="98">
        <v>0</v>
      </c>
      <c r="AR14" s="99">
        <v>0</v>
      </c>
      <c r="AS14" s="99">
        <v>0</v>
      </c>
      <c r="AT14" s="100" t="s">
        <v>39</v>
      </c>
      <c r="AU14" s="101" t="e">
        <v>#VALUE!</v>
      </c>
      <c r="AV14" s="100" t="s">
        <v>39</v>
      </c>
      <c r="AW14" s="101" t="e">
        <v>#VALUE!</v>
      </c>
      <c r="AX14" s="101" t="e">
        <v>#VALUE!</v>
      </c>
      <c r="AY14" s="99" t="e">
        <v>#VALUE!</v>
      </c>
      <c r="AZ14" s="102"/>
      <c r="BA14" s="102"/>
      <c r="BB14" s="103">
        <v>-1.4167999999999981</v>
      </c>
      <c r="BC14" s="104">
        <v>0</v>
      </c>
      <c r="BD14" s="98">
        <v>0</v>
      </c>
      <c r="BE14" s="105">
        <v>3.1739999999999982</v>
      </c>
      <c r="BF14" s="104">
        <v>1.7</v>
      </c>
      <c r="BG14" s="115">
        <v>0</v>
      </c>
      <c r="BH14" s="104">
        <v>0</v>
      </c>
      <c r="BI14" s="98">
        <v>0</v>
      </c>
      <c r="BJ14" s="105">
        <v>2.7411999999999996</v>
      </c>
      <c r="BK14" s="104">
        <v>2.5</v>
      </c>
      <c r="BL14" s="104">
        <v>0</v>
      </c>
      <c r="BM14" s="107"/>
      <c r="BN14" s="108">
        <v>4.2</v>
      </c>
      <c r="BO14" s="108">
        <v>0</v>
      </c>
      <c r="BP14" s="109">
        <v>0</v>
      </c>
      <c r="BQ14" s="110"/>
      <c r="BR14" s="108">
        <v>1032.7999999999997</v>
      </c>
      <c r="BS14" s="109">
        <v>0</v>
      </c>
      <c r="BT14" s="109">
        <v>126.00000000000054</v>
      </c>
      <c r="BU14" s="107"/>
      <c r="BV14" s="111">
        <v>0</v>
      </c>
      <c r="BW14" s="98">
        <v>0</v>
      </c>
      <c r="BX14" s="113"/>
      <c r="BY14" s="113">
        <v>146</v>
      </c>
      <c r="BZ14" s="114">
        <v>146</v>
      </c>
      <c r="CA14" s="114">
        <v>65</v>
      </c>
      <c r="CB14" s="114">
        <v>87</v>
      </c>
      <c r="CC14" s="99">
        <v>298</v>
      </c>
      <c r="CD14" s="115">
        <v>2</v>
      </c>
      <c r="CE14" s="116">
        <v>2</v>
      </c>
      <c r="CF14" s="117">
        <v>0</v>
      </c>
      <c r="CG14" s="118" t="s">
        <v>39</v>
      </c>
      <c r="CH14" s="117">
        <v>0</v>
      </c>
      <c r="CI14" s="118" t="s">
        <v>39</v>
      </c>
      <c r="CJ14" s="117">
        <v>0</v>
      </c>
      <c r="CK14" s="118" t="s">
        <v>39</v>
      </c>
      <c r="CL14" s="119"/>
      <c r="CM14" s="120">
        <v>0</v>
      </c>
      <c r="CN14" s="121">
        <v>0</v>
      </c>
      <c r="CO14" s="120">
        <v>0</v>
      </c>
      <c r="CP14" s="121">
        <v>36556</v>
      </c>
      <c r="CQ14" s="121">
        <v>17500</v>
      </c>
      <c r="CR14" s="100"/>
      <c r="CS14" s="121">
        <v>5950</v>
      </c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11</v>
      </c>
      <c r="B15" s="442">
        <v>42197.5</v>
      </c>
      <c r="C15" s="453"/>
      <c r="D15" s="84"/>
      <c r="E15" s="23"/>
      <c r="F15" s="15">
        <v>1018.7</v>
      </c>
      <c r="G15" s="213"/>
      <c r="H15" s="27">
        <f t="shared" si="16"/>
        <v>9.7000000000000455</v>
      </c>
      <c r="I15" s="216" t="str">
        <f t="shared" si="17"/>
        <v/>
      </c>
      <c r="J15" s="29">
        <f ca="1">IF($J$5&gt;=B15,"N/A",SUM(INDIRECT(ADDRESS(6+(MATCH($J$5,$B$6:$B$59,0)),8)):H15))</f>
        <v>1018.7</v>
      </c>
      <c r="K15" s="10">
        <v>60</v>
      </c>
      <c r="L15" s="88">
        <v>13.5</v>
      </c>
      <c r="M15" s="4">
        <f t="shared" si="18"/>
        <v>9.6000000000000014</v>
      </c>
      <c r="N15" s="220" t="str">
        <f t="shared" si="0"/>
        <v/>
      </c>
      <c r="O15" s="30">
        <f ca="1">IF($O$5&gt;=B15,"N/A",SUM(INDIRECT(ADDRESS(6+(MATCH($O$5,$B$6:$B$59,0)),13)):M15))</f>
        <v>1001.3000000000001</v>
      </c>
      <c r="P15" s="175" t="str">
        <f t="shared" si="19"/>
        <v/>
      </c>
      <c r="Q15" s="175" t="e">
        <f t="shared" si="20"/>
        <v>#VALUE!</v>
      </c>
      <c r="R15" s="175">
        <f t="shared" si="21"/>
        <v>0</v>
      </c>
      <c r="S15" s="70" t="str">
        <f t="shared" si="22"/>
        <v>NOON</v>
      </c>
      <c r="T15" s="241">
        <f t="shared" si="23"/>
        <v>42197.5</v>
      </c>
      <c r="U15" s="157">
        <f t="shared" si="1"/>
        <v>0</v>
      </c>
      <c r="V15" s="158">
        <f t="shared" si="2"/>
        <v>2.5</v>
      </c>
      <c r="W15" s="158">
        <f t="shared" si="3"/>
        <v>2.9</v>
      </c>
      <c r="X15" s="199">
        <f t="shared" si="4"/>
        <v>5.4</v>
      </c>
      <c r="Y15" s="159">
        <f t="shared" si="5"/>
        <v>1027.3999999999996</v>
      </c>
      <c r="Z15" s="181"/>
      <c r="AA15" s="148">
        <f t="shared" si="6"/>
        <v>0</v>
      </c>
      <c r="AB15" s="149">
        <f t="shared" si="7"/>
        <v>0</v>
      </c>
      <c r="AC15" s="149">
        <f t="shared" si="8"/>
        <v>0</v>
      </c>
      <c r="AD15" s="203">
        <f t="shared" si="9"/>
        <v>0</v>
      </c>
      <c r="AE15" s="150">
        <f t="shared" si="10"/>
        <v>126.00000000000054</v>
      </c>
      <c r="AF15" s="182"/>
      <c r="AG15" s="139">
        <f t="shared" si="11"/>
        <v>5</v>
      </c>
      <c r="AH15" s="140">
        <f t="shared" si="12"/>
        <v>0</v>
      </c>
      <c r="AI15" s="141">
        <f t="shared" si="13"/>
        <v>293</v>
      </c>
      <c r="AJ15" s="166">
        <f t="shared" si="14"/>
        <v>36556</v>
      </c>
      <c r="AK15" s="167">
        <f t="shared" si="14"/>
        <v>17500</v>
      </c>
      <c r="AL15" s="168">
        <f t="shared" si="15"/>
        <v>5900</v>
      </c>
      <c r="AM15" s="237">
        <f t="shared" si="24"/>
        <v>-1</v>
      </c>
      <c r="AN15" s="70" t="str">
        <f t="shared" si="25"/>
        <v>NOON</v>
      </c>
      <c r="AO15" s="241">
        <f t="shared" si="26"/>
        <v>42197.5</v>
      </c>
      <c r="AP15" s="45" t="s">
        <v>40</v>
      </c>
      <c r="AQ15" s="98"/>
      <c r="AR15" s="99">
        <v>0</v>
      </c>
      <c r="AS15" s="99">
        <v>0</v>
      </c>
      <c r="AT15" s="100" t="s">
        <v>39</v>
      </c>
      <c r="AU15" s="101" t="e">
        <v>#VALUE!</v>
      </c>
      <c r="AV15" s="100" t="s">
        <v>39</v>
      </c>
      <c r="AW15" s="101" t="e">
        <v>#VALUE!</v>
      </c>
      <c r="AX15" s="101" t="e">
        <v>#VALUE!</v>
      </c>
      <c r="AY15" s="99" t="e">
        <v>#VALUE!</v>
      </c>
      <c r="AZ15" s="102"/>
      <c r="BA15" s="102"/>
      <c r="BB15" s="103">
        <v>-0.98440000000000172</v>
      </c>
      <c r="BC15" s="104">
        <v>0</v>
      </c>
      <c r="BD15" s="98">
        <v>0</v>
      </c>
      <c r="BE15" s="105">
        <v>3.5144000000000015</v>
      </c>
      <c r="BF15" s="104">
        <v>2.5</v>
      </c>
      <c r="BG15" s="115">
        <v>0</v>
      </c>
      <c r="BH15" s="104">
        <v>0</v>
      </c>
      <c r="BI15" s="98">
        <v>0</v>
      </c>
      <c r="BJ15" s="105">
        <v>4.1118000000000006</v>
      </c>
      <c r="BK15" s="104">
        <v>2.9</v>
      </c>
      <c r="BL15" s="104">
        <v>0</v>
      </c>
      <c r="BM15" s="107"/>
      <c r="BN15" s="108">
        <v>5.4</v>
      </c>
      <c r="BO15" s="108">
        <v>0</v>
      </c>
      <c r="BP15" s="109">
        <v>0</v>
      </c>
      <c r="BQ15" s="110"/>
      <c r="BR15" s="108">
        <v>1027.3999999999996</v>
      </c>
      <c r="BS15" s="109">
        <v>0</v>
      </c>
      <c r="BT15" s="109">
        <v>126.00000000000054</v>
      </c>
      <c r="BU15" s="107"/>
      <c r="BV15" s="111">
        <v>0</v>
      </c>
      <c r="BW15" s="98">
        <v>0</v>
      </c>
      <c r="BX15" s="113"/>
      <c r="BY15" s="113">
        <v>142</v>
      </c>
      <c r="BZ15" s="114">
        <v>142</v>
      </c>
      <c r="CA15" s="114">
        <v>65</v>
      </c>
      <c r="CB15" s="114">
        <v>86</v>
      </c>
      <c r="CC15" s="99">
        <v>293</v>
      </c>
      <c r="CD15" s="115">
        <v>5</v>
      </c>
      <c r="CE15" s="116">
        <v>5</v>
      </c>
      <c r="CF15" s="117">
        <v>0</v>
      </c>
      <c r="CG15" s="118" t="s">
        <v>39</v>
      </c>
      <c r="CH15" s="117">
        <v>0</v>
      </c>
      <c r="CI15" s="118" t="s">
        <v>39</v>
      </c>
      <c r="CJ15" s="117">
        <v>0</v>
      </c>
      <c r="CK15" s="118" t="s">
        <v>39</v>
      </c>
      <c r="CL15" s="119"/>
      <c r="CM15" s="120">
        <v>0</v>
      </c>
      <c r="CN15" s="121">
        <v>0</v>
      </c>
      <c r="CO15" s="120">
        <v>0</v>
      </c>
      <c r="CP15" s="121">
        <v>36556</v>
      </c>
      <c r="CQ15" s="121">
        <v>17500</v>
      </c>
      <c r="CR15" s="100"/>
      <c r="CS15" s="121">
        <v>5900</v>
      </c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11</v>
      </c>
      <c r="B16" s="442">
        <v>42198.5</v>
      </c>
      <c r="C16" s="453"/>
      <c r="D16" s="84"/>
      <c r="E16" s="23">
        <v>3.9</v>
      </c>
      <c r="F16" s="15">
        <v>1058.3</v>
      </c>
      <c r="G16" s="213"/>
      <c r="H16" s="27">
        <f t="shared" si="16"/>
        <v>39.599999999999909</v>
      </c>
      <c r="I16" s="216">
        <f t="shared" si="17"/>
        <v>10.15384615384613</v>
      </c>
      <c r="J16" s="29">
        <f ca="1">IF($J$5&gt;=B16,"N/A",SUM(INDIRECT(ADDRESS(6+(MATCH($J$5,$B$6:$B$59,0)),8)):H16))</f>
        <v>1058.3</v>
      </c>
      <c r="K16" s="10">
        <v>31</v>
      </c>
      <c r="L16" s="88">
        <v>20</v>
      </c>
      <c r="M16" s="4">
        <f t="shared" si="18"/>
        <v>49</v>
      </c>
      <c r="N16" s="220">
        <f t="shared" si="0"/>
        <v>12.564102564102564</v>
      </c>
      <c r="O16" s="30">
        <f ca="1">IF($O$5&gt;=B16,"N/A",SUM(INDIRECT(ADDRESS(6+(MATCH($O$5,$B$6:$B$59,0)),13)):M16))</f>
        <v>1050.3000000000002</v>
      </c>
      <c r="P16" s="175">
        <f t="shared" si="19"/>
        <v>8.4</v>
      </c>
      <c r="Q16" s="175" t="e">
        <f t="shared" si="20"/>
        <v>#VALUE!</v>
      </c>
      <c r="R16" s="175">
        <f t="shared" si="21"/>
        <v>32.831808100000003</v>
      </c>
      <c r="S16" s="70" t="str">
        <f t="shared" si="22"/>
        <v>NOON</v>
      </c>
      <c r="T16" s="241">
        <f t="shared" si="23"/>
        <v>42198.5</v>
      </c>
      <c r="U16" s="157">
        <f t="shared" si="1"/>
        <v>1.6</v>
      </c>
      <c r="V16" s="158">
        <f t="shared" si="2"/>
        <v>2.9</v>
      </c>
      <c r="W16" s="158">
        <f t="shared" si="3"/>
        <v>2.9</v>
      </c>
      <c r="X16" s="199">
        <f t="shared" si="4"/>
        <v>7.4</v>
      </c>
      <c r="Y16" s="159">
        <f t="shared" si="5"/>
        <v>1019.9999999999997</v>
      </c>
      <c r="Z16" s="181"/>
      <c r="AA16" s="148">
        <f t="shared" si="6"/>
        <v>0</v>
      </c>
      <c r="AB16" s="149">
        <f t="shared" si="7"/>
        <v>0</v>
      </c>
      <c r="AC16" s="149">
        <f t="shared" si="8"/>
        <v>0</v>
      </c>
      <c r="AD16" s="203">
        <f t="shared" si="9"/>
        <v>0</v>
      </c>
      <c r="AE16" s="150">
        <f t="shared" si="10"/>
        <v>126.00000000000054</v>
      </c>
      <c r="AF16" s="182"/>
      <c r="AG16" s="139">
        <f t="shared" si="11"/>
        <v>4</v>
      </c>
      <c r="AH16" s="140">
        <f t="shared" si="12"/>
        <v>5</v>
      </c>
      <c r="AI16" s="141">
        <f t="shared" si="13"/>
        <v>294</v>
      </c>
      <c r="AJ16" s="166">
        <f t="shared" si="14"/>
        <v>36521</v>
      </c>
      <c r="AK16" s="167">
        <f t="shared" si="14"/>
        <v>17000</v>
      </c>
      <c r="AL16" s="168">
        <f t="shared" si="15"/>
        <v>5850</v>
      </c>
      <c r="AM16" s="237">
        <f t="shared" si="24"/>
        <v>-0.17091393686868486</v>
      </c>
      <c r="AN16" s="70" t="str">
        <f t="shared" si="25"/>
        <v>NOON</v>
      </c>
      <c r="AO16" s="241">
        <f t="shared" si="26"/>
        <v>42198.5</v>
      </c>
      <c r="AP16" s="45" t="s">
        <v>40</v>
      </c>
      <c r="AQ16" s="98">
        <v>8.4</v>
      </c>
      <c r="AR16" s="99">
        <v>32.831808100000003</v>
      </c>
      <c r="AS16" s="99">
        <v>8.4184123333333343</v>
      </c>
      <c r="AT16" s="100">
        <v>49</v>
      </c>
      <c r="AU16" s="101">
        <v>12.564102564102564</v>
      </c>
      <c r="AV16" s="100" t="s">
        <v>39</v>
      </c>
      <c r="AW16" s="101" t="e">
        <v>#VALUE!</v>
      </c>
      <c r="AX16" s="101">
        <v>-49.245511702415179</v>
      </c>
      <c r="AY16" s="99" t="e">
        <v>#VALUE!</v>
      </c>
      <c r="AZ16" s="102"/>
      <c r="BA16" s="102"/>
      <c r="BB16" s="103">
        <v>0.70840000000000058</v>
      </c>
      <c r="BC16" s="104">
        <v>1.6</v>
      </c>
      <c r="BD16" s="98">
        <v>0</v>
      </c>
      <c r="BE16" s="105">
        <v>3.7719999999999998</v>
      </c>
      <c r="BF16" s="104">
        <v>2.9</v>
      </c>
      <c r="BG16" s="115">
        <v>0</v>
      </c>
      <c r="BH16" s="104">
        <v>0</v>
      </c>
      <c r="BI16" s="98">
        <v>0</v>
      </c>
      <c r="BJ16" s="105">
        <v>3.4888000000000003</v>
      </c>
      <c r="BK16" s="104">
        <v>2.9</v>
      </c>
      <c r="BL16" s="104">
        <v>0</v>
      </c>
      <c r="BM16" s="107"/>
      <c r="BN16" s="108">
        <v>7.4</v>
      </c>
      <c r="BO16" s="108">
        <v>0</v>
      </c>
      <c r="BP16" s="109">
        <v>0</v>
      </c>
      <c r="BQ16" s="110"/>
      <c r="BR16" s="108">
        <v>1019.9999999999997</v>
      </c>
      <c r="BS16" s="109">
        <v>0</v>
      </c>
      <c r="BT16" s="109">
        <v>126.00000000000054</v>
      </c>
      <c r="BU16" s="107"/>
      <c r="BV16" s="111">
        <v>5</v>
      </c>
      <c r="BW16" s="98">
        <v>5</v>
      </c>
      <c r="BX16" s="113"/>
      <c r="BY16" s="113">
        <v>138</v>
      </c>
      <c r="BZ16" s="114">
        <v>138</v>
      </c>
      <c r="CA16" s="114">
        <v>70</v>
      </c>
      <c r="CB16" s="114">
        <v>86</v>
      </c>
      <c r="CC16" s="99">
        <v>294</v>
      </c>
      <c r="CD16" s="115">
        <v>4</v>
      </c>
      <c r="CE16" s="116">
        <v>4</v>
      </c>
      <c r="CF16" s="117">
        <v>0</v>
      </c>
      <c r="CG16" s="118" t="s">
        <v>39</v>
      </c>
      <c r="CH16" s="117">
        <v>0</v>
      </c>
      <c r="CI16" s="118" t="s">
        <v>39</v>
      </c>
      <c r="CJ16" s="117">
        <v>0</v>
      </c>
      <c r="CK16" s="118" t="s">
        <v>39</v>
      </c>
      <c r="CL16" s="119"/>
      <c r="CM16" s="120">
        <v>35</v>
      </c>
      <c r="CN16" s="121">
        <v>35</v>
      </c>
      <c r="CO16" s="120">
        <v>0</v>
      </c>
      <c r="CP16" s="121">
        <v>36521</v>
      </c>
      <c r="CQ16" s="121">
        <v>17000</v>
      </c>
      <c r="CR16" s="100"/>
      <c r="CS16" s="121">
        <v>5850</v>
      </c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11</v>
      </c>
      <c r="B17" s="442">
        <v>42199.5</v>
      </c>
      <c r="C17" s="453"/>
      <c r="D17" s="84"/>
      <c r="E17" s="23">
        <v>18.5</v>
      </c>
      <c r="F17" s="15">
        <v>1167.3</v>
      </c>
      <c r="G17" s="213">
        <v>-8</v>
      </c>
      <c r="H17" s="27">
        <f t="shared" si="16"/>
        <v>101</v>
      </c>
      <c r="I17" s="216">
        <f t="shared" si="17"/>
        <v>5.4594594594594597</v>
      </c>
      <c r="J17" s="29">
        <f ca="1">IF($J$5&gt;=B17,"N/A",SUM(INDIRECT(ADDRESS(6+(MATCH($J$5,$B$6:$B$59,0)),8)):H17))</f>
        <v>1159.3</v>
      </c>
      <c r="K17" s="10">
        <v>63</v>
      </c>
      <c r="L17" s="88">
        <v>141.30000000000001</v>
      </c>
      <c r="M17" s="4">
        <f t="shared" si="18"/>
        <v>109.30000000000001</v>
      </c>
      <c r="N17" s="220">
        <f t="shared" si="0"/>
        <v>5.9081081081081086</v>
      </c>
      <c r="O17" s="30">
        <f ca="1">IF($O$5&gt;=B17,"N/A",SUM(INDIRECT(ADDRESS(6+(MATCH($O$5,$B$6:$B$59,0)),13)):M17))</f>
        <v>1159.6000000000001</v>
      </c>
      <c r="P17" s="175">
        <f t="shared" si="19"/>
        <v>43.2</v>
      </c>
      <c r="Q17" s="175">
        <f t="shared" si="20"/>
        <v>22.363173841356652</v>
      </c>
      <c r="R17" s="175">
        <f t="shared" si="21"/>
        <v>140.78370460000002</v>
      </c>
      <c r="S17" s="70" t="str">
        <f t="shared" si="22"/>
        <v>NOON</v>
      </c>
      <c r="T17" s="241">
        <f t="shared" si="23"/>
        <v>42199.5</v>
      </c>
      <c r="U17" s="157">
        <f t="shared" si="1"/>
        <v>6.3</v>
      </c>
      <c r="V17" s="158">
        <f t="shared" si="2"/>
        <v>3.5</v>
      </c>
      <c r="W17" s="158">
        <f t="shared" si="3"/>
        <v>2.5</v>
      </c>
      <c r="X17" s="199">
        <f t="shared" si="4"/>
        <v>12.3</v>
      </c>
      <c r="Y17" s="159">
        <f t="shared" si="5"/>
        <v>1007.6999999999997</v>
      </c>
      <c r="Z17" s="181"/>
      <c r="AA17" s="148">
        <f t="shared" si="6"/>
        <v>0</v>
      </c>
      <c r="AB17" s="149">
        <f t="shared" si="7"/>
        <v>0</v>
      </c>
      <c r="AC17" s="149">
        <f t="shared" si="8"/>
        <v>0</v>
      </c>
      <c r="AD17" s="203">
        <f t="shared" si="9"/>
        <v>0</v>
      </c>
      <c r="AE17" s="150">
        <f t="shared" si="10"/>
        <v>126.00000000000054</v>
      </c>
      <c r="AF17" s="182"/>
      <c r="AG17" s="139">
        <f t="shared" si="11"/>
        <v>4</v>
      </c>
      <c r="AH17" s="140">
        <f t="shared" si="12"/>
        <v>15</v>
      </c>
      <c r="AI17" s="141">
        <f t="shared" si="13"/>
        <v>305</v>
      </c>
      <c r="AJ17" s="166">
        <f t="shared" si="14"/>
        <v>36340</v>
      </c>
      <c r="AK17" s="167">
        <f t="shared" si="14"/>
        <v>17000</v>
      </c>
      <c r="AL17" s="168">
        <f t="shared" si="15"/>
        <v>5800</v>
      </c>
      <c r="AM17" s="237">
        <f t="shared" si="24"/>
        <v>0.39389806534653488</v>
      </c>
      <c r="AN17" s="70" t="str">
        <f t="shared" si="25"/>
        <v>NOON</v>
      </c>
      <c r="AO17" s="241">
        <f t="shared" si="26"/>
        <v>42199.5</v>
      </c>
      <c r="AP17" s="45" t="s">
        <v>40</v>
      </c>
      <c r="AQ17" s="98">
        <v>43.2</v>
      </c>
      <c r="AR17" s="99">
        <v>140.78370460000002</v>
      </c>
      <c r="AS17" s="99">
        <v>7.6099299783783794</v>
      </c>
      <c r="AT17" s="100">
        <v>109.3</v>
      </c>
      <c r="AU17" s="101">
        <v>5.9081081081081077</v>
      </c>
      <c r="AV17" s="100">
        <v>109.3</v>
      </c>
      <c r="AW17" s="101">
        <v>5.9081081081081077</v>
      </c>
      <c r="AX17" s="101">
        <v>22.363173841356652</v>
      </c>
      <c r="AY17" s="99">
        <v>22.363173841356652</v>
      </c>
      <c r="AZ17" s="102"/>
      <c r="BA17" s="102"/>
      <c r="BB17" s="103">
        <v>5.2256</v>
      </c>
      <c r="BC17" s="104">
        <v>6.3</v>
      </c>
      <c r="BD17" s="98">
        <v>0</v>
      </c>
      <c r="BE17" s="105">
        <v>4.4987999999999992</v>
      </c>
      <c r="BF17" s="104">
        <v>3.5</v>
      </c>
      <c r="BG17" s="115">
        <v>0</v>
      </c>
      <c r="BH17" s="104">
        <v>0</v>
      </c>
      <c r="BI17" s="98">
        <v>0</v>
      </c>
      <c r="BJ17" s="105">
        <v>3.2930000000000001</v>
      </c>
      <c r="BK17" s="104">
        <v>2.5</v>
      </c>
      <c r="BL17" s="104">
        <v>0</v>
      </c>
      <c r="BM17" s="107"/>
      <c r="BN17" s="108">
        <v>12.3</v>
      </c>
      <c r="BO17" s="108">
        <v>0</v>
      </c>
      <c r="BP17" s="109">
        <v>0</v>
      </c>
      <c r="BQ17" s="110"/>
      <c r="BR17" s="108">
        <v>1007.6999999999997</v>
      </c>
      <c r="BS17" s="109">
        <v>0</v>
      </c>
      <c r="BT17" s="109">
        <v>126.00000000000054</v>
      </c>
      <c r="BU17" s="107"/>
      <c r="BV17" s="111">
        <v>15</v>
      </c>
      <c r="BW17" s="98">
        <v>15</v>
      </c>
      <c r="BX17" s="113"/>
      <c r="BY17" s="113">
        <v>150</v>
      </c>
      <c r="BZ17" s="114">
        <v>150</v>
      </c>
      <c r="CA17" s="114">
        <v>70</v>
      </c>
      <c r="CB17" s="114">
        <v>85</v>
      </c>
      <c r="CC17" s="99">
        <v>305</v>
      </c>
      <c r="CD17" s="115">
        <v>4</v>
      </c>
      <c r="CE17" s="116">
        <v>4</v>
      </c>
      <c r="CF17" s="117">
        <v>0</v>
      </c>
      <c r="CG17" s="118" t="s">
        <v>39</v>
      </c>
      <c r="CH17" s="117">
        <v>0</v>
      </c>
      <c r="CI17" s="118" t="s">
        <v>39</v>
      </c>
      <c r="CJ17" s="117">
        <v>0</v>
      </c>
      <c r="CK17" s="118" t="s">
        <v>39</v>
      </c>
      <c r="CL17" s="119"/>
      <c r="CM17" s="120">
        <v>181</v>
      </c>
      <c r="CN17" s="121">
        <v>181</v>
      </c>
      <c r="CO17" s="120">
        <v>0</v>
      </c>
      <c r="CP17" s="121">
        <v>36340</v>
      </c>
      <c r="CQ17" s="121">
        <v>17000</v>
      </c>
      <c r="CR17" s="100"/>
      <c r="CS17" s="121">
        <v>5800</v>
      </c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11</v>
      </c>
      <c r="B18" s="442">
        <v>42200.5</v>
      </c>
      <c r="C18" s="453"/>
      <c r="D18" s="84"/>
      <c r="E18" s="23">
        <v>12.8</v>
      </c>
      <c r="F18" s="15">
        <v>1255</v>
      </c>
      <c r="G18" s="213">
        <v>-8</v>
      </c>
      <c r="H18" s="27">
        <f t="shared" si="16"/>
        <v>79.700000000000045</v>
      </c>
      <c r="I18" s="216">
        <f t="shared" si="17"/>
        <v>6.2265625000000036</v>
      </c>
      <c r="J18" s="29">
        <f ca="1">IF($J$5&gt;=B18,"N/A",SUM(INDIRECT(ADDRESS(6+(MATCH($J$5,$B$6:$B$59,0)),8)):H18))</f>
        <v>1239</v>
      </c>
      <c r="K18" s="10">
        <v>37.6</v>
      </c>
      <c r="L18" s="88">
        <v>52.4</v>
      </c>
      <c r="M18" s="4">
        <f t="shared" si="18"/>
        <v>77.8</v>
      </c>
      <c r="N18" s="220">
        <f t="shared" si="0"/>
        <v>6.0781249999999991</v>
      </c>
      <c r="O18" s="30">
        <f ca="1">IF($O$5&gt;=B18,"N/A",SUM(INDIRECT(ADDRESS(6+(MATCH($O$5,$B$6:$B$59,0)),13)):M18))</f>
        <v>1237.4000000000001</v>
      </c>
      <c r="P18" s="175">
        <f t="shared" si="19"/>
        <v>40</v>
      </c>
      <c r="Q18" s="175">
        <f t="shared" si="20"/>
        <v>14.706578433289767</v>
      </c>
      <c r="R18" s="175">
        <f t="shared" si="21"/>
        <v>91.214537500000006</v>
      </c>
      <c r="S18" s="70" t="str">
        <f t="shared" si="22"/>
        <v>NOON</v>
      </c>
      <c r="T18" s="241">
        <f t="shared" si="23"/>
        <v>42200.5</v>
      </c>
      <c r="U18" s="157">
        <f t="shared" si="1"/>
        <v>2.9</v>
      </c>
      <c r="V18" s="158">
        <f t="shared" si="2"/>
        <v>3.1</v>
      </c>
      <c r="W18" s="158">
        <f t="shared" si="3"/>
        <v>2.7</v>
      </c>
      <c r="X18" s="199">
        <f t="shared" si="4"/>
        <v>8.6999999999999993</v>
      </c>
      <c r="Y18" s="159">
        <f t="shared" si="5"/>
        <v>998.99999999999966</v>
      </c>
      <c r="Z18" s="181"/>
      <c r="AA18" s="148">
        <f t="shared" si="6"/>
        <v>0</v>
      </c>
      <c r="AB18" s="149">
        <f t="shared" si="7"/>
        <v>0</v>
      </c>
      <c r="AC18" s="149">
        <f t="shared" si="8"/>
        <v>0</v>
      </c>
      <c r="AD18" s="203">
        <f t="shared" si="9"/>
        <v>0</v>
      </c>
      <c r="AE18" s="150">
        <f t="shared" si="10"/>
        <v>126.00000000000054</v>
      </c>
      <c r="AF18" s="182"/>
      <c r="AG18" s="139">
        <f t="shared" si="11"/>
        <v>5</v>
      </c>
      <c r="AH18" s="140">
        <f t="shared" si="12"/>
        <v>15</v>
      </c>
      <c r="AI18" s="141">
        <f t="shared" si="13"/>
        <v>315</v>
      </c>
      <c r="AJ18" s="166">
        <f t="shared" si="14"/>
        <v>36178</v>
      </c>
      <c r="AK18" s="167">
        <f t="shared" si="14"/>
        <v>17000</v>
      </c>
      <c r="AL18" s="168">
        <f t="shared" si="15"/>
        <v>5750</v>
      </c>
      <c r="AM18" s="237">
        <f t="shared" si="24"/>
        <v>0.14447349435382628</v>
      </c>
      <c r="AN18" s="70" t="str">
        <f t="shared" si="25"/>
        <v>NOON</v>
      </c>
      <c r="AO18" s="241">
        <f t="shared" si="26"/>
        <v>42200.5</v>
      </c>
      <c r="AP18" s="45" t="s">
        <v>40</v>
      </c>
      <c r="AQ18" s="98">
        <v>40</v>
      </c>
      <c r="AR18" s="99">
        <v>91.214537500000006</v>
      </c>
      <c r="AS18" s="99">
        <v>6.5153241071428578</v>
      </c>
      <c r="AT18" s="100">
        <v>77.8</v>
      </c>
      <c r="AU18" s="101">
        <v>5.5571428571428569</v>
      </c>
      <c r="AV18" s="100">
        <v>77.8</v>
      </c>
      <c r="AW18" s="101">
        <v>5.5571428571428569</v>
      </c>
      <c r="AX18" s="101">
        <v>14.706578433289767</v>
      </c>
      <c r="AY18" s="99">
        <v>14.706578433289767</v>
      </c>
      <c r="AZ18" s="102"/>
      <c r="BA18" s="102"/>
      <c r="BB18" s="103">
        <v>2.1987999999999985</v>
      </c>
      <c r="BC18" s="104">
        <v>2.9</v>
      </c>
      <c r="BD18" s="98">
        <v>0</v>
      </c>
      <c r="BE18" s="105">
        <v>3.9284000000000017</v>
      </c>
      <c r="BF18" s="104">
        <v>3.1</v>
      </c>
      <c r="BG18" s="115">
        <v>0</v>
      </c>
      <c r="BH18" s="104">
        <v>0</v>
      </c>
      <c r="BI18" s="98">
        <v>0</v>
      </c>
      <c r="BJ18" s="105">
        <v>3.7558000000000002</v>
      </c>
      <c r="BK18" s="104">
        <v>2.7</v>
      </c>
      <c r="BL18" s="104">
        <v>0</v>
      </c>
      <c r="BM18" s="107"/>
      <c r="BN18" s="108">
        <v>8.6999999999999993</v>
      </c>
      <c r="BO18" s="108">
        <v>0</v>
      </c>
      <c r="BP18" s="109">
        <v>0</v>
      </c>
      <c r="BQ18" s="110"/>
      <c r="BR18" s="108">
        <v>998.99999999999966</v>
      </c>
      <c r="BS18" s="109">
        <v>0</v>
      </c>
      <c r="BT18" s="109">
        <v>126.00000000000054</v>
      </c>
      <c r="BU18" s="107"/>
      <c r="BV18" s="111">
        <v>15</v>
      </c>
      <c r="BW18" s="98">
        <v>15</v>
      </c>
      <c r="BX18" s="113"/>
      <c r="BY18" s="113">
        <v>160</v>
      </c>
      <c r="BZ18" s="114">
        <v>160</v>
      </c>
      <c r="CA18" s="114">
        <v>70</v>
      </c>
      <c r="CB18" s="114">
        <v>85</v>
      </c>
      <c r="CC18" s="99">
        <v>315</v>
      </c>
      <c r="CD18" s="115">
        <v>5</v>
      </c>
      <c r="CE18" s="116">
        <v>5</v>
      </c>
      <c r="CF18" s="117">
        <v>0</v>
      </c>
      <c r="CG18" s="118" t="s">
        <v>39</v>
      </c>
      <c r="CH18" s="117">
        <v>0</v>
      </c>
      <c r="CI18" s="118" t="s">
        <v>39</v>
      </c>
      <c r="CJ18" s="117">
        <v>0</v>
      </c>
      <c r="CK18" s="118" t="s">
        <v>39</v>
      </c>
      <c r="CL18" s="119"/>
      <c r="CM18" s="120">
        <v>162</v>
      </c>
      <c r="CN18" s="121">
        <v>162</v>
      </c>
      <c r="CO18" s="120">
        <v>0</v>
      </c>
      <c r="CP18" s="121">
        <v>36178</v>
      </c>
      <c r="CQ18" s="121">
        <v>17000</v>
      </c>
      <c r="CR18" s="100"/>
      <c r="CS18" s="121">
        <v>5750</v>
      </c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10</v>
      </c>
      <c r="B19" s="442">
        <v>42201.162499999999</v>
      </c>
      <c r="C19" s="453"/>
      <c r="D19" s="84" t="s">
        <v>108</v>
      </c>
      <c r="E19" s="23">
        <v>5.4</v>
      </c>
      <c r="F19" s="15">
        <v>1293.9000000000001</v>
      </c>
      <c r="G19" s="213">
        <v>-2</v>
      </c>
      <c r="H19" s="27">
        <f t="shared" si="16"/>
        <v>36.900000000000091</v>
      </c>
      <c r="I19" s="216">
        <f t="shared" si="17"/>
        <v>6.8333333333333499</v>
      </c>
      <c r="J19" s="29">
        <f ca="1">IF($J$5&gt;=B19,"N/A",SUM(INDIRECT(ADDRESS(6+(MATCH($J$5,$B$6:$B$59,0)),8)):H19))</f>
        <v>1275.9000000000001</v>
      </c>
      <c r="K19" s="10">
        <v>37.700000000000003</v>
      </c>
      <c r="L19" s="88">
        <v>37.799999999999997</v>
      </c>
      <c r="M19" s="4">
        <f t="shared" si="18"/>
        <v>37.699999999999996</v>
      </c>
      <c r="N19" s="220">
        <f t="shared" si="0"/>
        <v>6.9814814814814801</v>
      </c>
      <c r="O19" s="30">
        <f ca="1">IF($O$5&gt;=B19,"N/A",SUM(INDIRECT(ADDRESS(6+(MATCH($O$5,$B$6:$B$59,0)),13)):M19))</f>
        <v>1275.1000000000001</v>
      </c>
      <c r="P19" s="175">
        <f t="shared" si="19"/>
        <v>36</v>
      </c>
      <c r="Q19" s="175">
        <f t="shared" si="20"/>
        <v>-8.8385371150223175</v>
      </c>
      <c r="R19" s="175">
        <f t="shared" si="21"/>
        <v>34.638466300000005</v>
      </c>
      <c r="S19" s="70" t="str">
        <f t="shared" si="22"/>
        <v>FWE</v>
      </c>
      <c r="T19" s="241">
        <f t="shared" si="23"/>
        <v>42201.162499999999</v>
      </c>
      <c r="U19" s="157">
        <f t="shared" si="1"/>
        <v>2.2000000000000002</v>
      </c>
      <c r="V19" s="158">
        <f t="shared" si="2"/>
        <v>2.2000000000000002</v>
      </c>
      <c r="W19" s="158">
        <f t="shared" si="3"/>
        <v>2</v>
      </c>
      <c r="X19" s="199">
        <f t="shared" si="4"/>
        <v>6.4</v>
      </c>
      <c r="Y19" s="159">
        <f t="shared" si="5"/>
        <v>992.59999999999968</v>
      </c>
      <c r="Z19" s="181"/>
      <c r="AA19" s="148">
        <f t="shared" si="6"/>
        <v>0</v>
      </c>
      <c r="AB19" s="149">
        <f t="shared" si="7"/>
        <v>0</v>
      </c>
      <c r="AC19" s="149">
        <f t="shared" si="8"/>
        <v>0</v>
      </c>
      <c r="AD19" s="203">
        <f t="shared" si="9"/>
        <v>0</v>
      </c>
      <c r="AE19" s="150">
        <f t="shared" si="10"/>
        <v>126.00000000000054</v>
      </c>
      <c r="AF19" s="182"/>
      <c r="AG19" s="139">
        <f t="shared" si="11"/>
        <v>3</v>
      </c>
      <c r="AH19" s="140">
        <f t="shared" si="12"/>
        <v>0</v>
      </c>
      <c r="AI19" s="141">
        <f t="shared" si="13"/>
        <v>312</v>
      </c>
      <c r="AJ19" s="166">
        <f t="shared" si="14"/>
        <v>36119</v>
      </c>
      <c r="AK19" s="167">
        <f t="shared" si="14"/>
        <v>17000</v>
      </c>
      <c r="AL19" s="168">
        <f t="shared" si="15"/>
        <v>5750</v>
      </c>
      <c r="AM19" s="237">
        <f t="shared" si="24"/>
        <v>-6.1288176151763706E-2</v>
      </c>
      <c r="AN19" s="70" t="str">
        <f t="shared" si="25"/>
        <v>FWE</v>
      </c>
      <c r="AO19" s="241">
        <f t="shared" si="26"/>
        <v>42201.162499999999</v>
      </c>
      <c r="AP19" s="45" t="s">
        <v>40</v>
      </c>
      <c r="AQ19" s="98">
        <v>36</v>
      </c>
      <c r="AR19" s="99">
        <v>34.638466300000005</v>
      </c>
      <c r="AS19" s="99">
        <v>6.4145307962962965</v>
      </c>
      <c r="AT19" s="100">
        <v>37.700000000000003</v>
      </c>
      <c r="AU19" s="101">
        <v>6.9814814814814818</v>
      </c>
      <c r="AV19" s="100">
        <v>37.700000000000003</v>
      </c>
      <c r="AW19" s="101">
        <v>6.9814814814814818</v>
      </c>
      <c r="AX19" s="101">
        <v>-8.8385371150223175</v>
      </c>
      <c r="AY19" s="99">
        <v>-8.8385371150223175</v>
      </c>
      <c r="AZ19" s="102"/>
      <c r="BA19" s="102"/>
      <c r="BB19" s="103">
        <v>1.3064000000000004</v>
      </c>
      <c r="BC19" s="104">
        <v>2.2000000000000002</v>
      </c>
      <c r="BD19" s="98">
        <v>0</v>
      </c>
      <c r="BE19" s="105">
        <v>2.7507999999999995</v>
      </c>
      <c r="BF19" s="104">
        <v>2.2000000000000002</v>
      </c>
      <c r="BG19" s="115">
        <v>0</v>
      </c>
      <c r="BH19" s="104">
        <v>0</v>
      </c>
      <c r="BI19" s="98">
        <v>0</v>
      </c>
      <c r="BJ19" s="105">
        <v>2.4119000000000002</v>
      </c>
      <c r="BK19" s="104">
        <v>2</v>
      </c>
      <c r="BL19" s="104">
        <v>0</v>
      </c>
      <c r="BM19" s="107"/>
      <c r="BN19" s="108">
        <v>6.4</v>
      </c>
      <c r="BO19" s="108">
        <v>0</v>
      </c>
      <c r="BP19" s="109">
        <v>0</v>
      </c>
      <c r="BQ19" s="110"/>
      <c r="BR19" s="108">
        <v>992.59999999999968</v>
      </c>
      <c r="BS19" s="109">
        <v>0</v>
      </c>
      <c r="BT19" s="109">
        <v>126.00000000000054</v>
      </c>
      <c r="BU19" s="107"/>
      <c r="BV19" s="111">
        <v>0</v>
      </c>
      <c r="BW19" s="98">
        <v>0</v>
      </c>
      <c r="BX19" s="113"/>
      <c r="BY19" s="113">
        <v>157</v>
      </c>
      <c r="BZ19" s="114">
        <v>157</v>
      </c>
      <c r="CA19" s="114">
        <v>70</v>
      </c>
      <c r="CB19" s="114">
        <v>85</v>
      </c>
      <c r="CC19" s="99">
        <v>312</v>
      </c>
      <c r="CD19" s="115">
        <v>3</v>
      </c>
      <c r="CE19" s="116">
        <v>3</v>
      </c>
      <c r="CF19" s="117">
        <v>0</v>
      </c>
      <c r="CG19" s="118" t="s">
        <v>39</v>
      </c>
      <c r="CH19" s="117">
        <v>0</v>
      </c>
      <c r="CI19" s="118" t="s">
        <v>39</v>
      </c>
      <c r="CJ19" s="117">
        <v>0</v>
      </c>
      <c r="CK19" s="118" t="s">
        <v>39</v>
      </c>
      <c r="CL19" s="119"/>
      <c r="CM19" s="120">
        <v>59</v>
      </c>
      <c r="CN19" s="121">
        <v>59</v>
      </c>
      <c r="CO19" s="120">
        <v>0</v>
      </c>
      <c r="CP19" s="121">
        <v>36119</v>
      </c>
      <c r="CQ19" s="121">
        <v>17000</v>
      </c>
      <c r="CR19" s="100"/>
      <c r="CS19" s="121">
        <v>5750</v>
      </c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103</v>
      </c>
      <c r="B20" s="442">
        <v>42201.5</v>
      </c>
      <c r="C20" s="453"/>
      <c r="D20" s="84"/>
      <c r="E20" s="23">
        <v>0</v>
      </c>
      <c r="F20" s="15">
        <v>0</v>
      </c>
      <c r="G20" s="213"/>
      <c r="H20" s="27" t="str">
        <f t="shared" si="16"/>
        <v/>
      </c>
      <c r="I20" s="216" t="str">
        <f t="shared" si="17"/>
        <v/>
      </c>
      <c r="J20" s="29">
        <f ca="1">IF($J$5&gt;=B20,"N/A",SUM(INDIRECT(ADDRESS(6+(MATCH($J$5,$B$6:$B$59,0)),8)):H20))</f>
        <v>1275.9000000000001</v>
      </c>
      <c r="K20" s="10"/>
      <c r="L20" s="88"/>
      <c r="M20" s="4" t="str">
        <f t="shared" si="18"/>
        <v/>
      </c>
      <c r="N20" s="220" t="str">
        <f t="shared" si="0"/>
        <v/>
      </c>
      <c r="O20" s="30">
        <f ca="1">IF($O$5&gt;=B20,"N/A",SUM(INDIRECT(ADDRESS(6+(MATCH($O$5,$B$6:$B$59,0)),13)):M20))</f>
        <v>1275.1000000000001</v>
      </c>
      <c r="P20" s="175">
        <f t="shared" si="19"/>
        <v>0</v>
      </c>
      <c r="Q20" s="175" t="str">
        <f t="shared" si="20"/>
        <v/>
      </c>
      <c r="R20" s="175" t="str">
        <f t="shared" si="21"/>
        <v/>
      </c>
      <c r="S20" s="70" t="str">
        <f t="shared" si="22"/>
        <v>PNOON</v>
      </c>
      <c r="T20" s="241">
        <f t="shared" si="23"/>
        <v>42201.5</v>
      </c>
      <c r="U20" s="157">
        <f t="shared" si="1"/>
        <v>0</v>
      </c>
      <c r="V20" s="158">
        <f t="shared" si="2"/>
        <v>1.8</v>
      </c>
      <c r="W20" s="158">
        <f t="shared" si="3"/>
        <v>0.9</v>
      </c>
      <c r="X20" s="199">
        <f t="shared" si="4"/>
        <v>2.7</v>
      </c>
      <c r="Y20" s="159">
        <f t="shared" si="5"/>
        <v>989.89999999999964</v>
      </c>
      <c r="Z20" s="181"/>
      <c r="AA20" s="148">
        <f t="shared" si="6"/>
        <v>0</v>
      </c>
      <c r="AB20" s="149">
        <f t="shared" si="7"/>
        <v>0</v>
      </c>
      <c r="AC20" s="149">
        <f t="shared" si="8"/>
        <v>0</v>
      </c>
      <c r="AD20" s="203">
        <f t="shared" si="9"/>
        <v>0</v>
      </c>
      <c r="AE20" s="150">
        <f t="shared" si="10"/>
        <v>126.00000000000054</v>
      </c>
      <c r="AF20" s="182"/>
      <c r="AG20" s="139">
        <f t="shared" si="11"/>
        <v>3</v>
      </c>
      <c r="AH20" s="140">
        <f t="shared" si="12"/>
        <v>0</v>
      </c>
      <c r="AI20" s="141">
        <f t="shared" si="13"/>
        <v>309</v>
      </c>
      <c r="AJ20" s="166">
        <f t="shared" si="14"/>
        <v>36119</v>
      </c>
      <c r="AK20" s="167">
        <f t="shared" si="14"/>
        <v>17000</v>
      </c>
      <c r="AL20" s="168">
        <f t="shared" si="15"/>
        <v>5700</v>
      </c>
      <c r="AM20" s="237" t="e">
        <f t="shared" si="24"/>
        <v>#VALUE!</v>
      </c>
      <c r="AN20" s="70" t="str">
        <f t="shared" si="25"/>
        <v>PNOON</v>
      </c>
      <c r="AO20" s="241">
        <f t="shared" si="26"/>
        <v>42201.5</v>
      </c>
      <c r="AP20" s="45" t="s">
        <v>40</v>
      </c>
      <c r="AQ20" s="98">
        <v>0</v>
      </c>
      <c r="AR20" s="99" t="s">
        <v>39</v>
      </c>
      <c r="AS20" s="99" t="s">
        <v>39</v>
      </c>
      <c r="AT20" s="100" t="s">
        <v>39</v>
      </c>
      <c r="AU20" s="101" t="s">
        <v>39</v>
      </c>
      <c r="AV20" s="100" t="s">
        <v>39</v>
      </c>
      <c r="AW20" s="101" t="s">
        <v>39</v>
      </c>
      <c r="AX20" s="101" t="s">
        <v>39</v>
      </c>
      <c r="AY20" s="99" t="s">
        <v>39</v>
      </c>
      <c r="AZ20" s="102"/>
      <c r="BA20" s="102"/>
      <c r="BB20" s="103">
        <v>-0.34960000000000035</v>
      </c>
      <c r="BC20" s="104">
        <v>0</v>
      </c>
      <c r="BD20" s="98">
        <v>0</v>
      </c>
      <c r="BE20" s="105">
        <v>1.4996000000000003</v>
      </c>
      <c r="BF20" s="104">
        <v>1.8</v>
      </c>
      <c r="BG20" s="115">
        <v>0</v>
      </c>
      <c r="BH20" s="104">
        <v>0</v>
      </c>
      <c r="BI20" s="98">
        <v>0</v>
      </c>
      <c r="BJ20" s="105">
        <v>0.87220000000000009</v>
      </c>
      <c r="BK20" s="104">
        <v>0.9</v>
      </c>
      <c r="BL20" s="104">
        <v>0</v>
      </c>
      <c r="BM20" s="107"/>
      <c r="BN20" s="108">
        <v>2.7</v>
      </c>
      <c r="BO20" s="108">
        <v>0</v>
      </c>
      <c r="BP20" s="109">
        <v>0</v>
      </c>
      <c r="BQ20" s="110"/>
      <c r="BR20" s="108">
        <v>989.89999999999964</v>
      </c>
      <c r="BS20" s="109">
        <v>0</v>
      </c>
      <c r="BT20" s="109">
        <v>126.00000000000054</v>
      </c>
      <c r="BU20" s="107"/>
      <c r="BV20" s="111">
        <v>0</v>
      </c>
      <c r="BW20" s="98">
        <v>0</v>
      </c>
      <c r="BX20" s="113"/>
      <c r="BY20" s="113">
        <v>154</v>
      </c>
      <c r="BZ20" s="114">
        <v>154</v>
      </c>
      <c r="CA20" s="114">
        <v>70</v>
      </c>
      <c r="CB20" s="114">
        <v>85</v>
      </c>
      <c r="CC20" s="99">
        <v>309</v>
      </c>
      <c r="CD20" s="115">
        <v>3</v>
      </c>
      <c r="CE20" s="116">
        <v>3</v>
      </c>
      <c r="CF20" s="117">
        <v>0</v>
      </c>
      <c r="CG20" s="118" t="s">
        <v>39</v>
      </c>
      <c r="CH20" s="117">
        <v>0</v>
      </c>
      <c r="CI20" s="118" t="s">
        <v>39</v>
      </c>
      <c r="CJ20" s="117">
        <v>0</v>
      </c>
      <c r="CK20" s="118" t="s">
        <v>39</v>
      </c>
      <c r="CL20" s="119"/>
      <c r="CM20" s="120">
        <v>0</v>
      </c>
      <c r="CN20" s="121">
        <v>0</v>
      </c>
      <c r="CO20" s="120">
        <v>0</v>
      </c>
      <c r="CP20" s="121">
        <v>36119</v>
      </c>
      <c r="CQ20" s="121">
        <v>17000</v>
      </c>
      <c r="CR20" s="100"/>
      <c r="CS20" s="121">
        <v>5700</v>
      </c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9</v>
      </c>
      <c r="B21" s="442">
        <v>42202.025000000001</v>
      </c>
      <c r="C21" s="453"/>
      <c r="D21" s="84"/>
      <c r="E21" s="23">
        <v>0</v>
      </c>
      <c r="F21" s="15">
        <v>0</v>
      </c>
      <c r="G21" s="213"/>
      <c r="H21" s="27" t="str">
        <f t="shared" si="16"/>
        <v/>
      </c>
      <c r="I21" s="216" t="str">
        <f t="shared" si="17"/>
        <v/>
      </c>
      <c r="J21" s="29">
        <f ca="1">IF($J$5&gt;=B21,"N/A",SUM(INDIRECT(ADDRESS(6+(MATCH($J$5,$B$6:$B$59,0)),8)):H21))</f>
        <v>1275.9000000000001</v>
      </c>
      <c r="K21" s="10">
        <v>0</v>
      </c>
      <c r="L21" s="88">
        <v>0</v>
      </c>
      <c r="M21" s="4">
        <f t="shared" si="18"/>
        <v>0</v>
      </c>
      <c r="N21" s="220" t="str">
        <f t="shared" si="0"/>
        <v/>
      </c>
      <c r="O21" s="30">
        <f ca="1">IF($O$5&gt;=B21,"N/A",SUM(INDIRECT(ADDRESS(6+(MATCH($O$5,$B$6:$B$59,0)),13)):M21))</f>
        <v>1275.1000000000001</v>
      </c>
      <c r="P21" s="175" t="str">
        <f t="shared" si="19"/>
        <v/>
      </c>
      <c r="Q21" s="175" t="str">
        <f t="shared" si="20"/>
        <v/>
      </c>
      <c r="R21" s="175" t="str">
        <f t="shared" si="21"/>
        <v/>
      </c>
      <c r="S21" s="70" t="str">
        <f t="shared" si="22"/>
        <v>SBE</v>
      </c>
      <c r="T21" s="241">
        <f t="shared" si="23"/>
        <v>42202.025000000001</v>
      </c>
      <c r="U21" s="157">
        <f t="shared" si="1"/>
        <v>0</v>
      </c>
      <c r="V21" s="158">
        <f t="shared" si="2"/>
        <v>3.1</v>
      </c>
      <c r="W21" s="158">
        <f t="shared" si="3"/>
        <v>1.6</v>
      </c>
      <c r="X21" s="199">
        <f t="shared" si="4"/>
        <v>4.7</v>
      </c>
      <c r="Y21" s="159">
        <f t="shared" si="5"/>
        <v>985.19999999999959</v>
      </c>
      <c r="Z21" s="181"/>
      <c r="AA21" s="148">
        <f t="shared" si="6"/>
        <v>0</v>
      </c>
      <c r="AB21" s="149">
        <f t="shared" si="7"/>
        <v>0</v>
      </c>
      <c r="AC21" s="149">
        <f t="shared" si="8"/>
        <v>0</v>
      </c>
      <c r="AD21" s="203">
        <f t="shared" si="9"/>
        <v>0</v>
      </c>
      <c r="AE21" s="150">
        <f t="shared" si="10"/>
        <v>126.00000000000054</v>
      </c>
      <c r="AF21" s="182"/>
      <c r="AG21" s="139">
        <f t="shared" si="11"/>
        <v>2</v>
      </c>
      <c r="AH21" s="140">
        <f t="shared" si="12"/>
        <v>0</v>
      </c>
      <c r="AI21" s="141">
        <f t="shared" si="13"/>
        <v>307</v>
      </c>
      <c r="AJ21" s="166">
        <f t="shared" si="14"/>
        <v>36119</v>
      </c>
      <c r="AK21" s="167">
        <f t="shared" si="14"/>
        <v>17000</v>
      </c>
      <c r="AL21" s="168">
        <f t="shared" si="15"/>
        <v>5700</v>
      </c>
      <c r="AM21" s="237" t="e">
        <f t="shared" ref="AM21:AM59" si="27">((R21-H21)/R21)</f>
        <v>#VALUE!</v>
      </c>
      <c r="AN21" s="70" t="str">
        <f t="shared" si="25"/>
        <v>SBE</v>
      </c>
      <c r="AO21" s="241">
        <f t="shared" si="26"/>
        <v>42202.025000000001</v>
      </c>
      <c r="AP21" s="45" t="s">
        <v>40</v>
      </c>
      <c r="AQ21" s="98"/>
      <c r="AR21" s="99" t="s">
        <v>39</v>
      </c>
      <c r="AS21" s="99" t="s">
        <v>39</v>
      </c>
      <c r="AT21" s="100" t="s">
        <v>39</v>
      </c>
      <c r="AU21" s="101" t="s">
        <v>39</v>
      </c>
      <c r="AV21" s="100" t="s">
        <v>39</v>
      </c>
      <c r="AW21" s="101" t="s">
        <v>39</v>
      </c>
      <c r="AX21" s="101" t="s">
        <v>39</v>
      </c>
      <c r="AY21" s="99" t="s">
        <v>39</v>
      </c>
      <c r="AZ21" s="102"/>
      <c r="BA21" s="102"/>
      <c r="BB21" s="103">
        <v>-0.54280000000000062</v>
      </c>
      <c r="BC21" s="104">
        <v>0</v>
      </c>
      <c r="BD21" s="98">
        <v>0</v>
      </c>
      <c r="BE21" s="105">
        <v>2.4932000000000007</v>
      </c>
      <c r="BF21" s="104">
        <v>3.1</v>
      </c>
      <c r="BG21" s="115">
        <v>0</v>
      </c>
      <c r="BH21" s="104">
        <v>0</v>
      </c>
      <c r="BI21" s="98">
        <v>0</v>
      </c>
      <c r="BJ21" s="105">
        <v>1.5397000000000001</v>
      </c>
      <c r="BK21" s="104">
        <v>1.6</v>
      </c>
      <c r="BL21" s="104">
        <v>0</v>
      </c>
      <c r="BM21" s="107"/>
      <c r="BN21" s="108">
        <v>4.7</v>
      </c>
      <c r="BO21" s="108">
        <v>0</v>
      </c>
      <c r="BP21" s="109">
        <v>0</v>
      </c>
      <c r="BQ21" s="110"/>
      <c r="BR21" s="108">
        <v>985.19999999999959</v>
      </c>
      <c r="BS21" s="109">
        <v>0</v>
      </c>
      <c r="BT21" s="109">
        <v>126.00000000000054</v>
      </c>
      <c r="BU21" s="107"/>
      <c r="BV21" s="111">
        <v>0</v>
      </c>
      <c r="BW21" s="98">
        <v>0</v>
      </c>
      <c r="BX21" s="113"/>
      <c r="BY21" s="113">
        <v>152</v>
      </c>
      <c r="BZ21" s="114">
        <v>152</v>
      </c>
      <c r="CA21" s="114">
        <v>70</v>
      </c>
      <c r="CB21" s="114">
        <v>85</v>
      </c>
      <c r="CC21" s="99">
        <v>307</v>
      </c>
      <c r="CD21" s="115">
        <v>2</v>
      </c>
      <c r="CE21" s="116">
        <v>2</v>
      </c>
      <c r="CF21" s="117">
        <v>0</v>
      </c>
      <c r="CG21" s="118" t="s">
        <v>39</v>
      </c>
      <c r="CH21" s="117">
        <v>0</v>
      </c>
      <c r="CI21" s="118" t="s">
        <v>39</v>
      </c>
      <c r="CJ21" s="117">
        <v>0</v>
      </c>
      <c r="CK21" s="118" t="s">
        <v>39</v>
      </c>
      <c r="CL21" s="119"/>
      <c r="CM21" s="120">
        <v>0</v>
      </c>
      <c r="CN21" s="121">
        <v>0</v>
      </c>
      <c r="CO21" s="120">
        <v>0</v>
      </c>
      <c r="CP21" s="121">
        <v>36119</v>
      </c>
      <c r="CQ21" s="121">
        <v>17000</v>
      </c>
      <c r="CR21" s="100"/>
      <c r="CS21" s="121">
        <v>5700</v>
      </c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11</v>
      </c>
      <c r="B22" s="442">
        <v>42202.025000000001</v>
      </c>
      <c r="C22" s="453"/>
      <c r="D22" s="84"/>
      <c r="E22" s="23">
        <v>1.5</v>
      </c>
      <c r="F22" s="15">
        <v>2.9</v>
      </c>
      <c r="G22" s="213"/>
      <c r="H22" s="27">
        <f t="shared" si="16"/>
        <v>2.9</v>
      </c>
      <c r="I22" s="216">
        <f t="shared" si="17"/>
        <v>1.9333333333333333</v>
      </c>
      <c r="J22" s="29">
        <f ca="1">IF($J$5&gt;=B22,"N/A",SUM(INDIRECT(ADDRESS(6+(MATCH($J$5,$B$6:$B$59,0)),8)):H22))</f>
        <v>1278.8000000000002</v>
      </c>
      <c r="K22" s="10">
        <v>0</v>
      </c>
      <c r="L22" s="88">
        <v>2.9</v>
      </c>
      <c r="M22" s="4">
        <f t="shared" si="18"/>
        <v>2.9</v>
      </c>
      <c r="N22" s="220">
        <f t="shared" si="0"/>
        <v>1.9333333333333333</v>
      </c>
      <c r="O22" s="30">
        <f ca="1">IF($O$5&gt;=B22,"N/A",SUM(INDIRECT(ADDRESS(6+(MATCH($O$5,$B$6:$B$59,0)),13)):M22))</f>
        <v>1278.0000000000002</v>
      </c>
      <c r="P22" s="175" t="str">
        <f t="shared" si="19"/>
        <v/>
      </c>
      <c r="Q22" s="175" t="str">
        <f t="shared" si="20"/>
        <v/>
      </c>
      <c r="R22" s="175" t="str">
        <f t="shared" si="21"/>
        <v/>
      </c>
      <c r="S22" s="70" t="str">
        <f t="shared" si="22"/>
        <v>NOON</v>
      </c>
      <c r="T22" s="241">
        <f t="shared" si="23"/>
        <v>42202.025000000001</v>
      </c>
      <c r="U22" s="157" t="str">
        <f t="shared" si="1"/>
        <v/>
      </c>
      <c r="V22" s="158" t="str">
        <f t="shared" si="2"/>
        <v/>
      </c>
      <c r="W22" s="158" t="str">
        <f t="shared" si="3"/>
        <v/>
      </c>
      <c r="X22" s="199" t="str">
        <f t="shared" si="4"/>
        <v/>
      </c>
      <c r="Y22" s="159" t="str">
        <f t="shared" si="5"/>
        <v/>
      </c>
      <c r="Z22" s="181"/>
      <c r="AA22" s="148" t="str">
        <f t="shared" si="6"/>
        <v/>
      </c>
      <c r="AB22" s="149">
        <f t="shared" si="7"/>
        <v>0</v>
      </c>
      <c r="AC22" s="149" t="str">
        <f t="shared" si="8"/>
        <v/>
      </c>
      <c r="AD22" s="203">
        <f t="shared" si="9"/>
        <v>0</v>
      </c>
      <c r="AE22" s="150" t="str">
        <f t="shared" si="10"/>
        <v/>
      </c>
      <c r="AF22" s="182"/>
      <c r="AG22" s="139" t="str">
        <f t="shared" si="11"/>
        <v/>
      </c>
      <c r="AH22" s="140" t="str">
        <f t="shared" si="12"/>
        <v/>
      </c>
      <c r="AI22" s="141" t="str">
        <f t="shared" si="13"/>
        <v/>
      </c>
      <c r="AJ22" s="166" t="str">
        <f t="shared" si="14"/>
        <v/>
      </c>
      <c r="AK22" s="167" t="str">
        <f t="shared" si="14"/>
        <v/>
      </c>
      <c r="AL22" s="168" t="str">
        <f t="shared" si="15"/>
        <v/>
      </c>
      <c r="AM22" s="237" t="e">
        <f t="shared" si="27"/>
        <v>#VALUE!</v>
      </c>
      <c r="AN22" s="70" t="str">
        <f t="shared" si="25"/>
        <v>NOON</v>
      </c>
      <c r="AO22" s="241">
        <f t="shared" si="26"/>
        <v>42202.025000000001</v>
      </c>
      <c r="AP22" s="45" t="s">
        <v>40</v>
      </c>
      <c r="AQ22" s="98"/>
      <c r="AR22" s="99"/>
      <c r="AS22" s="99"/>
      <c r="AT22" s="100"/>
      <c r="AU22" s="101"/>
      <c r="AV22" s="100"/>
      <c r="AW22" s="101"/>
      <c r="AX22" s="101"/>
      <c r="AY22" s="99"/>
      <c r="AZ22" s="102"/>
      <c r="BA22" s="102"/>
      <c r="BB22" s="103"/>
      <c r="BC22" s="104"/>
      <c r="BD22" s="98"/>
      <c r="BE22" s="105"/>
      <c r="BF22" s="104"/>
      <c r="BG22" s="115"/>
      <c r="BH22" s="104"/>
      <c r="BI22" s="98"/>
      <c r="BJ22" s="105"/>
      <c r="BK22" s="104"/>
      <c r="BL22" s="104"/>
      <c r="BM22" s="107"/>
      <c r="BN22" s="108"/>
      <c r="BO22" s="108"/>
      <c r="BP22" s="109"/>
      <c r="BQ22" s="110"/>
      <c r="BR22" s="108"/>
      <c r="BS22" s="109"/>
      <c r="BT22" s="109"/>
      <c r="BU22" s="107"/>
      <c r="BV22" s="111"/>
      <c r="BW22" s="98"/>
      <c r="BX22" s="113"/>
      <c r="BY22" s="113"/>
      <c r="BZ22" s="114"/>
      <c r="CA22" s="114"/>
      <c r="CB22" s="114"/>
      <c r="CC22" s="99"/>
      <c r="CD22" s="115"/>
      <c r="CE22" s="116"/>
      <c r="CF22" s="117"/>
      <c r="CG22" s="118"/>
      <c r="CH22" s="117"/>
      <c r="CI22" s="118"/>
      <c r="CJ22" s="117"/>
      <c r="CK22" s="118"/>
      <c r="CL22" s="119"/>
      <c r="CM22" s="120"/>
      <c r="CN22" s="121"/>
      <c r="CO22" s="120"/>
      <c r="CP22" s="121"/>
      <c r="CQ22" s="121"/>
      <c r="CR22" s="100"/>
      <c r="CS22" s="121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/>
      <c r="B23" s="442"/>
      <c r="C23" s="453"/>
      <c r="D23" s="84"/>
      <c r="E23" s="23"/>
      <c r="F23" s="15"/>
      <c r="G23" s="213"/>
      <c r="H23" s="27" t="str">
        <f t="shared" si="16"/>
        <v/>
      </c>
      <c r="I23" s="216" t="str">
        <f t="shared" si="17"/>
        <v/>
      </c>
      <c r="J23" s="29" t="str">
        <f ca="1">IF($J$5&gt;=B23,"N/A",SUM(INDIRECT(ADDRESS(6+(MATCH($J$5,$B$6:$B$59,0)),8)):H23))</f>
        <v>N/A</v>
      </c>
      <c r="K23" s="10"/>
      <c r="L23" s="88"/>
      <c r="M23" s="4" t="str">
        <f t="shared" si="18"/>
        <v/>
      </c>
      <c r="N23" s="220" t="str">
        <f t="shared" si="0"/>
        <v/>
      </c>
      <c r="O23" s="30" t="str">
        <f ca="1">IF($O$5&gt;=B23,"N/A",SUM(INDIRECT(ADDRESS(6+(MATCH($O$5,$B$6:$B$59,0)),13)):M23))</f>
        <v>N/A</v>
      </c>
      <c r="P23" s="175" t="str">
        <f t="shared" si="19"/>
        <v/>
      </c>
      <c r="Q23" s="175" t="str">
        <f t="shared" si="20"/>
        <v/>
      </c>
      <c r="R23" s="175" t="str">
        <f t="shared" si="21"/>
        <v/>
      </c>
      <c r="S23" s="70" t="str">
        <f t="shared" si="22"/>
        <v/>
      </c>
      <c r="T23" s="241" t="str">
        <f t="shared" si="23"/>
        <v/>
      </c>
      <c r="U23" s="157" t="str">
        <f t="shared" si="1"/>
        <v/>
      </c>
      <c r="V23" s="158" t="str">
        <f t="shared" si="2"/>
        <v/>
      </c>
      <c r="W23" s="158" t="str">
        <f t="shared" si="3"/>
        <v/>
      </c>
      <c r="X23" s="199" t="str">
        <f t="shared" si="4"/>
        <v/>
      </c>
      <c r="Y23" s="159" t="str">
        <f t="shared" si="5"/>
        <v/>
      </c>
      <c r="Z23" s="181"/>
      <c r="AA23" s="148" t="str">
        <f t="shared" si="6"/>
        <v/>
      </c>
      <c r="AB23" s="149">
        <f t="shared" si="7"/>
        <v>0</v>
      </c>
      <c r="AC23" s="149" t="str">
        <f t="shared" si="8"/>
        <v/>
      </c>
      <c r="AD23" s="203">
        <f t="shared" si="9"/>
        <v>0</v>
      </c>
      <c r="AE23" s="150" t="str">
        <f t="shared" si="10"/>
        <v/>
      </c>
      <c r="AF23" s="182"/>
      <c r="AG23" s="139" t="str">
        <f t="shared" si="11"/>
        <v/>
      </c>
      <c r="AH23" s="140" t="str">
        <f t="shared" si="12"/>
        <v/>
      </c>
      <c r="AI23" s="141" t="str">
        <f t="shared" si="13"/>
        <v/>
      </c>
      <c r="AJ23" s="166" t="str">
        <f t="shared" si="14"/>
        <v/>
      </c>
      <c r="AK23" s="167" t="str">
        <f t="shared" si="14"/>
        <v/>
      </c>
      <c r="AL23" s="168" t="str">
        <f t="shared" si="15"/>
        <v/>
      </c>
      <c r="AM23" s="237" t="e">
        <f t="shared" si="27"/>
        <v>#VALUE!</v>
      </c>
      <c r="AN23" s="70" t="str">
        <f t="shared" si="25"/>
        <v/>
      </c>
      <c r="AO23" s="241" t="str">
        <f t="shared" si="26"/>
        <v/>
      </c>
      <c r="AP23" s="45" t="s">
        <v>40</v>
      </c>
      <c r="AQ23" s="98"/>
      <c r="AR23" s="99"/>
      <c r="AS23" s="99"/>
      <c r="AT23" s="100"/>
      <c r="AU23" s="101"/>
      <c r="AV23" s="100"/>
      <c r="AW23" s="101"/>
      <c r="AX23" s="101"/>
      <c r="AY23" s="99"/>
      <c r="AZ23" s="102"/>
      <c r="BA23" s="102"/>
      <c r="BB23" s="103"/>
      <c r="BC23" s="104"/>
      <c r="BD23" s="98"/>
      <c r="BE23" s="105"/>
      <c r="BF23" s="104"/>
      <c r="BG23" s="115"/>
      <c r="BH23" s="104"/>
      <c r="BI23" s="98"/>
      <c r="BJ23" s="105"/>
      <c r="BK23" s="104"/>
      <c r="BL23" s="104"/>
      <c r="BM23" s="107"/>
      <c r="BN23" s="108"/>
      <c r="BO23" s="108"/>
      <c r="BP23" s="109"/>
      <c r="BQ23" s="110"/>
      <c r="BR23" s="108"/>
      <c r="BS23" s="109"/>
      <c r="BT23" s="109"/>
      <c r="BU23" s="107"/>
      <c r="BV23" s="111"/>
      <c r="BW23" s="98"/>
      <c r="BX23" s="113"/>
      <c r="BY23" s="113"/>
      <c r="BZ23" s="114"/>
      <c r="CA23" s="114"/>
      <c r="CB23" s="114"/>
      <c r="CC23" s="99"/>
      <c r="CD23" s="115"/>
      <c r="CE23" s="116"/>
      <c r="CF23" s="117"/>
      <c r="CG23" s="118"/>
      <c r="CH23" s="117"/>
      <c r="CI23" s="118"/>
      <c r="CJ23" s="117"/>
      <c r="CK23" s="118"/>
      <c r="CL23" s="119"/>
      <c r="CM23" s="120"/>
      <c r="CN23" s="121"/>
      <c r="CO23" s="120"/>
      <c r="CP23" s="121"/>
      <c r="CQ23" s="121"/>
      <c r="CR23" s="100"/>
      <c r="CS23" s="121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/>
      <c r="B24" s="442"/>
      <c r="C24" s="453"/>
      <c r="D24" s="84"/>
      <c r="E24" s="23"/>
      <c r="F24" s="15"/>
      <c r="G24" s="213"/>
      <c r="H24" s="27" t="str">
        <f t="shared" si="16"/>
        <v/>
      </c>
      <c r="I24" s="216" t="str">
        <f t="shared" si="17"/>
        <v/>
      </c>
      <c r="J24" s="29" t="str">
        <f ca="1">IF($J$5&gt;=B24,"N/A",SUM(INDIRECT(ADDRESS(6+(MATCH($J$5,$B$6:$B$59,0)),8)):H24))</f>
        <v>N/A</v>
      </c>
      <c r="K24" s="10"/>
      <c r="L24" s="88"/>
      <c r="M24" s="4" t="str">
        <f t="shared" si="18"/>
        <v/>
      </c>
      <c r="N24" s="220" t="str">
        <f t="shared" si="0"/>
        <v/>
      </c>
      <c r="O24" s="30" t="str">
        <f ca="1">IF($O$5&gt;=B24,"N/A",SUM(INDIRECT(ADDRESS(6+(MATCH($O$5,$B$6:$B$59,0)),13)):M24))</f>
        <v>N/A</v>
      </c>
      <c r="P24" s="175" t="str">
        <f t="shared" si="19"/>
        <v/>
      </c>
      <c r="Q24" s="175" t="str">
        <f t="shared" si="20"/>
        <v/>
      </c>
      <c r="R24" s="175" t="str">
        <f t="shared" si="21"/>
        <v/>
      </c>
      <c r="S24" s="70" t="str">
        <f t="shared" si="22"/>
        <v/>
      </c>
      <c r="T24" s="241" t="str">
        <f t="shared" si="23"/>
        <v/>
      </c>
      <c r="U24" s="157" t="str">
        <f t="shared" si="1"/>
        <v/>
      </c>
      <c r="V24" s="158" t="str">
        <f t="shared" si="2"/>
        <v/>
      </c>
      <c r="W24" s="158" t="str">
        <f t="shared" si="3"/>
        <v/>
      </c>
      <c r="X24" s="199" t="str">
        <f t="shared" si="4"/>
        <v/>
      </c>
      <c r="Y24" s="159" t="str">
        <f t="shared" si="5"/>
        <v/>
      </c>
      <c r="Z24" s="181"/>
      <c r="AA24" s="148" t="str">
        <f t="shared" si="6"/>
        <v/>
      </c>
      <c r="AB24" s="149">
        <f t="shared" si="7"/>
        <v>0</v>
      </c>
      <c r="AC24" s="149" t="str">
        <f t="shared" si="8"/>
        <v/>
      </c>
      <c r="AD24" s="203">
        <f t="shared" si="9"/>
        <v>0</v>
      </c>
      <c r="AE24" s="150" t="str">
        <f t="shared" si="10"/>
        <v/>
      </c>
      <c r="AF24" s="182"/>
      <c r="AG24" s="139" t="str">
        <f t="shared" si="11"/>
        <v/>
      </c>
      <c r="AH24" s="140" t="str">
        <f t="shared" si="12"/>
        <v/>
      </c>
      <c r="AI24" s="141" t="str">
        <f t="shared" si="13"/>
        <v/>
      </c>
      <c r="AJ24" s="166" t="str">
        <f t="shared" si="14"/>
        <v/>
      </c>
      <c r="AK24" s="167" t="str">
        <f t="shared" si="14"/>
        <v/>
      </c>
      <c r="AL24" s="168" t="str">
        <f t="shared" si="15"/>
        <v/>
      </c>
      <c r="AM24" s="237" t="e">
        <f t="shared" si="27"/>
        <v>#VALUE!</v>
      </c>
      <c r="AN24" s="70" t="str">
        <f t="shared" si="25"/>
        <v/>
      </c>
      <c r="AO24" s="241" t="str">
        <f t="shared" si="26"/>
        <v/>
      </c>
      <c r="AP24" s="45" t="s">
        <v>40</v>
      </c>
      <c r="AQ24" s="98"/>
      <c r="AR24" s="99"/>
      <c r="AS24" s="99"/>
      <c r="AT24" s="100"/>
      <c r="AU24" s="101"/>
      <c r="AV24" s="100"/>
      <c r="AW24" s="101"/>
      <c r="AX24" s="101"/>
      <c r="AY24" s="99"/>
      <c r="AZ24" s="102"/>
      <c r="BA24" s="102"/>
      <c r="BB24" s="103"/>
      <c r="BC24" s="104"/>
      <c r="BD24" s="98"/>
      <c r="BE24" s="105"/>
      <c r="BF24" s="104"/>
      <c r="BG24" s="115"/>
      <c r="BH24" s="104"/>
      <c r="BI24" s="98"/>
      <c r="BJ24" s="105"/>
      <c r="BK24" s="104"/>
      <c r="BL24" s="104"/>
      <c r="BM24" s="107"/>
      <c r="BN24" s="108"/>
      <c r="BO24" s="108"/>
      <c r="BP24" s="109"/>
      <c r="BQ24" s="110"/>
      <c r="BR24" s="108"/>
      <c r="BS24" s="109"/>
      <c r="BT24" s="109"/>
      <c r="BU24" s="107"/>
      <c r="BV24" s="111"/>
      <c r="BW24" s="98"/>
      <c r="BX24" s="113"/>
      <c r="BY24" s="113"/>
      <c r="BZ24" s="114"/>
      <c r="CA24" s="114"/>
      <c r="CB24" s="114"/>
      <c r="CC24" s="99"/>
      <c r="CD24" s="115"/>
      <c r="CE24" s="116"/>
      <c r="CF24" s="117"/>
      <c r="CG24" s="118"/>
      <c r="CH24" s="117"/>
      <c r="CI24" s="118"/>
      <c r="CJ24" s="117"/>
      <c r="CK24" s="118"/>
      <c r="CL24" s="119"/>
      <c r="CM24" s="120"/>
      <c r="CN24" s="121"/>
      <c r="CO24" s="120"/>
      <c r="CP24" s="121"/>
      <c r="CQ24" s="121"/>
      <c r="CR24" s="100"/>
      <c r="CS24" s="121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/>
      <c r="B25" s="442"/>
      <c r="C25" s="453"/>
      <c r="D25" s="84"/>
      <c r="E25" s="23"/>
      <c r="F25" s="15"/>
      <c r="G25" s="213"/>
      <c r="H25" s="27" t="str">
        <f t="shared" si="16"/>
        <v/>
      </c>
      <c r="I25" s="216" t="str">
        <f t="shared" si="17"/>
        <v/>
      </c>
      <c r="J25" s="29" t="str">
        <f ca="1">IF($J$5&gt;=B25,"N/A",SUM(INDIRECT(ADDRESS(6+(MATCH($J$5,$B$6:$B$59,0)),8)):H25))</f>
        <v>N/A</v>
      </c>
      <c r="K25" s="10"/>
      <c r="L25" s="88"/>
      <c r="M25" s="4" t="str">
        <f t="shared" si="18"/>
        <v/>
      </c>
      <c r="N25" s="220" t="str">
        <f t="shared" si="0"/>
        <v/>
      </c>
      <c r="O25" s="30" t="str">
        <f ca="1">IF($O$5&gt;=B25,"N/A",SUM(INDIRECT(ADDRESS(6+(MATCH($O$5,$B$6:$B$59,0)),13)):M25))</f>
        <v>N/A</v>
      </c>
      <c r="P25" s="175" t="str">
        <f t="shared" si="19"/>
        <v/>
      </c>
      <c r="Q25" s="175" t="str">
        <f t="shared" si="20"/>
        <v/>
      </c>
      <c r="R25" s="175" t="str">
        <f t="shared" si="21"/>
        <v/>
      </c>
      <c r="S25" s="70" t="str">
        <f t="shared" si="22"/>
        <v/>
      </c>
      <c r="T25" s="241" t="str">
        <f t="shared" si="23"/>
        <v/>
      </c>
      <c r="U25" s="157" t="str">
        <f t="shared" si="1"/>
        <v/>
      </c>
      <c r="V25" s="158" t="str">
        <f t="shared" si="2"/>
        <v/>
      </c>
      <c r="W25" s="158" t="str">
        <f t="shared" si="3"/>
        <v/>
      </c>
      <c r="X25" s="199" t="str">
        <f t="shared" si="4"/>
        <v/>
      </c>
      <c r="Y25" s="159" t="str">
        <f t="shared" si="5"/>
        <v/>
      </c>
      <c r="Z25" s="181"/>
      <c r="AA25" s="148" t="str">
        <f t="shared" si="6"/>
        <v/>
      </c>
      <c r="AB25" s="149">
        <f t="shared" si="7"/>
        <v>0</v>
      </c>
      <c r="AC25" s="149" t="str">
        <f t="shared" si="8"/>
        <v/>
      </c>
      <c r="AD25" s="203">
        <f t="shared" si="9"/>
        <v>0</v>
      </c>
      <c r="AE25" s="150" t="str">
        <f t="shared" si="10"/>
        <v/>
      </c>
      <c r="AF25" s="182"/>
      <c r="AG25" s="139" t="str">
        <f t="shared" si="11"/>
        <v/>
      </c>
      <c r="AH25" s="140" t="str">
        <f t="shared" si="12"/>
        <v/>
      </c>
      <c r="AI25" s="141" t="str">
        <f t="shared" si="13"/>
        <v/>
      </c>
      <c r="AJ25" s="166" t="str">
        <f t="shared" si="14"/>
        <v/>
      </c>
      <c r="AK25" s="167" t="str">
        <f t="shared" si="14"/>
        <v/>
      </c>
      <c r="AL25" s="168" t="str">
        <f t="shared" si="15"/>
        <v/>
      </c>
      <c r="AM25" s="237" t="e">
        <f t="shared" si="27"/>
        <v>#VALUE!</v>
      </c>
      <c r="AN25" s="70" t="str">
        <f t="shared" si="25"/>
        <v/>
      </c>
      <c r="AO25" s="241" t="str">
        <f t="shared" si="26"/>
        <v/>
      </c>
      <c r="AP25" s="45" t="s">
        <v>40</v>
      </c>
      <c r="AQ25" s="98"/>
      <c r="AR25" s="99"/>
      <c r="AS25" s="99"/>
      <c r="AT25" s="100"/>
      <c r="AU25" s="101"/>
      <c r="AV25" s="100"/>
      <c r="AW25" s="101"/>
      <c r="AX25" s="101"/>
      <c r="AY25" s="99"/>
      <c r="AZ25" s="102"/>
      <c r="BA25" s="102"/>
      <c r="BB25" s="103"/>
      <c r="BC25" s="104"/>
      <c r="BD25" s="98"/>
      <c r="BE25" s="105"/>
      <c r="BF25" s="104"/>
      <c r="BG25" s="115"/>
      <c r="BH25" s="104"/>
      <c r="BI25" s="98"/>
      <c r="BJ25" s="105"/>
      <c r="BK25" s="104"/>
      <c r="BL25" s="104"/>
      <c r="BM25" s="107"/>
      <c r="BN25" s="108"/>
      <c r="BO25" s="108"/>
      <c r="BP25" s="109"/>
      <c r="BQ25" s="110"/>
      <c r="BR25" s="108"/>
      <c r="BS25" s="109"/>
      <c r="BT25" s="109"/>
      <c r="BU25" s="107"/>
      <c r="BV25" s="111"/>
      <c r="BW25" s="98"/>
      <c r="BX25" s="113"/>
      <c r="BY25" s="113"/>
      <c r="BZ25" s="114"/>
      <c r="CA25" s="114"/>
      <c r="CB25" s="114"/>
      <c r="CC25" s="99"/>
      <c r="CD25" s="115"/>
      <c r="CE25" s="116"/>
      <c r="CF25" s="117"/>
      <c r="CG25" s="118"/>
      <c r="CH25" s="117"/>
      <c r="CI25" s="118"/>
      <c r="CJ25" s="117"/>
      <c r="CK25" s="118"/>
      <c r="CL25" s="119"/>
      <c r="CM25" s="120"/>
      <c r="CN25" s="121"/>
      <c r="CO25" s="120"/>
      <c r="CP25" s="121"/>
      <c r="CQ25" s="121"/>
      <c r="CR25" s="100"/>
      <c r="CS25" s="121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/>
      <c r="B26" s="442"/>
      <c r="C26" s="453"/>
      <c r="D26" s="84"/>
      <c r="E26" s="23"/>
      <c r="F26" s="15"/>
      <c r="G26" s="213"/>
      <c r="H26" s="27" t="str">
        <f t="shared" si="16"/>
        <v/>
      </c>
      <c r="I26" s="216" t="str">
        <f t="shared" si="17"/>
        <v/>
      </c>
      <c r="J26" s="29" t="str">
        <f ca="1">IF($J$5&gt;=B26,"N/A",SUM(INDIRECT(ADDRESS(6+(MATCH($J$5,$B$6:$B$59,0)),8)):H26))</f>
        <v>N/A</v>
      </c>
      <c r="K26" s="10"/>
      <c r="L26" s="88"/>
      <c r="M26" s="4" t="str">
        <f t="shared" si="18"/>
        <v/>
      </c>
      <c r="N26" s="220" t="str">
        <f t="shared" si="0"/>
        <v/>
      </c>
      <c r="O26" s="30" t="str">
        <f ca="1">IF($O$5&gt;=B26,"N/A",SUM(INDIRECT(ADDRESS(6+(MATCH($O$5,$B$6:$B$59,0)),13)):M26))</f>
        <v>N/A</v>
      </c>
      <c r="P26" s="175" t="str">
        <f t="shared" si="19"/>
        <v/>
      </c>
      <c r="Q26" s="175" t="str">
        <f t="shared" si="20"/>
        <v/>
      </c>
      <c r="R26" s="175" t="str">
        <f t="shared" si="21"/>
        <v/>
      </c>
      <c r="S26" s="70" t="str">
        <f t="shared" si="22"/>
        <v/>
      </c>
      <c r="T26" s="241" t="str">
        <f t="shared" si="23"/>
        <v/>
      </c>
      <c r="U26" s="157" t="str">
        <f t="shared" si="1"/>
        <v/>
      </c>
      <c r="V26" s="158" t="str">
        <f t="shared" si="2"/>
        <v/>
      </c>
      <c r="W26" s="158" t="str">
        <f t="shared" si="3"/>
        <v/>
      </c>
      <c r="X26" s="199" t="str">
        <f t="shared" si="4"/>
        <v/>
      </c>
      <c r="Y26" s="159" t="str">
        <f t="shared" si="5"/>
        <v/>
      </c>
      <c r="Z26" s="181"/>
      <c r="AA26" s="148" t="str">
        <f t="shared" si="6"/>
        <v/>
      </c>
      <c r="AB26" s="149">
        <f t="shared" si="7"/>
        <v>0</v>
      </c>
      <c r="AC26" s="149" t="str">
        <f t="shared" si="8"/>
        <v/>
      </c>
      <c r="AD26" s="203">
        <f t="shared" si="9"/>
        <v>0</v>
      </c>
      <c r="AE26" s="150" t="str">
        <f t="shared" si="10"/>
        <v/>
      </c>
      <c r="AF26" s="182"/>
      <c r="AG26" s="139" t="str">
        <f t="shared" si="11"/>
        <v/>
      </c>
      <c r="AH26" s="140" t="str">
        <f t="shared" si="12"/>
        <v/>
      </c>
      <c r="AI26" s="141" t="str">
        <f t="shared" si="13"/>
        <v/>
      </c>
      <c r="AJ26" s="166" t="str">
        <f t="shared" si="14"/>
        <v/>
      </c>
      <c r="AK26" s="167" t="str">
        <f t="shared" si="14"/>
        <v/>
      </c>
      <c r="AL26" s="168" t="str">
        <f t="shared" si="15"/>
        <v/>
      </c>
      <c r="AM26" s="237" t="e">
        <f t="shared" si="27"/>
        <v>#VALUE!</v>
      </c>
      <c r="AN26" s="70" t="str">
        <f t="shared" si="25"/>
        <v/>
      </c>
      <c r="AO26" s="241" t="str">
        <f t="shared" si="26"/>
        <v/>
      </c>
      <c r="AP26" s="45" t="s">
        <v>40</v>
      </c>
      <c r="AQ26" s="98"/>
      <c r="AR26" s="99"/>
      <c r="AS26" s="99"/>
      <c r="AT26" s="100"/>
      <c r="AU26" s="101"/>
      <c r="AV26" s="100"/>
      <c r="AW26" s="101"/>
      <c r="AX26" s="101"/>
      <c r="AY26" s="99"/>
      <c r="AZ26" s="102"/>
      <c r="BA26" s="102"/>
      <c r="BB26" s="103"/>
      <c r="BC26" s="104"/>
      <c r="BD26" s="98"/>
      <c r="BE26" s="105"/>
      <c r="BF26" s="104"/>
      <c r="BG26" s="115"/>
      <c r="BH26" s="104"/>
      <c r="BI26" s="98"/>
      <c r="BJ26" s="105"/>
      <c r="BK26" s="104"/>
      <c r="BL26" s="104"/>
      <c r="BM26" s="107"/>
      <c r="BN26" s="108"/>
      <c r="BO26" s="108"/>
      <c r="BP26" s="109"/>
      <c r="BQ26" s="110"/>
      <c r="BR26" s="108"/>
      <c r="BS26" s="109"/>
      <c r="BT26" s="109"/>
      <c r="BU26" s="107"/>
      <c r="BV26" s="111"/>
      <c r="BW26" s="98"/>
      <c r="BX26" s="113"/>
      <c r="BY26" s="113"/>
      <c r="BZ26" s="114"/>
      <c r="CA26" s="114"/>
      <c r="CB26" s="114"/>
      <c r="CC26" s="99"/>
      <c r="CD26" s="115"/>
      <c r="CE26" s="116"/>
      <c r="CF26" s="117"/>
      <c r="CG26" s="118"/>
      <c r="CH26" s="117"/>
      <c r="CI26" s="118"/>
      <c r="CJ26" s="117"/>
      <c r="CK26" s="118"/>
      <c r="CL26" s="119"/>
      <c r="CM26" s="120"/>
      <c r="CN26" s="121"/>
      <c r="CO26" s="120"/>
      <c r="CP26" s="121"/>
      <c r="CQ26" s="121"/>
      <c r="CR26" s="100"/>
      <c r="CS26" s="121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/>
      <c r="B27" s="442"/>
      <c r="C27" s="453"/>
      <c r="D27" s="84"/>
      <c r="E27" s="23"/>
      <c r="F27" s="15"/>
      <c r="G27" s="213"/>
      <c r="H27" s="27" t="str">
        <f t="shared" si="16"/>
        <v/>
      </c>
      <c r="I27" s="216" t="str">
        <f t="shared" si="17"/>
        <v/>
      </c>
      <c r="J27" s="29" t="str">
        <f ca="1">IF($J$5&gt;=B27,"N/A",SUM(INDIRECT(ADDRESS(6+(MATCH($J$5,$B$6:$B$59,0)),8)):H27))</f>
        <v>N/A</v>
      </c>
      <c r="K27" s="10"/>
      <c r="L27" s="88"/>
      <c r="M27" s="4" t="str">
        <f t="shared" si="18"/>
        <v/>
      </c>
      <c r="N27" s="220" t="str">
        <f t="shared" si="0"/>
        <v/>
      </c>
      <c r="O27" s="30" t="str">
        <f ca="1">IF($O$5&gt;=B27,"N/A",SUM(INDIRECT(ADDRESS(6+(MATCH($O$5,$B$6:$B$59,0)),13)):M27))</f>
        <v>N/A</v>
      </c>
      <c r="P27" s="175" t="str">
        <f t="shared" si="19"/>
        <v/>
      </c>
      <c r="Q27" s="175" t="str">
        <f t="shared" si="20"/>
        <v/>
      </c>
      <c r="R27" s="175" t="str">
        <f t="shared" si="21"/>
        <v/>
      </c>
      <c r="S27" s="70" t="str">
        <f t="shared" si="22"/>
        <v/>
      </c>
      <c r="T27" s="241" t="str">
        <f t="shared" si="23"/>
        <v/>
      </c>
      <c r="U27" s="157" t="str">
        <f t="shared" si="1"/>
        <v/>
      </c>
      <c r="V27" s="158" t="str">
        <f t="shared" si="2"/>
        <v/>
      </c>
      <c r="W27" s="158" t="str">
        <f t="shared" si="3"/>
        <v/>
      </c>
      <c r="X27" s="199" t="str">
        <f t="shared" si="4"/>
        <v/>
      </c>
      <c r="Y27" s="159" t="str">
        <f t="shared" si="5"/>
        <v/>
      </c>
      <c r="Z27" s="181"/>
      <c r="AA27" s="148" t="str">
        <f t="shared" si="6"/>
        <v/>
      </c>
      <c r="AB27" s="149">
        <f t="shared" si="7"/>
        <v>0</v>
      </c>
      <c r="AC27" s="149" t="str">
        <f t="shared" si="8"/>
        <v/>
      </c>
      <c r="AD27" s="203">
        <f t="shared" si="9"/>
        <v>0</v>
      </c>
      <c r="AE27" s="150" t="str">
        <f t="shared" si="10"/>
        <v/>
      </c>
      <c r="AF27" s="182"/>
      <c r="AG27" s="139" t="str">
        <f t="shared" si="11"/>
        <v/>
      </c>
      <c r="AH27" s="140" t="str">
        <f t="shared" si="12"/>
        <v/>
      </c>
      <c r="AI27" s="141" t="str">
        <f t="shared" si="13"/>
        <v/>
      </c>
      <c r="AJ27" s="166" t="str">
        <f t="shared" si="14"/>
        <v/>
      </c>
      <c r="AK27" s="167" t="str">
        <f t="shared" si="14"/>
        <v/>
      </c>
      <c r="AL27" s="168" t="str">
        <f t="shared" si="15"/>
        <v/>
      </c>
      <c r="AM27" s="237" t="e">
        <f t="shared" si="27"/>
        <v>#VALUE!</v>
      </c>
      <c r="AN27" s="70" t="str">
        <f t="shared" si="25"/>
        <v/>
      </c>
      <c r="AO27" s="241" t="str">
        <f t="shared" si="26"/>
        <v/>
      </c>
      <c r="AP27" s="45" t="s">
        <v>40</v>
      </c>
      <c r="AQ27" s="98"/>
      <c r="AR27" s="99"/>
      <c r="AS27" s="99"/>
      <c r="AT27" s="100"/>
      <c r="AU27" s="101"/>
      <c r="AV27" s="100"/>
      <c r="AW27" s="101"/>
      <c r="AX27" s="101"/>
      <c r="AY27" s="99"/>
      <c r="AZ27" s="102"/>
      <c r="BA27" s="102"/>
      <c r="BB27" s="105"/>
      <c r="BC27" s="104"/>
      <c r="BD27" s="98"/>
      <c r="BE27" s="105"/>
      <c r="BF27" s="104"/>
      <c r="BG27" s="106"/>
      <c r="BH27" s="104"/>
      <c r="BI27" s="98"/>
      <c r="BJ27" s="105"/>
      <c r="BK27" s="104"/>
      <c r="BL27" s="104"/>
      <c r="BM27" s="107"/>
      <c r="BN27" s="108"/>
      <c r="BO27" s="108"/>
      <c r="BP27" s="109"/>
      <c r="BQ27" s="110"/>
      <c r="BR27" s="108"/>
      <c r="BS27" s="109"/>
      <c r="BT27" s="109"/>
      <c r="BU27" s="107"/>
      <c r="BV27" s="111"/>
      <c r="BW27" s="98"/>
      <c r="BX27" s="113"/>
      <c r="BY27" s="113"/>
      <c r="BZ27" s="114"/>
      <c r="CA27" s="114"/>
      <c r="CB27" s="114"/>
      <c r="CC27" s="99"/>
      <c r="CD27" s="111"/>
      <c r="CE27" s="116"/>
      <c r="CF27" s="225"/>
      <c r="CG27" s="226"/>
      <c r="CH27" s="225"/>
      <c r="CI27" s="226"/>
      <c r="CJ27" s="225"/>
      <c r="CK27" s="226"/>
      <c r="CL27" s="227"/>
      <c r="CM27" s="228"/>
      <c r="CN27" s="229"/>
      <c r="CO27" s="228"/>
      <c r="CP27" s="121"/>
      <c r="CQ27" s="121"/>
      <c r="CR27" s="100"/>
      <c r="CS27" s="121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/>
      <c r="B28" s="442"/>
      <c r="C28" s="453"/>
      <c r="D28" s="84"/>
      <c r="E28" s="23"/>
      <c r="F28" s="15"/>
      <c r="G28" s="213"/>
      <c r="H28" s="27" t="str">
        <f t="shared" si="16"/>
        <v/>
      </c>
      <c r="I28" s="216" t="str">
        <f t="shared" si="17"/>
        <v/>
      </c>
      <c r="J28" s="29" t="str">
        <f ca="1">IF($J$5&gt;=B28,"N/A",SUM(INDIRECT(ADDRESS(6+(MATCH($J$5,$B$6:$B$59,0)),8)):H28))</f>
        <v>N/A</v>
      </c>
      <c r="K28" s="10"/>
      <c r="L28" s="88"/>
      <c r="M28" s="4" t="str">
        <f t="shared" si="18"/>
        <v/>
      </c>
      <c r="N28" s="220" t="str">
        <f t="shared" si="0"/>
        <v/>
      </c>
      <c r="O28" s="30" t="str">
        <f ca="1">IF($O$5&gt;=B28,"N/A",SUM(INDIRECT(ADDRESS(6+(MATCH($O$5,$B$6:$B$59,0)),13)):M28))</f>
        <v>N/A</v>
      </c>
      <c r="P28" s="175" t="str">
        <f t="shared" si="19"/>
        <v/>
      </c>
      <c r="Q28" s="175" t="str">
        <f t="shared" si="20"/>
        <v/>
      </c>
      <c r="R28" s="175" t="str">
        <f t="shared" si="21"/>
        <v/>
      </c>
      <c r="S28" s="70" t="str">
        <f t="shared" si="22"/>
        <v/>
      </c>
      <c r="T28" s="241" t="str">
        <f t="shared" si="23"/>
        <v/>
      </c>
      <c r="U28" s="157" t="str">
        <f t="shared" si="1"/>
        <v/>
      </c>
      <c r="V28" s="158" t="str">
        <f t="shared" si="2"/>
        <v/>
      </c>
      <c r="W28" s="158" t="str">
        <f t="shared" si="3"/>
        <v/>
      </c>
      <c r="X28" s="199" t="str">
        <f t="shared" si="4"/>
        <v/>
      </c>
      <c r="Y28" s="159" t="str">
        <f t="shared" si="5"/>
        <v/>
      </c>
      <c r="Z28" s="181"/>
      <c r="AA28" s="148" t="str">
        <f t="shared" si="6"/>
        <v/>
      </c>
      <c r="AB28" s="149">
        <f t="shared" si="7"/>
        <v>0</v>
      </c>
      <c r="AC28" s="149" t="str">
        <f t="shared" si="8"/>
        <v/>
      </c>
      <c r="AD28" s="203">
        <f t="shared" si="9"/>
        <v>0</v>
      </c>
      <c r="AE28" s="150" t="str">
        <f t="shared" si="10"/>
        <v/>
      </c>
      <c r="AF28" s="182"/>
      <c r="AG28" s="139" t="str">
        <f t="shared" si="11"/>
        <v/>
      </c>
      <c r="AH28" s="140" t="str">
        <f t="shared" si="12"/>
        <v/>
      </c>
      <c r="AI28" s="141" t="str">
        <f t="shared" si="13"/>
        <v/>
      </c>
      <c r="AJ28" s="166" t="str">
        <f t="shared" si="14"/>
        <v/>
      </c>
      <c r="AK28" s="167" t="str">
        <f t="shared" si="14"/>
        <v/>
      </c>
      <c r="AL28" s="168" t="str">
        <f t="shared" si="15"/>
        <v/>
      </c>
      <c r="AM28" s="237" t="e">
        <f t="shared" si="27"/>
        <v>#VALUE!</v>
      </c>
      <c r="AN28" s="70" t="str">
        <f t="shared" si="25"/>
        <v/>
      </c>
      <c r="AO28" s="241" t="str">
        <f t="shared" si="26"/>
        <v/>
      </c>
      <c r="AP28" s="45" t="s">
        <v>40</v>
      </c>
      <c r="AQ28" s="98"/>
      <c r="AR28" s="99"/>
      <c r="AS28" s="99"/>
      <c r="AT28" s="100"/>
      <c r="AU28" s="101"/>
      <c r="AV28" s="100"/>
      <c r="AW28" s="101"/>
      <c r="AX28" s="101"/>
      <c r="AY28" s="99"/>
      <c r="AZ28" s="102"/>
      <c r="BA28" s="102"/>
      <c r="BB28" s="105"/>
      <c r="BC28" s="104"/>
      <c r="BD28" s="98"/>
      <c r="BE28" s="105"/>
      <c r="BF28" s="104"/>
      <c r="BG28" s="106"/>
      <c r="BH28" s="104"/>
      <c r="BI28" s="98"/>
      <c r="BJ28" s="105"/>
      <c r="BK28" s="104"/>
      <c r="BL28" s="104"/>
      <c r="BM28" s="107"/>
      <c r="BN28" s="108"/>
      <c r="BO28" s="108"/>
      <c r="BP28" s="109"/>
      <c r="BQ28" s="110"/>
      <c r="BR28" s="108"/>
      <c r="BS28" s="109"/>
      <c r="BT28" s="109"/>
      <c r="BU28" s="107"/>
      <c r="BV28" s="111"/>
      <c r="BW28" s="98"/>
      <c r="BX28" s="113"/>
      <c r="BY28" s="113"/>
      <c r="BZ28" s="114"/>
      <c r="CA28" s="114"/>
      <c r="CB28" s="114"/>
      <c r="CC28" s="99"/>
      <c r="CD28" s="115"/>
      <c r="CE28" s="116"/>
      <c r="CF28" s="225"/>
      <c r="CG28" s="226"/>
      <c r="CH28" s="225"/>
      <c r="CI28" s="226"/>
      <c r="CJ28" s="225"/>
      <c r="CK28" s="226"/>
      <c r="CL28" s="227"/>
      <c r="CM28" s="228"/>
      <c r="CN28" s="229"/>
      <c r="CO28" s="228"/>
      <c r="CP28" s="121"/>
      <c r="CQ28" s="121"/>
      <c r="CR28" s="100"/>
      <c r="CS28" s="121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/>
      <c r="B29" s="442"/>
      <c r="C29" s="453"/>
      <c r="D29" s="84"/>
      <c r="E29" s="23"/>
      <c r="F29" s="15"/>
      <c r="G29" s="213"/>
      <c r="H29" s="27" t="str">
        <f t="shared" si="16"/>
        <v/>
      </c>
      <c r="I29" s="216" t="str">
        <f t="shared" si="17"/>
        <v/>
      </c>
      <c r="J29" s="29" t="str">
        <f ca="1">IF($J$5&gt;=B29,"N/A",SUM(INDIRECT(ADDRESS(6+(MATCH($J$5,$B$6:$B$59,0)),8)):H29))</f>
        <v>N/A</v>
      </c>
      <c r="K29" s="10"/>
      <c r="L29" s="88"/>
      <c r="M29" s="4" t="str">
        <f t="shared" si="18"/>
        <v/>
      </c>
      <c r="N29" s="220" t="str">
        <f t="shared" si="0"/>
        <v/>
      </c>
      <c r="O29" s="30" t="str">
        <f ca="1">IF($O$5&gt;=B29,"N/A",SUM(INDIRECT(ADDRESS(6+(MATCH($O$5,$B$6:$B$59,0)),13)):M29))</f>
        <v>N/A</v>
      </c>
      <c r="P29" s="175" t="str">
        <f t="shared" si="19"/>
        <v/>
      </c>
      <c r="Q29" s="175" t="str">
        <f t="shared" si="20"/>
        <v/>
      </c>
      <c r="R29" s="175" t="str">
        <f t="shared" si="21"/>
        <v/>
      </c>
      <c r="S29" s="70" t="str">
        <f t="shared" si="22"/>
        <v/>
      </c>
      <c r="T29" s="241" t="str">
        <f t="shared" si="23"/>
        <v/>
      </c>
      <c r="U29" s="157" t="str">
        <f t="shared" si="1"/>
        <v/>
      </c>
      <c r="V29" s="158" t="str">
        <f t="shared" si="2"/>
        <v/>
      </c>
      <c r="W29" s="158" t="str">
        <f t="shared" si="3"/>
        <v/>
      </c>
      <c r="X29" s="199" t="str">
        <f t="shared" si="4"/>
        <v/>
      </c>
      <c r="Y29" s="159" t="str">
        <f t="shared" si="5"/>
        <v/>
      </c>
      <c r="Z29" s="181"/>
      <c r="AA29" s="148" t="str">
        <f t="shared" si="6"/>
        <v/>
      </c>
      <c r="AB29" s="149">
        <f t="shared" si="7"/>
        <v>0</v>
      </c>
      <c r="AC29" s="149" t="str">
        <f t="shared" si="8"/>
        <v/>
      </c>
      <c r="AD29" s="203">
        <f t="shared" si="9"/>
        <v>0</v>
      </c>
      <c r="AE29" s="150" t="str">
        <f t="shared" si="10"/>
        <v/>
      </c>
      <c r="AF29" s="182"/>
      <c r="AG29" s="139" t="str">
        <f t="shared" si="11"/>
        <v/>
      </c>
      <c r="AH29" s="140" t="str">
        <f t="shared" si="12"/>
        <v/>
      </c>
      <c r="AI29" s="141" t="str">
        <f t="shared" si="13"/>
        <v/>
      </c>
      <c r="AJ29" s="166" t="str">
        <f t="shared" si="14"/>
        <v/>
      </c>
      <c r="AK29" s="167" t="str">
        <f t="shared" si="14"/>
        <v/>
      </c>
      <c r="AL29" s="168" t="str">
        <f t="shared" si="15"/>
        <v/>
      </c>
      <c r="AM29" s="237" t="e">
        <f t="shared" si="27"/>
        <v>#VALUE!</v>
      </c>
      <c r="AN29" s="70" t="str">
        <f t="shared" si="25"/>
        <v/>
      </c>
      <c r="AO29" s="241" t="str">
        <f t="shared" si="26"/>
        <v/>
      </c>
      <c r="AP29" s="45" t="s">
        <v>40</v>
      </c>
      <c r="AQ29" s="98"/>
      <c r="AR29" s="99"/>
      <c r="AS29" s="99"/>
      <c r="AT29" s="100"/>
      <c r="AU29" s="101"/>
      <c r="AV29" s="100"/>
      <c r="AW29" s="101"/>
      <c r="AX29" s="101"/>
      <c r="AY29" s="99"/>
      <c r="AZ29" s="102"/>
      <c r="BA29" s="102"/>
      <c r="BB29" s="105"/>
      <c r="BC29" s="104"/>
      <c r="BD29" s="98"/>
      <c r="BE29" s="105"/>
      <c r="BF29" s="104"/>
      <c r="BG29" s="106"/>
      <c r="BH29" s="104"/>
      <c r="BI29" s="98"/>
      <c r="BJ29" s="105"/>
      <c r="BK29" s="104"/>
      <c r="BL29" s="104"/>
      <c r="BM29" s="107"/>
      <c r="BN29" s="108"/>
      <c r="BO29" s="108"/>
      <c r="BP29" s="109"/>
      <c r="BQ29" s="110"/>
      <c r="BR29" s="108"/>
      <c r="BS29" s="109"/>
      <c r="BT29" s="109"/>
      <c r="BU29" s="107"/>
      <c r="BV29" s="111"/>
      <c r="BW29" s="98"/>
      <c r="BX29" s="113"/>
      <c r="BY29" s="113"/>
      <c r="BZ29" s="114"/>
      <c r="CA29" s="114"/>
      <c r="CB29" s="114"/>
      <c r="CC29" s="99"/>
      <c r="CD29" s="111"/>
      <c r="CE29" s="116"/>
      <c r="CF29" s="225"/>
      <c r="CG29" s="226"/>
      <c r="CH29" s="225"/>
      <c r="CI29" s="226"/>
      <c r="CJ29" s="225"/>
      <c r="CK29" s="226"/>
      <c r="CL29" s="227"/>
      <c r="CM29" s="228"/>
      <c r="CN29" s="229"/>
      <c r="CO29" s="228"/>
      <c r="CP29" s="121"/>
      <c r="CQ29" s="121"/>
      <c r="CR29" s="100"/>
      <c r="CS29" s="121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/>
      <c r="B30" s="442"/>
      <c r="C30" s="453"/>
      <c r="D30" s="84"/>
      <c r="E30" s="23"/>
      <c r="F30" s="15"/>
      <c r="G30" s="213"/>
      <c r="H30" s="27" t="str">
        <f t="shared" si="16"/>
        <v/>
      </c>
      <c r="I30" s="216" t="str">
        <f t="shared" si="17"/>
        <v/>
      </c>
      <c r="J30" s="29" t="str">
        <f ca="1">IF($J$5&gt;=B30,"N/A",SUM(INDIRECT(ADDRESS(6+(MATCH($J$5,$B$6:$B$59,0)),8)):H30))</f>
        <v>N/A</v>
      </c>
      <c r="K30" s="10"/>
      <c r="L30" s="88"/>
      <c r="M30" s="4" t="str">
        <f t="shared" si="18"/>
        <v/>
      </c>
      <c r="N30" s="220" t="str">
        <f t="shared" si="0"/>
        <v/>
      </c>
      <c r="O30" s="30" t="str">
        <f ca="1">IF($O$5&gt;=B30,"N/A",SUM(INDIRECT(ADDRESS(6+(MATCH($O$5,$B$6:$B$59,0)),13)):M30))</f>
        <v>N/A</v>
      </c>
      <c r="P30" s="175" t="str">
        <f t="shared" si="19"/>
        <v/>
      </c>
      <c r="Q30" s="175" t="str">
        <f t="shared" si="20"/>
        <v/>
      </c>
      <c r="R30" s="175" t="str">
        <f t="shared" si="21"/>
        <v/>
      </c>
      <c r="S30" s="70" t="str">
        <f t="shared" si="22"/>
        <v/>
      </c>
      <c r="T30" s="241" t="str">
        <f t="shared" si="23"/>
        <v/>
      </c>
      <c r="U30" s="157" t="str">
        <f t="shared" si="1"/>
        <v/>
      </c>
      <c r="V30" s="158" t="str">
        <f t="shared" si="2"/>
        <v/>
      </c>
      <c r="W30" s="158" t="str">
        <f t="shared" si="3"/>
        <v/>
      </c>
      <c r="X30" s="199" t="str">
        <f t="shared" si="4"/>
        <v/>
      </c>
      <c r="Y30" s="159" t="str">
        <f t="shared" si="5"/>
        <v/>
      </c>
      <c r="Z30" s="181"/>
      <c r="AA30" s="148" t="str">
        <f t="shared" si="6"/>
        <v/>
      </c>
      <c r="AB30" s="149">
        <f t="shared" si="7"/>
        <v>0</v>
      </c>
      <c r="AC30" s="149" t="str">
        <f t="shared" si="8"/>
        <v/>
      </c>
      <c r="AD30" s="203">
        <f t="shared" si="9"/>
        <v>0</v>
      </c>
      <c r="AE30" s="150" t="str">
        <f t="shared" si="10"/>
        <v/>
      </c>
      <c r="AF30" s="182"/>
      <c r="AG30" s="139" t="str">
        <f t="shared" si="11"/>
        <v/>
      </c>
      <c r="AH30" s="140" t="str">
        <f t="shared" si="12"/>
        <v/>
      </c>
      <c r="AI30" s="141" t="str">
        <f t="shared" si="13"/>
        <v/>
      </c>
      <c r="AJ30" s="166" t="str">
        <f t="shared" si="14"/>
        <v/>
      </c>
      <c r="AK30" s="167" t="str">
        <f t="shared" si="14"/>
        <v/>
      </c>
      <c r="AL30" s="168" t="str">
        <f t="shared" si="15"/>
        <v/>
      </c>
      <c r="AM30" s="237" t="e">
        <f t="shared" si="27"/>
        <v>#VALUE!</v>
      </c>
      <c r="AN30" s="70" t="str">
        <f t="shared" si="25"/>
        <v/>
      </c>
      <c r="AO30" s="241" t="str">
        <f t="shared" si="26"/>
        <v/>
      </c>
      <c r="AP30" s="45" t="s">
        <v>40</v>
      </c>
      <c r="AQ30" s="98"/>
      <c r="AR30" s="99"/>
      <c r="AS30" s="99"/>
      <c r="AT30" s="100"/>
      <c r="AU30" s="101"/>
      <c r="AV30" s="100"/>
      <c r="AW30" s="101"/>
      <c r="AX30" s="101"/>
      <c r="AY30" s="99"/>
      <c r="AZ30" s="102"/>
      <c r="BA30" s="102"/>
      <c r="BB30" s="103"/>
      <c r="BC30" s="104"/>
      <c r="BD30" s="98"/>
      <c r="BE30" s="105"/>
      <c r="BF30" s="104"/>
      <c r="BG30" s="115"/>
      <c r="BH30" s="104"/>
      <c r="BI30" s="98"/>
      <c r="BJ30" s="105"/>
      <c r="BK30" s="104"/>
      <c r="BL30" s="104"/>
      <c r="BM30" s="107"/>
      <c r="BN30" s="108"/>
      <c r="BO30" s="108"/>
      <c r="BP30" s="109"/>
      <c r="BQ30" s="110"/>
      <c r="BR30" s="108"/>
      <c r="BS30" s="109"/>
      <c r="BT30" s="109"/>
      <c r="BU30" s="107"/>
      <c r="BV30" s="111"/>
      <c r="BW30" s="98"/>
      <c r="BX30" s="113"/>
      <c r="BY30" s="113"/>
      <c r="BZ30" s="114"/>
      <c r="CA30" s="114"/>
      <c r="CB30" s="114"/>
      <c r="CC30" s="99"/>
      <c r="CD30" s="115"/>
      <c r="CE30" s="116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121"/>
      <c r="CQ30" s="121"/>
      <c r="CR30" s="100"/>
      <c r="CS30" s="121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/>
      <c r="B31" s="442"/>
      <c r="C31" s="453"/>
      <c r="D31" s="84"/>
      <c r="E31" s="23"/>
      <c r="F31" s="15"/>
      <c r="G31" s="213"/>
      <c r="H31" s="27" t="str">
        <f t="shared" si="16"/>
        <v/>
      </c>
      <c r="I31" s="216" t="str">
        <f t="shared" si="17"/>
        <v/>
      </c>
      <c r="J31" s="29" t="str">
        <f ca="1">IF($J$5&gt;=B31,"N/A",SUM(INDIRECT(ADDRESS(6+(MATCH($J$5,$B$6:$B$59,0)),8)):H31))</f>
        <v>N/A</v>
      </c>
      <c r="K31" s="10"/>
      <c r="L31" s="88"/>
      <c r="M31" s="4" t="str">
        <f t="shared" si="18"/>
        <v/>
      </c>
      <c r="N31" s="220" t="str">
        <f t="shared" si="0"/>
        <v/>
      </c>
      <c r="O31" s="30" t="str">
        <f ca="1">IF($O$5&gt;=B31,"N/A",SUM(INDIRECT(ADDRESS(6+(MATCH($O$5,$B$6:$B$59,0)),13)):M31))</f>
        <v>N/A</v>
      </c>
      <c r="P31" s="175" t="str">
        <f t="shared" si="19"/>
        <v/>
      </c>
      <c r="Q31" s="175" t="str">
        <f t="shared" si="20"/>
        <v/>
      </c>
      <c r="R31" s="175" t="str">
        <f t="shared" si="21"/>
        <v/>
      </c>
      <c r="S31" s="70" t="str">
        <f t="shared" si="22"/>
        <v/>
      </c>
      <c r="T31" s="241" t="str">
        <f t="shared" si="23"/>
        <v/>
      </c>
      <c r="U31" s="157" t="str">
        <f t="shared" si="1"/>
        <v/>
      </c>
      <c r="V31" s="158" t="str">
        <f t="shared" si="2"/>
        <v/>
      </c>
      <c r="W31" s="158" t="str">
        <f t="shared" si="3"/>
        <v/>
      </c>
      <c r="X31" s="199" t="str">
        <f t="shared" si="4"/>
        <v/>
      </c>
      <c r="Y31" s="159" t="str">
        <f t="shared" si="5"/>
        <v/>
      </c>
      <c r="Z31" s="181"/>
      <c r="AA31" s="148" t="str">
        <f t="shared" si="6"/>
        <v/>
      </c>
      <c r="AB31" s="149">
        <f t="shared" si="7"/>
        <v>0</v>
      </c>
      <c r="AC31" s="149" t="str">
        <f t="shared" si="8"/>
        <v/>
      </c>
      <c r="AD31" s="203">
        <f t="shared" si="9"/>
        <v>0</v>
      </c>
      <c r="AE31" s="150" t="str">
        <f t="shared" si="10"/>
        <v/>
      </c>
      <c r="AF31" s="182"/>
      <c r="AG31" s="139" t="str">
        <f t="shared" si="11"/>
        <v/>
      </c>
      <c r="AH31" s="140" t="str">
        <f t="shared" si="12"/>
        <v/>
      </c>
      <c r="AI31" s="141" t="str">
        <f t="shared" si="13"/>
        <v/>
      </c>
      <c r="AJ31" s="166" t="str">
        <f t="shared" si="14"/>
        <v/>
      </c>
      <c r="AK31" s="167" t="str">
        <f t="shared" si="14"/>
        <v/>
      </c>
      <c r="AL31" s="168" t="str">
        <f t="shared" si="15"/>
        <v/>
      </c>
      <c r="AM31" s="237" t="e">
        <f t="shared" si="27"/>
        <v>#VALUE!</v>
      </c>
      <c r="AN31" s="70" t="str">
        <f t="shared" si="25"/>
        <v/>
      </c>
      <c r="AO31" s="241" t="str">
        <f t="shared" si="26"/>
        <v/>
      </c>
      <c r="AP31" s="45" t="s">
        <v>40</v>
      </c>
      <c r="AQ31" s="98"/>
      <c r="AR31" s="99"/>
      <c r="AS31" s="99"/>
      <c r="AT31" s="100"/>
      <c r="AU31" s="101"/>
      <c r="AV31" s="100"/>
      <c r="AW31" s="101"/>
      <c r="AX31" s="101"/>
      <c r="AY31" s="99"/>
      <c r="AZ31" s="102"/>
      <c r="BA31" s="102"/>
      <c r="BB31" s="103"/>
      <c r="BC31" s="104"/>
      <c r="BD31" s="98"/>
      <c r="BE31" s="105"/>
      <c r="BF31" s="104"/>
      <c r="BG31" s="115"/>
      <c r="BH31" s="104"/>
      <c r="BI31" s="98"/>
      <c r="BJ31" s="105"/>
      <c r="BK31" s="104"/>
      <c r="BL31" s="104"/>
      <c r="BM31" s="107"/>
      <c r="BN31" s="108"/>
      <c r="BO31" s="108"/>
      <c r="BP31" s="109"/>
      <c r="BQ31" s="110"/>
      <c r="BR31" s="108"/>
      <c r="BS31" s="109"/>
      <c r="BT31" s="109"/>
      <c r="BU31" s="107"/>
      <c r="BV31" s="111"/>
      <c r="BW31" s="98"/>
      <c r="BX31" s="113"/>
      <c r="BY31" s="113"/>
      <c r="BZ31" s="114"/>
      <c r="CA31" s="114"/>
      <c r="CB31" s="114"/>
      <c r="CC31" s="99"/>
      <c r="CD31" s="115"/>
      <c r="CE31" s="116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121"/>
      <c r="CQ31" s="121"/>
      <c r="CR31" s="100"/>
      <c r="CS31" s="121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/>
      <c r="B32" s="442"/>
      <c r="C32" s="453"/>
      <c r="D32" s="84"/>
      <c r="E32" s="23"/>
      <c r="F32" s="15"/>
      <c r="G32" s="213"/>
      <c r="H32" s="27" t="str">
        <f t="shared" si="16"/>
        <v/>
      </c>
      <c r="I32" s="216" t="str">
        <f t="shared" si="17"/>
        <v/>
      </c>
      <c r="J32" s="29" t="str">
        <f ca="1">IF($J$5&gt;=B32,"N/A",SUM(INDIRECT(ADDRESS(6+(MATCH($J$5,$B$6:$B$59,0)),8)):H32))</f>
        <v>N/A</v>
      </c>
      <c r="K32" s="10"/>
      <c r="L32" s="88"/>
      <c r="M32" s="4" t="str">
        <f t="shared" si="18"/>
        <v/>
      </c>
      <c r="N32" s="220" t="str">
        <f t="shared" si="0"/>
        <v/>
      </c>
      <c r="O32" s="30" t="str">
        <f ca="1">IF($O$5&gt;=B32,"N/A",SUM(INDIRECT(ADDRESS(6+(MATCH($O$5,$B$6:$B$59,0)),13)):M32))</f>
        <v>N/A</v>
      </c>
      <c r="P32" s="175" t="str">
        <f t="shared" si="19"/>
        <v/>
      </c>
      <c r="Q32" s="175" t="str">
        <f t="shared" si="20"/>
        <v/>
      </c>
      <c r="R32" s="175" t="str">
        <f t="shared" si="21"/>
        <v/>
      </c>
      <c r="S32" s="70" t="str">
        <f t="shared" si="22"/>
        <v/>
      </c>
      <c r="T32" s="241" t="str">
        <f t="shared" si="23"/>
        <v/>
      </c>
      <c r="U32" s="157" t="str">
        <f t="shared" si="1"/>
        <v/>
      </c>
      <c r="V32" s="158" t="str">
        <f t="shared" si="2"/>
        <v/>
      </c>
      <c r="W32" s="158" t="str">
        <f t="shared" si="3"/>
        <v/>
      </c>
      <c r="X32" s="199" t="str">
        <f t="shared" si="4"/>
        <v/>
      </c>
      <c r="Y32" s="159" t="str">
        <f t="shared" si="5"/>
        <v/>
      </c>
      <c r="Z32" s="181"/>
      <c r="AA32" s="148" t="str">
        <f t="shared" si="6"/>
        <v/>
      </c>
      <c r="AB32" s="149">
        <f t="shared" si="7"/>
        <v>0</v>
      </c>
      <c r="AC32" s="149" t="str">
        <f t="shared" si="8"/>
        <v/>
      </c>
      <c r="AD32" s="203">
        <f t="shared" si="9"/>
        <v>0</v>
      </c>
      <c r="AE32" s="150" t="str">
        <f t="shared" si="10"/>
        <v/>
      </c>
      <c r="AF32" s="182"/>
      <c r="AG32" s="139" t="str">
        <f t="shared" si="11"/>
        <v/>
      </c>
      <c r="AH32" s="140" t="str">
        <f t="shared" si="12"/>
        <v/>
      </c>
      <c r="AI32" s="141" t="str">
        <f t="shared" si="13"/>
        <v/>
      </c>
      <c r="AJ32" s="166" t="str">
        <f t="shared" si="14"/>
        <v/>
      </c>
      <c r="AK32" s="167" t="str">
        <f t="shared" si="14"/>
        <v/>
      </c>
      <c r="AL32" s="168" t="str">
        <f t="shared" si="15"/>
        <v/>
      </c>
      <c r="AM32" s="237" t="e">
        <f t="shared" si="27"/>
        <v>#VALUE!</v>
      </c>
      <c r="AN32" s="70" t="str">
        <f t="shared" si="25"/>
        <v/>
      </c>
      <c r="AO32" s="241" t="str">
        <f t="shared" si="26"/>
        <v/>
      </c>
      <c r="AP32" s="45" t="s">
        <v>40</v>
      </c>
      <c r="AQ32" s="98"/>
      <c r="AR32" s="99"/>
      <c r="AS32" s="99"/>
      <c r="AT32" s="100"/>
      <c r="AU32" s="101"/>
      <c r="AV32" s="100"/>
      <c r="AW32" s="101"/>
      <c r="AX32" s="101"/>
      <c r="AY32" s="99"/>
      <c r="AZ32" s="102"/>
      <c r="BA32" s="102"/>
      <c r="BB32" s="103"/>
      <c r="BC32" s="104"/>
      <c r="BD32" s="98"/>
      <c r="BE32" s="105"/>
      <c r="BF32" s="104"/>
      <c r="BG32" s="115"/>
      <c r="BH32" s="104"/>
      <c r="BI32" s="98"/>
      <c r="BJ32" s="105"/>
      <c r="BK32" s="104"/>
      <c r="BL32" s="104"/>
      <c r="BM32" s="107"/>
      <c r="BN32" s="108"/>
      <c r="BO32" s="108"/>
      <c r="BP32" s="109"/>
      <c r="BQ32" s="110"/>
      <c r="BR32" s="108"/>
      <c r="BS32" s="109"/>
      <c r="BT32" s="109"/>
      <c r="BU32" s="107"/>
      <c r="BV32" s="111"/>
      <c r="BW32" s="98"/>
      <c r="BX32" s="113"/>
      <c r="BY32" s="113"/>
      <c r="BZ32" s="114"/>
      <c r="CA32" s="114"/>
      <c r="CB32" s="114"/>
      <c r="CC32" s="99"/>
      <c r="CD32" s="115"/>
      <c r="CE32" s="116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121"/>
      <c r="CQ32" s="121"/>
      <c r="CR32" s="100"/>
      <c r="CS32" s="121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/>
      <c r="B33" s="442"/>
      <c r="C33" s="453"/>
      <c r="D33" s="84"/>
      <c r="E33" s="23"/>
      <c r="F33" s="15"/>
      <c r="G33" s="213"/>
      <c r="H33" s="27" t="str">
        <f t="shared" si="16"/>
        <v/>
      </c>
      <c r="I33" s="216" t="str">
        <f t="shared" si="17"/>
        <v/>
      </c>
      <c r="J33" s="29" t="str">
        <f ca="1">IF($J$5&gt;=B33,"N/A",SUM(INDIRECT(ADDRESS(6+(MATCH($J$5,$B$6:$B$59,0)),8)):H33))</f>
        <v>N/A</v>
      </c>
      <c r="K33" s="10"/>
      <c r="L33" s="88"/>
      <c r="M33" s="4" t="str">
        <f t="shared" si="18"/>
        <v/>
      </c>
      <c r="N33" s="220" t="str">
        <f t="shared" si="0"/>
        <v/>
      </c>
      <c r="O33" s="30" t="str">
        <f ca="1">IF($O$5&gt;=B33,"N/A",SUM(INDIRECT(ADDRESS(6+(MATCH($O$5,$B$6:$B$59,0)),13)):M33))</f>
        <v>N/A</v>
      </c>
      <c r="P33" s="175" t="str">
        <f t="shared" si="19"/>
        <v/>
      </c>
      <c r="Q33" s="175" t="str">
        <f t="shared" si="20"/>
        <v/>
      </c>
      <c r="R33" s="175" t="str">
        <f t="shared" si="21"/>
        <v/>
      </c>
      <c r="S33" s="70" t="str">
        <f t="shared" si="22"/>
        <v/>
      </c>
      <c r="T33" s="241" t="str">
        <f t="shared" si="23"/>
        <v/>
      </c>
      <c r="U33" s="157" t="str">
        <f t="shared" si="1"/>
        <v/>
      </c>
      <c r="V33" s="158" t="str">
        <f t="shared" si="2"/>
        <v/>
      </c>
      <c r="W33" s="158" t="str">
        <f t="shared" si="3"/>
        <v/>
      </c>
      <c r="X33" s="199" t="str">
        <f t="shared" si="4"/>
        <v/>
      </c>
      <c r="Y33" s="159" t="str">
        <f t="shared" si="5"/>
        <v/>
      </c>
      <c r="Z33" s="181"/>
      <c r="AA33" s="148" t="str">
        <f t="shared" si="6"/>
        <v/>
      </c>
      <c r="AB33" s="149">
        <f t="shared" si="7"/>
        <v>0</v>
      </c>
      <c r="AC33" s="149" t="str">
        <f t="shared" si="8"/>
        <v/>
      </c>
      <c r="AD33" s="203">
        <f t="shared" si="9"/>
        <v>0</v>
      </c>
      <c r="AE33" s="150" t="str">
        <f t="shared" si="10"/>
        <v/>
      </c>
      <c r="AF33" s="182"/>
      <c r="AG33" s="139" t="str">
        <f t="shared" si="11"/>
        <v/>
      </c>
      <c r="AH33" s="140" t="str">
        <f t="shared" si="12"/>
        <v/>
      </c>
      <c r="AI33" s="141" t="str">
        <f t="shared" si="13"/>
        <v/>
      </c>
      <c r="AJ33" s="166" t="str">
        <f t="shared" si="14"/>
        <v/>
      </c>
      <c r="AK33" s="167" t="str">
        <f t="shared" si="14"/>
        <v/>
      </c>
      <c r="AL33" s="168" t="str">
        <f t="shared" si="15"/>
        <v/>
      </c>
      <c r="AM33" s="237" t="e">
        <f t="shared" si="27"/>
        <v>#VALUE!</v>
      </c>
      <c r="AN33" s="70" t="str">
        <f t="shared" si="25"/>
        <v/>
      </c>
      <c r="AO33" s="241" t="str">
        <f t="shared" si="26"/>
        <v/>
      </c>
      <c r="AP33" s="45" t="s">
        <v>40</v>
      </c>
      <c r="AQ33" s="98"/>
      <c r="AR33" s="99"/>
      <c r="AS33" s="99"/>
      <c r="AT33" s="100"/>
      <c r="AU33" s="101"/>
      <c r="AV33" s="100"/>
      <c r="AW33" s="101"/>
      <c r="AX33" s="101"/>
      <c r="AY33" s="99"/>
      <c r="AZ33" s="102"/>
      <c r="BA33" s="102"/>
      <c r="BB33" s="103"/>
      <c r="BC33" s="104"/>
      <c r="BD33" s="98"/>
      <c r="BE33" s="105"/>
      <c r="BF33" s="104"/>
      <c r="BG33" s="115"/>
      <c r="BH33" s="104"/>
      <c r="BI33" s="98"/>
      <c r="BJ33" s="105"/>
      <c r="BK33" s="104"/>
      <c r="BL33" s="104"/>
      <c r="BM33" s="107"/>
      <c r="BN33" s="108"/>
      <c r="BO33" s="108"/>
      <c r="BP33" s="109"/>
      <c r="BQ33" s="110"/>
      <c r="BR33" s="108"/>
      <c r="BS33" s="109"/>
      <c r="BT33" s="109"/>
      <c r="BU33" s="107"/>
      <c r="BV33" s="111"/>
      <c r="BW33" s="98"/>
      <c r="BX33" s="113"/>
      <c r="BY33" s="113"/>
      <c r="BZ33" s="114"/>
      <c r="CA33" s="114"/>
      <c r="CB33" s="114"/>
      <c r="CC33" s="99"/>
      <c r="CD33" s="115"/>
      <c r="CE33" s="116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121"/>
      <c r="CQ33" s="121"/>
      <c r="CR33" s="100"/>
      <c r="CS33" s="121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/>
      <c r="B34" s="442"/>
      <c r="C34" s="443"/>
      <c r="D34" s="84"/>
      <c r="E34" s="23"/>
      <c r="F34" s="15"/>
      <c r="G34" s="213"/>
      <c r="H34" s="27" t="str">
        <f t="shared" si="16"/>
        <v/>
      </c>
      <c r="I34" s="216" t="str">
        <f t="shared" si="17"/>
        <v/>
      </c>
      <c r="J34" s="29" t="str">
        <f ca="1">IF($J$5&gt;=B34,"N/A",SUM(INDIRECT(ADDRESS(6+(MATCH($J$5,$B$6:$B$59,0)),8)):H34))</f>
        <v>N/A</v>
      </c>
      <c r="K34" s="10"/>
      <c r="L34" s="88"/>
      <c r="M34" s="4" t="str">
        <f t="shared" si="18"/>
        <v/>
      </c>
      <c r="N34" s="220" t="str">
        <f t="shared" si="0"/>
        <v/>
      </c>
      <c r="O34" s="30" t="str">
        <f ca="1">IF($O$5&gt;=B34,"N/A",SUM(INDIRECT(ADDRESS(6+(MATCH($O$5,$B$6:$B$59,0)),13)):M34))</f>
        <v>N/A</v>
      </c>
      <c r="P34" s="175" t="str">
        <f t="shared" si="19"/>
        <v/>
      </c>
      <c r="Q34" s="175" t="str">
        <f t="shared" si="20"/>
        <v/>
      </c>
      <c r="R34" s="175" t="str">
        <f t="shared" si="21"/>
        <v/>
      </c>
      <c r="S34" s="70" t="str">
        <f t="shared" si="22"/>
        <v/>
      </c>
      <c r="T34" s="241" t="str">
        <f t="shared" si="23"/>
        <v/>
      </c>
      <c r="U34" s="157" t="str">
        <f t="shared" si="1"/>
        <v/>
      </c>
      <c r="V34" s="158" t="str">
        <f t="shared" si="2"/>
        <v/>
      </c>
      <c r="W34" s="158" t="str">
        <f t="shared" si="3"/>
        <v/>
      </c>
      <c r="X34" s="199" t="str">
        <f t="shared" si="4"/>
        <v/>
      </c>
      <c r="Y34" s="159" t="str">
        <f t="shared" si="5"/>
        <v/>
      </c>
      <c r="Z34" s="181"/>
      <c r="AA34" s="148" t="str">
        <f t="shared" si="6"/>
        <v/>
      </c>
      <c r="AB34" s="149">
        <f t="shared" si="7"/>
        <v>0</v>
      </c>
      <c r="AC34" s="149" t="str">
        <f t="shared" si="8"/>
        <v/>
      </c>
      <c r="AD34" s="203">
        <f t="shared" si="9"/>
        <v>0</v>
      </c>
      <c r="AE34" s="150" t="str">
        <f t="shared" si="10"/>
        <v/>
      </c>
      <c r="AF34" s="182"/>
      <c r="AG34" s="139" t="str">
        <f t="shared" si="11"/>
        <v/>
      </c>
      <c r="AH34" s="140" t="str">
        <f t="shared" si="12"/>
        <v/>
      </c>
      <c r="AI34" s="141" t="str">
        <f t="shared" si="13"/>
        <v/>
      </c>
      <c r="AJ34" s="166" t="str">
        <f t="shared" si="14"/>
        <v/>
      </c>
      <c r="AK34" s="167" t="str">
        <f t="shared" si="14"/>
        <v/>
      </c>
      <c r="AL34" s="168" t="str">
        <f t="shared" si="15"/>
        <v/>
      </c>
      <c r="AM34" s="237" t="e">
        <f t="shared" si="27"/>
        <v>#VALUE!</v>
      </c>
      <c r="AN34" s="70" t="str">
        <f t="shared" si="25"/>
        <v/>
      </c>
      <c r="AO34" s="241" t="str">
        <f t="shared" si="26"/>
        <v/>
      </c>
      <c r="AP34" s="45" t="s">
        <v>40</v>
      </c>
      <c r="AQ34" s="98"/>
      <c r="AR34" s="99"/>
      <c r="AS34" s="99"/>
      <c r="AT34" s="100"/>
      <c r="AU34" s="101"/>
      <c r="AV34" s="100"/>
      <c r="AW34" s="101"/>
      <c r="AX34" s="101"/>
      <c r="AY34" s="99"/>
      <c r="AZ34" s="102"/>
      <c r="BA34" s="102"/>
      <c r="BB34" s="103"/>
      <c r="BC34" s="104"/>
      <c r="BD34" s="98"/>
      <c r="BE34" s="105"/>
      <c r="BF34" s="104"/>
      <c r="BG34" s="115"/>
      <c r="BH34" s="104"/>
      <c r="BI34" s="98"/>
      <c r="BJ34" s="105"/>
      <c r="BK34" s="104"/>
      <c r="BL34" s="104"/>
      <c r="BM34" s="107"/>
      <c r="BN34" s="108"/>
      <c r="BO34" s="108"/>
      <c r="BP34" s="109"/>
      <c r="BQ34" s="110"/>
      <c r="BR34" s="108"/>
      <c r="BS34" s="109"/>
      <c r="BT34" s="109"/>
      <c r="BU34" s="107"/>
      <c r="BV34" s="111"/>
      <c r="BW34" s="98"/>
      <c r="BX34" s="113"/>
      <c r="BY34" s="113"/>
      <c r="BZ34" s="114"/>
      <c r="CA34" s="114"/>
      <c r="CB34" s="114"/>
      <c r="CC34" s="99"/>
      <c r="CD34" s="115"/>
      <c r="CE34" s="116"/>
      <c r="CF34" s="90">
        <v>0</v>
      </c>
      <c r="CG34" s="90" t="s">
        <v>39</v>
      </c>
      <c r="CH34" s="90">
        <v>0</v>
      </c>
      <c r="CI34" s="90" t="s">
        <v>39</v>
      </c>
      <c r="CJ34" s="90">
        <v>0</v>
      </c>
      <c r="CK34" s="90" t="s">
        <v>39</v>
      </c>
      <c r="CL34" s="90"/>
      <c r="CM34" s="90">
        <v>0</v>
      </c>
      <c r="CN34" s="90">
        <v>0</v>
      </c>
      <c r="CO34" s="90">
        <v>0</v>
      </c>
      <c r="CP34" s="121"/>
      <c r="CQ34" s="121"/>
      <c r="CR34" s="100"/>
      <c r="CS34" s="121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/>
      <c r="B35" s="442"/>
      <c r="C35" s="443"/>
      <c r="D35" s="84"/>
      <c r="E35" s="23"/>
      <c r="F35" s="15"/>
      <c r="G35" s="213"/>
      <c r="H35" s="27" t="str">
        <f t="shared" si="16"/>
        <v/>
      </c>
      <c r="I35" s="216" t="str">
        <f t="shared" si="17"/>
        <v/>
      </c>
      <c r="J35" s="29" t="str">
        <f ca="1">IF($J$5&gt;=B35,"N/A",SUM(INDIRECT(ADDRESS(6+(MATCH($J$5,$B$6:$B$59,0)),8)):H35))</f>
        <v>N/A</v>
      </c>
      <c r="K35" s="10"/>
      <c r="L35" s="88"/>
      <c r="M35" s="4" t="str">
        <f t="shared" si="18"/>
        <v/>
      </c>
      <c r="N35" s="220" t="str">
        <f t="shared" si="0"/>
        <v/>
      </c>
      <c r="O35" s="30" t="str">
        <f ca="1">IF($O$5&gt;=B35,"N/A",SUM(INDIRECT(ADDRESS(6+(MATCH($O$5,$B$6:$B$59,0)),13)):M35))</f>
        <v>N/A</v>
      </c>
      <c r="P35" s="175" t="str">
        <f t="shared" si="19"/>
        <v/>
      </c>
      <c r="Q35" s="175" t="str">
        <f t="shared" si="20"/>
        <v/>
      </c>
      <c r="R35" s="175" t="str">
        <f t="shared" si="21"/>
        <v/>
      </c>
      <c r="S35" s="70" t="str">
        <f t="shared" si="22"/>
        <v/>
      </c>
      <c r="T35" s="241" t="str">
        <f t="shared" si="23"/>
        <v/>
      </c>
      <c r="U35" s="157" t="str">
        <f t="shared" si="1"/>
        <v/>
      </c>
      <c r="V35" s="158" t="str">
        <f t="shared" si="2"/>
        <v/>
      </c>
      <c r="W35" s="158" t="str">
        <f t="shared" si="3"/>
        <v/>
      </c>
      <c r="X35" s="199" t="str">
        <f t="shared" si="4"/>
        <v/>
      </c>
      <c r="Y35" s="159" t="str">
        <f t="shared" si="5"/>
        <v/>
      </c>
      <c r="Z35" s="181"/>
      <c r="AA35" s="148" t="str">
        <f t="shared" si="6"/>
        <v/>
      </c>
      <c r="AB35" s="149">
        <f t="shared" si="7"/>
        <v>0</v>
      </c>
      <c r="AC35" s="149" t="str">
        <f t="shared" si="8"/>
        <v/>
      </c>
      <c r="AD35" s="203">
        <f t="shared" si="9"/>
        <v>0</v>
      </c>
      <c r="AE35" s="150" t="str">
        <f t="shared" si="10"/>
        <v/>
      </c>
      <c r="AF35" s="182"/>
      <c r="AG35" s="139" t="str">
        <f t="shared" si="11"/>
        <v/>
      </c>
      <c r="AH35" s="140" t="str">
        <f t="shared" si="12"/>
        <v/>
      </c>
      <c r="AI35" s="141" t="str">
        <f t="shared" si="13"/>
        <v/>
      </c>
      <c r="AJ35" s="166" t="str">
        <f t="shared" si="14"/>
        <v/>
      </c>
      <c r="AK35" s="167" t="str">
        <f t="shared" si="14"/>
        <v/>
      </c>
      <c r="AL35" s="168" t="str">
        <f t="shared" si="15"/>
        <v/>
      </c>
      <c r="AM35" s="237" t="e">
        <f t="shared" si="27"/>
        <v>#VALUE!</v>
      </c>
      <c r="AN35" s="70" t="str">
        <f t="shared" si="25"/>
        <v/>
      </c>
      <c r="AO35" s="241" t="str">
        <f t="shared" si="26"/>
        <v/>
      </c>
      <c r="AP35" s="45" t="s">
        <v>40</v>
      </c>
      <c r="AQ35" s="98"/>
      <c r="AR35" s="99"/>
      <c r="AS35" s="99"/>
      <c r="AT35" s="100"/>
      <c r="AU35" s="101"/>
      <c r="AV35" s="100"/>
      <c r="AW35" s="101"/>
      <c r="AX35" s="101"/>
      <c r="AY35" s="99"/>
      <c r="AZ35" s="102"/>
      <c r="BA35" s="102"/>
      <c r="BB35" s="103"/>
      <c r="BC35" s="104"/>
      <c r="BD35" s="98"/>
      <c r="BE35" s="105"/>
      <c r="BF35" s="104"/>
      <c r="BG35" s="115"/>
      <c r="BH35" s="104"/>
      <c r="BI35" s="98"/>
      <c r="BJ35" s="105"/>
      <c r="BK35" s="104"/>
      <c r="BL35" s="104"/>
      <c r="BM35" s="107"/>
      <c r="BN35" s="108"/>
      <c r="BO35" s="108"/>
      <c r="BP35" s="109"/>
      <c r="BQ35" s="110"/>
      <c r="BR35" s="108"/>
      <c r="BS35" s="109"/>
      <c r="BT35" s="109"/>
      <c r="BU35" s="107"/>
      <c r="BV35" s="111"/>
      <c r="BW35" s="98"/>
      <c r="BX35" s="113"/>
      <c r="BY35" s="113"/>
      <c r="BZ35" s="114"/>
      <c r="CA35" s="114"/>
      <c r="CB35" s="114"/>
      <c r="CC35" s="99"/>
      <c r="CD35" s="115"/>
      <c r="CE35" s="116"/>
      <c r="CF35" s="90">
        <v>0</v>
      </c>
      <c r="CG35" s="90" t="s">
        <v>39</v>
      </c>
      <c r="CH35" s="90">
        <v>0</v>
      </c>
      <c r="CI35" s="90" t="s">
        <v>39</v>
      </c>
      <c r="CJ35" s="90">
        <v>0</v>
      </c>
      <c r="CK35" s="90" t="s">
        <v>39</v>
      </c>
      <c r="CL35" s="90"/>
      <c r="CM35" s="90">
        <v>35</v>
      </c>
      <c r="CN35" s="90">
        <v>35</v>
      </c>
      <c r="CO35" s="90">
        <v>0</v>
      </c>
      <c r="CP35" s="121"/>
      <c r="CQ35" s="121"/>
      <c r="CR35" s="100"/>
      <c r="CS35" s="121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/>
      <c r="B36" s="442"/>
      <c r="C36" s="453"/>
      <c r="D36" s="84"/>
      <c r="E36" s="23"/>
      <c r="F36" s="15"/>
      <c r="G36" s="213"/>
      <c r="H36" s="27" t="str">
        <f t="shared" si="16"/>
        <v/>
      </c>
      <c r="I36" s="216" t="str">
        <f t="shared" si="17"/>
        <v/>
      </c>
      <c r="J36" s="29" t="str">
        <f ca="1">IF($J$5&gt;=B36,"N/A",SUM(INDIRECT(ADDRESS(6+(MATCH($J$5,$B$6:$B$59,0)),8)):H36))</f>
        <v>N/A</v>
      </c>
      <c r="K36" s="10"/>
      <c r="L36" s="88"/>
      <c r="M36" s="4" t="str">
        <f t="shared" si="18"/>
        <v/>
      </c>
      <c r="N36" s="220" t="str">
        <f t="shared" si="0"/>
        <v/>
      </c>
      <c r="O36" s="30" t="str">
        <f ca="1">IF($O$5&gt;=B36,"N/A",SUM(INDIRECT(ADDRESS(6+(MATCH($O$5,$B$6:$B$59,0)),13)):M36))</f>
        <v>N/A</v>
      </c>
      <c r="P36" s="175" t="str">
        <f t="shared" si="19"/>
        <v/>
      </c>
      <c r="Q36" s="175" t="str">
        <f t="shared" si="20"/>
        <v/>
      </c>
      <c r="R36" s="175" t="str">
        <f t="shared" si="21"/>
        <v/>
      </c>
      <c r="S36" s="70" t="str">
        <f t="shared" si="22"/>
        <v/>
      </c>
      <c r="T36" s="241" t="str">
        <f t="shared" si="23"/>
        <v/>
      </c>
      <c r="U36" s="157" t="str">
        <f t="shared" si="1"/>
        <v/>
      </c>
      <c r="V36" s="158" t="str">
        <f t="shared" si="2"/>
        <v/>
      </c>
      <c r="W36" s="158" t="str">
        <f t="shared" si="3"/>
        <v/>
      </c>
      <c r="X36" s="199" t="str">
        <f t="shared" si="4"/>
        <v/>
      </c>
      <c r="Y36" s="159" t="str">
        <f t="shared" si="5"/>
        <v/>
      </c>
      <c r="Z36" s="181"/>
      <c r="AA36" s="148" t="str">
        <f t="shared" si="6"/>
        <v/>
      </c>
      <c r="AB36" s="149">
        <f t="shared" si="7"/>
        <v>0</v>
      </c>
      <c r="AC36" s="149" t="str">
        <f t="shared" si="8"/>
        <v/>
      </c>
      <c r="AD36" s="203">
        <f t="shared" si="9"/>
        <v>0</v>
      </c>
      <c r="AE36" s="150" t="str">
        <f t="shared" si="10"/>
        <v/>
      </c>
      <c r="AF36" s="182"/>
      <c r="AG36" s="139" t="str">
        <f t="shared" si="11"/>
        <v/>
      </c>
      <c r="AH36" s="140" t="str">
        <f t="shared" si="12"/>
        <v/>
      </c>
      <c r="AI36" s="141" t="str">
        <f t="shared" si="13"/>
        <v/>
      </c>
      <c r="AJ36" s="166" t="str">
        <f t="shared" si="14"/>
        <v/>
      </c>
      <c r="AK36" s="167" t="str">
        <f t="shared" si="14"/>
        <v/>
      </c>
      <c r="AL36" s="168" t="str">
        <f t="shared" si="15"/>
        <v/>
      </c>
      <c r="AM36" s="237" t="e">
        <f t="shared" si="27"/>
        <v>#VALUE!</v>
      </c>
      <c r="AN36" s="70" t="str">
        <f t="shared" si="25"/>
        <v/>
      </c>
      <c r="AO36" s="241" t="str">
        <f t="shared" si="26"/>
        <v/>
      </c>
      <c r="AP36" s="45" t="s">
        <v>40</v>
      </c>
      <c r="AQ36" s="98"/>
      <c r="AR36" s="99"/>
      <c r="AS36" s="99"/>
      <c r="AT36" s="100"/>
      <c r="AU36" s="101"/>
      <c r="AV36" s="100"/>
      <c r="AW36" s="101"/>
      <c r="AX36" s="101"/>
      <c r="AY36" s="99"/>
      <c r="AZ36" s="102"/>
      <c r="BA36" s="102"/>
      <c r="BB36" s="103"/>
      <c r="BC36" s="104"/>
      <c r="BD36" s="98"/>
      <c r="BE36" s="105"/>
      <c r="BF36" s="104"/>
      <c r="BG36" s="115"/>
      <c r="BH36" s="104"/>
      <c r="BI36" s="98"/>
      <c r="BJ36" s="105"/>
      <c r="BK36" s="104"/>
      <c r="BL36" s="104"/>
      <c r="BM36" s="107"/>
      <c r="BN36" s="108"/>
      <c r="BO36" s="108"/>
      <c r="BP36" s="109"/>
      <c r="BQ36" s="110"/>
      <c r="BR36" s="108"/>
      <c r="BS36" s="109"/>
      <c r="BT36" s="109"/>
      <c r="BU36" s="107"/>
      <c r="BV36" s="111"/>
      <c r="BW36" s="98"/>
      <c r="BX36" s="113"/>
      <c r="BY36" s="113"/>
      <c r="BZ36" s="114"/>
      <c r="CA36" s="114"/>
      <c r="CB36" s="114"/>
      <c r="CC36" s="99"/>
      <c r="CD36" s="115"/>
      <c r="CE36" s="116"/>
      <c r="CF36" s="90">
        <v>0</v>
      </c>
      <c r="CG36" s="90" t="s">
        <v>39</v>
      </c>
      <c r="CH36" s="90">
        <v>0</v>
      </c>
      <c r="CI36" s="90" t="s">
        <v>39</v>
      </c>
      <c r="CJ36" s="90">
        <v>0</v>
      </c>
      <c r="CK36" s="90" t="s">
        <v>39</v>
      </c>
      <c r="CL36" s="90"/>
      <c r="CM36" s="90">
        <v>49</v>
      </c>
      <c r="CN36" s="90">
        <v>49</v>
      </c>
      <c r="CO36" s="90">
        <v>0</v>
      </c>
      <c r="CP36" s="121"/>
      <c r="CQ36" s="121"/>
      <c r="CR36" s="100"/>
      <c r="CS36" s="121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thickBot="1" x14ac:dyDescent="0.3">
      <c r="A37" s="83"/>
      <c r="B37" s="442"/>
      <c r="C37" s="453"/>
      <c r="D37" s="84"/>
      <c r="E37" s="23"/>
      <c r="F37" s="15"/>
      <c r="G37" s="213"/>
      <c r="H37" s="27" t="str">
        <f t="shared" si="16"/>
        <v/>
      </c>
      <c r="I37" s="216" t="str">
        <f t="shared" si="17"/>
        <v/>
      </c>
      <c r="J37" s="29" t="str">
        <f ca="1">IF($J$5&gt;=B37,"N/A",SUM(INDIRECT(ADDRESS(6+(MATCH($J$5,$B$6:$B$59,0)),8)):H37))</f>
        <v>N/A</v>
      </c>
      <c r="K37" s="10"/>
      <c r="L37" s="88"/>
      <c r="M37" s="4" t="str">
        <f t="shared" si="18"/>
        <v/>
      </c>
      <c r="N37" s="220" t="str">
        <f t="shared" si="0"/>
        <v/>
      </c>
      <c r="O37" s="30" t="str">
        <f ca="1">IF($O$5&gt;=B37,"N/A",SUM(INDIRECT(ADDRESS(6+(MATCH($O$5,$B$6:$B$59,0)),13)):M37))</f>
        <v>N/A</v>
      </c>
      <c r="P37" s="175" t="str">
        <f t="shared" si="19"/>
        <v/>
      </c>
      <c r="Q37" s="175" t="str">
        <f t="shared" si="20"/>
        <v/>
      </c>
      <c r="R37" s="175" t="str">
        <f t="shared" si="21"/>
        <v/>
      </c>
      <c r="S37" s="70" t="str">
        <f t="shared" si="22"/>
        <v/>
      </c>
      <c r="T37" s="241" t="str">
        <f t="shared" si="23"/>
        <v/>
      </c>
      <c r="U37" s="157" t="str">
        <f t="shared" si="1"/>
        <v/>
      </c>
      <c r="V37" s="158" t="str">
        <f t="shared" si="2"/>
        <v/>
      </c>
      <c r="W37" s="158" t="str">
        <f t="shared" si="3"/>
        <v/>
      </c>
      <c r="X37" s="199" t="str">
        <f t="shared" si="4"/>
        <v/>
      </c>
      <c r="Y37" s="159" t="str">
        <f t="shared" si="5"/>
        <v/>
      </c>
      <c r="Z37" s="181"/>
      <c r="AA37" s="148" t="str">
        <f t="shared" si="6"/>
        <v/>
      </c>
      <c r="AB37" s="149">
        <f t="shared" si="7"/>
        <v>0</v>
      </c>
      <c r="AC37" s="149" t="str">
        <f t="shared" si="8"/>
        <v/>
      </c>
      <c r="AD37" s="203">
        <f t="shared" si="9"/>
        <v>0</v>
      </c>
      <c r="AE37" s="150" t="str">
        <f t="shared" si="10"/>
        <v/>
      </c>
      <c r="AF37" s="182"/>
      <c r="AG37" s="139" t="str">
        <f t="shared" si="11"/>
        <v/>
      </c>
      <c r="AH37" s="140" t="str">
        <f t="shared" si="12"/>
        <v/>
      </c>
      <c r="AI37" s="141" t="str">
        <f t="shared" si="13"/>
        <v/>
      </c>
      <c r="AJ37" s="166" t="str">
        <f t="shared" si="14"/>
        <v/>
      </c>
      <c r="AK37" s="167" t="str">
        <f t="shared" si="14"/>
        <v/>
      </c>
      <c r="AL37" s="168" t="str">
        <f t="shared" si="15"/>
        <v/>
      </c>
      <c r="AM37" s="237" t="e">
        <f t="shared" si="27"/>
        <v>#VALUE!</v>
      </c>
      <c r="AN37" s="70" t="str">
        <f t="shared" si="25"/>
        <v/>
      </c>
      <c r="AO37" s="241" t="str">
        <f t="shared" si="26"/>
        <v/>
      </c>
      <c r="AP37" s="45" t="s">
        <v>40</v>
      </c>
      <c r="AQ37" s="98"/>
      <c r="AR37" s="99"/>
      <c r="AS37" s="99"/>
      <c r="AT37" s="100"/>
      <c r="AU37" s="101"/>
      <c r="AV37" s="100"/>
      <c r="AW37" s="101"/>
      <c r="AX37" s="101"/>
      <c r="AY37" s="99"/>
      <c r="AZ37" s="102"/>
      <c r="BA37" s="102"/>
      <c r="BB37" s="103"/>
      <c r="BC37" s="104"/>
      <c r="BD37" s="98"/>
      <c r="BE37" s="105"/>
      <c r="BF37" s="104"/>
      <c r="BG37" s="115"/>
      <c r="BH37" s="104"/>
      <c r="BI37" s="98"/>
      <c r="BJ37" s="105"/>
      <c r="BK37" s="104"/>
      <c r="BL37" s="104"/>
      <c r="BM37" s="107"/>
      <c r="BN37" s="108"/>
      <c r="BO37" s="108"/>
      <c r="BP37" s="109"/>
      <c r="BQ37" s="110"/>
      <c r="BR37" s="108"/>
      <c r="BS37" s="109"/>
      <c r="BT37" s="109"/>
      <c r="BU37" s="107"/>
      <c r="BV37" s="111"/>
      <c r="BW37" s="98"/>
      <c r="BX37" s="113"/>
      <c r="BY37" s="113"/>
      <c r="BZ37" s="114"/>
      <c r="CA37" s="114"/>
      <c r="CB37" s="114"/>
      <c r="CC37" s="99"/>
      <c r="CD37" s="115"/>
      <c r="CE37" s="116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121"/>
      <c r="CQ37" s="121"/>
      <c r="CR37" s="100"/>
      <c r="CS37" s="121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hidden="1" customHeight="1" x14ac:dyDescent="0.25">
      <c r="A38" s="83"/>
      <c r="B38" s="442"/>
      <c r="C38" s="453"/>
      <c r="D38" s="84"/>
      <c r="E38" s="23"/>
      <c r="F38" s="15"/>
      <c r="G38" s="213"/>
      <c r="H38" s="27" t="str">
        <f t="shared" si="16"/>
        <v/>
      </c>
      <c r="I38" s="216" t="str">
        <f t="shared" si="17"/>
        <v/>
      </c>
      <c r="J38" s="29" t="str">
        <f ca="1">IF($J$5&gt;=B38,"N/A",SUM(INDIRECT(ADDRESS(6+(MATCH($J$5,$B$6:$B$59,0)),8)):H38))</f>
        <v>N/A</v>
      </c>
      <c r="K38" s="10">
        <v>0</v>
      </c>
      <c r="L38" s="88"/>
      <c r="M38" s="4">
        <f t="shared" si="18"/>
        <v>0</v>
      </c>
      <c r="N38" s="220" t="str">
        <f t="shared" si="0"/>
        <v/>
      </c>
      <c r="O38" s="30" t="str">
        <f ca="1">IF($O$5&gt;=B38,"N/A",SUM(INDIRECT(ADDRESS(6+(MATCH($O$5,$B$6:$B$59,0)),13)):M38))</f>
        <v>N/A</v>
      </c>
      <c r="P38" s="175" t="str">
        <f t="shared" si="19"/>
        <v/>
      </c>
      <c r="Q38" s="175" t="str">
        <f t="shared" si="20"/>
        <v/>
      </c>
      <c r="R38" s="175" t="str">
        <f t="shared" si="21"/>
        <v/>
      </c>
      <c r="S38" s="70" t="str">
        <f t="shared" si="22"/>
        <v/>
      </c>
      <c r="T38" s="241" t="str">
        <f t="shared" si="23"/>
        <v/>
      </c>
      <c r="U38" s="157" t="str">
        <f t="shared" si="1"/>
        <v/>
      </c>
      <c r="V38" s="158" t="str">
        <f t="shared" si="2"/>
        <v/>
      </c>
      <c r="W38" s="158" t="str">
        <f t="shared" si="3"/>
        <v/>
      </c>
      <c r="X38" s="199" t="str">
        <f t="shared" si="4"/>
        <v/>
      </c>
      <c r="Y38" s="159" t="str">
        <f t="shared" si="5"/>
        <v/>
      </c>
      <c r="Z38" s="181"/>
      <c r="AA38" s="148" t="str">
        <f t="shared" si="6"/>
        <v/>
      </c>
      <c r="AB38" s="149">
        <f t="shared" si="7"/>
        <v>0</v>
      </c>
      <c r="AC38" s="149" t="str">
        <f t="shared" si="8"/>
        <v/>
      </c>
      <c r="AD38" s="203">
        <f t="shared" si="9"/>
        <v>0</v>
      </c>
      <c r="AE38" s="150" t="str">
        <f t="shared" si="10"/>
        <v/>
      </c>
      <c r="AF38" s="182"/>
      <c r="AG38" s="139" t="str">
        <f t="shared" si="11"/>
        <v/>
      </c>
      <c r="AH38" s="140" t="str">
        <f t="shared" si="12"/>
        <v/>
      </c>
      <c r="AI38" s="141" t="str">
        <f t="shared" si="13"/>
        <v/>
      </c>
      <c r="AJ38" s="166" t="str">
        <f t="shared" si="14"/>
        <v/>
      </c>
      <c r="AK38" s="167" t="str">
        <f t="shared" si="14"/>
        <v/>
      </c>
      <c r="AL38" s="168" t="str">
        <f t="shared" si="15"/>
        <v/>
      </c>
      <c r="AM38" s="237" t="e">
        <f t="shared" si="27"/>
        <v>#VALUE!</v>
      </c>
      <c r="AN38" s="70" t="str">
        <f t="shared" si="25"/>
        <v/>
      </c>
      <c r="AO38" s="241" t="str">
        <f t="shared" si="26"/>
        <v/>
      </c>
      <c r="AP38" s="45" t="s">
        <v>40</v>
      </c>
      <c r="AQ38" s="98"/>
      <c r="AR38" s="99"/>
      <c r="AS38" s="99"/>
      <c r="AT38" s="100"/>
      <c r="AU38" s="101"/>
      <c r="AV38" s="100"/>
      <c r="AW38" s="101"/>
      <c r="AX38" s="101"/>
      <c r="AY38" s="99"/>
      <c r="AZ38" s="102"/>
      <c r="BA38" s="102"/>
      <c r="BB38" s="103"/>
      <c r="BC38" s="104"/>
      <c r="BD38" s="98"/>
      <c r="BE38" s="105"/>
      <c r="BF38" s="104"/>
      <c r="BG38" s="115"/>
      <c r="BH38" s="104"/>
      <c r="BI38" s="98"/>
      <c r="BJ38" s="105"/>
      <c r="BK38" s="104"/>
      <c r="BL38" s="104"/>
      <c r="BM38" s="107"/>
      <c r="BN38" s="108"/>
      <c r="BO38" s="108"/>
      <c r="BP38" s="109"/>
      <c r="BQ38" s="110"/>
      <c r="BR38" s="108"/>
      <c r="BS38" s="109"/>
      <c r="BT38" s="109"/>
      <c r="BU38" s="107"/>
      <c r="BV38" s="111"/>
      <c r="BW38" s="98"/>
      <c r="BX38" s="113"/>
      <c r="BY38" s="113"/>
      <c r="BZ38" s="114"/>
      <c r="CA38" s="114"/>
      <c r="CB38" s="114"/>
      <c r="CC38" s="99"/>
      <c r="CD38" s="115"/>
      <c r="CE38" s="116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90"/>
      <c r="CQ38" s="90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hidden="1" customHeight="1" x14ac:dyDescent="0.25">
      <c r="A39" s="83"/>
      <c r="B39" s="442"/>
      <c r="C39" s="453"/>
      <c r="D39" s="84"/>
      <c r="E39" s="23"/>
      <c r="F39" s="15"/>
      <c r="G39" s="213"/>
      <c r="H39" s="27" t="str">
        <f t="shared" si="16"/>
        <v/>
      </c>
      <c r="I39" s="216" t="str">
        <f t="shared" si="17"/>
        <v/>
      </c>
      <c r="J39" s="29" t="str">
        <f ca="1">IF($J$5&gt;=B39,"N/A",SUM(INDIRECT(ADDRESS(6+(MATCH($J$5,$B$6:$B$59,0)),8)):H39))</f>
        <v>N/A</v>
      </c>
      <c r="K39" s="10">
        <v>0</v>
      </c>
      <c r="L39" s="88"/>
      <c r="M39" s="4">
        <f t="shared" si="18"/>
        <v>0</v>
      </c>
      <c r="N39" s="220" t="str">
        <f t="shared" si="0"/>
        <v/>
      </c>
      <c r="O39" s="30" t="str">
        <f ca="1">IF($O$5&gt;=B39,"N/A",SUM(INDIRECT(ADDRESS(6+(MATCH($O$5,$B$6:$B$59,0)),13)):M39))</f>
        <v>N/A</v>
      </c>
      <c r="P39" s="175" t="str">
        <f t="shared" si="19"/>
        <v/>
      </c>
      <c r="Q39" s="175" t="str">
        <f t="shared" si="20"/>
        <v/>
      </c>
      <c r="R39" s="175" t="str">
        <f t="shared" si="21"/>
        <v/>
      </c>
      <c r="S39" s="70" t="str">
        <f t="shared" si="22"/>
        <v/>
      </c>
      <c r="T39" s="241" t="str">
        <f t="shared" si="23"/>
        <v/>
      </c>
      <c r="U39" s="157" t="str">
        <f t="shared" si="1"/>
        <v/>
      </c>
      <c r="V39" s="158" t="str">
        <f t="shared" si="2"/>
        <v/>
      </c>
      <c r="W39" s="158" t="str">
        <f t="shared" si="3"/>
        <v/>
      </c>
      <c r="X39" s="199" t="str">
        <f t="shared" si="4"/>
        <v/>
      </c>
      <c r="Y39" s="159" t="str">
        <f t="shared" si="5"/>
        <v/>
      </c>
      <c r="Z39" s="181"/>
      <c r="AA39" s="148" t="str">
        <f t="shared" si="6"/>
        <v/>
      </c>
      <c r="AB39" s="149">
        <f t="shared" si="7"/>
        <v>0</v>
      </c>
      <c r="AC39" s="149" t="str">
        <f t="shared" si="8"/>
        <v/>
      </c>
      <c r="AD39" s="203">
        <f t="shared" si="9"/>
        <v>0</v>
      </c>
      <c r="AE39" s="150" t="str">
        <f t="shared" si="10"/>
        <v/>
      </c>
      <c r="AF39" s="182"/>
      <c r="AG39" s="139" t="str">
        <f t="shared" si="11"/>
        <v/>
      </c>
      <c r="AH39" s="140" t="str">
        <f t="shared" si="12"/>
        <v/>
      </c>
      <c r="AI39" s="141" t="str">
        <f t="shared" si="13"/>
        <v/>
      </c>
      <c r="AJ39" s="166" t="str">
        <f t="shared" si="14"/>
        <v/>
      </c>
      <c r="AK39" s="167" t="str">
        <f t="shared" si="14"/>
        <v/>
      </c>
      <c r="AL39" s="168" t="str">
        <f t="shared" si="15"/>
        <v/>
      </c>
      <c r="AM39" s="237" t="e">
        <f t="shared" si="27"/>
        <v>#VALUE!</v>
      </c>
      <c r="AN39" s="70" t="str">
        <f t="shared" si="25"/>
        <v/>
      </c>
      <c r="AO39" s="241" t="str">
        <f t="shared" si="26"/>
        <v/>
      </c>
      <c r="AP39" s="45" t="s">
        <v>40</v>
      </c>
      <c r="AQ39" s="98"/>
      <c r="AR39" s="99"/>
      <c r="AS39" s="99"/>
      <c r="AT39" s="100"/>
      <c r="AU39" s="101"/>
      <c r="AV39" s="100"/>
      <c r="AW39" s="101"/>
      <c r="AX39" s="101"/>
      <c r="AY39" s="99"/>
      <c r="AZ39" s="102"/>
      <c r="BA39" s="102"/>
      <c r="BB39" s="103"/>
      <c r="BC39" s="104"/>
      <c r="BD39" s="98"/>
      <c r="BE39" s="105"/>
      <c r="BF39" s="104"/>
      <c r="BG39" s="115"/>
      <c r="BH39" s="104"/>
      <c r="BI39" s="98"/>
      <c r="BJ39" s="105"/>
      <c r="BK39" s="104"/>
      <c r="BL39" s="104"/>
      <c r="BM39" s="107"/>
      <c r="BN39" s="108"/>
      <c r="BO39" s="108"/>
      <c r="BP39" s="109"/>
      <c r="BQ39" s="110"/>
      <c r="BR39" s="108"/>
      <c r="BS39" s="109"/>
      <c r="BT39" s="109"/>
      <c r="BU39" s="107"/>
      <c r="BV39" s="111"/>
      <c r="BW39" s="98"/>
      <c r="BX39" s="113"/>
      <c r="BY39" s="113"/>
      <c r="BZ39" s="114"/>
      <c r="CA39" s="114"/>
      <c r="CB39" s="114"/>
      <c r="CC39" s="99"/>
      <c r="CD39" s="115"/>
      <c r="CE39" s="116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90"/>
      <c r="CQ39" s="90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hidden="1" customHeight="1" x14ac:dyDescent="0.25">
      <c r="A40" s="83"/>
      <c r="B40" s="442"/>
      <c r="C40" s="453"/>
      <c r="D40" s="84"/>
      <c r="E40" s="23"/>
      <c r="F40" s="15"/>
      <c r="G40" s="213"/>
      <c r="H40" s="27" t="str">
        <f t="shared" si="16"/>
        <v/>
      </c>
      <c r="I40" s="216" t="str">
        <f t="shared" si="17"/>
        <v/>
      </c>
      <c r="J40" s="29" t="str">
        <f ca="1">IF($J$5&gt;=B40,"N/A",SUM(INDIRECT(ADDRESS(6+(MATCH($J$5,$B$6:$B$59,0)),8)):H40))</f>
        <v>N/A</v>
      </c>
      <c r="K40" s="10">
        <v>0</v>
      </c>
      <c r="L40" s="88"/>
      <c r="M40" s="4">
        <f t="shared" si="18"/>
        <v>0</v>
      </c>
      <c r="N40" s="220" t="str">
        <f t="shared" si="0"/>
        <v/>
      </c>
      <c r="O40" s="30" t="str">
        <f ca="1">IF($O$5&gt;=B40,"N/A",SUM(INDIRECT(ADDRESS(6+(MATCH($O$5,$B$6:$B$59,0)),13)):M40))</f>
        <v>N/A</v>
      </c>
      <c r="P40" s="175" t="str">
        <f t="shared" si="19"/>
        <v/>
      </c>
      <c r="Q40" s="175" t="str">
        <f t="shared" si="20"/>
        <v/>
      </c>
      <c r="R40" s="175" t="str">
        <f t="shared" si="21"/>
        <v/>
      </c>
      <c r="S40" s="70" t="str">
        <f t="shared" si="22"/>
        <v/>
      </c>
      <c r="T40" s="241" t="str">
        <f t="shared" si="23"/>
        <v/>
      </c>
      <c r="U40" s="157" t="str">
        <f t="shared" si="1"/>
        <v/>
      </c>
      <c r="V40" s="158" t="str">
        <f t="shared" si="2"/>
        <v/>
      </c>
      <c r="W40" s="158" t="str">
        <f t="shared" si="3"/>
        <v/>
      </c>
      <c r="X40" s="199" t="str">
        <f t="shared" si="4"/>
        <v/>
      </c>
      <c r="Y40" s="159" t="str">
        <f t="shared" si="5"/>
        <v/>
      </c>
      <c r="Z40" s="181"/>
      <c r="AA40" s="148" t="str">
        <f t="shared" si="6"/>
        <v/>
      </c>
      <c r="AB40" s="149">
        <f t="shared" si="7"/>
        <v>0</v>
      </c>
      <c r="AC40" s="149" t="str">
        <f t="shared" si="8"/>
        <v/>
      </c>
      <c r="AD40" s="203">
        <f t="shared" si="9"/>
        <v>0</v>
      </c>
      <c r="AE40" s="150" t="str">
        <f t="shared" si="10"/>
        <v/>
      </c>
      <c r="AF40" s="182"/>
      <c r="AG40" s="139" t="str">
        <f t="shared" si="11"/>
        <v/>
      </c>
      <c r="AH40" s="140" t="str">
        <f t="shared" si="12"/>
        <v/>
      </c>
      <c r="AI40" s="141" t="str">
        <f t="shared" si="13"/>
        <v/>
      </c>
      <c r="AJ40" s="166" t="str">
        <f t="shared" si="14"/>
        <v/>
      </c>
      <c r="AK40" s="167" t="str">
        <f t="shared" si="14"/>
        <v/>
      </c>
      <c r="AL40" s="168" t="str">
        <f t="shared" si="15"/>
        <v/>
      </c>
      <c r="AM40" s="237" t="e">
        <f t="shared" si="27"/>
        <v>#VALUE!</v>
      </c>
      <c r="AN40" s="70" t="str">
        <f t="shared" si="25"/>
        <v/>
      </c>
      <c r="AO40" s="241" t="str">
        <f t="shared" si="26"/>
        <v/>
      </c>
      <c r="AP40" s="45" t="s">
        <v>40</v>
      </c>
      <c r="AQ40" s="98"/>
      <c r="AR40" s="99"/>
      <c r="AS40" s="99"/>
      <c r="AT40" s="100"/>
      <c r="AU40" s="101"/>
      <c r="AV40" s="100"/>
      <c r="AW40" s="101"/>
      <c r="AX40" s="101"/>
      <c r="AY40" s="99"/>
      <c r="AZ40" s="102"/>
      <c r="BA40" s="102"/>
      <c r="BB40" s="103"/>
      <c r="BC40" s="104"/>
      <c r="BD40" s="98"/>
      <c r="BE40" s="105"/>
      <c r="BF40" s="104"/>
      <c r="BG40" s="115"/>
      <c r="BH40" s="104"/>
      <c r="BI40" s="98"/>
      <c r="BJ40" s="105"/>
      <c r="BK40" s="104"/>
      <c r="BL40" s="104"/>
      <c r="BM40" s="107"/>
      <c r="BN40" s="108"/>
      <c r="BO40" s="108"/>
      <c r="BP40" s="109"/>
      <c r="BQ40" s="110"/>
      <c r="BR40" s="108"/>
      <c r="BS40" s="109"/>
      <c r="BT40" s="109"/>
      <c r="BU40" s="107"/>
      <c r="BV40" s="111"/>
      <c r="BW40" s="98"/>
      <c r="BX40" s="113"/>
      <c r="BY40" s="113"/>
      <c r="BZ40" s="114"/>
      <c r="CA40" s="114"/>
      <c r="CB40" s="114"/>
      <c r="CC40" s="99"/>
      <c r="CD40" s="115"/>
      <c r="CE40" s="116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90"/>
      <c r="CQ40" s="90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hidden="1" customHeight="1" x14ac:dyDescent="0.25">
      <c r="A41" s="83"/>
      <c r="B41" s="442"/>
      <c r="C41" s="453"/>
      <c r="D41" s="84"/>
      <c r="E41" s="23"/>
      <c r="F41" s="15"/>
      <c r="G41" s="213"/>
      <c r="H41" s="27" t="str">
        <f t="shared" si="16"/>
        <v/>
      </c>
      <c r="I41" s="216" t="str">
        <f t="shared" si="17"/>
        <v/>
      </c>
      <c r="J41" s="29" t="str">
        <f ca="1">IF($J$5&gt;=B41,"N/A",SUM(INDIRECT(ADDRESS(6+(MATCH($J$5,$B$6:$B$59,0)),8)):H41))</f>
        <v>N/A</v>
      </c>
      <c r="K41" s="10">
        <v>0</v>
      </c>
      <c r="L41" s="88"/>
      <c r="M41" s="4">
        <f t="shared" si="18"/>
        <v>0</v>
      </c>
      <c r="N41" s="220" t="str">
        <f t="shared" si="0"/>
        <v/>
      </c>
      <c r="O41" s="30" t="str">
        <f ca="1">IF($O$5&gt;=B41,"N/A",SUM(INDIRECT(ADDRESS(6+(MATCH($O$5,$B$6:$B$59,0)),13)):M41))</f>
        <v>N/A</v>
      </c>
      <c r="P41" s="175" t="str">
        <f t="shared" si="19"/>
        <v/>
      </c>
      <c r="Q41" s="175" t="str">
        <f t="shared" si="20"/>
        <v/>
      </c>
      <c r="R41" s="175" t="str">
        <f t="shared" si="21"/>
        <v/>
      </c>
      <c r="S41" s="70" t="str">
        <f t="shared" si="22"/>
        <v/>
      </c>
      <c r="T41" s="241" t="str">
        <f t="shared" si="23"/>
        <v/>
      </c>
      <c r="U41" s="157" t="str">
        <f t="shared" si="1"/>
        <v/>
      </c>
      <c r="V41" s="158" t="str">
        <f t="shared" si="2"/>
        <v/>
      </c>
      <c r="W41" s="158" t="str">
        <f t="shared" si="3"/>
        <v/>
      </c>
      <c r="X41" s="199" t="str">
        <f t="shared" si="4"/>
        <v/>
      </c>
      <c r="Y41" s="159" t="str">
        <f t="shared" si="5"/>
        <v/>
      </c>
      <c r="Z41" s="181"/>
      <c r="AA41" s="148" t="str">
        <f t="shared" si="6"/>
        <v/>
      </c>
      <c r="AB41" s="149">
        <f t="shared" si="7"/>
        <v>0</v>
      </c>
      <c r="AC41" s="149" t="str">
        <f t="shared" si="8"/>
        <v/>
      </c>
      <c r="AD41" s="203">
        <f t="shared" si="9"/>
        <v>0</v>
      </c>
      <c r="AE41" s="150" t="str">
        <f t="shared" si="10"/>
        <v/>
      </c>
      <c r="AF41" s="182"/>
      <c r="AG41" s="139" t="str">
        <f t="shared" si="11"/>
        <v/>
      </c>
      <c r="AH41" s="140" t="str">
        <f t="shared" si="12"/>
        <v/>
      </c>
      <c r="AI41" s="141" t="str">
        <f t="shared" si="13"/>
        <v/>
      </c>
      <c r="AJ41" s="166" t="str">
        <f t="shared" si="14"/>
        <v/>
      </c>
      <c r="AK41" s="167" t="str">
        <f t="shared" si="14"/>
        <v/>
      </c>
      <c r="AL41" s="168" t="str">
        <f t="shared" si="15"/>
        <v/>
      </c>
      <c r="AM41" s="237" t="e">
        <f t="shared" si="27"/>
        <v>#VALUE!</v>
      </c>
      <c r="AN41" s="70" t="str">
        <f t="shared" si="25"/>
        <v/>
      </c>
      <c r="AO41" s="241" t="str">
        <f t="shared" si="26"/>
        <v/>
      </c>
      <c r="AP41" s="45" t="s">
        <v>40</v>
      </c>
      <c r="AQ41" s="98"/>
      <c r="AR41" s="99"/>
      <c r="AS41" s="99"/>
      <c r="AT41" s="100"/>
      <c r="AU41" s="101"/>
      <c r="AV41" s="100"/>
      <c r="AW41" s="101"/>
      <c r="AX41" s="101"/>
      <c r="AY41" s="99"/>
      <c r="AZ41" s="102"/>
      <c r="BA41" s="102"/>
      <c r="BB41" s="103"/>
      <c r="BC41" s="104"/>
      <c r="BD41" s="98"/>
      <c r="BE41" s="105"/>
      <c r="BF41" s="104"/>
      <c r="BG41" s="115"/>
      <c r="BH41" s="104"/>
      <c r="BI41" s="98"/>
      <c r="BJ41" s="105"/>
      <c r="BK41" s="104"/>
      <c r="BL41" s="104"/>
      <c r="BM41" s="107"/>
      <c r="BN41" s="108"/>
      <c r="BO41" s="108"/>
      <c r="BP41" s="109"/>
      <c r="BQ41" s="110"/>
      <c r="BR41" s="108"/>
      <c r="BS41" s="109"/>
      <c r="BT41" s="109"/>
      <c r="BU41" s="107"/>
      <c r="BV41" s="111"/>
      <c r="BW41" s="98"/>
      <c r="BX41" s="113"/>
      <c r="BY41" s="113"/>
      <c r="BZ41" s="114"/>
      <c r="CA41" s="114"/>
      <c r="CB41" s="114"/>
      <c r="CC41" s="99"/>
      <c r="CD41" s="115"/>
      <c r="CE41" s="116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90"/>
      <c r="CQ41" s="90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hidden="1" customHeight="1" x14ac:dyDescent="0.25">
      <c r="A42" s="83"/>
      <c r="B42" s="442"/>
      <c r="C42" s="453"/>
      <c r="D42" s="84"/>
      <c r="E42" s="23"/>
      <c r="F42" s="15"/>
      <c r="G42" s="213"/>
      <c r="H42" s="27" t="str">
        <f t="shared" si="16"/>
        <v/>
      </c>
      <c r="I42" s="216" t="str">
        <f t="shared" si="17"/>
        <v/>
      </c>
      <c r="J42" s="29" t="str">
        <f ca="1">IF($J$5&gt;=B42,"N/A",SUM(INDIRECT(ADDRESS(6+(MATCH($J$5,$B$6:$B$59,0)),8)):H42))</f>
        <v>N/A</v>
      </c>
      <c r="K42" s="10">
        <v>0</v>
      </c>
      <c r="L42" s="88"/>
      <c r="M42" s="4">
        <f t="shared" si="18"/>
        <v>0</v>
      </c>
      <c r="N42" s="220" t="str">
        <f t="shared" si="0"/>
        <v/>
      </c>
      <c r="O42" s="30" t="str">
        <f ca="1">IF($O$5&gt;=B42,"N/A",SUM(INDIRECT(ADDRESS(6+(MATCH($O$5,$B$6:$B$59,0)),13)):M42))</f>
        <v>N/A</v>
      </c>
      <c r="P42" s="175" t="str">
        <f t="shared" si="19"/>
        <v/>
      </c>
      <c r="Q42" s="175" t="str">
        <f t="shared" si="20"/>
        <v/>
      </c>
      <c r="R42" s="175" t="str">
        <f t="shared" si="21"/>
        <v/>
      </c>
      <c r="S42" s="70" t="str">
        <f t="shared" si="22"/>
        <v/>
      </c>
      <c r="T42" s="241" t="str">
        <f t="shared" si="23"/>
        <v/>
      </c>
      <c r="U42" s="157" t="str">
        <f t="shared" si="1"/>
        <v/>
      </c>
      <c r="V42" s="158" t="str">
        <f t="shared" si="2"/>
        <v/>
      </c>
      <c r="W42" s="158" t="str">
        <f t="shared" si="3"/>
        <v/>
      </c>
      <c r="X42" s="199" t="str">
        <f t="shared" si="4"/>
        <v/>
      </c>
      <c r="Y42" s="159" t="str">
        <f t="shared" si="5"/>
        <v/>
      </c>
      <c r="Z42" s="181"/>
      <c r="AA42" s="148" t="str">
        <f t="shared" si="6"/>
        <v/>
      </c>
      <c r="AB42" s="149">
        <f t="shared" si="7"/>
        <v>0</v>
      </c>
      <c r="AC42" s="149" t="str">
        <f t="shared" si="8"/>
        <v/>
      </c>
      <c r="AD42" s="203">
        <f t="shared" si="9"/>
        <v>0</v>
      </c>
      <c r="AE42" s="150" t="str">
        <f t="shared" si="10"/>
        <v/>
      </c>
      <c r="AF42" s="182"/>
      <c r="AG42" s="139" t="str">
        <f t="shared" si="11"/>
        <v/>
      </c>
      <c r="AH42" s="140" t="str">
        <f t="shared" si="12"/>
        <v/>
      </c>
      <c r="AI42" s="141" t="str">
        <f t="shared" si="13"/>
        <v/>
      </c>
      <c r="AJ42" s="166" t="str">
        <f t="shared" si="14"/>
        <v/>
      </c>
      <c r="AK42" s="167" t="str">
        <f t="shared" si="14"/>
        <v/>
      </c>
      <c r="AL42" s="168" t="str">
        <f t="shared" si="15"/>
        <v/>
      </c>
      <c r="AM42" s="237" t="e">
        <f t="shared" si="27"/>
        <v>#VALUE!</v>
      </c>
      <c r="AN42" s="70" t="str">
        <f t="shared" si="25"/>
        <v/>
      </c>
      <c r="AO42" s="241" t="str">
        <f t="shared" si="26"/>
        <v/>
      </c>
      <c r="AP42" s="45" t="s">
        <v>40</v>
      </c>
      <c r="AQ42" s="98"/>
      <c r="AR42" s="99"/>
      <c r="AS42" s="99"/>
      <c r="AT42" s="100"/>
      <c r="AU42" s="101"/>
      <c r="AV42" s="100"/>
      <c r="AW42" s="101"/>
      <c r="AX42" s="101"/>
      <c r="AY42" s="99"/>
      <c r="AZ42" s="102"/>
      <c r="BA42" s="102"/>
      <c r="BB42" s="103"/>
      <c r="BC42" s="104"/>
      <c r="BD42" s="98"/>
      <c r="BE42" s="105"/>
      <c r="BF42" s="104"/>
      <c r="BG42" s="115"/>
      <c r="BH42" s="104"/>
      <c r="BI42" s="98"/>
      <c r="BJ42" s="105"/>
      <c r="BK42" s="104"/>
      <c r="BL42" s="104"/>
      <c r="BM42" s="107"/>
      <c r="BN42" s="108"/>
      <c r="BO42" s="108"/>
      <c r="BP42" s="109"/>
      <c r="BQ42" s="110"/>
      <c r="BR42" s="108"/>
      <c r="BS42" s="109"/>
      <c r="BT42" s="109"/>
      <c r="BU42" s="107"/>
      <c r="BV42" s="111"/>
      <c r="BW42" s="98"/>
      <c r="BX42" s="113"/>
      <c r="BY42" s="113"/>
      <c r="BZ42" s="114"/>
      <c r="CA42" s="114"/>
      <c r="CB42" s="114"/>
      <c r="CC42" s="99"/>
      <c r="CD42" s="115"/>
      <c r="CE42" s="116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90"/>
      <c r="CQ42" s="90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hidden="1" customHeight="1" x14ac:dyDescent="0.25">
      <c r="A43" s="83"/>
      <c r="B43" s="442"/>
      <c r="C43" s="453"/>
      <c r="D43" s="84"/>
      <c r="E43" s="23"/>
      <c r="F43" s="15"/>
      <c r="G43" s="213"/>
      <c r="H43" s="27" t="str">
        <f t="shared" si="16"/>
        <v/>
      </c>
      <c r="I43" s="216" t="str">
        <f t="shared" si="17"/>
        <v/>
      </c>
      <c r="J43" s="29" t="str">
        <f ca="1">IF($J$5&gt;=B43,"N/A",SUM(INDIRECT(ADDRESS(6+(MATCH($J$5,$B$6:$B$59,0)),8)):H43))</f>
        <v>N/A</v>
      </c>
      <c r="K43" s="10">
        <v>0</v>
      </c>
      <c r="L43" s="88"/>
      <c r="M43" s="4">
        <f t="shared" si="18"/>
        <v>0</v>
      </c>
      <c r="N43" s="220" t="str">
        <f t="shared" si="0"/>
        <v/>
      </c>
      <c r="O43" s="30" t="str">
        <f ca="1">IF($O$5&gt;=B43,"N/A",SUM(INDIRECT(ADDRESS(6+(MATCH($O$5,$B$6:$B$59,0)),13)):M43))</f>
        <v>N/A</v>
      </c>
      <c r="P43" s="175" t="str">
        <f t="shared" si="19"/>
        <v/>
      </c>
      <c r="Q43" s="175" t="str">
        <f t="shared" si="20"/>
        <v/>
      </c>
      <c r="R43" s="175" t="str">
        <f t="shared" si="21"/>
        <v/>
      </c>
      <c r="S43" s="70" t="str">
        <f t="shared" si="22"/>
        <v/>
      </c>
      <c r="T43" s="241" t="str">
        <f t="shared" si="23"/>
        <v/>
      </c>
      <c r="U43" s="157" t="str">
        <f t="shared" si="1"/>
        <v/>
      </c>
      <c r="V43" s="158" t="str">
        <f t="shared" si="2"/>
        <v/>
      </c>
      <c r="W43" s="158" t="str">
        <f t="shared" si="3"/>
        <v/>
      </c>
      <c r="X43" s="199" t="str">
        <f t="shared" si="4"/>
        <v/>
      </c>
      <c r="Y43" s="159" t="str">
        <f t="shared" si="5"/>
        <v/>
      </c>
      <c r="Z43" s="181"/>
      <c r="AA43" s="148" t="str">
        <f t="shared" si="6"/>
        <v/>
      </c>
      <c r="AB43" s="149">
        <f t="shared" si="7"/>
        <v>0</v>
      </c>
      <c r="AC43" s="149" t="str">
        <f t="shared" si="8"/>
        <v/>
      </c>
      <c r="AD43" s="203">
        <f t="shared" si="9"/>
        <v>0</v>
      </c>
      <c r="AE43" s="150" t="str">
        <f t="shared" si="10"/>
        <v/>
      </c>
      <c r="AF43" s="182"/>
      <c r="AG43" s="139" t="str">
        <f t="shared" si="11"/>
        <v/>
      </c>
      <c r="AH43" s="140" t="str">
        <f t="shared" si="12"/>
        <v/>
      </c>
      <c r="AI43" s="141" t="str">
        <f t="shared" si="13"/>
        <v/>
      </c>
      <c r="AJ43" s="166" t="str">
        <f t="shared" si="14"/>
        <v/>
      </c>
      <c r="AK43" s="167" t="str">
        <f t="shared" si="14"/>
        <v/>
      </c>
      <c r="AL43" s="168" t="str">
        <f t="shared" si="15"/>
        <v/>
      </c>
      <c r="AM43" s="237" t="e">
        <f t="shared" si="27"/>
        <v>#VALUE!</v>
      </c>
      <c r="AN43" s="70" t="str">
        <f t="shared" si="25"/>
        <v/>
      </c>
      <c r="AO43" s="241" t="str">
        <f t="shared" si="26"/>
        <v/>
      </c>
      <c r="AP43" s="45" t="s">
        <v>40</v>
      </c>
      <c r="AQ43" s="98"/>
      <c r="AR43" s="99"/>
      <c r="AS43" s="99"/>
      <c r="AT43" s="100"/>
      <c r="AU43" s="101"/>
      <c r="AV43" s="100"/>
      <c r="AW43" s="101"/>
      <c r="AX43" s="101"/>
      <c r="AY43" s="99"/>
      <c r="AZ43" s="102"/>
      <c r="BA43" s="102"/>
      <c r="BB43" s="103"/>
      <c r="BC43" s="104"/>
      <c r="BD43" s="98"/>
      <c r="BE43" s="105"/>
      <c r="BF43" s="104"/>
      <c r="BG43" s="115"/>
      <c r="BH43" s="104"/>
      <c r="BI43" s="98"/>
      <c r="BJ43" s="105"/>
      <c r="BK43" s="104"/>
      <c r="BL43" s="104"/>
      <c r="BM43" s="107"/>
      <c r="BN43" s="108"/>
      <c r="BO43" s="108"/>
      <c r="BP43" s="109"/>
      <c r="BQ43" s="110"/>
      <c r="BR43" s="108"/>
      <c r="BS43" s="109"/>
      <c r="BT43" s="109"/>
      <c r="BU43" s="107"/>
      <c r="BV43" s="111"/>
      <c r="BW43" s="98"/>
      <c r="BX43" s="113"/>
      <c r="BY43" s="113"/>
      <c r="BZ43" s="114"/>
      <c r="CA43" s="114"/>
      <c r="CB43" s="114"/>
      <c r="CC43" s="99"/>
      <c r="CD43" s="115"/>
      <c r="CE43" s="116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90"/>
      <c r="CQ43" s="90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hidden="1" customHeight="1" x14ac:dyDescent="0.25">
      <c r="A44" s="83"/>
      <c r="B44" s="442"/>
      <c r="C44" s="453"/>
      <c r="D44" s="84"/>
      <c r="E44" s="23"/>
      <c r="F44" s="15"/>
      <c r="G44" s="213"/>
      <c r="H44" s="27" t="str">
        <f t="shared" si="16"/>
        <v/>
      </c>
      <c r="I44" s="216" t="str">
        <f t="shared" si="17"/>
        <v/>
      </c>
      <c r="J44" s="29" t="str">
        <f ca="1">IF($J$5&gt;=B44,"N/A",SUM(INDIRECT(ADDRESS(6+(MATCH($J$5,$B$6:$B$59,0)),8)):H44))</f>
        <v>N/A</v>
      </c>
      <c r="K44" s="10">
        <v>0</v>
      </c>
      <c r="L44" s="88"/>
      <c r="M44" s="4">
        <f t="shared" si="18"/>
        <v>0</v>
      </c>
      <c r="N44" s="220" t="str">
        <f t="shared" si="0"/>
        <v/>
      </c>
      <c r="O44" s="30" t="str">
        <f ca="1">IF($O$5&gt;=B44,"N/A",SUM(INDIRECT(ADDRESS(6+(MATCH($O$5,$B$6:$B$59,0)),13)):M44))</f>
        <v>N/A</v>
      </c>
      <c r="P44" s="175" t="str">
        <f t="shared" si="19"/>
        <v/>
      </c>
      <c r="Q44" s="175" t="str">
        <f t="shared" si="20"/>
        <v/>
      </c>
      <c r="R44" s="175" t="str">
        <f t="shared" si="21"/>
        <v/>
      </c>
      <c r="S44" s="70" t="str">
        <f t="shared" si="22"/>
        <v/>
      </c>
      <c r="T44" s="241" t="str">
        <f t="shared" si="23"/>
        <v/>
      </c>
      <c r="U44" s="157" t="str">
        <f t="shared" si="1"/>
        <v/>
      </c>
      <c r="V44" s="158" t="str">
        <f t="shared" si="2"/>
        <v/>
      </c>
      <c r="W44" s="158" t="str">
        <f t="shared" si="3"/>
        <v/>
      </c>
      <c r="X44" s="199" t="str">
        <f t="shared" si="4"/>
        <v/>
      </c>
      <c r="Y44" s="159" t="str">
        <f t="shared" si="5"/>
        <v/>
      </c>
      <c r="Z44" s="181"/>
      <c r="AA44" s="148" t="str">
        <f t="shared" si="6"/>
        <v/>
      </c>
      <c r="AB44" s="149">
        <f t="shared" si="7"/>
        <v>0</v>
      </c>
      <c r="AC44" s="149" t="str">
        <f t="shared" si="8"/>
        <v/>
      </c>
      <c r="AD44" s="203">
        <f t="shared" si="9"/>
        <v>0</v>
      </c>
      <c r="AE44" s="150" t="str">
        <f t="shared" si="10"/>
        <v/>
      </c>
      <c r="AF44" s="182"/>
      <c r="AG44" s="139" t="str">
        <f t="shared" si="11"/>
        <v/>
      </c>
      <c r="AH44" s="140" t="str">
        <f t="shared" si="12"/>
        <v/>
      </c>
      <c r="AI44" s="141" t="str">
        <f t="shared" si="13"/>
        <v/>
      </c>
      <c r="AJ44" s="166" t="str">
        <f t="shared" si="14"/>
        <v/>
      </c>
      <c r="AK44" s="167" t="str">
        <f t="shared" si="14"/>
        <v/>
      </c>
      <c r="AL44" s="168" t="str">
        <f t="shared" si="15"/>
        <v/>
      </c>
      <c r="AM44" s="237" t="e">
        <f t="shared" si="27"/>
        <v>#VALUE!</v>
      </c>
      <c r="AN44" s="70" t="str">
        <f t="shared" si="25"/>
        <v/>
      </c>
      <c r="AO44" s="241" t="str">
        <f t="shared" si="26"/>
        <v/>
      </c>
      <c r="AP44" s="45" t="s">
        <v>40</v>
      </c>
      <c r="AQ44" s="98"/>
      <c r="AR44" s="99"/>
      <c r="AS44" s="99"/>
      <c r="AT44" s="100"/>
      <c r="AU44" s="101"/>
      <c r="AV44" s="100"/>
      <c r="AW44" s="101"/>
      <c r="AX44" s="101"/>
      <c r="AY44" s="99"/>
      <c r="AZ44" s="102"/>
      <c r="BA44" s="102"/>
      <c r="BB44" s="103"/>
      <c r="BC44" s="104"/>
      <c r="BD44" s="98"/>
      <c r="BE44" s="105"/>
      <c r="BF44" s="104"/>
      <c r="BG44" s="115"/>
      <c r="BH44" s="104"/>
      <c r="BI44" s="98"/>
      <c r="BJ44" s="105"/>
      <c r="BK44" s="104"/>
      <c r="BL44" s="104"/>
      <c r="BM44" s="107"/>
      <c r="BN44" s="108"/>
      <c r="BO44" s="108"/>
      <c r="BP44" s="109"/>
      <c r="BQ44" s="110"/>
      <c r="BR44" s="108"/>
      <c r="BS44" s="109"/>
      <c r="BT44" s="109"/>
      <c r="BU44" s="107"/>
      <c r="BV44" s="111"/>
      <c r="BW44" s="98"/>
      <c r="BX44" s="113"/>
      <c r="BY44" s="113"/>
      <c r="BZ44" s="114"/>
      <c r="CA44" s="114"/>
      <c r="CB44" s="114"/>
      <c r="CC44" s="99"/>
      <c r="CD44" s="115"/>
      <c r="CE44" s="116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90"/>
      <c r="CQ44" s="90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hidden="1" customHeight="1" x14ac:dyDescent="0.25">
      <c r="A45" s="83"/>
      <c r="B45" s="442"/>
      <c r="C45" s="453"/>
      <c r="D45" s="84"/>
      <c r="E45" s="23"/>
      <c r="F45" s="15"/>
      <c r="G45" s="213"/>
      <c r="H45" s="27" t="str">
        <f t="shared" si="16"/>
        <v/>
      </c>
      <c r="I45" s="216" t="str">
        <f t="shared" si="17"/>
        <v/>
      </c>
      <c r="J45" s="29" t="str">
        <f ca="1">IF($J$5&gt;=B45,"N/A",SUM(INDIRECT(ADDRESS(6+(MATCH($J$5,$B$6:$B$59,0)),8)):H45))</f>
        <v>N/A</v>
      </c>
      <c r="K45" s="10">
        <v>0</v>
      </c>
      <c r="L45" s="88"/>
      <c r="M45" s="4">
        <f t="shared" si="18"/>
        <v>0</v>
      </c>
      <c r="N45" s="220" t="str">
        <f t="shared" si="0"/>
        <v/>
      </c>
      <c r="O45" s="30" t="str">
        <f ca="1">IF($O$5&gt;=B45,"N/A",SUM(INDIRECT(ADDRESS(6+(MATCH($O$5,$B$6:$B$59,0)),13)):M45))</f>
        <v>N/A</v>
      </c>
      <c r="P45" s="175" t="str">
        <f t="shared" si="19"/>
        <v/>
      </c>
      <c r="Q45" s="175" t="str">
        <f t="shared" si="20"/>
        <v/>
      </c>
      <c r="R45" s="175" t="str">
        <f t="shared" si="21"/>
        <v/>
      </c>
      <c r="S45" s="70" t="str">
        <f t="shared" si="22"/>
        <v/>
      </c>
      <c r="T45" s="241" t="str">
        <f t="shared" si="23"/>
        <v/>
      </c>
      <c r="U45" s="157" t="str">
        <f t="shared" si="1"/>
        <v/>
      </c>
      <c r="V45" s="158" t="str">
        <f t="shared" si="2"/>
        <v/>
      </c>
      <c r="W45" s="158" t="str">
        <f t="shared" si="3"/>
        <v/>
      </c>
      <c r="X45" s="199" t="str">
        <f t="shared" si="4"/>
        <v/>
      </c>
      <c r="Y45" s="159" t="str">
        <f t="shared" si="5"/>
        <v/>
      </c>
      <c r="Z45" s="181"/>
      <c r="AA45" s="148" t="str">
        <f t="shared" si="6"/>
        <v/>
      </c>
      <c r="AB45" s="149">
        <f t="shared" si="7"/>
        <v>0</v>
      </c>
      <c r="AC45" s="149" t="str">
        <f t="shared" si="8"/>
        <v/>
      </c>
      <c r="AD45" s="203">
        <f t="shared" si="9"/>
        <v>0</v>
      </c>
      <c r="AE45" s="150" t="str">
        <f t="shared" si="10"/>
        <v/>
      </c>
      <c r="AF45" s="182"/>
      <c r="AG45" s="139" t="str">
        <f t="shared" si="11"/>
        <v/>
      </c>
      <c r="AH45" s="140" t="str">
        <f t="shared" si="12"/>
        <v/>
      </c>
      <c r="AI45" s="141" t="str">
        <f t="shared" si="13"/>
        <v/>
      </c>
      <c r="AJ45" s="166" t="str">
        <f t="shared" si="14"/>
        <v/>
      </c>
      <c r="AK45" s="167" t="str">
        <f t="shared" si="14"/>
        <v/>
      </c>
      <c r="AL45" s="168" t="str">
        <f t="shared" si="15"/>
        <v/>
      </c>
      <c r="AM45" s="237" t="e">
        <f t="shared" si="27"/>
        <v>#VALUE!</v>
      </c>
      <c r="AN45" s="70" t="str">
        <f t="shared" si="25"/>
        <v/>
      </c>
      <c r="AO45" s="241" t="str">
        <f t="shared" si="26"/>
        <v/>
      </c>
      <c r="AP45" s="45" t="s">
        <v>40</v>
      </c>
      <c r="AQ45" s="98"/>
      <c r="AR45" s="99"/>
      <c r="AS45" s="99"/>
      <c r="AT45" s="100"/>
      <c r="AU45" s="101"/>
      <c r="AV45" s="100"/>
      <c r="AW45" s="101"/>
      <c r="AX45" s="101"/>
      <c r="AY45" s="99"/>
      <c r="AZ45" s="102"/>
      <c r="BA45" s="102"/>
      <c r="BB45" s="103"/>
      <c r="BC45" s="104"/>
      <c r="BD45" s="98"/>
      <c r="BE45" s="105"/>
      <c r="BF45" s="104"/>
      <c r="BG45" s="115"/>
      <c r="BH45" s="104"/>
      <c r="BI45" s="98"/>
      <c r="BJ45" s="105"/>
      <c r="BK45" s="104"/>
      <c r="BL45" s="104"/>
      <c r="BM45" s="107"/>
      <c r="BN45" s="108"/>
      <c r="BO45" s="108"/>
      <c r="BP45" s="109"/>
      <c r="BQ45" s="110"/>
      <c r="BR45" s="108"/>
      <c r="BS45" s="109"/>
      <c r="BT45" s="109"/>
      <c r="BU45" s="107"/>
      <c r="BV45" s="111"/>
      <c r="BW45" s="98"/>
      <c r="BX45" s="113"/>
      <c r="BY45" s="113"/>
      <c r="BZ45" s="114"/>
      <c r="CA45" s="114"/>
      <c r="CB45" s="114"/>
      <c r="CC45" s="99"/>
      <c r="CD45" s="115"/>
      <c r="CE45" s="116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90"/>
      <c r="CQ45" s="90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hidden="1" customHeight="1" x14ac:dyDescent="0.25">
      <c r="A46" s="83"/>
      <c r="B46" s="442"/>
      <c r="C46" s="453"/>
      <c r="D46" s="84"/>
      <c r="E46" s="23"/>
      <c r="F46" s="15"/>
      <c r="G46" s="213"/>
      <c r="H46" s="27" t="str">
        <f t="shared" si="16"/>
        <v/>
      </c>
      <c r="I46" s="216" t="str">
        <f t="shared" si="17"/>
        <v/>
      </c>
      <c r="J46" s="29" t="str">
        <f ca="1">IF($J$5&gt;=B46,"N/A",SUM(INDIRECT(ADDRESS(6+(MATCH($J$5,$B$6:$B$59,0)),8)):H46))</f>
        <v>N/A</v>
      </c>
      <c r="K46" s="10">
        <v>0</v>
      </c>
      <c r="L46" s="88"/>
      <c r="M46" s="4">
        <f t="shared" si="18"/>
        <v>0</v>
      </c>
      <c r="N46" s="220" t="str">
        <f t="shared" si="0"/>
        <v/>
      </c>
      <c r="O46" s="30" t="str">
        <f ca="1">IF($O$5&gt;=B46,"N/A",SUM(INDIRECT(ADDRESS(6+(MATCH($O$5,$B$6:$B$59,0)),13)):M46))</f>
        <v>N/A</v>
      </c>
      <c r="P46" s="175" t="str">
        <f t="shared" si="19"/>
        <v/>
      </c>
      <c r="Q46" s="175" t="str">
        <f t="shared" si="20"/>
        <v/>
      </c>
      <c r="R46" s="175" t="str">
        <f t="shared" si="21"/>
        <v/>
      </c>
      <c r="S46" s="70" t="str">
        <f t="shared" si="22"/>
        <v/>
      </c>
      <c r="T46" s="241" t="str">
        <f t="shared" si="23"/>
        <v/>
      </c>
      <c r="U46" s="157" t="str">
        <f t="shared" si="1"/>
        <v/>
      </c>
      <c r="V46" s="158" t="str">
        <f t="shared" si="2"/>
        <v/>
      </c>
      <c r="W46" s="158" t="str">
        <f t="shared" si="3"/>
        <v/>
      </c>
      <c r="X46" s="199" t="str">
        <f t="shared" si="4"/>
        <v/>
      </c>
      <c r="Y46" s="159" t="str">
        <f t="shared" si="5"/>
        <v/>
      </c>
      <c r="Z46" s="181"/>
      <c r="AA46" s="148" t="str">
        <f t="shared" si="6"/>
        <v/>
      </c>
      <c r="AB46" s="149">
        <f t="shared" si="7"/>
        <v>0</v>
      </c>
      <c r="AC46" s="149" t="str">
        <f t="shared" si="8"/>
        <v/>
      </c>
      <c r="AD46" s="203">
        <f t="shared" si="9"/>
        <v>0</v>
      </c>
      <c r="AE46" s="150" t="str">
        <f t="shared" si="10"/>
        <v/>
      </c>
      <c r="AF46" s="182"/>
      <c r="AG46" s="139" t="str">
        <f t="shared" si="11"/>
        <v/>
      </c>
      <c r="AH46" s="140" t="str">
        <f t="shared" si="12"/>
        <v/>
      </c>
      <c r="AI46" s="141" t="str">
        <f t="shared" si="13"/>
        <v/>
      </c>
      <c r="AJ46" s="166" t="str">
        <f t="shared" si="14"/>
        <v/>
      </c>
      <c r="AK46" s="167" t="str">
        <f t="shared" si="14"/>
        <v/>
      </c>
      <c r="AL46" s="168" t="str">
        <f t="shared" si="15"/>
        <v/>
      </c>
      <c r="AM46" s="237" t="e">
        <f t="shared" si="27"/>
        <v>#VALUE!</v>
      </c>
      <c r="AN46" s="70" t="str">
        <f t="shared" si="25"/>
        <v/>
      </c>
      <c r="AO46" s="241" t="str">
        <f t="shared" si="26"/>
        <v/>
      </c>
      <c r="AP46" s="45" t="s">
        <v>40</v>
      </c>
      <c r="AQ46" s="98"/>
      <c r="AR46" s="99"/>
      <c r="AS46" s="99"/>
      <c r="AT46" s="100"/>
      <c r="AU46" s="101"/>
      <c r="AV46" s="100"/>
      <c r="AW46" s="101"/>
      <c r="AX46" s="101"/>
      <c r="AY46" s="99"/>
      <c r="AZ46" s="102"/>
      <c r="BA46" s="102"/>
      <c r="BB46" s="103"/>
      <c r="BC46" s="104"/>
      <c r="BD46" s="98"/>
      <c r="BE46" s="105"/>
      <c r="BF46" s="104"/>
      <c r="BG46" s="115"/>
      <c r="BH46" s="104"/>
      <c r="BI46" s="98"/>
      <c r="BJ46" s="105"/>
      <c r="BK46" s="104"/>
      <c r="BL46" s="104"/>
      <c r="BM46" s="107"/>
      <c r="BN46" s="108"/>
      <c r="BO46" s="108"/>
      <c r="BP46" s="109"/>
      <c r="BQ46" s="110"/>
      <c r="BR46" s="108"/>
      <c r="BS46" s="109"/>
      <c r="BT46" s="109"/>
      <c r="BU46" s="107"/>
      <c r="BV46" s="111"/>
      <c r="BW46" s="98"/>
      <c r="BX46" s="113"/>
      <c r="BY46" s="113"/>
      <c r="BZ46" s="114"/>
      <c r="CA46" s="114"/>
      <c r="CB46" s="114"/>
      <c r="CC46" s="99"/>
      <c r="CD46" s="115"/>
      <c r="CE46" s="116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90"/>
      <c r="CQ46" s="90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hidden="1" customHeight="1" x14ac:dyDescent="0.25">
      <c r="A47" s="83"/>
      <c r="B47" s="442"/>
      <c r="C47" s="453"/>
      <c r="D47" s="84"/>
      <c r="E47" s="23"/>
      <c r="F47" s="15"/>
      <c r="G47" s="213"/>
      <c r="H47" s="27" t="str">
        <f t="shared" si="16"/>
        <v/>
      </c>
      <c r="I47" s="216" t="str">
        <f t="shared" si="17"/>
        <v/>
      </c>
      <c r="J47" s="29" t="str">
        <f ca="1">IF($J$5&gt;=B47,"N/A",SUM(INDIRECT(ADDRESS(6+(MATCH($J$5,$B$6:$B$59,0)),8)):H47))</f>
        <v>N/A</v>
      </c>
      <c r="K47" s="10">
        <v>0</v>
      </c>
      <c r="L47" s="88"/>
      <c r="M47" s="4">
        <f t="shared" si="18"/>
        <v>0</v>
      </c>
      <c r="N47" s="220" t="str">
        <f t="shared" si="0"/>
        <v/>
      </c>
      <c r="O47" s="30" t="str">
        <f ca="1">IF($O$5&gt;=B47,"N/A",SUM(INDIRECT(ADDRESS(6+(MATCH($O$5,$B$6:$B$59,0)),13)):M47))</f>
        <v>N/A</v>
      </c>
      <c r="P47" s="175" t="str">
        <f t="shared" si="19"/>
        <v/>
      </c>
      <c r="Q47" s="175" t="str">
        <f t="shared" si="20"/>
        <v/>
      </c>
      <c r="R47" s="175" t="str">
        <f t="shared" si="21"/>
        <v/>
      </c>
      <c r="S47" s="70" t="str">
        <f t="shared" si="22"/>
        <v/>
      </c>
      <c r="T47" s="241" t="str">
        <f t="shared" si="23"/>
        <v/>
      </c>
      <c r="U47" s="157" t="str">
        <f t="shared" si="1"/>
        <v/>
      </c>
      <c r="V47" s="158" t="str">
        <f t="shared" si="2"/>
        <v/>
      </c>
      <c r="W47" s="158" t="str">
        <f t="shared" si="3"/>
        <v/>
      </c>
      <c r="X47" s="199" t="str">
        <f t="shared" si="4"/>
        <v/>
      </c>
      <c r="Y47" s="159" t="str">
        <f t="shared" si="5"/>
        <v/>
      </c>
      <c r="Z47" s="181"/>
      <c r="AA47" s="148" t="str">
        <f t="shared" si="6"/>
        <v/>
      </c>
      <c r="AB47" s="149">
        <f t="shared" si="7"/>
        <v>0</v>
      </c>
      <c r="AC47" s="149" t="str">
        <f t="shared" si="8"/>
        <v/>
      </c>
      <c r="AD47" s="203">
        <f t="shared" si="9"/>
        <v>0</v>
      </c>
      <c r="AE47" s="150" t="str">
        <f t="shared" si="10"/>
        <v/>
      </c>
      <c r="AF47" s="182"/>
      <c r="AG47" s="139" t="str">
        <f t="shared" si="11"/>
        <v/>
      </c>
      <c r="AH47" s="140" t="str">
        <f t="shared" si="12"/>
        <v/>
      </c>
      <c r="AI47" s="141" t="str">
        <f t="shared" si="13"/>
        <v/>
      </c>
      <c r="AJ47" s="166" t="str">
        <f t="shared" si="14"/>
        <v/>
      </c>
      <c r="AK47" s="167" t="str">
        <f t="shared" si="14"/>
        <v/>
      </c>
      <c r="AL47" s="168" t="str">
        <f t="shared" si="15"/>
        <v/>
      </c>
      <c r="AM47" s="237" t="e">
        <f t="shared" si="27"/>
        <v>#VALUE!</v>
      </c>
      <c r="AN47" s="70" t="str">
        <f t="shared" si="25"/>
        <v/>
      </c>
      <c r="AO47" s="241" t="str">
        <f t="shared" si="26"/>
        <v/>
      </c>
      <c r="AP47" s="45" t="s">
        <v>40</v>
      </c>
      <c r="AQ47" s="90"/>
      <c r="AR47" s="90"/>
      <c r="AS47" s="90"/>
      <c r="AT47" s="90"/>
      <c r="AU47" s="90"/>
      <c r="AV47" s="90"/>
      <c r="AW47" s="90"/>
      <c r="AX47" s="90"/>
      <c r="AY47" s="90"/>
      <c r="AZ47" s="90"/>
      <c r="BA47" s="90"/>
      <c r="BB47" s="90"/>
      <c r="BC47" s="90"/>
      <c r="BD47" s="90"/>
      <c r="BE47" s="90"/>
      <c r="BF47" s="90"/>
      <c r="BG47" s="90"/>
      <c r="BH47" s="90"/>
      <c r="BI47" s="90"/>
      <c r="BJ47" s="90"/>
      <c r="BK47" s="90"/>
      <c r="BL47" s="90"/>
      <c r="BM47" s="90"/>
      <c r="BN47" s="90"/>
      <c r="BO47" s="90"/>
      <c r="BP47" s="90"/>
      <c r="BQ47" s="90"/>
      <c r="BR47" s="90"/>
      <c r="BS47" s="90"/>
      <c r="BT47" s="90"/>
      <c r="BU47" s="90"/>
      <c r="BV47" s="90"/>
      <c r="BW47" s="90"/>
      <c r="BX47" s="90"/>
      <c r="BY47" s="90"/>
      <c r="BZ47" s="90"/>
      <c r="CA47" s="90"/>
      <c r="CB47" s="90"/>
      <c r="CC47" s="90"/>
      <c r="CD47" s="90"/>
      <c r="CE47" s="90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90"/>
      <c r="CQ47" s="90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hidden="1" customHeight="1" x14ac:dyDescent="0.25">
      <c r="A48" s="83"/>
      <c r="B48" s="442"/>
      <c r="C48" s="453"/>
      <c r="D48" s="84"/>
      <c r="E48" s="23"/>
      <c r="F48" s="15"/>
      <c r="G48" s="213"/>
      <c r="H48" s="27" t="str">
        <f t="shared" si="16"/>
        <v/>
      </c>
      <c r="I48" s="216" t="str">
        <f t="shared" si="17"/>
        <v/>
      </c>
      <c r="J48" s="29" t="str">
        <f ca="1">IF($J$5&gt;=B48,"N/A",SUM(INDIRECT(ADDRESS(6+(MATCH($J$5,$B$6:$B$59,0)),8)):H48))</f>
        <v>N/A</v>
      </c>
      <c r="K48" s="10">
        <v>0</v>
      </c>
      <c r="L48" s="88"/>
      <c r="M48" s="4">
        <f t="shared" si="18"/>
        <v>0</v>
      </c>
      <c r="N48" s="220" t="str">
        <f t="shared" si="0"/>
        <v/>
      </c>
      <c r="O48" s="30" t="str">
        <f ca="1">IF($O$5&gt;=B48,"N/A",SUM(INDIRECT(ADDRESS(6+(MATCH($O$5,$B$6:$B$59,0)),13)):M48))</f>
        <v>N/A</v>
      </c>
      <c r="P48" s="175" t="str">
        <f t="shared" si="19"/>
        <v/>
      </c>
      <c r="Q48" s="175" t="str">
        <f t="shared" si="20"/>
        <v/>
      </c>
      <c r="R48" s="175" t="str">
        <f t="shared" si="21"/>
        <v/>
      </c>
      <c r="S48" s="70" t="str">
        <f t="shared" si="22"/>
        <v/>
      </c>
      <c r="T48" s="241" t="str">
        <f t="shared" si="23"/>
        <v/>
      </c>
      <c r="U48" s="157" t="str">
        <f t="shared" si="1"/>
        <v/>
      </c>
      <c r="V48" s="158" t="str">
        <f t="shared" si="2"/>
        <v/>
      </c>
      <c r="W48" s="158" t="str">
        <f t="shared" si="3"/>
        <v/>
      </c>
      <c r="X48" s="199" t="str">
        <f t="shared" si="4"/>
        <v/>
      </c>
      <c r="Y48" s="159" t="str">
        <f t="shared" si="5"/>
        <v/>
      </c>
      <c r="Z48" s="181"/>
      <c r="AA48" s="148" t="str">
        <f t="shared" si="6"/>
        <v/>
      </c>
      <c r="AB48" s="149">
        <f t="shared" si="7"/>
        <v>0</v>
      </c>
      <c r="AC48" s="149" t="str">
        <f t="shared" si="8"/>
        <v/>
      </c>
      <c r="AD48" s="203">
        <f t="shared" si="9"/>
        <v>0</v>
      </c>
      <c r="AE48" s="150" t="str">
        <f t="shared" si="10"/>
        <v/>
      </c>
      <c r="AF48" s="182"/>
      <c r="AG48" s="139" t="str">
        <f t="shared" si="11"/>
        <v/>
      </c>
      <c r="AH48" s="140" t="str">
        <f t="shared" si="12"/>
        <v/>
      </c>
      <c r="AI48" s="141" t="str">
        <f t="shared" si="13"/>
        <v/>
      </c>
      <c r="AJ48" s="166" t="str">
        <f t="shared" si="14"/>
        <v/>
      </c>
      <c r="AK48" s="167" t="str">
        <f t="shared" si="14"/>
        <v/>
      </c>
      <c r="AL48" s="168" t="str">
        <f t="shared" si="15"/>
        <v/>
      </c>
      <c r="AM48" s="237" t="e">
        <f t="shared" si="27"/>
        <v>#VALUE!</v>
      </c>
      <c r="AN48" s="70" t="str">
        <f t="shared" si="25"/>
        <v/>
      </c>
      <c r="AO48" s="241" t="str">
        <f t="shared" si="26"/>
        <v/>
      </c>
      <c r="AP48" s="45" t="s">
        <v>40</v>
      </c>
      <c r="AQ48" s="90"/>
      <c r="AR48" s="90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90"/>
      <c r="BH48" s="90"/>
      <c r="BI48" s="90"/>
      <c r="BJ48" s="90"/>
      <c r="BK48" s="90"/>
      <c r="BL48" s="90"/>
      <c r="BM48" s="90"/>
      <c r="BN48" s="90"/>
      <c r="BO48" s="90"/>
      <c r="BP48" s="90"/>
      <c r="BQ48" s="90"/>
      <c r="BR48" s="90"/>
      <c r="BS48" s="90"/>
      <c r="BT48" s="90"/>
      <c r="BU48" s="90"/>
      <c r="BV48" s="90"/>
      <c r="BW48" s="90"/>
      <c r="BX48" s="90"/>
      <c r="BY48" s="90"/>
      <c r="BZ48" s="90"/>
      <c r="CA48" s="90"/>
      <c r="CB48" s="90"/>
      <c r="CC48" s="90"/>
      <c r="CD48" s="90"/>
      <c r="CE48" s="90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90"/>
      <c r="CQ48" s="90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hidden="1" customHeight="1" x14ac:dyDescent="0.25">
      <c r="A49" s="83"/>
      <c r="B49" s="442"/>
      <c r="C49" s="453"/>
      <c r="D49" s="84"/>
      <c r="E49" s="23"/>
      <c r="F49" s="15"/>
      <c r="G49" s="213"/>
      <c r="H49" s="27" t="str">
        <f t="shared" si="16"/>
        <v/>
      </c>
      <c r="I49" s="216" t="str">
        <f t="shared" si="17"/>
        <v/>
      </c>
      <c r="J49" s="29" t="str">
        <f ca="1">IF($J$5&gt;=B49,"N/A",SUM(INDIRECT(ADDRESS(6+(MATCH($J$5,$B$6:$B$59,0)),8)):H49))</f>
        <v>N/A</v>
      </c>
      <c r="K49" s="10">
        <v>0</v>
      </c>
      <c r="L49" s="88"/>
      <c r="M49" s="4">
        <f t="shared" si="18"/>
        <v>0</v>
      </c>
      <c r="N49" s="220" t="str">
        <f t="shared" si="0"/>
        <v/>
      </c>
      <c r="O49" s="30" t="str">
        <f ca="1">IF($O$5&gt;=B49,"N/A",SUM(INDIRECT(ADDRESS(6+(MATCH($O$5,$B$6:$B$59,0)),13)):M49))</f>
        <v>N/A</v>
      </c>
      <c r="P49" s="175" t="str">
        <f t="shared" si="19"/>
        <v/>
      </c>
      <c r="Q49" s="175" t="str">
        <f t="shared" si="20"/>
        <v/>
      </c>
      <c r="R49" s="175" t="str">
        <f t="shared" si="21"/>
        <v/>
      </c>
      <c r="S49" s="70" t="str">
        <f t="shared" si="22"/>
        <v/>
      </c>
      <c r="T49" s="241" t="str">
        <f t="shared" si="23"/>
        <v/>
      </c>
      <c r="U49" s="157" t="str">
        <f t="shared" si="1"/>
        <v/>
      </c>
      <c r="V49" s="158" t="str">
        <f t="shared" si="2"/>
        <v/>
      </c>
      <c r="W49" s="158" t="str">
        <f t="shared" si="3"/>
        <v/>
      </c>
      <c r="X49" s="199" t="str">
        <f t="shared" si="4"/>
        <v/>
      </c>
      <c r="Y49" s="159" t="str">
        <f t="shared" si="5"/>
        <v/>
      </c>
      <c r="Z49" s="181"/>
      <c r="AA49" s="148" t="str">
        <f t="shared" si="6"/>
        <v/>
      </c>
      <c r="AB49" s="149">
        <f t="shared" si="7"/>
        <v>0</v>
      </c>
      <c r="AC49" s="149" t="str">
        <f t="shared" si="8"/>
        <v/>
      </c>
      <c r="AD49" s="203">
        <f t="shared" si="9"/>
        <v>0</v>
      </c>
      <c r="AE49" s="150" t="str">
        <f t="shared" si="10"/>
        <v/>
      </c>
      <c r="AF49" s="182"/>
      <c r="AG49" s="139" t="str">
        <f t="shared" si="11"/>
        <v/>
      </c>
      <c r="AH49" s="140" t="str">
        <f t="shared" si="12"/>
        <v/>
      </c>
      <c r="AI49" s="141" t="str">
        <f t="shared" si="13"/>
        <v/>
      </c>
      <c r="AJ49" s="166" t="str">
        <f t="shared" si="14"/>
        <v/>
      </c>
      <c r="AK49" s="167" t="str">
        <f t="shared" si="14"/>
        <v/>
      </c>
      <c r="AL49" s="168" t="str">
        <f t="shared" si="15"/>
        <v/>
      </c>
      <c r="AM49" s="237" t="e">
        <f t="shared" si="27"/>
        <v>#VALUE!</v>
      </c>
      <c r="AN49" s="70" t="str">
        <f t="shared" si="25"/>
        <v/>
      </c>
      <c r="AO49" s="241" t="str">
        <f t="shared" si="26"/>
        <v/>
      </c>
      <c r="AP49" s="45" t="s">
        <v>40</v>
      </c>
      <c r="AQ49" s="90"/>
      <c r="AR49" s="90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90"/>
      <c r="BH49" s="90"/>
      <c r="BI49" s="90"/>
      <c r="BJ49" s="90"/>
      <c r="BK49" s="90"/>
      <c r="BL49" s="90"/>
      <c r="BM49" s="90"/>
      <c r="BN49" s="90"/>
      <c r="BO49" s="90"/>
      <c r="BP49" s="90"/>
      <c r="BQ49" s="90"/>
      <c r="BR49" s="90"/>
      <c r="BS49" s="90"/>
      <c r="BT49" s="90"/>
      <c r="BU49" s="90"/>
      <c r="BV49" s="90"/>
      <c r="BW49" s="90"/>
      <c r="BX49" s="90"/>
      <c r="BY49" s="90"/>
      <c r="BZ49" s="90"/>
      <c r="CA49" s="90"/>
      <c r="CB49" s="90"/>
      <c r="CC49" s="90"/>
      <c r="CD49" s="90"/>
      <c r="CE49" s="90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90"/>
      <c r="CQ49" s="90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hidden="1" customHeight="1" x14ac:dyDescent="0.25">
      <c r="A50" s="83"/>
      <c r="B50" s="442"/>
      <c r="C50" s="453"/>
      <c r="D50" s="84"/>
      <c r="E50" s="23"/>
      <c r="F50" s="15"/>
      <c r="G50" s="213"/>
      <c r="H50" s="27" t="str">
        <f t="shared" si="16"/>
        <v/>
      </c>
      <c r="I50" s="216" t="str">
        <f t="shared" si="17"/>
        <v/>
      </c>
      <c r="J50" s="29" t="str">
        <f ca="1">IF($J$5&gt;=B50,"N/A",SUM(INDIRECT(ADDRESS(6+(MATCH($J$5,$B$6:$B$59,0)),8)):H50))</f>
        <v>N/A</v>
      </c>
      <c r="K50" s="10">
        <v>0</v>
      </c>
      <c r="L50" s="88"/>
      <c r="M50" s="4">
        <f t="shared" si="18"/>
        <v>0</v>
      </c>
      <c r="N50" s="220" t="str">
        <f t="shared" si="0"/>
        <v/>
      </c>
      <c r="O50" s="30" t="str">
        <f ca="1">IF($O$5&gt;=B50,"N/A",SUM(INDIRECT(ADDRESS(6+(MATCH($O$5,$B$6:$B$59,0)),13)):M50))</f>
        <v>N/A</v>
      </c>
      <c r="P50" s="175" t="str">
        <f t="shared" si="19"/>
        <v/>
      </c>
      <c r="Q50" s="175" t="str">
        <f t="shared" si="20"/>
        <v/>
      </c>
      <c r="R50" s="175" t="str">
        <f t="shared" si="21"/>
        <v/>
      </c>
      <c r="S50" s="70" t="str">
        <f t="shared" si="22"/>
        <v/>
      </c>
      <c r="T50" s="241" t="str">
        <f t="shared" si="23"/>
        <v/>
      </c>
      <c r="U50" s="157" t="str">
        <f t="shared" si="1"/>
        <v/>
      </c>
      <c r="V50" s="158" t="str">
        <f t="shared" si="2"/>
        <v/>
      </c>
      <c r="W50" s="158" t="str">
        <f t="shared" si="3"/>
        <v/>
      </c>
      <c r="X50" s="199" t="str">
        <f t="shared" si="4"/>
        <v/>
      </c>
      <c r="Y50" s="159" t="str">
        <f t="shared" si="5"/>
        <v/>
      </c>
      <c r="Z50" s="181"/>
      <c r="AA50" s="148" t="str">
        <f t="shared" si="6"/>
        <v/>
      </c>
      <c r="AB50" s="149">
        <f t="shared" si="7"/>
        <v>0</v>
      </c>
      <c r="AC50" s="149" t="str">
        <f t="shared" si="8"/>
        <v/>
      </c>
      <c r="AD50" s="203">
        <f t="shared" si="9"/>
        <v>0</v>
      </c>
      <c r="AE50" s="150" t="str">
        <f t="shared" si="10"/>
        <v/>
      </c>
      <c r="AF50" s="182"/>
      <c r="AG50" s="139" t="str">
        <f t="shared" si="11"/>
        <v/>
      </c>
      <c r="AH50" s="140" t="str">
        <f t="shared" si="12"/>
        <v/>
      </c>
      <c r="AI50" s="141" t="str">
        <f t="shared" si="13"/>
        <v/>
      </c>
      <c r="AJ50" s="166" t="str">
        <f t="shared" si="14"/>
        <v/>
      </c>
      <c r="AK50" s="167" t="str">
        <f t="shared" si="14"/>
        <v/>
      </c>
      <c r="AL50" s="168" t="str">
        <f t="shared" si="15"/>
        <v/>
      </c>
      <c r="AM50" s="237" t="e">
        <f t="shared" si="27"/>
        <v>#VALUE!</v>
      </c>
      <c r="AN50" s="70" t="str">
        <f t="shared" si="25"/>
        <v/>
      </c>
      <c r="AO50" s="241" t="str">
        <f t="shared" si="26"/>
        <v/>
      </c>
      <c r="AP50" s="45" t="s">
        <v>40</v>
      </c>
      <c r="AQ50" s="90"/>
      <c r="AR50" s="90"/>
      <c r="AS50" s="90"/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90"/>
      <c r="BH50" s="90"/>
      <c r="BI50" s="90"/>
      <c r="BJ50" s="90"/>
      <c r="BK50" s="90"/>
      <c r="BL50" s="90"/>
      <c r="BM50" s="90"/>
      <c r="BN50" s="90"/>
      <c r="BO50" s="90"/>
      <c r="BP50" s="90"/>
      <c r="BQ50" s="90"/>
      <c r="BR50" s="90"/>
      <c r="BS50" s="90"/>
      <c r="BT50" s="90"/>
      <c r="BU50" s="90"/>
      <c r="BV50" s="90"/>
      <c r="BW50" s="90"/>
      <c r="BX50" s="90"/>
      <c r="BY50" s="90"/>
      <c r="BZ50" s="90"/>
      <c r="CA50" s="90"/>
      <c r="CB50" s="90"/>
      <c r="CC50" s="90"/>
      <c r="CD50" s="90"/>
      <c r="CE50" s="90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90"/>
      <c r="CQ50" s="90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hidden="1" customHeight="1" x14ac:dyDescent="0.25">
      <c r="A51" s="83"/>
      <c r="B51" s="442"/>
      <c r="C51" s="453"/>
      <c r="D51" s="84"/>
      <c r="E51" s="23"/>
      <c r="F51" s="15"/>
      <c r="G51" s="213"/>
      <c r="H51" s="27" t="str">
        <f t="shared" si="16"/>
        <v/>
      </c>
      <c r="I51" s="216" t="str">
        <f t="shared" si="17"/>
        <v/>
      </c>
      <c r="J51" s="29" t="str">
        <f ca="1">IF($J$5&gt;=B51,"N/A",SUM(INDIRECT(ADDRESS(6+(MATCH($J$5,$B$6:$B$59,0)),8)):H51))</f>
        <v>N/A</v>
      </c>
      <c r="K51" s="10">
        <v>0</v>
      </c>
      <c r="L51" s="88"/>
      <c r="M51" s="4">
        <f t="shared" si="18"/>
        <v>0</v>
      </c>
      <c r="N51" s="220" t="str">
        <f t="shared" si="0"/>
        <v/>
      </c>
      <c r="O51" s="30" t="str">
        <f ca="1">IF($O$5&gt;=B51,"N/A",SUM(INDIRECT(ADDRESS(6+(MATCH($O$5,$B$6:$B$59,0)),13)):M51))</f>
        <v>N/A</v>
      </c>
      <c r="P51" s="175" t="str">
        <f t="shared" si="19"/>
        <v/>
      </c>
      <c r="Q51" s="175" t="str">
        <f t="shared" si="20"/>
        <v/>
      </c>
      <c r="R51" s="175" t="str">
        <f t="shared" si="21"/>
        <v/>
      </c>
      <c r="S51" s="70" t="str">
        <f t="shared" si="22"/>
        <v/>
      </c>
      <c r="T51" s="241" t="str">
        <f t="shared" si="23"/>
        <v/>
      </c>
      <c r="U51" s="157" t="str">
        <f t="shared" si="1"/>
        <v/>
      </c>
      <c r="V51" s="158" t="str">
        <f t="shared" si="2"/>
        <v/>
      </c>
      <c r="W51" s="158" t="str">
        <f t="shared" si="3"/>
        <v/>
      </c>
      <c r="X51" s="199" t="str">
        <f t="shared" si="4"/>
        <v/>
      </c>
      <c r="Y51" s="159" t="str">
        <f t="shared" si="5"/>
        <v/>
      </c>
      <c r="Z51" s="181"/>
      <c r="AA51" s="148" t="str">
        <f t="shared" si="6"/>
        <v/>
      </c>
      <c r="AB51" s="149">
        <f t="shared" si="7"/>
        <v>0</v>
      </c>
      <c r="AC51" s="149" t="str">
        <f t="shared" si="8"/>
        <v/>
      </c>
      <c r="AD51" s="203">
        <f t="shared" si="9"/>
        <v>0</v>
      </c>
      <c r="AE51" s="150" t="str">
        <f t="shared" si="10"/>
        <v/>
      </c>
      <c r="AF51" s="182"/>
      <c r="AG51" s="139" t="str">
        <f t="shared" si="11"/>
        <v/>
      </c>
      <c r="AH51" s="140" t="str">
        <f t="shared" si="12"/>
        <v/>
      </c>
      <c r="AI51" s="141" t="str">
        <f t="shared" si="13"/>
        <v/>
      </c>
      <c r="AJ51" s="166" t="str">
        <f t="shared" si="14"/>
        <v/>
      </c>
      <c r="AK51" s="167" t="str">
        <f t="shared" si="14"/>
        <v/>
      </c>
      <c r="AL51" s="168" t="str">
        <f t="shared" si="15"/>
        <v/>
      </c>
      <c r="AM51" s="237" t="e">
        <f t="shared" si="27"/>
        <v>#VALUE!</v>
      </c>
      <c r="AN51" s="70" t="str">
        <f t="shared" si="25"/>
        <v/>
      </c>
      <c r="AO51" s="241" t="str">
        <f t="shared" si="26"/>
        <v/>
      </c>
      <c r="AP51" s="45" t="s">
        <v>40</v>
      </c>
      <c r="AQ51" s="90"/>
      <c r="AR51" s="90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90"/>
      <c r="BH51" s="90"/>
      <c r="BI51" s="90"/>
      <c r="BJ51" s="90"/>
      <c r="BK51" s="90"/>
      <c r="BL51" s="90"/>
      <c r="BM51" s="90"/>
      <c r="BN51" s="90"/>
      <c r="BO51" s="90"/>
      <c r="BP51" s="90"/>
      <c r="BQ51" s="90"/>
      <c r="BR51" s="90"/>
      <c r="BS51" s="90"/>
      <c r="BT51" s="90"/>
      <c r="BU51" s="90"/>
      <c r="BV51" s="90"/>
      <c r="BW51" s="90"/>
      <c r="BX51" s="90"/>
      <c r="BY51" s="90"/>
      <c r="BZ51" s="90"/>
      <c r="CA51" s="90"/>
      <c r="CB51" s="90"/>
      <c r="CC51" s="90"/>
      <c r="CD51" s="90"/>
      <c r="CE51" s="90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90"/>
      <c r="CQ51" s="90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hidden="1" customHeight="1" x14ac:dyDescent="0.25">
      <c r="A52" s="83"/>
      <c r="B52" s="442"/>
      <c r="C52" s="453"/>
      <c r="D52" s="84"/>
      <c r="E52" s="23"/>
      <c r="F52" s="15"/>
      <c r="G52" s="213"/>
      <c r="H52" s="27" t="str">
        <f t="shared" si="16"/>
        <v/>
      </c>
      <c r="I52" s="216" t="str">
        <f t="shared" si="17"/>
        <v/>
      </c>
      <c r="J52" s="29" t="str">
        <f ca="1">IF($J$5&gt;=B52,"N/A",SUM(INDIRECT(ADDRESS(6+(MATCH($J$5,$B$6:$B$59,0)),8)):H52))</f>
        <v>N/A</v>
      </c>
      <c r="K52" s="10">
        <v>0</v>
      </c>
      <c r="L52" s="88"/>
      <c r="M52" s="4">
        <f t="shared" si="18"/>
        <v>0</v>
      </c>
      <c r="N52" s="220" t="str">
        <f t="shared" si="0"/>
        <v/>
      </c>
      <c r="O52" s="30" t="str">
        <f ca="1">IF($O$5&gt;=B52,"N/A",SUM(INDIRECT(ADDRESS(6+(MATCH($O$5,$B$6:$B$59,0)),13)):M52))</f>
        <v>N/A</v>
      </c>
      <c r="P52" s="175" t="str">
        <f t="shared" si="19"/>
        <v/>
      </c>
      <c r="Q52" s="175" t="str">
        <f t="shared" si="20"/>
        <v/>
      </c>
      <c r="R52" s="175" t="str">
        <f t="shared" si="21"/>
        <v/>
      </c>
      <c r="S52" s="70" t="str">
        <f t="shared" si="22"/>
        <v/>
      </c>
      <c r="T52" s="241" t="str">
        <f t="shared" si="23"/>
        <v/>
      </c>
      <c r="U52" s="157" t="str">
        <f t="shared" si="1"/>
        <v/>
      </c>
      <c r="V52" s="158" t="str">
        <f t="shared" si="2"/>
        <v/>
      </c>
      <c r="W52" s="158" t="str">
        <f t="shared" si="3"/>
        <v/>
      </c>
      <c r="X52" s="199" t="str">
        <f t="shared" si="4"/>
        <v/>
      </c>
      <c r="Y52" s="159" t="str">
        <f t="shared" si="5"/>
        <v/>
      </c>
      <c r="Z52" s="181"/>
      <c r="AA52" s="148" t="str">
        <f t="shared" si="6"/>
        <v/>
      </c>
      <c r="AB52" s="149">
        <f t="shared" si="7"/>
        <v>0</v>
      </c>
      <c r="AC52" s="149" t="str">
        <f t="shared" si="8"/>
        <v/>
      </c>
      <c r="AD52" s="203">
        <f t="shared" si="9"/>
        <v>0</v>
      </c>
      <c r="AE52" s="150" t="str">
        <f t="shared" si="10"/>
        <v/>
      </c>
      <c r="AF52" s="182"/>
      <c r="AG52" s="139" t="str">
        <f t="shared" si="11"/>
        <v/>
      </c>
      <c r="AH52" s="140" t="str">
        <f t="shared" si="12"/>
        <v/>
      </c>
      <c r="AI52" s="141" t="str">
        <f t="shared" si="13"/>
        <v/>
      </c>
      <c r="AJ52" s="166" t="str">
        <f t="shared" si="14"/>
        <v/>
      </c>
      <c r="AK52" s="167" t="str">
        <f t="shared" si="14"/>
        <v/>
      </c>
      <c r="AL52" s="168" t="str">
        <f t="shared" si="15"/>
        <v/>
      </c>
      <c r="AM52" s="237" t="e">
        <f t="shared" si="27"/>
        <v>#VALUE!</v>
      </c>
      <c r="AN52" s="70" t="str">
        <f t="shared" si="25"/>
        <v/>
      </c>
      <c r="AO52" s="241" t="str">
        <f t="shared" si="26"/>
        <v/>
      </c>
      <c r="AP52" s="45" t="s">
        <v>40</v>
      </c>
      <c r="AQ52" s="90"/>
      <c r="AR52" s="90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90"/>
      <c r="BH52" s="90"/>
      <c r="BI52" s="90"/>
      <c r="BJ52" s="90"/>
      <c r="BK52" s="90"/>
      <c r="BL52" s="90"/>
      <c r="BM52" s="90"/>
      <c r="BN52" s="90"/>
      <c r="BO52" s="90"/>
      <c r="BP52" s="90"/>
      <c r="BQ52" s="90"/>
      <c r="BR52" s="90"/>
      <c r="BS52" s="90"/>
      <c r="BT52" s="90"/>
      <c r="BU52" s="90"/>
      <c r="BV52" s="90"/>
      <c r="BW52" s="90"/>
      <c r="BX52" s="90"/>
      <c r="BY52" s="90"/>
      <c r="BZ52" s="90"/>
      <c r="CA52" s="90"/>
      <c r="CB52" s="90"/>
      <c r="CC52" s="90"/>
      <c r="CD52" s="90"/>
      <c r="CE52" s="90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90"/>
      <c r="CQ52" s="90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hidden="1" customHeight="1" x14ac:dyDescent="0.25">
      <c r="A53" s="83"/>
      <c r="B53" s="442"/>
      <c r="C53" s="453"/>
      <c r="D53" s="84"/>
      <c r="E53" s="23"/>
      <c r="F53" s="15"/>
      <c r="G53" s="213"/>
      <c r="H53" s="27" t="str">
        <f t="shared" si="16"/>
        <v/>
      </c>
      <c r="I53" s="216" t="str">
        <f t="shared" si="17"/>
        <v/>
      </c>
      <c r="J53" s="29" t="str">
        <f ca="1">IF($J$5&gt;=B53,"N/A",SUM(INDIRECT(ADDRESS(6+(MATCH($J$5,$B$6:$B$59,0)),8)):H53))</f>
        <v>N/A</v>
      </c>
      <c r="K53" s="10">
        <v>0</v>
      </c>
      <c r="L53" s="88"/>
      <c r="M53" s="4">
        <f t="shared" si="18"/>
        <v>0</v>
      </c>
      <c r="N53" s="220" t="str">
        <f t="shared" si="0"/>
        <v/>
      </c>
      <c r="O53" s="30" t="str">
        <f ca="1">IF($O$5&gt;=B53,"N/A",SUM(INDIRECT(ADDRESS(6+(MATCH($O$5,$B$6:$B$59,0)),13)):M53))</f>
        <v>N/A</v>
      </c>
      <c r="P53" s="175" t="str">
        <f t="shared" si="19"/>
        <v/>
      </c>
      <c r="Q53" s="175" t="str">
        <f t="shared" si="20"/>
        <v/>
      </c>
      <c r="R53" s="175" t="str">
        <f t="shared" si="21"/>
        <v/>
      </c>
      <c r="S53" s="70" t="str">
        <f t="shared" si="22"/>
        <v/>
      </c>
      <c r="T53" s="241" t="str">
        <f t="shared" si="23"/>
        <v/>
      </c>
      <c r="U53" s="157" t="str">
        <f t="shared" si="1"/>
        <v/>
      </c>
      <c r="V53" s="158" t="str">
        <f t="shared" si="2"/>
        <v/>
      </c>
      <c r="W53" s="158" t="str">
        <f t="shared" si="3"/>
        <v/>
      </c>
      <c r="X53" s="199" t="str">
        <f t="shared" si="4"/>
        <v/>
      </c>
      <c r="Y53" s="159" t="str">
        <f t="shared" si="5"/>
        <v/>
      </c>
      <c r="Z53" s="181"/>
      <c r="AA53" s="148" t="str">
        <f t="shared" si="6"/>
        <v/>
      </c>
      <c r="AB53" s="149">
        <f t="shared" si="7"/>
        <v>0</v>
      </c>
      <c r="AC53" s="149" t="str">
        <f t="shared" si="8"/>
        <v/>
      </c>
      <c r="AD53" s="203">
        <f t="shared" si="9"/>
        <v>0</v>
      </c>
      <c r="AE53" s="150" t="str">
        <f t="shared" si="10"/>
        <v/>
      </c>
      <c r="AF53" s="182"/>
      <c r="AG53" s="139" t="str">
        <f t="shared" si="11"/>
        <v/>
      </c>
      <c r="AH53" s="140" t="str">
        <f t="shared" si="12"/>
        <v/>
      </c>
      <c r="AI53" s="141" t="str">
        <f t="shared" si="13"/>
        <v/>
      </c>
      <c r="AJ53" s="166" t="str">
        <f t="shared" si="14"/>
        <v/>
      </c>
      <c r="AK53" s="167" t="str">
        <f t="shared" si="14"/>
        <v/>
      </c>
      <c r="AL53" s="168" t="str">
        <f t="shared" si="15"/>
        <v/>
      </c>
      <c r="AM53" s="237" t="e">
        <f t="shared" si="27"/>
        <v>#VALUE!</v>
      </c>
      <c r="AN53" s="70" t="str">
        <f t="shared" si="25"/>
        <v/>
      </c>
      <c r="AO53" s="241" t="str">
        <f t="shared" si="26"/>
        <v/>
      </c>
      <c r="AP53" s="45" t="s">
        <v>40</v>
      </c>
      <c r="AQ53" s="90"/>
      <c r="AR53" s="90"/>
      <c r="AS53" s="90"/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90"/>
      <c r="BH53" s="90"/>
      <c r="BI53" s="90"/>
      <c r="BJ53" s="90"/>
      <c r="BK53" s="90"/>
      <c r="BL53" s="90"/>
      <c r="BM53" s="90"/>
      <c r="BN53" s="90"/>
      <c r="BO53" s="90"/>
      <c r="BP53" s="90"/>
      <c r="BQ53" s="90"/>
      <c r="BR53" s="90"/>
      <c r="BS53" s="90"/>
      <c r="BT53" s="90"/>
      <c r="BU53" s="90"/>
      <c r="BV53" s="90"/>
      <c r="BW53" s="90"/>
      <c r="BX53" s="90"/>
      <c r="BY53" s="90"/>
      <c r="BZ53" s="90"/>
      <c r="CA53" s="90"/>
      <c r="CB53" s="90"/>
      <c r="CC53" s="90"/>
      <c r="CD53" s="90"/>
      <c r="CE53" s="90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90"/>
      <c r="CQ53" s="90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hidden="1" customHeight="1" x14ac:dyDescent="0.25">
      <c r="A54" s="83"/>
      <c r="B54" s="442"/>
      <c r="C54" s="453"/>
      <c r="D54" s="84"/>
      <c r="E54" s="23"/>
      <c r="F54" s="15"/>
      <c r="G54" s="213"/>
      <c r="H54" s="27" t="str">
        <f t="shared" si="16"/>
        <v/>
      </c>
      <c r="I54" s="216" t="str">
        <f t="shared" si="17"/>
        <v/>
      </c>
      <c r="J54" s="29" t="str">
        <f ca="1">IF($J$5&gt;=B54,"N/A",SUM(INDIRECT(ADDRESS(6+(MATCH($J$5,$B$6:$B$59,0)),8)):H54))</f>
        <v>N/A</v>
      </c>
      <c r="K54" s="10">
        <v>0</v>
      </c>
      <c r="L54" s="88"/>
      <c r="M54" s="4">
        <f t="shared" si="18"/>
        <v>0</v>
      </c>
      <c r="N54" s="220" t="str">
        <f t="shared" si="0"/>
        <v/>
      </c>
      <c r="O54" s="30" t="str">
        <f ca="1">IF($O$5&gt;=B54,"N/A",SUM(INDIRECT(ADDRESS(6+(MATCH($O$5,$B$6:$B$59,0)),13)):M54))</f>
        <v>N/A</v>
      </c>
      <c r="P54" s="175" t="str">
        <f t="shared" si="19"/>
        <v/>
      </c>
      <c r="Q54" s="175" t="str">
        <f t="shared" si="20"/>
        <v/>
      </c>
      <c r="R54" s="175" t="str">
        <f t="shared" si="21"/>
        <v/>
      </c>
      <c r="S54" s="70" t="str">
        <f t="shared" si="22"/>
        <v/>
      </c>
      <c r="T54" s="241" t="str">
        <f t="shared" si="23"/>
        <v/>
      </c>
      <c r="U54" s="157" t="str">
        <f t="shared" si="1"/>
        <v/>
      </c>
      <c r="V54" s="158" t="str">
        <f t="shared" si="2"/>
        <v/>
      </c>
      <c r="W54" s="158" t="str">
        <f t="shared" si="3"/>
        <v/>
      </c>
      <c r="X54" s="199" t="str">
        <f t="shared" si="4"/>
        <v/>
      </c>
      <c r="Y54" s="159" t="str">
        <f t="shared" si="5"/>
        <v/>
      </c>
      <c r="Z54" s="181"/>
      <c r="AA54" s="148" t="str">
        <f t="shared" si="6"/>
        <v/>
      </c>
      <c r="AB54" s="149">
        <f t="shared" si="7"/>
        <v>0</v>
      </c>
      <c r="AC54" s="149" t="str">
        <f t="shared" si="8"/>
        <v/>
      </c>
      <c r="AD54" s="203">
        <f t="shared" si="9"/>
        <v>0</v>
      </c>
      <c r="AE54" s="150" t="str">
        <f t="shared" si="10"/>
        <v/>
      </c>
      <c r="AF54" s="182"/>
      <c r="AG54" s="139" t="str">
        <f t="shared" si="11"/>
        <v/>
      </c>
      <c r="AH54" s="140" t="str">
        <f t="shared" si="12"/>
        <v/>
      </c>
      <c r="AI54" s="141" t="str">
        <f t="shared" si="13"/>
        <v/>
      </c>
      <c r="AJ54" s="166" t="str">
        <f t="shared" si="14"/>
        <v/>
      </c>
      <c r="AK54" s="167" t="str">
        <f t="shared" si="14"/>
        <v/>
      </c>
      <c r="AL54" s="168" t="str">
        <f t="shared" si="15"/>
        <v/>
      </c>
      <c r="AM54" s="237" t="e">
        <f t="shared" si="27"/>
        <v>#VALUE!</v>
      </c>
      <c r="AN54" s="70" t="str">
        <f t="shared" si="25"/>
        <v/>
      </c>
      <c r="AO54" s="241" t="str">
        <f t="shared" si="26"/>
        <v/>
      </c>
      <c r="AP54" s="45" t="s">
        <v>40</v>
      </c>
      <c r="AQ54" s="90"/>
      <c r="AR54" s="90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90"/>
      <c r="BH54" s="90"/>
      <c r="BI54" s="90"/>
      <c r="BJ54" s="90"/>
      <c r="BK54" s="90"/>
      <c r="BL54" s="90"/>
      <c r="BM54" s="90"/>
      <c r="BN54" s="90"/>
      <c r="BO54" s="90"/>
      <c r="BP54" s="90"/>
      <c r="BQ54" s="90"/>
      <c r="BR54" s="90"/>
      <c r="BS54" s="90"/>
      <c r="BT54" s="90"/>
      <c r="BU54" s="90"/>
      <c r="BV54" s="90"/>
      <c r="BW54" s="90"/>
      <c r="BX54" s="90"/>
      <c r="BY54" s="90"/>
      <c r="BZ54" s="90"/>
      <c r="CA54" s="90"/>
      <c r="CB54" s="90"/>
      <c r="CC54" s="90"/>
      <c r="CD54" s="90"/>
      <c r="CE54" s="90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90"/>
      <c r="CQ54" s="90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hidden="1" customHeight="1" x14ac:dyDescent="0.25">
      <c r="A55" s="83"/>
      <c r="B55" s="442"/>
      <c r="C55" s="453"/>
      <c r="D55" s="84"/>
      <c r="E55" s="23"/>
      <c r="F55" s="15"/>
      <c r="G55" s="213"/>
      <c r="H55" s="27" t="str">
        <f t="shared" si="16"/>
        <v/>
      </c>
      <c r="I55" s="216" t="str">
        <f t="shared" si="17"/>
        <v/>
      </c>
      <c r="J55" s="29" t="str">
        <f ca="1">IF($J$5&gt;=B55,"N/A",SUM(INDIRECT(ADDRESS(6+(MATCH($J$5,$B$6:$B$59,0)),8)):H55))</f>
        <v>N/A</v>
      </c>
      <c r="K55" s="10">
        <v>0</v>
      </c>
      <c r="L55" s="88"/>
      <c r="M55" s="4">
        <f t="shared" si="18"/>
        <v>0</v>
      </c>
      <c r="N55" s="220" t="str">
        <f t="shared" si="0"/>
        <v/>
      </c>
      <c r="O55" s="30" t="str">
        <f ca="1">IF($O$5&gt;=B55,"N/A",SUM(INDIRECT(ADDRESS(6+(MATCH($O$5,$B$6:$B$59,0)),13)):M55))</f>
        <v>N/A</v>
      </c>
      <c r="P55" s="175" t="str">
        <f t="shared" si="19"/>
        <v/>
      </c>
      <c r="Q55" s="175" t="str">
        <f t="shared" si="20"/>
        <v/>
      </c>
      <c r="R55" s="175" t="str">
        <f t="shared" si="21"/>
        <v/>
      </c>
      <c r="S55" s="70" t="str">
        <f t="shared" si="22"/>
        <v/>
      </c>
      <c r="T55" s="241" t="str">
        <f t="shared" si="23"/>
        <v/>
      </c>
      <c r="U55" s="157" t="str">
        <f t="shared" si="1"/>
        <v/>
      </c>
      <c r="V55" s="158" t="str">
        <f t="shared" si="2"/>
        <v/>
      </c>
      <c r="W55" s="158" t="str">
        <f t="shared" si="3"/>
        <v/>
      </c>
      <c r="X55" s="199" t="str">
        <f t="shared" si="4"/>
        <v/>
      </c>
      <c r="Y55" s="159" t="str">
        <f t="shared" si="5"/>
        <v/>
      </c>
      <c r="Z55" s="181"/>
      <c r="AA55" s="148" t="str">
        <f t="shared" si="6"/>
        <v/>
      </c>
      <c r="AB55" s="149">
        <f t="shared" si="7"/>
        <v>0</v>
      </c>
      <c r="AC55" s="149" t="str">
        <f t="shared" si="8"/>
        <v/>
      </c>
      <c r="AD55" s="203">
        <f t="shared" si="9"/>
        <v>0</v>
      </c>
      <c r="AE55" s="150" t="str">
        <f t="shared" si="10"/>
        <v/>
      </c>
      <c r="AF55" s="182"/>
      <c r="AG55" s="139" t="str">
        <f t="shared" si="11"/>
        <v/>
      </c>
      <c r="AH55" s="140" t="str">
        <f t="shared" si="12"/>
        <v/>
      </c>
      <c r="AI55" s="141" t="str">
        <f t="shared" si="13"/>
        <v/>
      </c>
      <c r="AJ55" s="166" t="str">
        <f t="shared" si="14"/>
        <v/>
      </c>
      <c r="AK55" s="167" t="str">
        <f t="shared" si="14"/>
        <v/>
      </c>
      <c r="AL55" s="168" t="str">
        <f t="shared" si="15"/>
        <v/>
      </c>
      <c r="AM55" s="237" t="e">
        <f t="shared" si="27"/>
        <v>#VALUE!</v>
      </c>
      <c r="AN55" s="70" t="str">
        <f t="shared" si="25"/>
        <v/>
      </c>
      <c r="AO55" s="241" t="str">
        <f t="shared" si="26"/>
        <v/>
      </c>
      <c r="AP55" s="45" t="s">
        <v>40</v>
      </c>
      <c r="AQ55" s="90"/>
      <c r="AR55" s="90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90"/>
      <c r="BH55" s="90"/>
      <c r="BI55" s="90"/>
      <c r="BJ55" s="90"/>
      <c r="BK55" s="90"/>
      <c r="BL55" s="90"/>
      <c r="BM55" s="90"/>
      <c r="BN55" s="90"/>
      <c r="BO55" s="90"/>
      <c r="BP55" s="90"/>
      <c r="BQ55" s="90"/>
      <c r="BR55" s="90"/>
      <c r="BS55" s="90"/>
      <c r="BT55" s="90"/>
      <c r="BU55" s="90"/>
      <c r="BV55" s="90"/>
      <c r="BW55" s="90"/>
      <c r="BX55" s="90"/>
      <c r="BY55" s="90"/>
      <c r="BZ55" s="90"/>
      <c r="CA55" s="90"/>
      <c r="CB55" s="90"/>
      <c r="CC55" s="90"/>
      <c r="CD55" s="90"/>
      <c r="CE55" s="90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90"/>
      <c r="CQ55" s="90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hidden="1" customHeight="1" x14ac:dyDescent="0.25">
      <c r="A56" s="83"/>
      <c r="B56" s="442"/>
      <c r="C56" s="453"/>
      <c r="D56" s="84"/>
      <c r="E56" s="23"/>
      <c r="F56" s="15"/>
      <c r="G56" s="213"/>
      <c r="H56" s="27" t="str">
        <f t="shared" si="16"/>
        <v/>
      </c>
      <c r="I56" s="216" t="str">
        <f t="shared" si="17"/>
        <v/>
      </c>
      <c r="J56" s="29" t="str">
        <f ca="1">IF($J$5&gt;=B56,"N/A",SUM(INDIRECT(ADDRESS(6+(MATCH($J$5,$B$6:$B$59,0)),8)):H56))</f>
        <v>N/A</v>
      </c>
      <c r="K56" s="10">
        <v>0</v>
      </c>
      <c r="L56" s="88"/>
      <c r="M56" s="4">
        <f t="shared" si="18"/>
        <v>0</v>
      </c>
      <c r="N56" s="220" t="str">
        <f t="shared" si="0"/>
        <v/>
      </c>
      <c r="O56" s="30" t="str">
        <f ca="1">IF($O$5&gt;=B56,"N/A",SUM(INDIRECT(ADDRESS(6+(MATCH($O$5,$B$6:$B$59,0)),13)):M56))</f>
        <v>N/A</v>
      </c>
      <c r="P56" s="175" t="str">
        <f t="shared" si="19"/>
        <v/>
      </c>
      <c r="Q56" s="175" t="str">
        <f t="shared" si="20"/>
        <v/>
      </c>
      <c r="R56" s="175" t="str">
        <f t="shared" si="21"/>
        <v/>
      </c>
      <c r="S56" s="70" t="str">
        <f t="shared" si="22"/>
        <v/>
      </c>
      <c r="T56" s="241" t="str">
        <f t="shared" si="23"/>
        <v/>
      </c>
      <c r="U56" s="157" t="str">
        <f t="shared" si="1"/>
        <v/>
      </c>
      <c r="V56" s="158" t="str">
        <f t="shared" si="2"/>
        <v/>
      </c>
      <c r="W56" s="158" t="str">
        <f t="shared" si="3"/>
        <v/>
      </c>
      <c r="X56" s="199" t="str">
        <f t="shared" si="4"/>
        <v/>
      </c>
      <c r="Y56" s="159" t="str">
        <f t="shared" si="5"/>
        <v/>
      </c>
      <c r="Z56" s="181"/>
      <c r="AA56" s="148" t="str">
        <f t="shared" si="6"/>
        <v/>
      </c>
      <c r="AB56" s="149">
        <f t="shared" si="7"/>
        <v>0</v>
      </c>
      <c r="AC56" s="149" t="str">
        <f t="shared" si="8"/>
        <v/>
      </c>
      <c r="AD56" s="203">
        <f t="shared" si="9"/>
        <v>0</v>
      </c>
      <c r="AE56" s="150" t="str">
        <f t="shared" si="10"/>
        <v/>
      </c>
      <c r="AF56" s="182"/>
      <c r="AG56" s="139" t="str">
        <f t="shared" si="11"/>
        <v/>
      </c>
      <c r="AH56" s="140" t="str">
        <f t="shared" si="12"/>
        <v/>
      </c>
      <c r="AI56" s="141" t="str">
        <f t="shared" si="13"/>
        <v/>
      </c>
      <c r="AJ56" s="166" t="str">
        <f t="shared" si="14"/>
        <v/>
      </c>
      <c r="AK56" s="167" t="str">
        <f t="shared" si="14"/>
        <v/>
      </c>
      <c r="AL56" s="168" t="str">
        <f t="shared" si="15"/>
        <v/>
      </c>
      <c r="AM56" s="237" t="e">
        <f t="shared" si="27"/>
        <v>#VALUE!</v>
      </c>
      <c r="AN56" s="70" t="str">
        <f t="shared" si="25"/>
        <v/>
      </c>
      <c r="AO56" s="241" t="str">
        <f t="shared" si="26"/>
        <v/>
      </c>
      <c r="AP56" s="45" t="s">
        <v>40</v>
      </c>
      <c r="AQ56" s="90"/>
      <c r="AR56" s="90"/>
      <c r="AS56" s="90"/>
      <c r="AT56" s="90"/>
      <c r="AU56" s="90"/>
      <c r="AV56" s="90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0"/>
      <c r="BJ56" s="90"/>
      <c r="BK56" s="90"/>
      <c r="BL56" s="90"/>
      <c r="BM56" s="90"/>
      <c r="BN56" s="90"/>
      <c r="BO56" s="90"/>
      <c r="BP56" s="90"/>
      <c r="BQ56" s="90"/>
      <c r="BR56" s="90"/>
      <c r="BS56" s="90"/>
      <c r="BT56" s="90"/>
      <c r="BU56" s="90"/>
      <c r="BV56" s="90"/>
      <c r="BW56" s="90"/>
      <c r="BX56" s="90"/>
      <c r="BY56" s="90"/>
      <c r="BZ56" s="90"/>
      <c r="CA56" s="90"/>
      <c r="CB56" s="90"/>
      <c r="CC56" s="90"/>
      <c r="CD56" s="90"/>
      <c r="CE56" s="90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90"/>
      <c r="CQ56" s="90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hidden="1" customHeight="1" x14ac:dyDescent="0.25">
      <c r="A57" s="83"/>
      <c r="B57" s="442"/>
      <c r="C57" s="453"/>
      <c r="D57" s="84"/>
      <c r="E57" s="23"/>
      <c r="F57" s="15"/>
      <c r="G57" s="213"/>
      <c r="H57" s="27" t="str">
        <f t="shared" si="16"/>
        <v/>
      </c>
      <c r="I57" s="216" t="str">
        <f t="shared" si="17"/>
        <v/>
      </c>
      <c r="J57" s="29" t="str">
        <f ca="1">IF($J$5&gt;=B57,"N/A",SUM(INDIRECT(ADDRESS(6+(MATCH($J$5,$B$6:$B$59,0)),8)):H57))</f>
        <v>N/A</v>
      </c>
      <c r="K57" s="10">
        <v>0</v>
      </c>
      <c r="L57" s="88"/>
      <c r="M57" s="4">
        <f t="shared" si="18"/>
        <v>0</v>
      </c>
      <c r="N57" s="220" t="str">
        <f t="shared" si="0"/>
        <v/>
      </c>
      <c r="O57" s="30" t="str">
        <f ca="1">IF($O$5&gt;=B57,"N/A",SUM(INDIRECT(ADDRESS(6+(MATCH($O$5,$B$6:$B$59,0)),13)):M57))</f>
        <v>N/A</v>
      </c>
      <c r="P57" s="175" t="str">
        <f t="shared" si="19"/>
        <v/>
      </c>
      <c r="Q57" s="175" t="str">
        <f t="shared" si="20"/>
        <v/>
      </c>
      <c r="R57" s="175" t="str">
        <f t="shared" si="21"/>
        <v/>
      </c>
      <c r="S57" s="70" t="str">
        <f t="shared" si="22"/>
        <v/>
      </c>
      <c r="T57" s="241" t="str">
        <f t="shared" si="23"/>
        <v/>
      </c>
      <c r="U57" s="157" t="str">
        <f t="shared" si="1"/>
        <v/>
      </c>
      <c r="V57" s="158" t="str">
        <f t="shared" si="2"/>
        <v/>
      </c>
      <c r="W57" s="158" t="str">
        <f t="shared" si="3"/>
        <v/>
      </c>
      <c r="X57" s="199" t="str">
        <f t="shared" si="4"/>
        <v/>
      </c>
      <c r="Y57" s="159" t="str">
        <f t="shared" si="5"/>
        <v/>
      </c>
      <c r="Z57" s="181"/>
      <c r="AA57" s="148" t="str">
        <f t="shared" si="6"/>
        <v/>
      </c>
      <c r="AB57" s="149">
        <f t="shared" si="7"/>
        <v>0</v>
      </c>
      <c r="AC57" s="149" t="str">
        <f t="shared" si="8"/>
        <v/>
      </c>
      <c r="AD57" s="203">
        <f t="shared" si="9"/>
        <v>0</v>
      </c>
      <c r="AE57" s="150" t="str">
        <f t="shared" si="10"/>
        <v/>
      </c>
      <c r="AF57" s="182"/>
      <c r="AG57" s="139" t="str">
        <f t="shared" si="11"/>
        <v/>
      </c>
      <c r="AH57" s="140" t="str">
        <f t="shared" si="12"/>
        <v/>
      </c>
      <c r="AI57" s="141" t="str">
        <f t="shared" si="13"/>
        <v/>
      </c>
      <c r="AJ57" s="166" t="str">
        <f t="shared" si="14"/>
        <v/>
      </c>
      <c r="AK57" s="167" t="str">
        <f t="shared" si="14"/>
        <v/>
      </c>
      <c r="AL57" s="168" t="str">
        <f t="shared" si="15"/>
        <v/>
      </c>
      <c r="AM57" s="237" t="e">
        <f t="shared" si="27"/>
        <v>#VALUE!</v>
      </c>
      <c r="AN57" s="70" t="str">
        <f t="shared" si="25"/>
        <v/>
      </c>
      <c r="AO57" s="241" t="str">
        <f t="shared" si="26"/>
        <v/>
      </c>
      <c r="AP57" s="45" t="s">
        <v>40</v>
      </c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0"/>
      <c r="BD57" s="90"/>
      <c r="BE57" s="90"/>
      <c r="BF57" s="90"/>
      <c r="BG57" s="90"/>
      <c r="BH57" s="90"/>
      <c r="BI57" s="90"/>
      <c r="BJ57" s="90"/>
      <c r="BK57" s="90"/>
      <c r="BL57" s="90"/>
      <c r="BM57" s="90"/>
      <c r="BN57" s="90"/>
      <c r="BO57" s="90"/>
      <c r="BP57" s="90"/>
      <c r="BQ57" s="90"/>
      <c r="BR57" s="90"/>
      <c r="BS57" s="90"/>
      <c r="BT57" s="90"/>
      <c r="BU57" s="90"/>
      <c r="BV57" s="90"/>
      <c r="BW57" s="90"/>
      <c r="BX57" s="90"/>
      <c r="BY57" s="90"/>
      <c r="BZ57" s="90"/>
      <c r="CA57" s="90"/>
      <c r="CB57" s="90"/>
      <c r="CC57" s="90"/>
      <c r="CD57" s="90"/>
      <c r="CE57" s="90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90"/>
      <c r="CQ57" s="90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hidden="1" customHeight="1" x14ac:dyDescent="0.25">
      <c r="A58" s="83"/>
      <c r="B58" s="442"/>
      <c r="C58" s="453"/>
      <c r="D58" s="84"/>
      <c r="E58" s="23"/>
      <c r="F58" s="15"/>
      <c r="G58" s="213"/>
      <c r="H58" s="27" t="str">
        <f t="shared" si="16"/>
        <v/>
      </c>
      <c r="I58" s="216" t="str">
        <f t="shared" si="17"/>
        <v/>
      </c>
      <c r="J58" s="29" t="str">
        <f ca="1">IF($J$5&gt;=B58,"N/A",SUM(INDIRECT(ADDRESS(6+(MATCH($J$5,$B$6:$B$59,0)),8)):H58))</f>
        <v>N/A</v>
      </c>
      <c r="K58" s="10">
        <v>0</v>
      </c>
      <c r="L58" s="88"/>
      <c r="M58" s="4">
        <f t="shared" si="18"/>
        <v>0</v>
      </c>
      <c r="N58" s="220" t="str">
        <f t="shared" si="0"/>
        <v/>
      </c>
      <c r="O58" s="30" t="str">
        <f ca="1">IF($O$5&gt;=B58,"N/A",SUM(INDIRECT(ADDRESS(6+(MATCH($O$5,$B$6:$B$59,0)),13)):M58))</f>
        <v>N/A</v>
      </c>
      <c r="P58" s="175" t="str">
        <f t="shared" si="19"/>
        <v/>
      </c>
      <c r="Q58" s="175" t="str">
        <f t="shared" si="20"/>
        <v/>
      </c>
      <c r="R58" s="175" t="str">
        <f t="shared" si="21"/>
        <v/>
      </c>
      <c r="S58" s="70" t="str">
        <f t="shared" si="22"/>
        <v/>
      </c>
      <c r="T58" s="241" t="str">
        <f t="shared" si="23"/>
        <v/>
      </c>
      <c r="U58" s="157" t="str">
        <f t="shared" si="1"/>
        <v/>
      </c>
      <c r="V58" s="158" t="str">
        <f t="shared" si="2"/>
        <v/>
      </c>
      <c r="W58" s="158" t="str">
        <f t="shared" si="3"/>
        <v/>
      </c>
      <c r="X58" s="199" t="str">
        <f t="shared" si="4"/>
        <v/>
      </c>
      <c r="Y58" s="159" t="str">
        <f t="shared" si="5"/>
        <v/>
      </c>
      <c r="Z58" s="181"/>
      <c r="AA58" s="148" t="str">
        <f t="shared" si="6"/>
        <v/>
      </c>
      <c r="AB58" s="149">
        <f t="shared" si="7"/>
        <v>0</v>
      </c>
      <c r="AC58" s="149" t="str">
        <f t="shared" si="8"/>
        <v/>
      </c>
      <c r="AD58" s="203">
        <f t="shared" si="9"/>
        <v>0</v>
      </c>
      <c r="AE58" s="150" t="str">
        <f t="shared" si="10"/>
        <v/>
      </c>
      <c r="AF58" s="182"/>
      <c r="AG58" s="139" t="str">
        <f t="shared" si="11"/>
        <v/>
      </c>
      <c r="AH58" s="140" t="str">
        <f t="shared" si="12"/>
        <v/>
      </c>
      <c r="AI58" s="141" t="str">
        <f t="shared" si="13"/>
        <v/>
      </c>
      <c r="AJ58" s="166" t="str">
        <f t="shared" si="14"/>
        <v/>
      </c>
      <c r="AK58" s="167" t="str">
        <f t="shared" si="14"/>
        <v/>
      </c>
      <c r="AL58" s="168" t="str">
        <f t="shared" si="15"/>
        <v/>
      </c>
      <c r="AM58" s="237" t="e">
        <f t="shared" si="27"/>
        <v>#VALUE!</v>
      </c>
      <c r="AN58" s="70" t="str">
        <f t="shared" si="25"/>
        <v/>
      </c>
      <c r="AO58" s="241" t="str">
        <f t="shared" si="26"/>
        <v/>
      </c>
      <c r="AP58" s="45" t="s">
        <v>40</v>
      </c>
      <c r="AQ58" s="90"/>
      <c r="AR58" s="90"/>
      <c r="AS58" s="90"/>
      <c r="AT58" s="90"/>
      <c r="AU58" s="90"/>
      <c r="AV58" s="90"/>
      <c r="AW58" s="90"/>
      <c r="AX58" s="90"/>
      <c r="AY58" s="90"/>
      <c r="AZ58" s="90"/>
      <c r="BA58" s="90"/>
      <c r="BB58" s="90"/>
      <c r="BC58" s="90"/>
      <c r="BD58" s="90"/>
      <c r="BE58" s="90"/>
      <c r="BF58" s="90"/>
      <c r="BG58" s="90"/>
      <c r="BH58" s="90"/>
      <c r="BI58" s="90"/>
      <c r="BJ58" s="90"/>
      <c r="BK58" s="90"/>
      <c r="BL58" s="90"/>
      <c r="BM58" s="90"/>
      <c r="BN58" s="90"/>
      <c r="BO58" s="90"/>
      <c r="BP58" s="90"/>
      <c r="BQ58" s="90"/>
      <c r="BR58" s="90"/>
      <c r="BS58" s="90"/>
      <c r="BT58" s="90"/>
      <c r="BU58" s="90"/>
      <c r="BV58" s="90"/>
      <c r="BW58" s="90"/>
      <c r="BX58" s="90"/>
      <c r="BY58" s="90"/>
      <c r="BZ58" s="90"/>
      <c r="CA58" s="90"/>
      <c r="CB58" s="90"/>
      <c r="CC58" s="90"/>
      <c r="CD58" s="90"/>
      <c r="CE58" s="90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90"/>
      <c r="CQ58" s="90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hidden="1" customHeight="1" thickBot="1" x14ac:dyDescent="0.3">
      <c r="A59" s="85"/>
      <c r="B59" s="454"/>
      <c r="C59" s="455"/>
      <c r="D59" s="86"/>
      <c r="E59" s="24"/>
      <c r="F59" s="95"/>
      <c r="G59" s="214"/>
      <c r="H59" s="27" t="str">
        <f t="shared" si="16"/>
        <v/>
      </c>
      <c r="I59" s="217" t="str">
        <f t="shared" si="17"/>
        <v/>
      </c>
      <c r="J59" s="29" t="str">
        <f ca="1">IF($J$5&gt;=B59,"N/A",SUM(INDIRECT(ADDRESS(6+(MATCH($J$5,$B$6:$B$59,0)),8)):H59))</f>
        <v>N/A</v>
      </c>
      <c r="K59" s="10">
        <v>0</v>
      </c>
      <c r="L59" s="89"/>
      <c r="M59" s="4">
        <f t="shared" si="18"/>
        <v>0</v>
      </c>
      <c r="N59" s="221" t="str">
        <f t="shared" si="0"/>
        <v/>
      </c>
      <c r="O59" s="30" t="str">
        <f ca="1">IF($O$5&gt;=B59,"N/A",SUM(INDIRECT(ADDRESS(6+(MATCH($O$5,$B$6:$B$59,0)),13)):M59))</f>
        <v>N/A</v>
      </c>
      <c r="P59" s="176" t="str">
        <f t="shared" si="19"/>
        <v/>
      </c>
      <c r="Q59" s="176" t="str">
        <f t="shared" si="20"/>
        <v/>
      </c>
      <c r="R59" s="176" t="str">
        <f t="shared" si="21"/>
        <v/>
      </c>
      <c r="S59" s="71" t="str">
        <f t="shared" si="22"/>
        <v/>
      </c>
      <c r="T59" s="242" t="str">
        <f t="shared" si="23"/>
        <v/>
      </c>
      <c r="U59" s="183" t="str">
        <f t="shared" si="1"/>
        <v/>
      </c>
      <c r="V59" s="184" t="str">
        <f t="shared" si="2"/>
        <v/>
      </c>
      <c r="W59" s="184" t="str">
        <f t="shared" si="3"/>
        <v/>
      </c>
      <c r="X59" s="200" t="str">
        <f t="shared" si="4"/>
        <v/>
      </c>
      <c r="Y59" s="185" t="str">
        <f t="shared" si="5"/>
        <v/>
      </c>
      <c r="Z59" s="186"/>
      <c r="AA59" s="187" t="str">
        <f t="shared" si="6"/>
        <v/>
      </c>
      <c r="AB59" s="188">
        <f t="shared" si="7"/>
        <v>0</v>
      </c>
      <c r="AC59" s="188" t="str">
        <f t="shared" si="8"/>
        <v/>
      </c>
      <c r="AD59" s="204">
        <f t="shared" si="9"/>
        <v>0</v>
      </c>
      <c r="AE59" s="189" t="str">
        <f t="shared" si="10"/>
        <v/>
      </c>
      <c r="AF59" s="190"/>
      <c r="AG59" s="191" t="str">
        <f t="shared" si="11"/>
        <v/>
      </c>
      <c r="AH59" s="192" t="str">
        <f t="shared" si="12"/>
        <v/>
      </c>
      <c r="AI59" s="193" t="str">
        <f t="shared" si="13"/>
        <v/>
      </c>
      <c r="AJ59" s="194" t="str">
        <f t="shared" si="14"/>
        <v/>
      </c>
      <c r="AK59" s="195" t="str">
        <f t="shared" si="14"/>
        <v/>
      </c>
      <c r="AL59" s="196" t="str">
        <f t="shared" si="15"/>
        <v/>
      </c>
      <c r="AM59" s="237" t="e">
        <f t="shared" si="27"/>
        <v>#VALUE!</v>
      </c>
      <c r="AN59" s="71" t="str">
        <f t="shared" si="25"/>
        <v/>
      </c>
      <c r="AO59" s="242" t="str">
        <f t="shared" si="26"/>
        <v/>
      </c>
      <c r="AP59" s="45" t="s">
        <v>40</v>
      </c>
      <c r="AQ59" s="90"/>
      <c r="AR59" s="90"/>
      <c r="AS59" s="90"/>
      <c r="AT59" s="90"/>
      <c r="AU59" s="90"/>
      <c r="AV59" s="90"/>
      <c r="AW59" s="90"/>
      <c r="AX59" s="90"/>
      <c r="AY59" s="90"/>
      <c r="AZ59" s="90"/>
      <c r="BA59" s="90"/>
      <c r="BB59" s="90"/>
      <c r="BC59" s="90"/>
      <c r="BD59" s="90"/>
      <c r="BE59" s="90"/>
      <c r="BF59" s="90"/>
      <c r="BG59" s="90"/>
      <c r="BH59" s="90"/>
      <c r="BI59" s="90"/>
      <c r="BJ59" s="90"/>
      <c r="BK59" s="90"/>
      <c r="BL59" s="90"/>
      <c r="BM59" s="90"/>
      <c r="BN59" s="90"/>
      <c r="BO59" s="90"/>
      <c r="BP59" s="90"/>
      <c r="BQ59" s="90"/>
      <c r="BR59" s="90"/>
      <c r="BS59" s="90"/>
      <c r="BT59" s="90"/>
      <c r="BU59" s="90"/>
      <c r="BV59" s="90"/>
      <c r="BW59" s="90"/>
      <c r="BX59" s="90"/>
      <c r="BY59" s="90"/>
      <c r="BZ59" s="90"/>
      <c r="CA59" s="90"/>
      <c r="CB59" s="90"/>
      <c r="CC59" s="90"/>
      <c r="CD59" s="90"/>
      <c r="CE59" s="90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90"/>
      <c r="CQ59" s="90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e">
        <f ca="1">INDIRECT(ADDRESS(5+$U$61,1))</f>
        <v>#N/A</v>
      </c>
      <c r="L61" s="462">
        <v>42164.5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 t="e">
        <f>MATCH(L61,B6:B59,0)</f>
        <v>#N/A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>
        <f>MATCH(B6,B6:B59,0)</f>
        <v>1</v>
      </c>
      <c r="C62" s="72" t="e">
        <f>MATCH(L61,B6:B59,0)</f>
        <v>#N/A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255"/>
      <c r="H63" s="33" t="s">
        <v>2</v>
      </c>
      <c r="I63" s="210" t="s">
        <v>4</v>
      </c>
      <c r="J63" s="77"/>
      <c r="K63" s="253"/>
      <c r="L63" s="78"/>
      <c r="M63" s="78" t="s">
        <v>28</v>
      </c>
      <c r="N63" s="210" t="s">
        <v>4</v>
      </c>
      <c r="O63" s="77"/>
      <c r="P63" s="257" t="s">
        <v>0</v>
      </c>
      <c r="Q63" s="256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 t="e">
        <f ca="1">SUM(E6:INDIRECT(ADDRESS(5+$C$62,5)))</f>
        <v>#N/A</v>
      </c>
      <c r="F64" s="13"/>
      <c r="G64" s="223"/>
      <c r="H64" s="16" t="e">
        <f ca="1">SUM(H6:INDIRECT(ADDRESS(5+$C$62,8)))</f>
        <v>#N/A</v>
      </c>
      <c r="I64" s="222" t="e">
        <f ca="1">H64/E64</f>
        <v>#N/A</v>
      </c>
      <c r="J64" s="17"/>
      <c r="K64" s="8"/>
      <c r="L64" s="171"/>
      <c r="M64" s="11" t="e">
        <f ca="1">SUM(M6:INDIRECT(ADDRESS(5+$C$62,13)))</f>
        <v>#N/A</v>
      </c>
      <c r="N64" s="12" t="e">
        <f ca="1">M64/E64</f>
        <v>#N/A</v>
      </c>
      <c r="O64" s="172"/>
      <c r="P64" s="173"/>
      <c r="Q64" s="173"/>
      <c r="R64" s="174" t="e">
        <f ca="1">SUM(R6:INDIRECT(ADDRESS(5+$C$62,18)))</f>
        <v>#N/A</v>
      </c>
      <c r="S64" s="458">
        <f>L61</f>
        <v>42164.5</v>
      </c>
      <c r="T64" s="459"/>
      <c r="U64" s="151" t="e">
        <f ca="1">SUM(U6:INDIRECT(ADDRESS(5+$C$62,21)))</f>
        <v>#N/A</v>
      </c>
      <c r="V64" s="152" t="e">
        <f ca="1">SUM(V6:INDIRECT(ADDRESS(5+$C$62,22)))</f>
        <v>#N/A</v>
      </c>
      <c r="W64" s="152" t="e">
        <f ca="1">SUM(W6:INDIRECT(ADDRESS(5+$C$62,23)))</f>
        <v>#N/A</v>
      </c>
      <c r="X64" s="197" t="e">
        <f ca="1">SUM(X6:INDIRECT(ADDRESS(5+$C$62,24)))</f>
        <v>#N/A</v>
      </c>
      <c r="Y64" s="153" t="e">
        <f ca="1">INDIRECT(ADDRESS(5+$C$62,25))</f>
        <v>#N/A</v>
      </c>
      <c r="Z64" s="169" t="e">
        <f ca="1">SUM(Z6:INDIRECT(ADDRESS(5+$C$62,26)))</f>
        <v>#N/A</v>
      </c>
      <c r="AA64" s="142" t="e">
        <f ca="1">SUM(AA6:INDIRECT(ADDRESS(5+$C$62,27)))</f>
        <v>#N/A</v>
      </c>
      <c r="AB64" s="143" t="e">
        <f ca="1">SUM(AB6:INDIRECT(ADDRESS(5+$C$62,28)))</f>
        <v>#N/A</v>
      </c>
      <c r="AC64" s="143" t="e">
        <f ca="1">SUM(AC6:INDIRECT(ADDRESS(5+$C$62,29)))</f>
        <v>#N/A</v>
      </c>
      <c r="AD64" s="201" t="e">
        <f ca="1">SUM(AD6:INDIRECT(ADDRESS(5+$C$62,30)))</f>
        <v>#N/A</v>
      </c>
      <c r="AE64" s="144" t="e">
        <f ca="1">INDIRECT(ADDRESS(5+$C$62,31))</f>
        <v>#N/A</v>
      </c>
      <c r="AF64" s="170" t="e">
        <f ca="1">SUM(AF6:INDIRECT(ADDRESS(5+$C$62,32)))</f>
        <v>#N/A</v>
      </c>
      <c r="AG64" s="133" t="e">
        <f ca="1">SUM(AG6:INDIRECT(ADDRESS(5+$C$62,33)))</f>
        <v>#N/A</v>
      </c>
      <c r="AH64" s="134" t="e">
        <f ca="1">SUM(AH6:INDIRECT(ADDRESS(5+$C$62,34)))</f>
        <v>#N/A</v>
      </c>
      <c r="AI64" s="135" t="e">
        <f ca="1">INDIRECT(ADDRESS(5+$C$62,35))</f>
        <v>#N/A</v>
      </c>
      <c r="AJ64" s="160" t="e">
        <f ca="1">INDIRECT(ADDRESS(5+$C$62,36))</f>
        <v>#N/A</v>
      </c>
      <c r="AK64" s="161" t="e">
        <f ca="1">INDIRECT(ADDRESS(5+$C$62,37))</f>
        <v>#N/A</v>
      </c>
      <c r="AL64" s="162" t="e">
        <f ca="1">INDIRECT(ADDRESS(5+$C$62,38))</f>
        <v>#N/A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BOSP</v>
      </c>
      <c r="F66" s="462">
        <v>42191.316666666666</v>
      </c>
      <c r="G66" s="462"/>
      <c r="H66" s="462"/>
      <c r="I66" s="75" t="s">
        <v>95</v>
      </c>
      <c r="J66" s="75"/>
      <c r="K66" s="74" t="str">
        <f ca="1">INDIRECT(ADDRESS(5+$U$66,1))</f>
        <v>EOSP</v>
      </c>
      <c r="L66" s="462">
        <v>42195.8125</v>
      </c>
      <c r="M66" s="462"/>
      <c r="N66" s="462"/>
      <c r="O66" s="211"/>
      <c r="P66" s="72"/>
      <c r="Q66" s="72"/>
      <c r="R66" s="72"/>
      <c r="S66" s="94"/>
      <c r="T66" s="207">
        <f>MATCH(F66,B6:B59,0)</f>
        <v>2</v>
      </c>
      <c r="U66" s="206">
        <f>MATCH(L66,B6:B59,0)</f>
        <v>8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2</v>
      </c>
      <c r="C67" s="72">
        <f>MATCH(L66,B6:B59,0)</f>
        <v>8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42191.316666666666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255"/>
      <c r="H68" s="33" t="s">
        <v>2</v>
      </c>
      <c r="I68" s="210" t="s">
        <v>4</v>
      </c>
      <c r="J68" s="77"/>
      <c r="K68" s="253"/>
      <c r="L68" s="78"/>
      <c r="M68" s="78" t="s">
        <v>28</v>
      </c>
      <c r="N68" s="210" t="s">
        <v>4</v>
      </c>
      <c r="O68" s="77"/>
      <c r="P68" s="257" t="s">
        <v>0</v>
      </c>
      <c r="Q68" s="256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89.7</v>
      </c>
      <c r="F69" s="13"/>
      <c r="G69" s="223"/>
      <c r="H69" s="16">
        <f ca="1">SUM(INDIRECT(ADDRESS(6+$B$67,8)):INDIRECT(ADDRESS(5+$C$67,8)))</f>
        <v>1000</v>
      </c>
      <c r="I69" s="222">
        <f ca="1">H69/E69</f>
        <v>11.148272017837234</v>
      </c>
      <c r="J69" s="17"/>
      <c r="K69" s="8"/>
      <c r="L69" s="171"/>
      <c r="M69" s="11">
        <f ca="1">SUM(INDIRECT(ADDRESS(6+$B$67,13)):INDIRECT(ADDRESS(5+$C$67,13)))</f>
        <v>980.7</v>
      </c>
      <c r="N69" s="12">
        <f ca="1">M69/E69</f>
        <v>10.933110367892978</v>
      </c>
      <c r="O69" s="172"/>
      <c r="P69" s="173"/>
      <c r="Q69" s="173"/>
      <c r="R69" s="174">
        <f ca="1">SUM(INDIRECT(ADDRESS(6+$B$67,18)):INDIRECT(ADDRESS(5+$C$67,18)))</f>
        <v>975.83414559999994</v>
      </c>
      <c r="S69" s="458">
        <f>L66</f>
        <v>42195.8125</v>
      </c>
      <c r="T69" s="459"/>
      <c r="U69" s="151">
        <f ca="1">SUM(INDIRECT(ADDRESS(6+$B$67,21)):INDIRECT(ADDRESS(5+$C$67,21)))</f>
        <v>73.5</v>
      </c>
      <c r="V69" s="152">
        <f ca="1">SUM(INDIRECT(ADDRESS(6+$B$67,22)):INDIRECT(ADDRESS(5+$C$67,22)))</f>
        <v>14.2</v>
      </c>
      <c r="W69" s="152">
        <f ca="1">SUM(INDIRECT(ADDRESS(6+$B$67,23)):INDIRECT(ADDRESS(5+$C$67,23)))</f>
        <v>3.5999999999999996</v>
      </c>
      <c r="X69" s="197">
        <f ca="1">SUM(INDIRECT(ADDRESS(6+$B$67,24)):INDIRECT(ADDRESS(5+$C$67,24)))</f>
        <v>91.3</v>
      </c>
      <c r="Y69" s="153">
        <f ca="1">INDIRECT(ADDRESS(5+$C$67,25))</f>
        <v>1036.9999999999998</v>
      </c>
      <c r="Z69" s="169">
        <f ca="1">SUM(INDIRECT(ADDRESS(6+$B$67,26)):INDIRECT(ADDRESS(5+$C$67,26)))</f>
        <v>0</v>
      </c>
      <c r="AA69" s="142">
        <f ca="1">SUM(INDIRECT(ADDRESS(6+$B$67,27)):INDIRECT(ADDRESS(5+$C$67,27)))</f>
        <v>0</v>
      </c>
      <c r="AB69" s="143">
        <f ca="1">SUM(INDIRECT(ADDRESS(6+$B$67,28)):INDIRECT(ADDRESS(5+$C$67,28)))</f>
        <v>0.1</v>
      </c>
      <c r="AC69" s="143">
        <f ca="1">SUM(INDIRECT(ADDRESS(6+$B$67,29)):INDIRECT(ADDRESS(5+$C$67,29)))</f>
        <v>0.1</v>
      </c>
      <c r="AD69" s="201">
        <f ca="1">SUM(INDIRECT(ADDRESS(6+$B$67,30)):INDIRECT(ADDRESS(5+$C$67,30)))</f>
        <v>0.2</v>
      </c>
      <c r="AE69" s="144">
        <f ca="1">INDIRECT(ADDRESS(5+$C$67,31))</f>
        <v>126.00000000000054</v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142</v>
      </c>
      <c r="AH69" s="134">
        <f ca="1">SUM(INDIRECT(ADDRESS(6+$B$67,34)):INDIRECT(ADDRESS(5+$C$67,34)))</f>
        <v>50</v>
      </c>
      <c r="AI69" s="135">
        <f ca="1">INDIRECT(ADDRESS(5+$C$67,35))</f>
        <v>300</v>
      </c>
      <c r="AJ69" s="160">
        <f ca="1">INDIRECT(ADDRESS(5+$C$67,36))</f>
        <v>36556</v>
      </c>
      <c r="AK69" s="161">
        <f ca="1">INDIRECT(ADDRESS(5+$C$67,37))</f>
        <v>17500</v>
      </c>
      <c r="AL69" s="162">
        <f ca="1">INDIRECT(ADDRESS(5+$C$67,38))</f>
        <v>5950</v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str">
        <f ca="1">INDIRECT(ADDRESS(5+$T$71,1))</f>
        <v>NOON</v>
      </c>
      <c r="F71" s="462">
        <v>42200.5</v>
      </c>
      <c r="G71" s="462"/>
      <c r="H71" s="462"/>
      <c r="I71" s="75" t="s">
        <v>95</v>
      </c>
      <c r="J71" s="75"/>
      <c r="K71" s="74" t="str">
        <f ca="1">INDIRECT(ADDRESS(5+$U$71,1))</f>
        <v>PNOON</v>
      </c>
      <c r="L71" s="462">
        <v>42201.5</v>
      </c>
      <c r="M71" s="462"/>
      <c r="N71" s="462"/>
      <c r="O71" s="211"/>
      <c r="P71" s="72"/>
      <c r="Q71" s="72"/>
      <c r="R71" s="72"/>
      <c r="S71" s="94"/>
      <c r="T71" s="207">
        <f>MATCH(F71,B6:B59,0)</f>
        <v>13</v>
      </c>
      <c r="U71" s="206">
        <f>MATCH(L71,B6:B59,0)</f>
        <v>15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>
        <f>MATCH(F71,B6:B59,0)</f>
        <v>13</v>
      </c>
      <c r="C72" s="72">
        <f>MATCH(L71,B6:B59,0)</f>
        <v>15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42200.5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255"/>
      <c r="H73" s="33" t="s">
        <v>2</v>
      </c>
      <c r="I73" s="210" t="s">
        <v>4</v>
      </c>
      <c r="J73" s="77"/>
      <c r="K73" s="253"/>
      <c r="L73" s="78"/>
      <c r="M73" s="78" t="s">
        <v>28</v>
      </c>
      <c r="N73" s="210" t="s">
        <v>4</v>
      </c>
      <c r="O73" s="77"/>
      <c r="P73" s="257" t="s">
        <v>0</v>
      </c>
      <c r="Q73" s="256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>
        <f ca="1">SUM(INDIRECT(ADDRESS(6+$B$72,5)):INDIRECT(ADDRESS(5+$C$72,5)))</f>
        <v>5.4</v>
      </c>
      <c r="F74" s="13"/>
      <c r="G74" s="223"/>
      <c r="H74" s="16">
        <f ca="1">SUM(INDIRECT(ADDRESS(6+$B$72,8)):INDIRECT(ADDRESS(5+$C$72,8)))</f>
        <v>36.900000000000091</v>
      </c>
      <c r="I74" s="222">
        <f ca="1">H74/E74</f>
        <v>6.8333333333333499</v>
      </c>
      <c r="J74" s="17"/>
      <c r="K74" s="8"/>
      <c r="L74" s="171"/>
      <c r="M74" s="11">
        <f ca="1">SUM(INDIRECT(ADDRESS(6+$B$72,13)):INDIRECT(ADDRESS(5+$C$72,13)))</f>
        <v>37.699999999999996</v>
      </c>
      <c r="N74" s="12">
        <f ca="1">M74/E74</f>
        <v>6.9814814814814801</v>
      </c>
      <c r="O74" s="172"/>
      <c r="P74" s="173"/>
      <c r="Q74" s="173"/>
      <c r="R74" s="174">
        <f ca="1">SUM(INDIRECT(ADDRESS(6+$B$72,18)):INDIRECT(ADDRESS(5+$C$72,18)))</f>
        <v>34.638466300000005</v>
      </c>
      <c r="S74" s="458">
        <f>L71</f>
        <v>42201.5</v>
      </c>
      <c r="T74" s="459"/>
      <c r="U74" s="151">
        <f ca="1">SUM(INDIRECT(ADDRESS(6+$B$72,21)):INDIRECT(ADDRESS(5+$C$72,21)))</f>
        <v>2.2000000000000002</v>
      </c>
      <c r="V74" s="152">
        <f ca="1">SUM(INDIRECT(ADDRESS(6+$B$72,22)):INDIRECT(ADDRESS(5+$C$72,22)))</f>
        <v>4</v>
      </c>
      <c r="W74" s="152">
        <f ca="1">SUM(INDIRECT(ADDRESS(6+$B$72,23)):INDIRECT(ADDRESS(5+$C$72,23)))</f>
        <v>2.9</v>
      </c>
      <c r="X74" s="197">
        <f ca="1">SUM(INDIRECT(ADDRESS(6+$B$72,24)):INDIRECT(ADDRESS(5+$C$72,24)))</f>
        <v>9.1000000000000014</v>
      </c>
      <c r="Y74" s="153">
        <f ca="1">INDIRECT(ADDRESS(5+$C$72,25))</f>
        <v>989.89999999999964</v>
      </c>
      <c r="Z74" s="169">
        <f ca="1">SUM(INDIRECT(ADDRESS(6+$B$72,26)):INDIRECT(ADDRESS(5+$C$72,26)))</f>
        <v>0</v>
      </c>
      <c r="AA74" s="142">
        <f ca="1">SUM(INDIRECT(ADDRESS(6+$B$72,27)):INDIRECT(ADDRESS(5+$C$72,27)))</f>
        <v>0</v>
      </c>
      <c r="AB74" s="143">
        <f ca="1">SUM(INDIRECT(ADDRESS(6+$B$72,28)):INDIRECT(ADDRESS(5+$C$72,28)))</f>
        <v>0</v>
      </c>
      <c r="AC74" s="143">
        <f ca="1">SUM(INDIRECT(ADDRESS(6+$B$72,29)):INDIRECT(ADDRESS(5+$C$72,29)))</f>
        <v>0</v>
      </c>
      <c r="AD74" s="201">
        <f ca="1">SUM(INDIRECT(ADDRESS(6+$B$72,30)):INDIRECT(ADDRESS(5+$C$72,30)))</f>
        <v>0</v>
      </c>
      <c r="AE74" s="144">
        <f ca="1">INDIRECT(ADDRESS(5+$C$72,31))</f>
        <v>126.00000000000054</v>
      </c>
      <c r="AF74" s="170">
        <f ca="1">SUM(INDIRECT(ADDRESS(6+$B$72,32)):INDIRECT(ADDRESS(5+$C$72,32)))</f>
        <v>0</v>
      </c>
      <c r="AG74" s="133">
        <f ca="1">SUM(INDIRECT(ADDRESS(6+$B$72,33)):INDIRECT(ADDRESS(5+$C$72,33)))</f>
        <v>6</v>
      </c>
      <c r="AH74" s="134">
        <f ca="1">SUM(INDIRECT(ADDRESS(6+$B$72,34)):INDIRECT(ADDRESS(5+$C$72,34)))</f>
        <v>0</v>
      </c>
      <c r="AI74" s="135">
        <f ca="1">INDIRECT(ADDRESS(5+$C$72,35))</f>
        <v>309</v>
      </c>
      <c r="AJ74" s="160">
        <f ca="1">INDIRECT(ADDRESS(5+$C$72,36))</f>
        <v>36119</v>
      </c>
      <c r="AK74" s="161">
        <f ca="1">INDIRECT(ADDRESS(5+$C$72,37))</f>
        <v>17000</v>
      </c>
      <c r="AL74" s="162">
        <f ca="1">INDIRECT(ADDRESS(5+$C$72,38))</f>
        <v>5700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selectLockedCells="1"/>
  <dataConsolidate/>
  <mergeCells count="141"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</mergeCells>
  <conditionalFormatting sqref="X6:X59">
    <cfRule type="cellIs" dxfId="157" priority="18" operator="notEqual">
      <formula>$U6+$V6+$W6</formula>
    </cfRule>
  </conditionalFormatting>
  <conditionalFormatting sqref="Y7:Y59">
    <cfRule type="cellIs" dxfId="156" priority="17" operator="notEqual">
      <formula>$Y6-$X7+$Z7</formula>
    </cfRule>
  </conditionalFormatting>
  <conditionalFormatting sqref="AD6:AD59">
    <cfRule type="cellIs" dxfId="155" priority="16" operator="notEqual">
      <formula>$AA6+$AB6+$AC6</formula>
    </cfRule>
  </conditionalFormatting>
  <conditionalFormatting sqref="AE7:AE59">
    <cfRule type="cellIs" dxfId="154" priority="15" operator="notEqual">
      <formula>$AE6-$AD7+$AF7</formula>
    </cfRule>
  </conditionalFormatting>
  <conditionalFormatting sqref="L66">
    <cfRule type="cellIs" dxfId="153" priority="14" operator="lessThan">
      <formula>$F$66</formula>
    </cfRule>
  </conditionalFormatting>
  <conditionalFormatting sqref="L71">
    <cfRule type="cellIs" dxfId="152" priority="13" operator="lessThan">
      <formula>$F$71</formula>
    </cfRule>
  </conditionalFormatting>
  <conditionalFormatting sqref="X64">
    <cfRule type="cellIs" dxfId="151" priority="12" operator="notEqual">
      <formula>$U64+$V64+$W64</formula>
    </cfRule>
  </conditionalFormatting>
  <conditionalFormatting sqref="Y64">
    <cfRule type="cellIs" dxfId="150" priority="11" operator="notEqual">
      <formula>$Y63-$X64+$Z64</formula>
    </cfRule>
  </conditionalFormatting>
  <conditionalFormatting sqref="AD64">
    <cfRule type="cellIs" dxfId="149" priority="10" operator="notEqual">
      <formula>$AA64+$AB64+$AC64</formula>
    </cfRule>
  </conditionalFormatting>
  <conditionalFormatting sqref="AE64">
    <cfRule type="cellIs" dxfId="148" priority="9" operator="notEqual">
      <formula>$AE63-$AD64+$AF64</formula>
    </cfRule>
  </conditionalFormatting>
  <conditionalFormatting sqref="X69">
    <cfRule type="cellIs" dxfId="147" priority="8" operator="notEqual">
      <formula>$U69+$V69+$W69</formula>
    </cfRule>
  </conditionalFormatting>
  <conditionalFormatting sqref="Y69">
    <cfRule type="cellIs" dxfId="146" priority="7" operator="notEqual">
      <formula>$Y68-$X69+$Z69</formula>
    </cfRule>
  </conditionalFormatting>
  <conditionalFormatting sqref="AD69">
    <cfRule type="cellIs" dxfId="145" priority="6" operator="notEqual">
      <formula>$AA69+$AB69+$AC69</formula>
    </cfRule>
  </conditionalFormatting>
  <conditionalFormatting sqref="AE69">
    <cfRule type="cellIs" dxfId="144" priority="5" operator="notEqual">
      <formula>$AE68-$AD69+$AF69</formula>
    </cfRule>
  </conditionalFormatting>
  <conditionalFormatting sqref="X74">
    <cfRule type="cellIs" dxfId="143" priority="4" operator="notEqual">
      <formula>$U74+$V74+$W74</formula>
    </cfRule>
  </conditionalFormatting>
  <conditionalFormatting sqref="Y74">
    <cfRule type="cellIs" dxfId="142" priority="3" operator="notEqual">
      <formula>$Y73-$X74+$Z74</formula>
    </cfRule>
  </conditionalFormatting>
  <conditionalFormatting sqref="AD74">
    <cfRule type="cellIs" dxfId="141" priority="2" operator="notEqual">
      <formula>$AA74+$AB74+$AC74</formula>
    </cfRule>
  </conditionalFormatting>
  <conditionalFormatting sqref="AE74">
    <cfRule type="cellIs" dxfId="140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7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D16" sqref="D16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 t="s">
        <v>110</v>
      </c>
      <c r="B4" s="415" t="s">
        <v>109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265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265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42220.5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42220.5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266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261" t="s">
        <v>8</v>
      </c>
      <c r="B6" s="437"/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0</v>
      </c>
      <c r="L6" s="38" t="s">
        <v>3</v>
      </c>
      <c r="M6" s="38" t="s">
        <v>3</v>
      </c>
      <c r="N6" s="219" t="s">
        <v>3</v>
      </c>
      <c r="O6" s="37" t="s">
        <v>3</v>
      </c>
      <c r="P6" s="264" t="s">
        <v>3</v>
      </c>
      <c r="Q6" s="263" t="s">
        <v>3</v>
      </c>
      <c r="R6" s="26" t="s">
        <v>3</v>
      </c>
      <c r="S6" s="40" t="str">
        <f>$A6</f>
        <v>S.B.E.</v>
      </c>
      <c r="T6" s="239">
        <f>$B6</f>
        <v>0</v>
      </c>
      <c r="U6" s="151" t="str">
        <f>IF(BC6="","",BC6)</f>
        <v/>
      </c>
      <c r="V6" s="152" t="str">
        <f>IF(BF6="","",BF6)</f>
        <v/>
      </c>
      <c r="W6" s="152" t="str">
        <f>IF(BK6="","",BK6)</f>
        <v/>
      </c>
      <c r="X6" s="197" t="str">
        <f>IF(BN6="","",BN6)</f>
        <v/>
      </c>
      <c r="Y6" s="153" t="str">
        <f>IF(BR6="","",BR6)</f>
        <v/>
      </c>
      <c r="Z6" s="177"/>
      <c r="AA6" s="142" t="str">
        <f>IF(BD6="","",BD6)</f>
        <v/>
      </c>
      <c r="AB6" s="143">
        <f>IF(BH6+BI6="","",BH6+BI6)</f>
        <v>0</v>
      </c>
      <c r="AC6" s="143" t="str">
        <f>IF(BL6="","",BL6)</f>
        <v/>
      </c>
      <c r="AD6" s="201">
        <f>IF(BO6+BP6="","",BO6+BP6)</f>
        <v>0</v>
      </c>
      <c r="AE6" s="144" t="str">
        <f>IF(BS6+BT6=0,"",BS6+BT6)</f>
        <v/>
      </c>
      <c r="AF6" s="178"/>
      <c r="AG6" s="133" t="str">
        <f>IF(CE6="","",CE6)</f>
        <v/>
      </c>
      <c r="AH6" s="134" t="str">
        <f>IF(BW6="","",BW6)</f>
        <v/>
      </c>
      <c r="AI6" s="135" t="str">
        <f>IF(CC6="","",CC6)</f>
        <v/>
      </c>
      <c r="AJ6" s="160" t="str">
        <f>IF(CP6="","",CP6)</f>
        <v/>
      </c>
      <c r="AK6" s="161" t="str">
        <f>IF(CQ6="","",CQ6)</f>
        <v/>
      </c>
      <c r="AL6" s="162" t="str">
        <f>IF(CS6="","",CS6)</f>
        <v/>
      </c>
      <c r="AM6" s="237"/>
      <c r="AN6" s="69" t="str">
        <f>$A6</f>
        <v>S.B.E.</v>
      </c>
      <c r="AO6" s="243">
        <f>$B6</f>
        <v>0</v>
      </c>
      <c r="AP6" s="45" t="s">
        <v>40</v>
      </c>
      <c r="AQ6" s="98"/>
      <c r="AR6" s="99"/>
      <c r="AS6" s="99"/>
      <c r="AT6" s="100"/>
      <c r="AU6" s="101"/>
      <c r="AV6" s="100"/>
      <c r="AW6" s="101"/>
      <c r="AX6" s="101"/>
      <c r="AY6" s="99"/>
      <c r="AZ6" s="102"/>
      <c r="BA6" s="102"/>
      <c r="BB6" s="103"/>
      <c r="BC6" s="104"/>
      <c r="BD6" s="98"/>
      <c r="BE6" s="105"/>
      <c r="BF6" s="104"/>
      <c r="BG6" s="106"/>
      <c r="BH6" s="104"/>
      <c r="BI6" s="98"/>
      <c r="BJ6" s="105"/>
      <c r="BK6" s="104"/>
      <c r="BL6" s="104"/>
      <c r="BM6" s="107"/>
      <c r="BN6" s="108"/>
      <c r="BO6" s="108"/>
      <c r="BP6" s="109"/>
      <c r="BQ6" s="110"/>
      <c r="BR6" s="108"/>
      <c r="BS6" s="109"/>
      <c r="BT6" s="109"/>
      <c r="BU6" s="107"/>
      <c r="BV6" s="111"/>
      <c r="BW6" s="98"/>
      <c r="BX6" s="112"/>
      <c r="BY6" s="113"/>
      <c r="BZ6" s="114"/>
      <c r="CA6" s="114"/>
      <c r="CB6" s="114"/>
      <c r="CC6" s="99"/>
      <c r="CD6" s="115"/>
      <c r="CE6" s="116"/>
      <c r="CF6" s="117"/>
      <c r="CG6" s="118"/>
      <c r="CH6" s="117"/>
      <c r="CI6" s="118"/>
      <c r="CJ6" s="117"/>
      <c r="CK6" s="118"/>
      <c r="CL6" s="119"/>
      <c r="CM6" s="120"/>
      <c r="CN6" s="121"/>
      <c r="CO6" s="120"/>
      <c r="CP6" s="121"/>
      <c r="CQ6" s="121"/>
      <c r="CR6" s="100"/>
      <c r="CS6" s="121"/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3"/>
      <c r="B7" s="442"/>
      <c r="C7" s="443"/>
      <c r="D7" s="84"/>
      <c r="E7" s="23"/>
      <c r="F7" s="15"/>
      <c r="G7" s="213"/>
      <c r="H7" s="27" t="str">
        <f>IF(F7=0,"",F7-F6+G7)</f>
        <v/>
      </c>
      <c r="I7" s="216" t="str">
        <f>IF(E7=0,"",$H7/$E7)</f>
        <v/>
      </c>
      <c r="J7" s="29" t="str">
        <f ca="1">IF($J$5&gt;=B7,"N/A",SUM(INDIRECT(ADDRESS(6+(MATCH($J$5,$B$6:$B$59,0)),8)):H7))</f>
        <v>N/A</v>
      </c>
      <c r="K7" s="10"/>
      <c r="L7" s="87"/>
      <c r="M7" s="4" t="str">
        <f>IF(K7="","",K6-K7+L7)</f>
        <v/>
      </c>
      <c r="N7" s="220" t="str">
        <f t="shared" ref="N7:N59" si="0">IF(E7=0,"",M7/E7)</f>
        <v/>
      </c>
      <c r="O7" s="30" t="str">
        <f ca="1">IF($O$5&gt;=B7,"N/A",SUM(INDIRECT(ADDRESS(6+(MATCH($O$5,$B$6:$B$59,0)),13)):M7))</f>
        <v>N/A</v>
      </c>
      <c r="P7" s="175" t="str">
        <f>IF(AQ7="","",AQ7)</f>
        <v/>
      </c>
      <c r="Q7" s="175" t="str">
        <f>IF(AY7="","",AY7)</f>
        <v/>
      </c>
      <c r="R7" s="175" t="str">
        <f>IF(AR7="","",AR7)</f>
        <v/>
      </c>
      <c r="S7" s="43" t="str">
        <f>IF($A7="","",$A7)</f>
        <v/>
      </c>
      <c r="T7" s="240" t="str">
        <f>IF($B7="","",$B7)</f>
        <v/>
      </c>
      <c r="U7" s="154" t="str">
        <f t="shared" ref="U7:U59" si="1">IF(BC7="","",BC7)</f>
        <v/>
      </c>
      <c r="V7" s="155" t="str">
        <f t="shared" ref="V7:V59" si="2">IF(BF7="","",BF7)</f>
        <v/>
      </c>
      <c r="W7" s="155" t="str">
        <f t="shared" ref="W7:W59" si="3">IF(BK7="","",BK7)</f>
        <v/>
      </c>
      <c r="X7" s="198" t="str">
        <f t="shared" ref="X7:X59" si="4">IF(BN7="","",BN7)</f>
        <v/>
      </c>
      <c r="Y7" s="156" t="str">
        <f t="shared" ref="Y7:Y59" si="5">IF(BR7="","",BR7)</f>
        <v/>
      </c>
      <c r="Z7" s="179"/>
      <c r="AA7" s="145" t="str">
        <f t="shared" ref="AA7:AA59" si="6">IF(BD7="","",BD7)</f>
        <v/>
      </c>
      <c r="AB7" s="146">
        <f t="shared" ref="AB7:AB59" si="7">IF(BH7+BI7="","",BH7+BI7)</f>
        <v>0</v>
      </c>
      <c r="AC7" s="146" t="str">
        <f t="shared" ref="AC7:AC59" si="8">IF(BL7="","",BL7)</f>
        <v/>
      </c>
      <c r="AD7" s="202">
        <f t="shared" ref="AD7:AD59" si="9">IF(BO7+BP7="","",BO7+BP7)</f>
        <v>0</v>
      </c>
      <c r="AE7" s="147" t="str">
        <f t="shared" ref="AE7:AE59" si="10">IF(BS7+BT7=0,"",BS7+BT7)</f>
        <v/>
      </c>
      <c r="AF7" s="180"/>
      <c r="AG7" s="136" t="str">
        <f t="shared" ref="AG7:AG59" si="11">IF(CE7="","",CE7)</f>
        <v/>
      </c>
      <c r="AH7" s="137" t="str">
        <f t="shared" ref="AH7:AH59" si="12">IF(BW7="","",BW7)</f>
        <v/>
      </c>
      <c r="AI7" s="138" t="str">
        <f t="shared" ref="AI7:AI59" si="13">IF(CC7="","",CC7)</f>
        <v/>
      </c>
      <c r="AJ7" s="163" t="str">
        <f t="shared" ref="AJ7:AK59" si="14">IF(CP7="","",CP7)</f>
        <v/>
      </c>
      <c r="AK7" s="164" t="str">
        <f t="shared" si="14"/>
        <v/>
      </c>
      <c r="AL7" s="165" t="str">
        <f t="shared" ref="AL7:AL59" si="15">IF(CS7="","",CS7)</f>
        <v/>
      </c>
      <c r="AM7" s="237" t="e">
        <f>((R7-H7)/H7)</f>
        <v>#VALUE!</v>
      </c>
      <c r="AN7" s="70" t="str">
        <f>IF($A7="","",$A7)</f>
        <v/>
      </c>
      <c r="AO7" s="241" t="str">
        <f>IF($B7="","",$B7)</f>
        <v/>
      </c>
      <c r="AP7" s="441" t="s">
        <v>90</v>
      </c>
      <c r="AQ7" s="98"/>
      <c r="AR7" s="99"/>
      <c r="AS7" s="99"/>
      <c r="AT7" s="100"/>
      <c r="AU7" s="101"/>
      <c r="AV7" s="100"/>
      <c r="AW7" s="101"/>
      <c r="AX7" s="101"/>
      <c r="AY7" s="99"/>
      <c r="AZ7" s="102"/>
      <c r="BA7" s="102"/>
      <c r="BB7" s="105"/>
      <c r="BC7" s="104"/>
      <c r="BD7" s="98"/>
      <c r="BE7" s="105"/>
      <c r="BF7" s="104"/>
      <c r="BG7" s="106"/>
      <c r="BH7" s="104"/>
      <c r="BI7" s="98"/>
      <c r="BJ7" s="105"/>
      <c r="BK7" s="104"/>
      <c r="BL7" s="104"/>
      <c r="BM7" s="107"/>
      <c r="BN7" s="108"/>
      <c r="BO7" s="108"/>
      <c r="BP7" s="109"/>
      <c r="BQ7" s="110"/>
      <c r="BR7" s="108"/>
      <c r="BS7" s="109"/>
      <c r="BT7" s="109"/>
      <c r="BU7" s="107"/>
      <c r="BV7" s="111"/>
      <c r="BW7" s="98"/>
      <c r="BX7" s="113"/>
      <c r="BY7" s="113"/>
      <c r="BZ7" s="114"/>
      <c r="CA7" s="114"/>
      <c r="CB7" s="114"/>
      <c r="CC7" s="99"/>
      <c r="CD7" s="111"/>
      <c r="CE7" s="116"/>
      <c r="CF7" s="117"/>
      <c r="CG7" s="118"/>
      <c r="CH7" s="117"/>
      <c r="CI7" s="118"/>
      <c r="CJ7" s="117"/>
      <c r="CK7" s="118"/>
      <c r="CL7" s="119"/>
      <c r="CM7" s="122"/>
      <c r="CN7" s="121"/>
      <c r="CO7" s="120"/>
      <c r="CP7" s="121"/>
      <c r="CQ7" s="121"/>
      <c r="CR7" s="100"/>
      <c r="CS7" s="121"/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9</v>
      </c>
      <c r="B8" s="442">
        <v>42202.025000000001</v>
      </c>
      <c r="C8" s="453"/>
      <c r="D8" s="84" t="s">
        <v>111</v>
      </c>
      <c r="E8" s="23"/>
      <c r="F8" s="15">
        <v>2.9</v>
      </c>
      <c r="G8" s="213"/>
      <c r="H8" s="27">
        <f t="shared" ref="H8:H59" si="16">IF(F8=0,"",F8-F7+G8)</f>
        <v>2.9</v>
      </c>
      <c r="I8" s="216" t="str">
        <f t="shared" ref="I8:I59" si="17">IF(E8=0,"",$H8/$E8)</f>
        <v/>
      </c>
      <c r="J8" s="29" t="str">
        <f ca="1">IF($J$5&gt;=B8,"N/A",SUM(INDIRECT(ADDRESS(6+(MATCH($J$5,$B$6:$B$59,0)),8)):H8))</f>
        <v>N/A</v>
      </c>
      <c r="K8" s="10">
        <v>0</v>
      </c>
      <c r="L8" s="87">
        <v>2.9</v>
      </c>
      <c r="M8" s="4">
        <f t="shared" ref="M8:M59" si="18">IF(K8="","",K7-K8+L8)</f>
        <v>2.9</v>
      </c>
      <c r="N8" s="220" t="str">
        <f t="shared" si="0"/>
        <v/>
      </c>
      <c r="O8" s="30" t="str">
        <f ca="1">IF($O$5&gt;=B8,"N/A",SUM(INDIRECT(ADDRESS(6+(MATCH($O$5,$B$6:$B$59,0)),13)):M8))</f>
        <v>N/A</v>
      </c>
      <c r="P8" s="175">
        <f t="shared" ref="P8:P59" si="19">IF(AQ8="","",AQ8)</f>
        <v>20</v>
      </c>
      <c r="Q8" s="175">
        <f t="shared" ref="Q8:Q59" si="20">IF(AY8="","",AY8)</f>
        <v>3.3333333333333361</v>
      </c>
      <c r="R8" s="175">
        <f t="shared" ref="R8:R59" si="21">IF(AR8="","",AR8)</f>
        <v>3</v>
      </c>
      <c r="S8" s="70" t="str">
        <f t="shared" ref="S8:S59" si="22">IF($A8="","",$A8)</f>
        <v>SBE</v>
      </c>
      <c r="T8" s="241">
        <f t="shared" ref="T8:T59" si="23">IF($B8="","",$B8)</f>
        <v>42202.025000000001</v>
      </c>
      <c r="U8" s="157">
        <f t="shared" si="1"/>
        <v>0</v>
      </c>
      <c r="V8" s="158">
        <f t="shared" si="2"/>
        <v>3.1</v>
      </c>
      <c r="W8" s="158">
        <f t="shared" si="3"/>
        <v>1.6</v>
      </c>
      <c r="X8" s="199">
        <f t="shared" si="4"/>
        <v>4.7</v>
      </c>
      <c r="Y8" s="159">
        <f t="shared" si="5"/>
        <v>985.19999999999959</v>
      </c>
      <c r="Z8" s="181"/>
      <c r="AA8" s="148">
        <f t="shared" si="6"/>
        <v>0</v>
      </c>
      <c r="AB8" s="149">
        <f t="shared" si="7"/>
        <v>0</v>
      </c>
      <c r="AC8" s="149">
        <f t="shared" si="8"/>
        <v>0</v>
      </c>
      <c r="AD8" s="203">
        <f t="shared" si="9"/>
        <v>0</v>
      </c>
      <c r="AE8" s="150">
        <f t="shared" si="10"/>
        <v>126.00000000000054</v>
      </c>
      <c r="AF8" s="182"/>
      <c r="AG8" s="139">
        <f t="shared" si="11"/>
        <v>2</v>
      </c>
      <c r="AH8" s="140">
        <f t="shared" si="12"/>
        <v>0</v>
      </c>
      <c r="AI8" s="141">
        <f t="shared" si="13"/>
        <v>307</v>
      </c>
      <c r="AJ8" s="166">
        <f t="shared" si="14"/>
        <v>36119</v>
      </c>
      <c r="AK8" s="167">
        <f t="shared" si="14"/>
        <v>17000</v>
      </c>
      <c r="AL8" s="168">
        <f t="shared" si="15"/>
        <v>5700</v>
      </c>
      <c r="AM8" s="237">
        <f t="shared" ref="AM8:AM20" si="24">((R8-H8)/H8)</f>
        <v>3.4482758620689689E-2</v>
      </c>
      <c r="AN8" s="70" t="str">
        <f t="shared" ref="AN8:AN59" si="25">IF($A8="","",$A8)</f>
        <v>SBE</v>
      </c>
      <c r="AO8" s="241">
        <f t="shared" ref="AO8:AO59" si="26">IF($B8="","",$B8)</f>
        <v>42202.025000000001</v>
      </c>
      <c r="AP8" s="441"/>
      <c r="AQ8" s="98">
        <v>20</v>
      </c>
      <c r="AR8" s="99">
        <v>3</v>
      </c>
      <c r="AS8" s="99">
        <v>2</v>
      </c>
      <c r="AT8" s="100">
        <v>2.9</v>
      </c>
      <c r="AU8" s="101">
        <v>1.9333333333333333</v>
      </c>
      <c r="AV8" s="100">
        <v>2.9</v>
      </c>
      <c r="AW8" s="101">
        <v>1.9333333333333333</v>
      </c>
      <c r="AX8" s="101">
        <v>3.3333333333333361</v>
      </c>
      <c r="AY8" s="99">
        <v>3.3333333333333361</v>
      </c>
      <c r="AZ8" s="102"/>
      <c r="BA8" s="102"/>
      <c r="BB8" s="105">
        <v>-0.54280000000000062</v>
      </c>
      <c r="BC8" s="104">
        <v>0</v>
      </c>
      <c r="BD8" s="98">
        <v>0</v>
      </c>
      <c r="BE8" s="105">
        <v>2.4932000000000007</v>
      </c>
      <c r="BF8" s="104">
        <v>3.1</v>
      </c>
      <c r="BG8" s="106">
        <v>0</v>
      </c>
      <c r="BH8" s="104">
        <v>0</v>
      </c>
      <c r="BI8" s="98">
        <v>0</v>
      </c>
      <c r="BJ8" s="105">
        <v>1.5397000000000001</v>
      </c>
      <c r="BK8" s="104">
        <v>1.6</v>
      </c>
      <c r="BL8" s="104">
        <v>0</v>
      </c>
      <c r="BM8" s="107"/>
      <c r="BN8" s="108">
        <v>4.7</v>
      </c>
      <c r="BO8" s="108">
        <v>0</v>
      </c>
      <c r="BP8" s="109">
        <v>0</v>
      </c>
      <c r="BQ8" s="110"/>
      <c r="BR8" s="108">
        <v>985.19999999999959</v>
      </c>
      <c r="BS8" s="109">
        <v>0</v>
      </c>
      <c r="BT8" s="109">
        <v>126.00000000000054</v>
      </c>
      <c r="BU8" s="107"/>
      <c r="BV8" s="111">
        <v>0</v>
      </c>
      <c r="BW8" s="98">
        <v>0</v>
      </c>
      <c r="BX8" s="113"/>
      <c r="BY8" s="113">
        <v>152</v>
      </c>
      <c r="BZ8" s="114">
        <v>152</v>
      </c>
      <c r="CA8" s="114">
        <v>70</v>
      </c>
      <c r="CB8" s="114">
        <v>85</v>
      </c>
      <c r="CC8" s="99">
        <v>307</v>
      </c>
      <c r="CD8" s="115">
        <v>2</v>
      </c>
      <c r="CE8" s="116">
        <v>2</v>
      </c>
      <c r="CF8" s="117">
        <v>0</v>
      </c>
      <c r="CG8" s="118" t="s">
        <v>39</v>
      </c>
      <c r="CH8" s="117">
        <v>0</v>
      </c>
      <c r="CI8" s="118" t="s">
        <v>39</v>
      </c>
      <c r="CJ8" s="117">
        <v>0</v>
      </c>
      <c r="CK8" s="118" t="s">
        <v>39</v>
      </c>
      <c r="CL8" s="119"/>
      <c r="CM8" s="122">
        <v>0</v>
      </c>
      <c r="CN8" s="121">
        <v>0</v>
      </c>
      <c r="CO8" s="120">
        <v>0</v>
      </c>
      <c r="CP8" s="121">
        <v>36119</v>
      </c>
      <c r="CQ8" s="121">
        <v>17000</v>
      </c>
      <c r="CR8" s="100"/>
      <c r="CS8" s="121">
        <v>5700</v>
      </c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11</v>
      </c>
      <c r="B9" s="442">
        <v>42202.5</v>
      </c>
      <c r="C9" s="443"/>
      <c r="D9" s="84"/>
      <c r="E9" s="23">
        <v>1.5</v>
      </c>
      <c r="F9" s="15">
        <v>3</v>
      </c>
      <c r="G9" s="213">
        <v>-0.1</v>
      </c>
      <c r="H9" s="27">
        <f t="shared" si="16"/>
        <v>8.3266726846886741E-17</v>
      </c>
      <c r="I9" s="216">
        <f t="shared" si="17"/>
        <v>5.5511151231257827E-17</v>
      </c>
      <c r="J9" s="29" t="str">
        <f ca="1">IF($J$5&gt;=B9,"N/A",SUM(INDIRECT(ADDRESS(6+(MATCH($J$5,$B$6:$B$59,0)),8)):H9))</f>
        <v>N/A</v>
      </c>
      <c r="K9" s="10">
        <v>3714.9</v>
      </c>
      <c r="L9" s="87">
        <v>3714.9</v>
      </c>
      <c r="M9" s="4">
        <f t="shared" si="18"/>
        <v>0</v>
      </c>
      <c r="N9" s="220">
        <f t="shared" si="0"/>
        <v>0</v>
      </c>
      <c r="O9" s="30" t="str">
        <f ca="1">IF($O$5&gt;=B9,"N/A",SUM(INDIRECT(ADDRESS(6+(MATCH($O$5,$B$6:$B$59,0)),13)):M9))</f>
        <v>N/A</v>
      </c>
      <c r="P9" s="175" t="str">
        <f t="shared" si="19"/>
        <v/>
      </c>
      <c r="Q9" s="175" t="str">
        <f t="shared" si="20"/>
        <v/>
      </c>
      <c r="R9" s="175" t="str">
        <f t="shared" si="21"/>
        <v/>
      </c>
      <c r="S9" s="70" t="str">
        <f t="shared" si="22"/>
        <v>NOON</v>
      </c>
      <c r="T9" s="241">
        <f t="shared" si="23"/>
        <v>42202.5</v>
      </c>
      <c r="U9" s="157">
        <f t="shared" si="1"/>
        <v>0.2</v>
      </c>
      <c r="V9" s="158">
        <f t="shared" si="2"/>
        <v>1.6</v>
      </c>
      <c r="W9" s="158">
        <f t="shared" si="3"/>
        <v>1.4</v>
      </c>
      <c r="X9" s="199">
        <f t="shared" si="4"/>
        <v>3.2</v>
      </c>
      <c r="Y9" s="159">
        <f t="shared" si="5"/>
        <v>1782</v>
      </c>
      <c r="Z9" s="181">
        <v>800</v>
      </c>
      <c r="AA9" s="148">
        <f t="shared" si="6"/>
        <v>0</v>
      </c>
      <c r="AB9" s="149">
        <f t="shared" si="7"/>
        <v>0</v>
      </c>
      <c r="AC9" s="149">
        <f t="shared" si="8"/>
        <v>0</v>
      </c>
      <c r="AD9" s="203">
        <f t="shared" si="9"/>
        <v>0</v>
      </c>
      <c r="AE9" s="150">
        <f t="shared" si="10"/>
        <v>126.00000000000054</v>
      </c>
      <c r="AF9" s="182"/>
      <c r="AG9" s="139">
        <f t="shared" si="11"/>
        <v>2</v>
      </c>
      <c r="AH9" s="140">
        <f t="shared" si="12"/>
        <v>0</v>
      </c>
      <c r="AI9" s="141">
        <f t="shared" si="13"/>
        <v>305</v>
      </c>
      <c r="AJ9" s="166">
        <f t="shared" si="14"/>
        <v>36119</v>
      </c>
      <c r="AK9" s="167">
        <f t="shared" si="14"/>
        <v>17000</v>
      </c>
      <c r="AL9" s="168">
        <f t="shared" si="15"/>
        <v>5700</v>
      </c>
      <c r="AM9" s="237" t="e">
        <f t="shared" si="24"/>
        <v>#VALUE!</v>
      </c>
      <c r="AN9" s="70" t="str">
        <f t="shared" si="25"/>
        <v>NOON</v>
      </c>
      <c r="AO9" s="241">
        <f t="shared" si="26"/>
        <v>42202.5</v>
      </c>
      <c r="AP9" s="441"/>
      <c r="AQ9" s="98"/>
      <c r="AR9" s="99" t="s">
        <v>39</v>
      </c>
      <c r="AS9" s="99" t="s">
        <v>39</v>
      </c>
      <c r="AT9" s="100" t="s">
        <v>39</v>
      </c>
      <c r="AU9" s="101" t="s">
        <v>39</v>
      </c>
      <c r="AV9" s="100" t="s">
        <v>39</v>
      </c>
      <c r="AW9" s="101" t="s">
        <v>39</v>
      </c>
      <c r="AX9" s="101" t="s">
        <v>39</v>
      </c>
      <c r="AY9" s="99" t="s">
        <v>39</v>
      </c>
      <c r="AZ9" s="102"/>
      <c r="BA9" s="102"/>
      <c r="BB9" s="105">
        <v>-18.676000000000002</v>
      </c>
      <c r="BC9" s="104">
        <v>0.2</v>
      </c>
      <c r="BD9" s="98">
        <v>0</v>
      </c>
      <c r="BE9" s="105">
        <v>20.276800000000001</v>
      </c>
      <c r="BF9" s="104">
        <v>1.6</v>
      </c>
      <c r="BG9" s="106">
        <v>0</v>
      </c>
      <c r="BH9" s="104">
        <v>0</v>
      </c>
      <c r="BI9" s="98">
        <v>0</v>
      </c>
      <c r="BJ9" s="105">
        <v>1.4329000000000001</v>
      </c>
      <c r="BK9" s="104">
        <v>1.4</v>
      </c>
      <c r="BL9" s="104">
        <v>0</v>
      </c>
      <c r="BM9" s="107"/>
      <c r="BN9" s="108">
        <v>3.2</v>
      </c>
      <c r="BO9" s="108">
        <v>0</v>
      </c>
      <c r="BP9" s="109">
        <v>0</v>
      </c>
      <c r="BQ9" s="110"/>
      <c r="BR9" s="108">
        <v>1782</v>
      </c>
      <c r="BS9" s="109">
        <v>0</v>
      </c>
      <c r="BT9" s="109">
        <v>126.00000000000054</v>
      </c>
      <c r="BU9" s="107"/>
      <c r="BV9" s="111">
        <v>0</v>
      </c>
      <c r="BW9" s="98">
        <v>0</v>
      </c>
      <c r="BX9" s="113"/>
      <c r="BY9" s="113">
        <v>150</v>
      </c>
      <c r="BZ9" s="114">
        <v>150</v>
      </c>
      <c r="CA9" s="114">
        <v>70</v>
      </c>
      <c r="CB9" s="114">
        <v>85</v>
      </c>
      <c r="CC9" s="99">
        <v>305</v>
      </c>
      <c r="CD9" s="111">
        <v>2</v>
      </c>
      <c r="CE9" s="116">
        <v>2</v>
      </c>
      <c r="CF9" s="117">
        <v>0</v>
      </c>
      <c r="CG9" s="118" t="s">
        <v>39</v>
      </c>
      <c r="CH9" s="117">
        <v>0</v>
      </c>
      <c r="CI9" s="118" t="s">
        <v>39</v>
      </c>
      <c r="CJ9" s="117">
        <v>0</v>
      </c>
      <c r="CK9" s="118" t="s">
        <v>39</v>
      </c>
      <c r="CL9" s="119"/>
      <c r="CM9" s="122">
        <v>0</v>
      </c>
      <c r="CN9" s="121">
        <v>0</v>
      </c>
      <c r="CO9" s="120">
        <v>0</v>
      </c>
      <c r="CP9" s="121">
        <v>36119</v>
      </c>
      <c r="CQ9" s="121">
        <v>17000</v>
      </c>
      <c r="CR9" s="100"/>
      <c r="CS9" s="121">
        <v>5700</v>
      </c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9</v>
      </c>
      <c r="B10" s="442">
        <v>42202.879166666666</v>
      </c>
      <c r="C10" s="443"/>
      <c r="D10" s="84"/>
      <c r="E10" s="23"/>
      <c r="F10" s="15">
        <v>3</v>
      </c>
      <c r="G10" s="213"/>
      <c r="H10" s="27">
        <f t="shared" si="16"/>
        <v>0</v>
      </c>
      <c r="I10" s="216" t="str">
        <f t="shared" si="17"/>
        <v/>
      </c>
      <c r="J10" s="29" t="str">
        <f ca="1">IF($J$5&gt;=B10,"N/A",SUM(INDIRECT(ADDRESS(6+(MATCH($J$5,$B$6:$B$59,0)),8)):H10))</f>
        <v>N/A</v>
      </c>
      <c r="K10" s="10">
        <v>3714.9</v>
      </c>
      <c r="L10" s="88"/>
      <c r="M10" s="4">
        <f t="shared" si="18"/>
        <v>0</v>
      </c>
      <c r="N10" s="220" t="str">
        <f t="shared" si="0"/>
        <v/>
      </c>
      <c r="O10" s="30" t="str">
        <f ca="1">IF($O$5&gt;=B10,"N/A",SUM(INDIRECT(ADDRESS(6+(MATCH($O$5,$B$6:$B$59,0)),13)):M10))</f>
        <v>N/A</v>
      </c>
      <c r="P10" s="175" t="str">
        <f t="shared" si="19"/>
        <v/>
      </c>
      <c r="Q10" s="175" t="str">
        <f t="shared" si="20"/>
        <v/>
      </c>
      <c r="R10" s="175" t="str">
        <f t="shared" si="21"/>
        <v/>
      </c>
      <c r="S10" s="70" t="str">
        <f t="shared" si="22"/>
        <v>SBE</v>
      </c>
      <c r="T10" s="241">
        <f t="shared" si="23"/>
        <v>42202.879166666666</v>
      </c>
      <c r="U10" s="157">
        <f t="shared" si="1"/>
        <v>0</v>
      </c>
      <c r="V10" s="158">
        <f t="shared" si="2"/>
        <v>1</v>
      </c>
      <c r="W10" s="158">
        <f t="shared" si="3"/>
        <v>1.2</v>
      </c>
      <c r="X10" s="199">
        <f t="shared" si="4"/>
        <v>2.2000000000000002</v>
      </c>
      <c r="Y10" s="159">
        <f t="shared" si="5"/>
        <v>1779.8</v>
      </c>
      <c r="Z10" s="181"/>
      <c r="AA10" s="148">
        <f t="shared" si="6"/>
        <v>0</v>
      </c>
      <c r="AB10" s="149">
        <f t="shared" si="7"/>
        <v>0</v>
      </c>
      <c r="AC10" s="149">
        <f t="shared" si="8"/>
        <v>0</v>
      </c>
      <c r="AD10" s="203">
        <f t="shared" si="9"/>
        <v>0</v>
      </c>
      <c r="AE10" s="150">
        <f t="shared" si="10"/>
        <v>476</v>
      </c>
      <c r="AF10" s="182">
        <v>350</v>
      </c>
      <c r="AG10" s="139">
        <f t="shared" si="11"/>
        <v>5</v>
      </c>
      <c r="AH10" s="140">
        <f t="shared" si="12"/>
        <v>0</v>
      </c>
      <c r="AI10" s="141">
        <f t="shared" si="13"/>
        <v>300</v>
      </c>
      <c r="AJ10" s="166">
        <f t="shared" si="14"/>
        <v>36119</v>
      </c>
      <c r="AK10" s="167">
        <f t="shared" si="14"/>
        <v>17000</v>
      </c>
      <c r="AL10" s="168">
        <f t="shared" si="15"/>
        <v>5700</v>
      </c>
      <c r="AM10" s="237" t="e">
        <f t="shared" si="24"/>
        <v>#VALUE!</v>
      </c>
      <c r="AN10" s="70" t="str">
        <f t="shared" si="25"/>
        <v>SBE</v>
      </c>
      <c r="AO10" s="241">
        <f t="shared" si="26"/>
        <v>42202.879166666666</v>
      </c>
      <c r="AP10" s="441"/>
      <c r="AQ10" s="98"/>
      <c r="AR10" s="99" t="s">
        <v>39</v>
      </c>
      <c r="AS10" s="99" t="s">
        <v>39</v>
      </c>
      <c r="AT10" s="100" t="s">
        <v>39</v>
      </c>
      <c r="AU10" s="101" t="s">
        <v>39</v>
      </c>
      <c r="AV10" s="100" t="s">
        <v>39</v>
      </c>
      <c r="AW10" s="101" t="s">
        <v>39</v>
      </c>
      <c r="AX10" s="101" t="s">
        <v>39</v>
      </c>
      <c r="AY10" s="99" t="s">
        <v>39</v>
      </c>
      <c r="AZ10" s="102"/>
      <c r="BA10" s="102"/>
      <c r="BB10" s="103">
        <v>17.995200000000001</v>
      </c>
      <c r="BC10" s="104">
        <v>0</v>
      </c>
      <c r="BD10" s="98">
        <v>0</v>
      </c>
      <c r="BE10" s="105">
        <v>-17.029199999999999</v>
      </c>
      <c r="BF10" s="104">
        <v>1</v>
      </c>
      <c r="BG10" s="115">
        <v>0</v>
      </c>
      <c r="BH10" s="104">
        <v>0</v>
      </c>
      <c r="BI10" s="98">
        <v>0</v>
      </c>
      <c r="BJ10" s="105">
        <v>1.1925999999999999</v>
      </c>
      <c r="BK10" s="104">
        <v>1.2</v>
      </c>
      <c r="BL10" s="104">
        <v>0</v>
      </c>
      <c r="BM10" s="107"/>
      <c r="BN10" s="108">
        <v>2.2000000000000002</v>
      </c>
      <c r="BO10" s="108">
        <v>0</v>
      </c>
      <c r="BP10" s="109">
        <v>0</v>
      </c>
      <c r="BQ10" s="110"/>
      <c r="BR10" s="108">
        <v>1779.8</v>
      </c>
      <c r="BS10" s="109">
        <v>0</v>
      </c>
      <c r="BT10" s="109">
        <v>476</v>
      </c>
      <c r="BU10" s="107"/>
      <c r="BV10" s="111">
        <v>0</v>
      </c>
      <c r="BW10" s="98">
        <v>0</v>
      </c>
      <c r="BX10" s="113"/>
      <c r="BY10" s="113">
        <v>145</v>
      </c>
      <c r="BZ10" s="114">
        <v>145</v>
      </c>
      <c r="CA10" s="114">
        <v>70</v>
      </c>
      <c r="CB10" s="114">
        <v>85</v>
      </c>
      <c r="CC10" s="99">
        <v>300</v>
      </c>
      <c r="CD10" s="115">
        <v>5</v>
      </c>
      <c r="CE10" s="116">
        <v>5</v>
      </c>
      <c r="CF10" s="117">
        <v>0</v>
      </c>
      <c r="CG10" s="118" t="s">
        <v>39</v>
      </c>
      <c r="CH10" s="117">
        <v>0</v>
      </c>
      <c r="CI10" s="118" t="s">
        <v>39</v>
      </c>
      <c r="CJ10" s="117">
        <v>0</v>
      </c>
      <c r="CK10" s="118" t="s">
        <v>39</v>
      </c>
      <c r="CL10" s="119"/>
      <c r="CM10" s="120">
        <v>0</v>
      </c>
      <c r="CN10" s="121">
        <v>0</v>
      </c>
      <c r="CO10" s="120">
        <v>0</v>
      </c>
      <c r="CP10" s="121">
        <v>36119</v>
      </c>
      <c r="CQ10" s="121">
        <v>17000</v>
      </c>
      <c r="CR10" s="100"/>
      <c r="CS10" s="121">
        <v>5700</v>
      </c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27</v>
      </c>
      <c r="B11" s="442">
        <v>42202.916666666664</v>
      </c>
      <c r="C11" s="443"/>
      <c r="D11" s="84" t="s">
        <v>112</v>
      </c>
      <c r="E11" s="23">
        <v>0.9</v>
      </c>
      <c r="F11" s="15">
        <v>8.6</v>
      </c>
      <c r="G11" s="213"/>
      <c r="H11" s="27">
        <f t="shared" si="16"/>
        <v>5.6</v>
      </c>
      <c r="I11" s="216">
        <f t="shared" si="17"/>
        <v>6.2222222222222214</v>
      </c>
      <c r="J11" s="29" t="str">
        <f ca="1">IF($J$5&gt;=B11,"N/A",SUM(INDIRECT(ADDRESS(6+(MATCH($J$5,$B$6:$B$59,0)),8)):H11))</f>
        <v>N/A</v>
      </c>
      <c r="K11" s="10">
        <v>3749</v>
      </c>
      <c r="L11" s="88">
        <v>39.1</v>
      </c>
      <c r="M11" s="4">
        <f t="shared" si="18"/>
        <v>5.0000000000000924</v>
      </c>
      <c r="N11" s="220">
        <f t="shared" si="0"/>
        <v>5.5555555555556584</v>
      </c>
      <c r="O11" s="30" t="str">
        <f ca="1">IF($O$5&gt;=B11,"N/A",SUM(INDIRECT(ADDRESS(6+(MATCH($O$5,$B$6:$B$59,0)),13)):M11))</f>
        <v>N/A</v>
      </c>
      <c r="P11" s="175">
        <f t="shared" si="19"/>
        <v>58.4</v>
      </c>
      <c r="Q11" s="175">
        <f t="shared" si="20"/>
        <v>41.541957833021641</v>
      </c>
      <c r="R11" s="175">
        <f t="shared" si="21"/>
        <v>8.5531430999999998</v>
      </c>
      <c r="S11" s="70" t="str">
        <f t="shared" si="22"/>
        <v>BOSP</v>
      </c>
      <c r="T11" s="241">
        <f t="shared" si="23"/>
        <v>42202.916666666664</v>
      </c>
      <c r="U11" s="157">
        <f t="shared" si="1"/>
        <v>0.8</v>
      </c>
      <c r="V11" s="158">
        <f t="shared" si="2"/>
        <v>0.2</v>
      </c>
      <c r="W11" s="158">
        <f t="shared" si="3"/>
        <v>0</v>
      </c>
      <c r="X11" s="199">
        <f t="shared" si="4"/>
        <v>1</v>
      </c>
      <c r="Y11" s="159">
        <f t="shared" si="5"/>
        <v>1778.8</v>
      </c>
      <c r="Z11" s="181"/>
      <c r="AA11" s="148">
        <f t="shared" si="6"/>
        <v>0</v>
      </c>
      <c r="AB11" s="149">
        <f t="shared" si="7"/>
        <v>0</v>
      </c>
      <c r="AC11" s="149">
        <f t="shared" si="8"/>
        <v>0</v>
      </c>
      <c r="AD11" s="203">
        <f t="shared" si="9"/>
        <v>0</v>
      </c>
      <c r="AE11" s="150">
        <f t="shared" si="10"/>
        <v>476</v>
      </c>
      <c r="AF11" s="182"/>
      <c r="AG11" s="139">
        <f t="shared" si="11"/>
        <v>0</v>
      </c>
      <c r="AH11" s="140">
        <f t="shared" si="12"/>
        <v>0</v>
      </c>
      <c r="AI11" s="141">
        <f t="shared" si="13"/>
        <v>300</v>
      </c>
      <c r="AJ11" s="166">
        <f t="shared" si="14"/>
        <v>36097</v>
      </c>
      <c r="AK11" s="167">
        <f t="shared" si="14"/>
        <v>16000</v>
      </c>
      <c r="AL11" s="168">
        <f t="shared" si="15"/>
        <v>5650</v>
      </c>
      <c r="AM11" s="237">
        <f t="shared" si="24"/>
        <v>0.52734698214285725</v>
      </c>
      <c r="AN11" s="70" t="str">
        <f t="shared" si="25"/>
        <v>BOSP</v>
      </c>
      <c r="AO11" s="241">
        <f t="shared" si="26"/>
        <v>42202.916666666664</v>
      </c>
      <c r="AP11" s="441"/>
      <c r="AQ11" s="98">
        <v>58.4</v>
      </c>
      <c r="AR11" s="99">
        <v>8.5531430999999998</v>
      </c>
      <c r="AS11" s="99">
        <v>9.5034923333333321</v>
      </c>
      <c r="AT11" s="100">
        <v>5</v>
      </c>
      <c r="AU11" s="101">
        <v>5.5555555555555554</v>
      </c>
      <c r="AV11" s="100">
        <v>5</v>
      </c>
      <c r="AW11" s="101">
        <v>5.5555555555555554</v>
      </c>
      <c r="AX11" s="101">
        <v>41.541957833021641</v>
      </c>
      <c r="AY11" s="99">
        <v>41.541957833021641</v>
      </c>
      <c r="AZ11" s="102"/>
      <c r="BA11" s="102"/>
      <c r="BB11" s="103">
        <v>0.77280000000000015</v>
      </c>
      <c r="BC11" s="104">
        <v>0.8</v>
      </c>
      <c r="BD11" s="98">
        <v>0</v>
      </c>
      <c r="BE11" s="105">
        <v>0.16559999999999991</v>
      </c>
      <c r="BF11" s="104">
        <v>0.2</v>
      </c>
      <c r="BG11" s="115">
        <v>0</v>
      </c>
      <c r="BH11" s="104">
        <v>0</v>
      </c>
      <c r="BI11" s="98">
        <v>0</v>
      </c>
      <c r="BJ11" s="105">
        <v>0</v>
      </c>
      <c r="BK11" s="104">
        <v>0</v>
      </c>
      <c r="BL11" s="104">
        <v>0</v>
      </c>
      <c r="BM11" s="107"/>
      <c r="BN11" s="108">
        <v>1</v>
      </c>
      <c r="BO11" s="108">
        <v>0</v>
      </c>
      <c r="BP11" s="109">
        <v>0</v>
      </c>
      <c r="BQ11" s="110"/>
      <c r="BR11" s="108">
        <v>1778.8</v>
      </c>
      <c r="BS11" s="109">
        <v>0</v>
      </c>
      <c r="BT11" s="109">
        <v>476</v>
      </c>
      <c r="BU11" s="107"/>
      <c r="BV11" s="111">
        <v>0</v>
      </c>
      <c r="BW11" s="98">
        <v>0</v>
      </c>
      <c r="BX11" s="113"/>
      <c r="BY11" s="113">
        <v>145</v>
      </c>
      <c r="BZ11" s="114">
        <v>145</v>
      </c>
      <c r="CA11" s="114">
        <v>70</v>
      </c>
      <c r="CB11" s="114">
        <v>85</v>
      </c>
      <c r="CC11" s="99">
        <v>300</v>
      </c>
      <c r="CD11" s="115">
        <v>0</v>
      </c>
      <c r="CE11" s="116">
        <v>0</v>
      </c>
      <c r="CF11" s="117">
        <v>0</v>
      </c>
      <c r="CG11" s="118" t="s">
        <v>39</v>
      </c>
      <c r="CH11" s="117">
        <v>0</v>
      </c>
      <c r="CI11" s="118" t="s">
        <v>39</v>
      </c>
      <c r="CJ11" s="117">
        <v>0</v>
      </c>
      <c r="CK11" s="118" t="s">
        <v>39</v>
      </c>
      <c r="CL11" s="119"/>
      <c r="CM11" s="120">
        <v>22</v>
      </c>
      <c r="CN11" s="121">
        <v>22</v>
      </c>
      <c r="CO11" s="120">
        <v>0</v>
      </c>
      <c r="CP11" s="121">
        <v>36097</v>
      </c>
      <c r="CQ11" s="121">
        <v>16000</v>
      </c>
      <c r="CR11" s="100"/>
      <c r="CS11" s="121">
        <v>5650</v>
      </c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11</v>
      </c>
      <c r="B12" s="442">
        <v>42203.5</v>
      </c>
      <c r="C12" s="443"/>
      <c r="D12" s="84" t="s">
        <v>113</v>
      </c>
      <c r="E12" s="23">
        <v>14</v>
      </c>
      <c r="F12" s="15">
        <v>177.7</v>
      </c>
      <c r="G12" s="213"/>
      <c r="H12" s="27">
        <f t="shared" si="16"/>
        <v>169.1</v>
      </c>
      <c r="I12" s="216">
        <f t="shared" si="17"/>
        <v>12.078571428571427</v>
      </c>
      <c r="J12" s="29" t="str">
        <f ca="1">IF($J$5&gt;=B12,"N/A",SUM(INDIRECT(ADDRESS(6+(MATCH($J$5,$B$6:$B$59,0)),8)):H12))</f>
        <v>N/A</v>
      </c>
      <c r="K12" s="10">
        <v>3578.5</v>
      </c>
      <c r="L12" s="88"/>
      <c r="M12" s="4">
        <f t="shared" si="18"/>
        <v>170.5</v>
      </c>
      <c r="N12" s="220">
        <f t="shared" si="0"/>
        <v>12.178571428571429</v>
      </c>
      <c r="O12" s="30" t="str">
        <f ca="1">IF($O$5&gt;=B12,"N/A",SUM(INDIRECT(ADDRESS(6+(MATCH($O$5,$B$6:$B$59,0)),13)):M12))</f>
        <v>N/A</v>
      </c>
      <c r="P12" s="175">
        <f t="shared" si="19"/>
        <v>80.099999999999994</v>
      </c>
      <c r="Q12" s="175">
        <f t="shared" si="20"/>
        <v>6.5654185868726751</v>
      </c>
      <c r="R12" s="175">
        <f t="shared" si="21"/>
        <v>182.48061630000001</v>
      </c>
      <c r="S12" s="70" t="str">
        <f t="shared" si="22"/>
        <v>NOON</v>
      </c>
      <c r="T12" s="241">
        <f t="shared" si="23"/>
        <v>42203.5</v>
      </c>
      <c r="U12" s="157">
        <f t="shared" si="1"/>
        <v>18</v>
      </c>
      <c r="V12" s="158">
        <f t="shared" si="2"/>
        <v>1.5</v>
      </c>
      <c r="W12" s="158">
        <f t="shared" si="3"/>
        <v>0</v>
      </c>
      <c r="X12" s="199">
        <f t="shared" si="4"/>
        <v>19.5</v>
      </c>
      <c r="Y12" s="159">
        <f t="shared" si="5"/>
        <v>1759.3</v>
      </c>
      <c r="Z12" s="181"/>
      <c r="AA12" s="148">
        <f t="shared" si="6"/>
        <v>0</v>
      </c>
      <c r="AB12" s="149">
        <f t="shared" si="7"/>
        <v>0</v>
      </c>
      <c r="AC12" s="149">
        <f t="shared" si="8"/>
        <v>0</v>
      </c>
      <c r="AD12" s="203">
        <f t="shared" si="9"/>
        <v>0</v>
      </c>
      <c r="AE12" s="150">
        <f t="shared" si="10"/>
        <v>476</v>
      </c>
      <c r="AF12" s="182"/>
      <c r="AG12" s="139">
        <f t="shared" si="11"/>
        <v>5</v>
      </c>
      <c r="AH12" s="140">
        <f t="shared" si="12"/>
        <v>15</v>
      </c>
      <c r="AI12" s="141">
        <f t="shared" si="13"/>
        <v>309</v>
      </c>
      <c r="AJ12" s="166">
        <f t="shared" si="14"/>
        <v>35919</v>
      </c>
      <c r="AK12" s="167">
        <f t="shared" si="14"/>
        <v>16000</v>
      </c>
      <c r="AL12" s="168">
        <f t="shared" si="15"/>
        <v>5650</v>
      </c>
      <c r="AM12" s="237">
        <f t="shared" si="24"/>
        <v>7.9128422826729827E-2</v>
      </c>
      <c r="AN12" s="70" t="str">
        <f t="shared" si="25"/>
        <v>NOON</v>
      </c>
      <c r="AO12" s="241">
        <f t="shared" si="26"/>
        <v>42203.5</v>
      </c>
      <c r="AP12" s="45" t="s">
        <v>40</v>
      </c>
      <c r="AQ12" s="98">
        <v>80.099999999999994</v>
      </c>
      <c r="AR12" s="99">
        <v>182.48061630000001</v>
      </c>
      <c r="AS12" s="99">
        <v>13.034329735714286</v>
      </c>
      <c r="AT12" s="100">
        <v>170.5</v>
      </c>
      <c r="AU12" s="101">
        <v>12.178571428571429</v>
      </c>
      <c r="AV12" s="100">
        <v>170.5</v>
      </c>
      <c r="AW12" s="101">
        <v>12.178571428571429</v>
      </c>
      <c r="AX12" s="101">
        <v>6.5654185868726751</v>
      </c>
      <c r="AY12" s="99">
        <v>6.5654185868726751</v>
      </c>
      <c r="AZ12" s="102"/>
      <c r="BA12" s="102"/>
      <c r="BB12" s="103">
        <v>17.7744</v>
      </c>
      <c r="BC12" s="104">
        <v>18</v>
      </c>
      <c r="BD12" s="98">
        <v>0</v>
      </c>
      <c r="BE12" s="105">
        <v>2.1343999999999999</v>
      </c>
      <c r="BF12" s="104">
        <v>1.5</v>
      </c>
      <c r="BG12" s="115">
        <v>0</v>
      </c>
      <c r="BH12" s="104">
        <v>0</v>
      </c>
      <c r="BI12" s="98">
        <v>0</v>
      </c>
      <c r="BJ12" s="105">
        <v>0</v>
      </c>
      <c r="BK12" s="104">
        <v>0</v>
      </c>
      <c r="BL12" s="104">
        <v>0</v>
      </c>
      <c r="BM12" s="107"/>
      <c r="BN12" s="108">
        <v>19.5</v>
      </c>
      <c r="BO12" s="108">
        <v>0</v>
      </c>
      <c r="BP12" s="109">
        <v>0</v>
      </c>
      <c r="BQ12" s="110"/>
      <c r="BR12" s="108">
        <v>1759.3</v>
      </c>
      <c r="BS12" s="109">
        <v>0</v>
      </c>
      <c r="BT12" s="109">
        <v>476</v>
      </c>
      <c r="BU12" s="107"/>
      <c r="BV12" s="111">
        <v>15</v>
      </c>
      <c r="BW12" s="98">
        <v>15</v>
      </c>
      <c r="BX12" s="113"/>
      <c r="BY12" s="113">
        <v>155</v>
      </c>
      <c r="BZ12" s="114">
        <v>155</v>
      </c>
      <c r="CA12" s="114">
        <v>70</v>
      </c>
      <c r="CB12" s="114">
        <v>84</v>
      </c>
      <c r="CC12" s="99">
        <v>309</v>
      </c>
      <c r="CD12" s="115">
        <v>6</v>
      </c>
      <c r="CE12" s="116">
        <v>5</v>
      </c>
      <c r="CF12" s="117">
        <v>0</v>
      </c>
      <c r="CG12" s="118" t="s">
        <v>39</v>
      </c>
      <c r="CH12" s="117">
        <v>0</v>
      </c>
      <c r="CI12" s="118" t="s">
        <v>39</v>
      </c>
      <c r="CJ12" s="117">
        <v>0</v>
      </c>
      <c r="CK12" s="118" t="s">
        <v>39</v>
      </c>
      <c r="CL12" s="119"/>
      <c r="CM12" s="120">
        <v>178</v>
      </c>
      <c r="CN12" s="121">
        <v>178</v>
      </c>
      <c r="CO12" s="120">
        <v>0</v>
      </c>
      <c r="CP12" s="121">
        <v>35919</v>
      </c>
      <c r="CQ12" s="121">
        <v>16000</v>
      </c>
      <c r="CR12" s="100"/>
      <c r="CS12" s="121">
        <v>5650</v>
      </c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11</v>
      </c>
      <c r="B13" s="442">
        <v>42204.5</v>
      </c>
      <c r="C13" s="443"/>
      <c r="D13" s="84" t="s">
        <v>114</v>
      </c>
      <c r="E13" s="23">
        <v>24</v>
      </c>
      <c r="F13" s="15">
        <v>471.4</v>
      </c>
      <c r="G13" s="213"/>
      <c r="H13" s="27">
        <f t="shared" si="16"/>
        <v>293.7</v>
      </c>
      <c r="I13" s="216">
        <f t="shared" si="17"/>
        <v>12.237499999999999</v>
      </c>
      <c r="J13" s="29" t="str">
        <f ca="1">IF($J$5&gt;=B13,"N/A",SUM(INDIRECT(ADDRESS(6+(MATCH($J$5,$B$6:$B$59,0)),8)):H13))</f>
        <v>N/A</v>
      </c>
      <c r="K13" s="10">
        <v>3278.2</v>
      </c>
      <c r="L13" s="88"/>
      <c r="M13" s="4">
        <f t="shared" si="18"/>
        <v>300.30000000000018</v>
      </c>
      <c r="N13" s="220">
        <f t="shared" si="0"/>
        <v>12.512500000000008</v>
      </c>
      <c r="O13" s="30" t="str">
        <f ca="1">IF($O$5&gt;=B13,"N/A",SUM(INDIRECT(ADDRESS(6+(MATCH($O$5,$B$6:$B$59,0)),13)):M13))</f>
        <v>N/A</v>
      </c>
      <c r="P13" s="175">
        <f t="shared" si="19"/>
        <v>81.099999999999994</v>
      </c>
      <c r="Q13" s="175">
        <f t="shared" si="20"/>
        <v>5.2164365501128955</v>
      </c>
      <c r="R13" s="175">
        <f t="shared" si="21"/>
        <v>316.82708380000003</v>
      </c>
      <c r="S13" s="70" t="str">
        <f t="shared" si="22"/>
        <v>NOON</v>
      </c>
      <c r="T13" s="241">
        <f t="shared" si="23"/>
        <v>42204.5</v>
      </c>
      <c r="U13" s="157">
        <f t="shared" si="1"/>
        <v>30.9</v>
      </c>
      <c r="V13" s="158">
        <f t="shared" si="2"/>
        <v>2.9</v>
      </c>
      <c r="W13" s="158">
        <f t="shared" si="3"/>
        <v>0</v>
      </c>
      <c r="X13" s="199">
        <f t="shared" si="4"/>
        <v>33.799999999999997</v>
      </c>
      <c r="Y13" s="159">
        <f t="shared" si="5"/>
        <v>1725.5</v>
      </c>
      <c r="Z13" s="181"/>
      <c r="AA13" s="148">
        <f t="shared" si="6"/>
        <v>0</v>
      </c>
      <c r="AB13" s="149">
        <f t="shared" si="7"/>
        <v>0</v>
      </c>
      <c r="AC13" s="149">
        <f t="shared" si="8"/>
        <v>0</v>
      </c>
      <c r="AD13" s="203">
        <f t="shared" si="9"/>
        <v>0</v>
      </c>
      <c r="AE13" s="150">
        <f t="shared" si="10"/>
        <v>476</v>
      </c>
      <c r="AF13" s="182"/>
      <c r="AG13" s="139">
        <f t="shared" si="11"/>
        <v>5</v>
      </c>
      <c r="AH13" s="140">
        <f t="shared" si="12"/>
        <v>15</v>
      </c>
      <c r="AI13" s="141">
        <f t="shared" si="13"/>
        <v>406</v>
      </c>
      <c r="AJ13" s="166">
        <f t="shared" si="14"/>
        <v>35600</v>
      </c>
      <c r="AK13" s="167">
        <f t="shared" si="14"/>
        <v>16000</v>
      </c>
      <c r="AL13" s="168">
        <f t="shared" si="15"/>
        <v>5600</v>
      </c>
      <c r="AM13" s="237">
        <f t="shared" si="24"/>
        <v>7.8743901259789029E-2</v>
      </c>
      <c r="AN13" s="70" t="str">
        <f t="shared" si="25"/>
        <v>NOON</v>
      </c>
      <c r="AO13" s="241">
        <f t="shared" si="26"/>
        <v>42204.5</v>
      </c>
      <c r="AP13" s="45" t="s">
        <v>40</v>
      </c>
      <c r="AQ13" s="98">
        <v>81.099999999999994</v>
      </c>
      <c r="AR13" s="99">
        <v>316.82708380000003</v>
      </c>
      <c r="AS13" s="99">
        <v>13.201128491666667</v>
      </c>
      <c r="AT13" s="100">
        <v>300.3</v>
      </c>
      <c r="AU13" s="101">
        <v>12.512500000000001</v>
      </c>
      <c r="AV13" s="100">
        <v>300.3</v>
      </c>
      <c r="AW13" s="101">
        <v>12.512500000000001</v>
      </c>
      <c r="AX13" s="101">
        <v>5.2164365501128955</v>
      </c>
      <c r="AY13" s="99">
        <v>5.2164365501128955</v>
      </c>
      <c r="AZ13" s="102"/>
      <c r="BA13" s="102"/>
      <c r="BB13" s="103">
        <v>31.592800000000004</v>
      </c>
      <c r="BC13" s="104">
        <v>30.9</v>
      </c>
      <c r="BD13" s="98">
        <v>0</v>
      </c>
      <c r="BE13" s="105">
        <v>3.7352000000000007</v>
      </c>
      <c r="BF13" s="104">
        <v>2.9</v>
      </c>
      <c r="BG13" s="115">
        <v>0</v>
      </c>
      <c r="BH13" s="104">
        <v>0</v>
      </c>
      <c r="BI13" s="98">
        <v>0</v>
      </c>
      <c r="BJ13" s="105">
        <v>0</v>
      </c>
      <c r="BK13" s="104">
        <v>0</v>
      </c>
      <c r="BL13" s="104">
        <v>0</v>
      </c>
      <c r="BM13" s="107"/>
      <c r="BN13" s="108">
        <v>33.799999999999997</v>
      </c>
      <c r="BO13" s="108">
        <v>0</v>
      </c>
      <c r="BP13" s="109">
        <v>0</v>
      </c>
      <c r="BQ13" s="110"/>
      <c r="BR13" s="108">
        <v>1725.5</v>
      </c>
      <c r="BS13" s="109">
        <v>0</v>
      </c>
      <c r="BT13" s="109">
        <v>476</v>
      </c>
      <c r="BU13" s="107"/>
      <c r="BV13" s="111">
        <v>24</v>
      </c>
      <c r="BW13" s="98">
        <v>15</v>
      </c>
      <c r="BX13" s="113"/>
      <c r="BY13" s="113">
        <v>240</v>
      </c>
      <c r="BZ13" s="114">
        <v>240</v>
      </c>
      <c r="CA13" s="114">
        <v>83</v>
      </c>
      <c r="CB13" s="114">
        <v>83</v>
      </c>
      <c r="CC13" s="99">
        <v>406</v>
      </c>
      <c r="CD13" s="115">
        <v>-82</v>
      </c>
      <c r="CE13" s="116">
        <v>5</v>
      </c>
      <c r="CF13" s="117">
        <v>0</v>
      </c>
      <c r="CG13" s="118" t="s">
        <v>39</v>
      </c>
      <c r="CH13" s="117">
        <v>0</v>
      </c>
      <c r="CI13" s="118" t="s">
        <v>39</v>
      </c>
      <c r="CJ13" s="117">
        <v>0</v>
      </c>
      <c r="CK13" s="118" t="s">
        <v>39</v>
      </c>
      <c r="CL13" s="119"/>
      <c r="CM13" s="120">
        <v>319</v>
      </c>
      <c r="CN13" s="121">
        <v>319</v>
      </c>
      <c r="CO13" s="120">
        <v>0</v>
      </c>
      <c r="CP13" s="121">
        <v>35600</v>
      </c>
      <c r="CQ13" s="121">
        <v>16000</v>
      </c>
      <c r="CR13" s="100"/>
      <c r="CS13" s="121">
        <v>5600</v>
      </c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11</v>
      </c>
      <c r="B14" s="442">
        <v>42205.5</v>
      </c>
      <c r="C14" s="443"/>
      <c r="D14" s="84" t="s">
        <v>115</v>
      </c>
      <c r="E14" s="23">
        <v>24</v>
      </c>
      <c r="F14" s="15">
        <v>764.3</v>
      </c>
      <c r="G14" s="213"/>
      <c r="H14" s="27">
        <f t="shared" si="16"/>
        <v>292.89999999999998</v>
      </c>
      <c r="I14" s="216">
        <f t="shared" si="17"/>
        <v>12.204166666666666</v>
      </c>
      <c r="J14" s="29" t="str">
        <f ca="1">IF($J$5&gt;=B14,"N/A",SUM(INDIRECT(ADDRESS(6+(MATCH($J$5,$B$6:$B$59,0)),8)):H14))</f>
        <v>N/A</v>
      </c>
      <c r="K14" s="10">
        <v>2980</v>
      </c>
      <c r="L14" s="88"/>
      <c r="M14" s="4">
        <f t="shared" si="18"/>
        <v>298.19999999999982</v>
      </c>
      <c r="N14" s="220">
        <f t="shared" si="0"/>
        <v>12.424999999999992</v>
      </c>
      <c r="O14" s="30" t="str">
        <f ca="1">IF($O$5&gt;=B14,"N/A",SUM(INDIRECT(ADDRESS(6+(MATCH($O$5,$B$6:$B$59,0)),13)):M14))</f>
        <v>N/A</v>
      </c>
      <c r="P14" s="175">
        <f t="shared" si="19"/>
        <v>81.099999999999994</v>
      </c>
      <c r="Q14" s="175">
        <f t="shared" si="20"/>
        <v>5.9259759127266065</v>
      </c>
      <c r="R14" s="175">
        <f t="shared" si="21"/>
        <v>316.98442040000003</v>
      </c>
      <c r="S14" s="70" t="str">
        <f t="shared" si="22"/>
        <v>NOON</v>
      </c>
      <c r="T14" s="241">
        <f t="shared" si="23"/>
        <v>42205.5</v>
      </c>
      <c r="U14" s="157">
        <f t="shared" si="1"/>
        <v>30.8</v>
      </c>
      <c r="V14" s="158">
        <f t="shared" si="2"/>
        <v>2.9</v>
      </c>
      <c r="W14" s="158">
        <f t="shared" si="3"/>
        <v>0</v>
      </c>
      <c r="X14" s="199">
        <f t="shared" si="4"/>
        <v>33.700000000000003</v>
      </c>
      <c r="Y14" s="159">
        <f t="shared" si="5"/>
        <v>1691.8</v>
      </c>
      <c r="Z14" s="181"/>
      <c r="AA14" s="148">
        <f t="shared" si="6"/>
        <v>0</v>
      </c>
      <c r="AB14" s="149">
        <f t="shared" si="7"/>
        <v>0</v>
      </c>
      <c r="AC14" s="149">
        <f t="shared" si="8"/>
        <v>0</v>
      </c>
      <c r="AD14" s="203">
        <f t="shared" si="9"/>
        <v>0</v>
      </c>
      <c r="AE14" s="150">
        <f t="shared" si="10"/>
        <v>476</v>
      </c>
      <c r="AF14" s="182"/>
      <c r="AG14" s="139">
        <f t="shared" si="11"/>
        <v>0</v>
      </c>
      <c r="AH14" s="140">
        <f t="shared" si="12"/>
        <v>12</v>
      </c>
      <c r="AI14" s="141">
        <f t="shared" si="13"/>
        <v>418</v>
      </c>
      <c r="AJ14" s="166">
        <f t="shared" si="14"/>
        <v>35287</v>
      </c>
      <c r="AK14" s="167">
        <f t="shared" si="14"/>
        <v>16000</v>
      </c>
      <c r="AL14" s="168">
        <f t="shared" si="15"/>
        <v>5550</v>
      </c>
      <c r="AM14" s="237">
        <f t="shared" si="24"/>
        <v>8.2227451007169883E-2</v>
      </c>
      <c r="AN14" s="70" t="str">
        <f t="shared" si="25"/>
        <v>NOON</v>
      </c>
      <c r="AO14" s="241">
        <f t="shared" si="26"/>
        <v>42205.5</v>
      </c>
      <c r="AP14" s="45" t="s">
        <v>40</v>
      </c>
      <c r="AQ14" s="98">
        <v>81.099999999999994</v>
      </c>
      <c r="AR14" s="99">
        <v>316.98442040000003</v>
      </c>
      <c r="AS14" s="99">
        <v>13.207684183333335</v>
      </c>
      <c r="AT14" s="100">
        <v>298.2</v>
      </c>
      <c r="AU14" s="101">
        <v>12.424999999999999</v>
      </c>
      <c r="AV14" s="100">
        <v>298.2</v>
      </c>
      <c r="AW14" s="101">
        <v>12.424999999999999</v>
      </c>
      <c r="AX14" s="101">
        <v>5.9259759127266065</v>
      </c>
      <c r="AY14" s="99">
        <v>5.9259759127266065</v>
      </c>
      <c r="AZ14" s="102"/>
      <c r="BA14" s="102"/>
      <c r="BB14" s="103">
        <v>31.749200000000005</v>
      </c>
      <c r="BC14" s="104">
        <v>30.8</v>
      </c>
      <c r="BD14" s="98">
        <v>0</v>
      </c>
      <c r="BE14" s="105">
        <v>3.496</v>
      </c>
      <c r="BF14" s="104">
        <v>2.9</v>
      </c>
      <c r="BG14" s="115">
        <v>0</v>
      </c>
      <c r="BH14" s="104">
        <v>0</v>
      </c>
      <c r="BI14" s="98">
        <v>0</v>
      </c>
      <c r="BJ14" s="105">
        <v>0</v>
      </c>
      <c r="BK14" s="104">
        <v>0</v>
      </c>
      <c r="BL14" s="104">
        <v>0</v>
      </c>
      <c r="BM14" s="107"/>
      <c r="BN14" s="108">
        <v>33.700000000000003</v>
      </c>
      <c r="BO14" s="108">
        <v>0</v>
      </c>
      <c r="BP14" s="109">
        <v>0</v>
      </c>
      <c r="BQ14" s="110"/>
      <c r="BR14" s="108">
        <v>1691.8</v>
      </c>
      <c r="BS14" s="109">
        <v>0</v>
      </c>
      <c r="BT14" s="109">
        <v>476</v>
      </c>
      <c r="BU14" s="107"/>
      <c r="BV14" s="111">
        <v>12</v>
      </c>
      <c r="BW14" s="98">
        <v>12</v>
      </c>
      <c r="BX14" s="113"/>
      <c r="BY14" s="113">
        <v>247</v>
      </c>
      <c r="BZ14" s="114">
        <v>247</v>
      </c>
      <c r="CA14" s="114">
        <v>88</v>
      </c>
      <c r="CB14" s="114">
        <v>83</v>
      </c>
      <c r="CC14" s="99">
        <v>418</v>
      </c>
      <c r="CD14" s="115">
        <v>0</v>
      </c>
      <c r="CE14" s="116">
        <v>0</v>
      </c>
      <c r="CF14" s="117">
        <v>0</v>
      </c>
      <c r="CG14" s="118" t="s">
        <v>39</v>
      </c>
      <c r="CH14" s="117">
        <v>0</v>
      </c>
      <c r="CI14" s="118" t="s">
        <v>39</v>
      </c>
      <c r="CJ14" s="117">
        <v>0</v>
      </c>
      <c r="CK14" s="118" t="s">
        <v>39</v>
      </c>
      <c r="CL14" s="119"/>
      <c r="CM14" s="120">
        <v>313</v>
      </c>
      <c r="CN14" s="121">
        <v>313</v>
      </c>
      <c r="CO14" s="120">
        <v>0</v>
      </c>
      <c r="CP14" s="121">
        <v>35287</v>
      </c>
      <c r="CQ14" s="121">
        <v>16000</v>
      </c>
      <c r="CR14" s="100"/>
      <c r="CS14" s="121">
        <v>5550</v>
      </c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11</v>
      </c>
      <c r="B15" s="442">
        <v>42206.5</v>
      </c>
      <c r="C15" s="453"/>
      <c r="D15" s="84" t="s">
        <v>116</v>
      </c>
      <c r="E15" s="23">
        <v>23</v>
      </c>
      <c r="F15" s="15">
        <v>1045.9000000000001</v>
      </c>
      <c r="G15" s="213"/>
      <c r="H15" s="27">
        <f t="shared" si="16"/>
        <v>281.60000000000014</v>
      </c>
      <c r="I15" s="216">
        <f t="shared" si="17"/>
        <v>12.243478260869571</v>
      </c>
      <c r="J15" s="29" t="str">
        <f ca="1">IF($J$5&gt;=B15,"N/A",SUM(INDIRECT(ADDRESS(6+(MATCH($J$5,$B$6:$B$59,0)),8)):H15))</f>
        <v>N/A</v>
      </c>
      <c r="K15" s="10">
        <v>2692.8</v>
      </c>
      <c r="L15" s="88"/>
      <c r="M15" s="4">
        <f t="shared" si="18"/>
        <v>287.19999999999982</v>
      </c>
      <c r="N15" s="220">
        <f t="shared" si="0"/>
        <v>12.486956521739122</v>
      </c>
      <c r="O15" s="30" t="str">
        <f ca="1">IF($O$5&gt;=B15,"N/A",SUM(INDIRECT(ADDRESS(6+(MATCH($O$5,$B$6:$B$59,0)),13)):M15))</f>
        <v>N/A</v>
      </c>
      <c r="P15" s="175">
        <f t="shared" si="19"/>
        <v>81.400000000000006</v>
      </c>
      <c r="Q15" s="175">
        <f t="shared" si="20"/>
        <v>5.7387256953417243</v>
      </c>
      <c r="R15" s="175">
        <f t="shared" si="21"/>
        <v>304.68503860000004</v>
      </c>
      <c r="S15" s="70" t="str">
        <f t="shared" si="22"/>
        <v>NOON</v>
      </c>
      <c r="T15" s="241">
        <f t="shared" si="23"/>
        <v>42206.5</v>
      </c>
      <c r="U15" s="157">
        <f t="shared" si="1"/>
        <v>29.7</v>
      </c>
      <c r="V15" s="158">
        <f t="shared" si="2"/>
        <v>2.8</v>
      </c>
      <c r="W15" s="158">
        <f t="shared" si="3"/>
        <v>0</v>
      </c>
      <c r="X15" s="199">
        <f t="shared" si="4"/>
        <v>32.5</v>
      </c>
      <c r="Y15" s="159">
        <f t="shared" si="5"/>
        <v>1659.3</v>
      </c>
      <c r="Z15" s="181"/>
      <c r="AA15" s="148">
        <f t="shared" si="6"/>
        <v>0</v>
      </c>
      <c r="AB15" s="149">
        <f t="shared" si="7"/>
        <v>0</v>
      </c>
      <c r="AC15" s="149">
        <f t="shared" si="8"/>
        <v>0</v>
      </c>
      <c r="AD15" s="203">
        <f t="shared" si="9"/>
        <v>0</v>
      </c>
      <c r="AE15" s="150">
        <f t="shared" si="10"/>
        <v>476</v>
      </c>
      <c r="AF15" s="182"/>
      <c r="AG15" s="139">
        <f t="shared" si="11"/>
        <v>13</v>
      </c>
      <c r="AH15" s="140">
        <f t="shared" si="12"/>
        <v>11</v>
      </c>
      <c r="AI15" s="141">
        <f t="shared" si="13"/>
        <v>416</v>
      </c>
      <c r="AJ15" s="166">
        <f t="shared" si="14"/>
        <v>34991</v>
      </c>
      <c r="AK15" s="167">
        <f t="shared" si="14"/>
        <v>15900</v>
      </c>
      <c r="AL15" s="168">
        <f t="shared" si="15"/>
        <v>5500</v>
      </c>
      <c r="AM15" s="237">
        <f t="shared" si="24"/>
        <v>8.1978120028408707E-2</v>
      </c>
      <c r="AN15" s="70" t="str">
        <f t="shared" si="25"/>
        <v>NOON</v>
      </c>
      <c r="AO15" s="241">
        <f t="shared" si="26"/>
        <v>42206.5</v>
      </c>
      <c r="AP15" s="45" t="s">
        <v>40</v>
      </c>
      <c r="AQ15" s="98">
        <v>81.400000000000006</v>
      </c>
      <c r="AR15" s="99">
        <v>304.68503860000004</v>
      </c>
      <c r="AS15" s="99">
        <v>13.24717559130435</v>
      </c>
      <c r="AT15" s="100">
        <v>287.2</v>
      </c>
      <c r="AU15" s="101">
        <v>12.486956521739129</v>
      </c>
      <c r="AV15" s="100">
        <v>287.2</v>
      </c>
      <c r="AW15" s="101">
        <v>12.486956521739129</v>
      </c>
      <c r="AX15" s="101">
        <v>5.7387256953417243</v>
      </c>
      <c r="AY15" s="99">
        <v>5.7387256953417243</v>
      </c>
      <c r="AZ15" s="102"/>
      <c r="BA15" s="102"/>
      <c r="BB15" s="103">
        <v>30.3324</v>
      </c>
      <c r="BC15" s="104">
        <v>29.7</v>
      </c>
      <c r="BD15" s="98">
        <v>0</v>
      </c>
      <c r="BE15" s="105">
        <v>3.532800000000003</v>
      </c>
      <c r="BF15" s="104">
        <v>2.8</v>
      </c>
      <c r="BG15" s="115">
        <v>0</v>
      </c>
      <c r="BH15" s="104">
        <v>0</v>
      </c>
      <c r="BI15" s="98">
        <v>0</v>
      </c>
      <c r="BJ15" s="105">
        <v>0</v>
      </c>
      <c r="BK15" s="104">
        <v>0</v>
      </c>
      <c r="BL15" s="104">
        <v>0</v>
      </c>
      <c r="BM15" s="107"/>
      <c r="BN15" s="108">
        <v>32.5</v>
      </c>
      <c r="BO15" s="108">
        <v>0</v>
      </c>
      <c r="BP15" s="109">
        <v>0</v>
      </c>
      <c r="BQ15" s="110"/>
      <c r="BR15" s="108">
        <v>1659.3</v>
      </c>
      <c r="BS15" s="109">
        <v>0</v>
      </c>
      <c r="BT15" s="109">
        <v>476</v>
      </c>
      <c r="BU15" s="107"/>
      <c r="BV15" s="111">
        <v>11</v>
      </c>
      <c r="BW15" s="98">
        <v>11</v>
      </c>
      <c r="BX15" s="113"/>
      <c r="BY15" s="113">
        <v>249</v>
      </c>
      <c r="BZ15" s="114">
        <v>249</v>
      </c>
      <c r="CA15" s="114">
        <v>84</v>
      </c>
      <c r="CB15" s="114">
        <v>83</v>
      </c>
      <c r="CC15" s="99">
        <v>416</v>
      </c>
      <c r="CD15" s="115">
        <v>13</v>
      </c>
      <c r="CE15" s="116">
        <v>13</v>
      </c>
      <c r="CF15" s="117">
        <v>0</v>
      </c>
      <c r="CG15" s="118" t="s">
        <v>39</v>
      </c>
      <c r="CH15" s="117">
        <v>0</v>
      </c>
      <c r="CI15" s="118" t="s">
        <v>39</v>
      </c>
      <c r="CJ15" s="117">
        <v>0</v>
      </c>
      <c r="CK15" s="118" t="s">
        <v>39</v>
      </c>
      <c r="CL15" s="119"/>
      <c r="CM15" s="120">
        <v>296</v>
      </c>
      <c r="CN15" s="121">
        <v>296</v>
      </c>
      <c r="CO15" s="120">
        <v>0</v>
      </c>
      <c r="CP15" s="121">
        <v>34991</v>
      </c>
      <c r="CQ15" s="121">
        <v>15900</v>
      </c>
      <c r="CR15" s="100"/>
      <c r="CS15" s="121">
        <v>5500</v>
      </c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11</v>
      </c>
      <c r="B16" s="442">
        <v>42207.5</v>
      </c>
      <c r="C16" s="453"/>
      <c r="D16" s="84" t="s">
        <v>117</v>
      </c>
      <c r="E16" s="23">
        <v>24</v>
      </c>
      <c r="F16" s="15">
        <v>1340</v>
      </c>
      <c r="G16" s="213"/>
      <c r="H16" s="27">
        <f t="shared" si="16"/>
        <v>294.09999999999991</v>
      </c>
      <c r="I16" s="216">
        <f t="shared" si="17"/>
        <v>12.254166666666663</v>
      </c>
      <c r="J16" s="29" t="str">
        <f ca="1">IF($J$5&gt;=B16,"N/A",SUM(INDIRECT(ADDRESS(6+(MATCH($J$5,$B$6:$B$59,0)),8)):H16))</f>
        <v>N/A</v>
      </c>
      <c r="K16" s="10">
        <v>2387.5</v>
      </c>
      <c r="L16" s="88"/>
      <c r="M16" s="4">
        <f t="shared" si="18"/>
        <v>305.30000000000018</v>
      </c>
      <c r="N16" s="220">
        <f t="shared" si="0"/>
        <v>12.72083333333334</v>
      </c>
      <c r="O16" s="30" t="str">
        <f ca="1">IF($O$5&gt;=B16,"N/A",SUM(INDIRECT(ADDRESS(6+(MATCH($O$5,$B$6:$B$59,0)),13)):M16))</f>
        <v>N/A</v>
      </c>
      <c r="P16" s="175">
        <f t="shared" si="19"/>
        <v>81.2</v>
      </c>
      <c r="Q16" s="175">
        <f t="shared" si="20"/>
        <v>3.7454268027214437</v>
      </c>
      <c r="R16" s="175">
        <f t="shared" si="21"/>
        <v>317.17973480000001</v>
      </c>
      <c r="S16" s="70" t="str">
        <f t="shared" si="22"/>
        <v>NOON</v>
      </c>
      <c r="T16" s="241">
        <f t="shared" si="23"/>
        <v>42207.5</v>
      </c>
      <c r="U16" s="157">
        <f t="shared" si="1"/>
        <v>30.9</v>
      </c>
      <c r="V16" s="158">
        <f t="shared" si="2"/>
        <v>3</v>
      </c>
      <c r="W16" s="158">
        <f t="shared" si="3"/>
        <v>0</v>
      </c>
      <c r="X16" s="199">
        <f t="shared" si="4"/>
        <v>33.9</v>
      </c>
      <c r="Y16" s="159">
        <f t="shared" si="5"/>
        <v>1625.3999999999999</v>
      </c>
      <c r="Z16" s="181"/>
      <c r="AA16" s="148">
        <f t="shared" si="6"/>
        <v>0</v>
      </c>
      <c r="AB16" s="149">
        <f t="shared" si="7"/>
        <v>0</v>
      </c>
      <c r="AC16" s="149">
        <f t="shared" si="8"/>
        <v>0</v>
      </c>
      <c r="AD16" s="203">
        <f t="shared" si="9"/>
        <v>0</v>
      </c>
      <c r="AE16" s="150">
        <f t="shared" si="10"/>
        <v>476</v>
      </c>
      <c r="AF16" s="182"/>
      <c r="AG16" s="139">
        <f t="shared" si="11"/>
        <v>6</v>
      </c>
      <c r="AH16" s="140">
        <f t="shared" si="12"/>
        <v>10</v>
      </c>
      <c r="AI16" s="141">
        <f t="shared" si="13"/>
        <v>418</v>
      </c>
      <c r="AJ16" s="166">
        <f t="shared" si="14"/>
        <v>34677</v>
      </c>
      <c r="AK16" s="167">
        <f t="shared" si="14"/>
        <v>15900</v>
      </c>
      <c r="AL16" s="168">
        <f t="shared" si="15"/>
        <v>5500</v>
      </c>
      <c r="AM16" s="237">
        <f t="shared" si="24"/>
        <v>7.8475806868412462E-2</v>
      </c>
      <c r="AN16" s="70" t="str">
        <f t="shared" si="25"/>
        <v>NOON</v>
      </c>
      <c r="AO16" s="241">
        <f t="shared" si="26"/>
        <v>42207.5</v>
      </c>
      <c r="AP16" s="45" t="s">
        <v>40</v>
      </c>
      <c r="AQ16" s="98">
        <v>81.2</v>
      </c>
      <c r="AR16" s="99">
        <v>317.17973480000001</v>
      </c>
      <c r="AS16" s="99">
        <v>13.215822283333333</v>
      </c>
      <c r="AT16" s="100">
        <v>305.3</v>
      </c>
      <c r="AU16" s="101">
        <v>12.720833333333333</v>
      </c>
      <c r="AV16" s="100">
        <v>305.3</v>
      </c>
      <c r="AW16" s="101">
        <v>12.720833333333333</v>
      </c>
      <c r="AX16" s="101">
        <v>3.7454268027214437</v>
      </c>
      <c r="AY16" s="99">
        <v>3.7454268027214437</v>
      </c>
      <c r="AZ16" s="102"/>
      <c r="BA16" s="102"/>
      <c r="BB16" s="103">
        <v>31.565199999999997</v>
      </c>
      <c r="BC16" s="104">
        <v>30.9</v>
      </c>
      <c r="BD16" s="98">
        <v>0</v>
      </c>
      <c r="BE16" s="105">
        <v>3.5144000000000015</v>
      </c>
      <c r="BF16" s="104">
        <v>3</v>
      </c>
      <c r="BG16" s="115">
        <v>0</v>
      </c>
      <c r="BH16" s="104">
        <v>0</v>
      </c>
      <c r="BI16" s="98">
        <v>0</v>
      </c>
      <c r="BJ16" s="105">
        <v>0</v>
      </c>
      <c r="BK16" s="104">
        <v>0</v>
      </c>
      <c r="BL16" s="104">
        <v>0</v>
      </c>
      <c r="BM16" s="107"/>
      <c r="BN16" s="108">
        <v>33.9</v>
      </c>
      <c r="BO16" s="108">
        <v>0</v>
      </c>
      <c r="BP16" s="109">
        <v>0</v>
      </c>
      <c r="BQ16" s="110"/>
      <c r="BR16" s="108">
        <v>1625.3999999999999</v>
      </c>
      <c r="BS16" s="109">
        <v>0</v>
      </c>
      <c r="BT16" s="109">
        <v>476</v>
      </c>
      <c r="BU16" s="107"/>
      <c r="BV16" s="111">
        <v>10</v>
      </c>
      <c r="BW16" s="98">
        <v>10</v>
      </c>
      <c r="BX16" s="113"/>
      <c r="BY16" s="113">
        <v>253</v>
      </c>
      <c r="BZ16" s="114">
        <v>253</v>
      </c>
      <c r="CA16" s="114">
        <v>83</v>
      </c>
      <c r="CB16" s="114">
        <v>82</v>
      </c>
      <c r="CC16" s="99">
        <v>418</v>
      </c>
      <c r="CD16" s="115">
        <v>8</v>
      </c>
      <c r="CE16" s="116">
        <v>6</v>
      </c>
      <c r="CF16" s="117">
        <v>0</v>
      </c>
      <c r="CG16" s="118" t="s">
        <v>39</v>
      </c>
      <c r="CH16" s="117">
        <v>0</v>
      </c>
      <c r="CI16" s="118" t="s">
        <v>39</v>
      </c>
      <c r="CJ16" s="117">
        <v>0</v>
      </c>
      <c r="CK16" s="118" t="s">
        <v>39</v>
      </c>
      <c r="CL16" s="119"/>
      <c r="CM16" s="120">
        <v>314</v>
      </c>
      <c r="CN16" s="121">
        <v>314</v>
      </c>
      <c r="CO16" s="120">
        <v>0</v>
      </c>
      <c r="CP16" s="121">
        <v>34677</v>
      </c>
      <c r="CQ16" s="121">
        <v>15900</v>
      </c>
      <c r="CR16" s="100"/>
      <c r="CS16" s="121">
        <v>5500</v>
      </c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11</v>
      </c>
      <c r="B17" s="442">
        <v>42208.5</v>
      </c>
      <c r="C17" s="453"/>
      <c r="D17" s="84" t="s">
        <v>118</v>
      </c>
      <c r="E17" s="23">
        <v>24</v>
      </c>
      <c r="F17" s="15">
        <v>1620</v>
      </c>
      <c r="G17" s="213"/>
      <c r="H17" s="27">
        <f t="shared" si="16"/>
        <v>280</v>
      </c>
      <c r="I17" s="216">
        <f t="shared" si="17"/>
        <v>11.666666666666666</v>
      </c>
      <c r="J17" s="29" t="str">
        <f ca="1">IF($J$5&gt;=B17,"N/A",SUM(INDIRECT(ADDRESS(6+(MATCH($J$5,$B$6:$B$59,0)),8)):H17))</f>
        <v>N/A</v>
      </c>
      <c r="K17" s="10">
        <f>2080.7+33</f>
        <v>2113.6999999999998</v>
      </c>
      <c r="L17" s="88">
        <v>6</v>
      </c>
      <c r="M17" s="4">
        <f t="shared" si="18"/>
        <v>279.80000000000018</v>
      </c>
      <c r="N17" s="220">
        <f t="shared" si="0"/>
        <v>11.65833333333334</v>
      </c>
      <c r="O17" s="30" t="str">
        <f ca="1">IF($O$5&gt;=B17,"N/A",SUM(INDIRECT(ADDRESS(6+(MATCH($O$5,$B$6:$B$59,0)),13)):M17))</f>
        <v>N/A</v>
      </c>
      <c r="P17" s="175">
        <f t="shared" si="19"/>
        <v>80.900000000000006</v>
      </c>
      <c r="Q17" s="175">
        <f t="shared" si="20"/>
        <v>11.441930943660351</v>
      </c>
      <c r="R17" s="175">
        <f t="shared" si="21"/>
        <v>315.95088170000002</v>
      </c>
      <c r="S17" s="70" t="str">
        <f t="shared" si="22"/>
        <v>NOON</v>
      </c>
      <c r="T17" s="241">
        <f t="shared" si="23"/>
        <v>42208.5</v>
      </c>
      <c r="U17" s="157">
        <f t="shared" si="1"/>
        <v>31.5</v>
      </c>
      <c r="V17" s="158">
        <f t="shared" si="2"/>
        <v>3.1</v>
      </c>
      <c r="W17" s="158">
        <f t="shared" si="3"/>
        <v>0</v>
      </c>
      <c r="X17" s="199">
        <f t="shared" si="4"/>
        <v>34.6</v>
      </c>
      <c r="Y17" s="159">
        <f t="shared" si="5"/>
        <v>1590.8</v>
      </c>
      <c r="Z17" s="181"/>
      <c r="AA17" s="148">
        <f t="shared" si="6"/>
        <v>0</v>
      </c>
      <c r="AB17" s="149">
        <f t="shared" si="7"/>
        <v>0</v>
      </c>
      <c r="AC17" s="149">
        <f t="shared" si="8"/>
        <v>0</v>
      </c>
      <c r="AD17" s="203">
        <f t="shared" si="9"/>
        <v>0</v>
      </c>
      <c r="AE17" s="150">
        <f t="shared" si="10"/>
        <v>476</v>
      </c>
      <c r="AF17" s="182"/>
      <c r="AG17" s="139">
        <f t="shared" si="11"/>
        <v>8</v>
      </c>
      <c r="AH17" s="140">
        <f t="shared" si="12"/>
        <v>10</v>
      </c>
      <c r="AI17" s="141">
        <f t="shared" si="13"/>
        <v>420</v>
      </c>
      <c r="AJ17" s="166">
        <f t="shared" si="14"/>
        <v>34362</v>
      </c>
      <c r="AK17" s="167">
        <f t="shared" si="14"/>
        <v>15800</v>
      </c>
      <c r="AL17" s="168">
        <f t="shared" si="15"/>
        <v>5450</v>
      </c>
      <c r="AM17" s="237">
        <f t="shared" si="24"/>
        <v>0.12839600607142865</v>
      </c>
      <c r="AN17" s="70" t="str">
        <f t="shared" si="25"/>
        <v>NOON</v>
      </c>
      <c r="AO17" s="241">
        <f t="shared" si="26"/>
        <v>42208.5</v>
      </c>
      <c r="AP17" s="45" t="s">
        <v>40</v>
      </c>
      <c r="AQ17" s="98">
        <v>80.900000000000006</v>
      </c>
      <c r="AR17" s="99">
        <v>315.95088170000002</v>
      </c>
      <c r="AS17" s="99">
        <v>13.164620070833335</v>
      </c>
      <c r="AT17" s="100">
        <v>279.8</v>
      </c>
      <c r="AU17" s="101">
        <v>11.658333333333333</v>
      </c>
      <c r="AV17" s="100">
        <v>279.8</v>
      </c>
      <c r="AW17" s="101">
        <v>11.658333333333333</v>
      </c>
      <c r="AX17" s="101">
        <v>11.441930943660351</v>
      </c>
      <c r="AY17" s="99">
        <v>11.441930943660351</v>
      </c>
      <c r="AZ17" s="102"/>
      <c r="BA17" s="102"/>
      <c r="BB17" s="103">
        <v>32.025200000000005</v>
      </c>
      <c r="BC17" s="104">
        <v>31.5</v>
      </c>
      <c r="BD17" s="98">
        <v>0</v>
      </c>
      <c r="BE17" s="105">
        <v>3.6339999999999999</v>
      </c>
      <c r="BF17" s="104">
        <v>3.1</v>
      </c>
      <c r="BG17" s="115">
        <v>0</v>
      </c>
      <c r="BH17" s="104">
        <v>0</v>
      </c>
      <c r="BI17" s="98">
        <v>0</v>
      </c>
      <c r="BJ17" s="105">
        <v>0.24030000000000001</v>
      </c>
      <c r="BK17" s="104">
        <v>0</v>
      </c>
      <c r="BL17" s="104">
        <v>0</v>
      </c>
      <c r="BM17" s="107"/>
      <c r="BN17" s="108">
        <v>34.6</v>
      </c>
      <c r="BO17" s="108">
        <v>0</v>
      </c>
      <c r="BP17" s="109">
        <v>0</v>
      </c>
      <c r="BQ17" s="110"/>
      <c r="BR17" s="108">
        <v>1590.8</v>
      </c>
      <c r="BS17" s="109">
        <v>0</v>
      </c>
      <c r="BT17" s="109">
        <v>476</v>
      </c>
      <c r="BU17" s="107"/>
      <c r="BV17" s="111">
        <v>9</v>
      </c>
      <c r="BW17" s="98">
        <v>10</v>
      </c>
      <c r="BX17" s="113"/>
      <c r="BY17" s="113">
        <v>255</v>
      </c>
      <c r="BZ17" s="114">
        <v>255</v>
      </c>
      <c r="CA17" s="114">
        <v>83</v>
      </c>
      <c r="CB17" s="114">
        <v>82</v>
      </c>
      <c r="CC17" s="99">
        <v>420</v>
      </c>
      <c r="CD17" s="115">
        <v>8</v>
      </c>
      <c r="CE17" s="116">
        <v>8</v>
      </c>
      <c r="CF17" s="117">
        <v>0</v>
      </c>
      <c r="CG17" s="118" t="s">
        <v>39</v>
      </c>
      <c r="CH17" s="117">
        <v>0</v>
      </c>
      <c r="CI17" s="118" t="s">
        <v>39</v>
      </c>
      <c r="CJ17" s="117">
        <v>0</v>
      </c>
      <c r="CK17" s="118" t="s">
        <v>39</v>
      </c>
      <c r="CL17" s="119"/>
      <c r="CM17" s="120">
        <v>315</v>
      </c>
      <c r="CN17" s="121">
        <v>315</v>
      </c>
      <c r="CO17" s="120">
        <v>0</v>
      </c>
      <c r="CP17" s="121">
        <v>34362</v>
      </c>
      <c r="CQ17" s="121">
        <v>15800</v>
      </c>
      <c r="CR17" s="100"/>
      <c r="CS17" s="121">
        <v>5450</v>
      </c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11</v>
      </c>
      <c r="B18" s="442">
        <v>42209.5</v>
      </c>
      <c r="C18" s="453"/>
      <c r="D18" s="84" t="s">
        <v>119</v>
      </c>
      <c r="E18" s="23">
        <v>23</v>
      </c>
      <c r="F18" s="15">
        <v>1886.1</v>
      </c>
      <c r="G18" s="213"/>
      <c r="H18" s="27">
        <f t="shared" si="16"/>
        <v>266.09999999999991</v>
      </c>
      <c r="I18" s="216">
        <f t="shared" si="17"/>
        <v>11.5695652173913</v>
      </c>
      <c r="J18" s="29" t="str">
        <f ca="1">IF($J$5&gt;=B18,"N/A",SUM(INDIRECT(ADDRESS(6+(MATCH($J$5,$B$6:$B$59,0)),8)):H18))</f>
        <v>N/A</v>
      </c>
      <c r="K18" s="10">
        <f>1804+28</f>
        <v>1832</v>
      </c>
      <c r="L18" s="88"/>
      <c r="M18" s="4">
        <f t="shared" si="18"/>
        <v>281.69999999999982</v>
      </c>
      <c r="N18" s="220">
        <f t="shared" si="0"/>
        <v>12.247826086956513</v>
      </c>
      <c r="O18" s="30" t="str">
        <f ca="1">IF($O$5&gt;=B18,"N/A",SUM(INDIRECT(ADDRESS(6+(MATCH($O$5,$B$6:$B$59,0)),13)):M18))</f>
        <v>N/A</v>
      </c>
      <c r="P18" s="175">
        <f t="shared" si="19"/>
        <v>81.099999999999994</v>
      </c>
      <c r="Q18" s="175">
        <f t="shared" si="20"/>
        <v>7.1669755618272655</v>
      </c>
      <c r="R18" s="175">
        <f t="shared" si="21"/>
        <v>303.44804740000001</v>
      </c>
      <c r="S18" s="70" t="str">
        <f t="shared" si="22"/>
        <v>NOON</v>
      </c>
      <c r="T18" s="241">
        <f t="shared" si="23"/>
        <v>42209.5</v>
      </c>
      <c r="U18" s="157">
        <f t="shared" si="1"/>
        <v>32.4</v>
      </c>
      <c r="V18" s="158">
        <f t="shared" si="2"/>
        <v>3</v>
      </c>
      <c r="W18" s="158">
        <f t="shared" si="3"/>
        <v>0</v>
      </c>
      <c r="X18" s="199">
        <f t="shared" si="4"/>
        <v>35.4</v>
      </c>
      <c r="Y18" s="159">
        <f t="shared" si="5"/>
        <v>1555.3999999999999</v>
      </c>
      <c r="Z18" s="181"/>
      <c r="AA18" s="148">
        <f t="shared" si="6"/>
        <v>0</v>
      </c>
      <c r="AB18" s="149">
        <f t="shared" si="7"/>
        <v>0</v>
      </c>
      <c r="AC18" s="149">
        <f t="shared" si="8"/>
        <v>0.2</v>
      </c>
      <c r="AD18" s="203">
        <f t="shared" si="9"/>
        <v>0.2</v>
      </c>
      <c r="AE18" s="150">
        <f t="shared" si="10"/>
        <v>475.8</v>
      </c>
      <c r="AF18" s="182"/>
      <c r="AG18" s="139">
        <f t="shared" si="11"/>
        <v>7</v>
      </c>
      <c r="AH18" s="140">
        <f t="shared" si="12"/>
        <v>7</v>
      </c>
      <c r="AI18" s="141">
        <f t="shared" si="13"/>
        <v>420</v>
      </c>
      <c r="AJ18" s="166">
        <f t="shared" si="14"/>
        <v>34057</v>
      </c>
      <c r="AK18" s="167">
        <f t="shared" si="14"/>
        <v>15800</v>
      </c>
      <c r="AL18" s="168">
        <f t="shared" si="15"/>
        <v>5450</v>
      </c>
      <c r="AM18" s="237">
        <f t="shared" si="24"/>
        <v>0.14035342878617102</v>
      </c>
      <c r="AN18" s="70" t="str">
        <f t="shared" si="25"/>
        <v>NOON</v>
      </c>
      <c r="AO18" s="241">
        <f t="shared" si="26"/>
        <v>42209.5</v>
      </c>
      <c r="AP18" s="45" t="s">
        <v>40</v>
      </c>
      <c r="AQ18" s="98">
        <v>81.099999999999994</v>
      </c>
      <c r="AR18" s="99">
        <v>303.44804740000001</v>
      </c>
      <c r="AS18" s="99">
        <v>13.193393365217391</v>
      </c>
      <c r="AT18" s="100">
        <v>281.7</v>
      </c>
      <c r="AU18" s="101">
        <v>12.247826086956522</v>
      </c>
      <c r="AV18" s="100">
        <v>281.7</v>
      </c>
      <c r="AW18" s="101">
        <v>12.247826086956522</v>
      </c>
      <c r="AX18" s="101">
        <v>7.1669755618272655</v>
      </c>
      <c r="AY18" s="99">
        <v>7.1669755618272655</v>
      </c>
      <c r="AZ18" s="102"/>
      <c r="BA18" s="102"/>
      <c r="BB18" s="103">
        <v>31.298400000000004</v>
      </c>
      <c r="BC18" s="104">
        <v>32.4</v>
      </c>
      <c r="BD18" s="98">
        <v>0</v>
      </c>
      <c r="BE18" s="105">
        <v>3.6708000000000029</v>
      </c>
      <c r="BF18" s="104">
        <v>3</v>
      </c>
      <c r="BG18" s="115">
        <v>0</v>
      </c>
      <c r="BH18" s="104">
        <v>0</v>
      </c>
      <c r="BI18" s="98">
        <v>0</v>
      </c>
      <c r="BJ18" s="105">
        <v>6.2300000000000001E-2</v>
      </c>
      <c r="BK18" s="104">
        <v>0</v>
      </c>
      <c r="BL18" s="104">
        <v>0.2</v>
      </c>
      <c r="BM18" s="107"/>
      <c r="BN18" s="108">
        <v>35.4</v>
      </c>
      <c r="BO18" s="108">
        <v>0</v>
      </c>
      <c r="BP18" s="109">
        <v>0.2</v>
      </c>
      <c r="BQ18" s="110"/>
      <c r="BR18" s="108">
        <v>1555.3999999999999</v>
      </c>
      <c r="BS18" s="109">
        <v>0</v>
      </c>
      <c r="BT18" s="109">
        <v>475.8</v>
      </c>
      <c r="BU18" s="107"/>
      <c r="BV18" s="111">
        <v>7</v>
      </c>
      <c r="BW18" s="98">
        <v>7</v>
      </c>
      <c r="BX18" s="113"/>
      <c r="BY18" s="113">
        <v>255</v>
      </c>
      <c r="BZ18" s="114">
        <v>255</v>
      </c>
      <c r="CA18" s="114">
        <v>83</v>
      </c>
      <c r="CB18" s="114">
        <v>82</v>
      </c>
      <c r="CC18" s="99">
        <v>420</v>
      </c>
      <c r="CD18" s="115">
        <v>7</v>
      </c>
      <c r="CE18" s="116">
        <v>7</v>
      </c>
      <c r="CF18" s="117">
        <v>0</v>
      </c>
      <c r="CG18" s="118" t="s">
        <v>39</v>
      </c>
      <c r="CH18" s="117">
        <v>0</v>
      </c>
      <c r="CI18" s="118" t="s">
        <v>39</v>
      </c>
      <c r="CJ18" s="117">
        <v>0</v>
      </c>
      <c r="CK18" s="118" t="s">
        <v>39</v>
      </c>
      <c r="CL18" s="119"/>
      <c r="CM18" s="120">
        <v>305</v>
      </c>
      <c r="CN18" s="121">
        <v>305</v>
      </c>
      <c r="CO18" s="120">
        <v>0</v>
      </c>
      <c r="CP18" s="121">
        <v>34057</v>
      </c>
      <c r="CQ18" s="121">
        <v>15800</v>
      </c>
      <c r="CR18" s="100"/>
      <c r="CS18" s="121">
        <v>5450</v>
      </c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11</v>
      </c>
      <c r="B19" s="442">
        <v>42209.500694444447</v>
      </c>
      <c r="C19" s="453"/>
      <c r="D19" s="84" t="s">
        <v>120</v>
      </c>
      <c r="E19" s="23">
        <v>24</v>
      </c>
      <c r="F19" s="15">
        <v>2158</v>
      </c>
      <c r="G19" s="213"/>
      <c r="H19" s="27">
        <f t="shared" si="16"/>
        <v>271.90000000000009</v>
      </c>
      <c r="I19" s="216">
        <f t="shared" si="17"/>
        <v>11.329166666666671</v>
      </c>
      <c r="J19" s="29" t="str">
        <f ca="1">IF($J$5&gt;=B19,"N/A",SUM(INDIRECT(ADDRESS(6+(MATCH($J$5,$B$6:$B$59,0)),8)):H19))</f>
        <v>N/A</v>
      </c>
      <c r="K19" s="10">
        <f>1504.9+28</f>
        <v>1532.9</v>
      </c>
      <c r="L19" s="88"/>
      <c r="M19" s="4">
        <f t="shared" si="18"/>
        <v>299.09999999999991</v>
      </c>
      <c r="N19" s="220">
        <f t="shared" si="0"/>
        <v>12.462499999999997</v>
      </c>
      <c r="O19" s="30" t="str">
        <f ca="1">IF($O$5&gt;=B19,"N/A",SUM(INDIRECT(ADDRESS(6+(MATCH($O$5,$B$6:$B$59,0)),13)):M19))</f>
        <v>N/A</v>
      </c>
      <c r="P19" s="175">
        <f t="shared" si="19"/>
        <v>82.6</v>
      </c>
      <c r="Q19" s="175">
        <f t="shared" si="20"/>
        <v>7.329676080874771</v>
      </c>
      <c r="R19" s="175">
        <f t="shared" si="21"/>
        <v>322.757046</v>
      </c>
      <c r="S19" s="70" t="str">
        <f t="shared" si="22"/>
        <v>NOON</v>
      </c>
      <c r="T19" s="241">
        <f t="shared" si="23"/>
        <v>42209.500694444447</v>
      </c>
      <c r="U19" s="157">
        <f t="shared" si="1"/>
        <v>37.9</v>
      </c>
      <c r="V19" s="158">
        <f t="shared" si="2"/>
        <v>3.2</v>
      </c>
      <c r="W19" s="158">
        <f t="shared" si="3"/>
        <v>1.8</v>
      </c>
      <c r="X19" s="199">
        <f t="shared" si="4"/>
        <v>42.9</v>
      </c>
      <c r="Y19" s="159">
        <f t="shared" si="5"/>
        <v>1512.4999999999998</v>
      </c>
      <c r="Z19" s="181"/>
      <c r="AA19" s="148">
        <f t="shared" si="6"/>
        <v>0</v>
      </c>
      <c r="AB19" s="149">
        <f t="shared" si="7"/>
        <v>0</v>
      </c>
      <c r="AC19" s="149">
        <f t="shared" si="8"/>
        <v>0</v>
      </c>
      <c r="AD19" s="203">
        <f t="shared" si="9"/>
        <v>0</v>
      </c>
      <c r="AE19" s="150">
        <f t="shared" si="10"/>
        <v>475.8</v>
      </c>
      <c r="AF19" s="182"/>
      <c r="AG19" s="139">
        <f t="shared" si="11"/>
        <v>8</v>
      </c>
      <c r="AH19" s="140">
        <f t="shared" si="12"/>
        <v>12</v>
      </c>
      <c r="AI19" s="141">
        <f t="shared" si="13"/>
        <v>424</v>
      </c>
      <c r="AJ19" s="166">
        <f t="shared" si="14"/>
        <v>33727</v>
      </c>
      <c r="AK19" s="167">
        <f t="shared" si="14"/>
        <v>15700</v>
      </c>
      <c r="AL19" s="168">
        <f t="shared" si="15"/>
        <v>5400</v>
      </c>
      <c r="AM19" s="237">
        <f t="shared" si="24"/>
        <v>0.18704319970577379</v>
      </c>
      <c r="AN19" s="70" t="str">
        <f t="shared" si="25"/>
        <v>NOON</v>
      </c>
      <c r="AO19" s="241">
        <f t="shared" si="26"/>
        <v>42209.500694444447</v>
      </c>
      <c r="AP19" s="45" t="s">
        <v>40</v>
      </c>
      <c r="AQ19" s="98">
        <v>82.6</v>
      </c>
      <c r="AR19" s="99">
        <v>322.757046</v>
      </c>
      <c r="AS19" s="99">
        <v>13.448210250000001</v>
      </c>
      <c r="AT19" s="100">
        <v>299.10000000000002</v>
      </c>
      <c r="AU19" s="101">
        <v>12.4625</v>
      </c>
      <c r="AV19" s="100">
        <v>299.10000000000002</v>
      </c>
      <c r="AW19" s="101">
        <v>12.4625</v>
      </c>
      <c r="AX19" s="101">
        <v>7.329676080874771</v>
      </c>
      <c r="AY19" s="99">
        <v>7.329676080874771</v>
      </c>
      <c r="AZ19" s="102"/>
      <c r="BA19" s="102"/>
      <c r="BB19" s="103">
        <v>38.167520000000003</v>
      </c>
      <c r="BC19" s="104">
        <v>37.9</v>
      </c>
      <c r="BD19" s="98">
        <v>0</v>
      </c>
      <c r="BE19" s="105">
        <v>4.1584000000000012</v>
      </c>
      <c r="BF19" s="104">
        <v>3.2</v>
      </c>
      <c r="BG19" s="115">
        <v>0</v>
      </c>
      <c r="BH19" s="104">
        <v>0</v>
      </c>
      <c r="BI19" s="98">
        <v>0</v>
      </c>
      <c r="BJ19" s="105">
        <v>1.8245</v>
      </c>
      <c r="BK19" s="104">
        <v>1.8</v>
      </c>
      <c r="BL19" s="104">
        <v>0</v>
      </c>
      <c r="BM19" s="107"/>
      <c r="BN19" s="108">
        <v>42.9</v>
      </c>
      <c r="BO19" s="108">
        <v>0</v>
      </c>
      <c r="BP19" s="109">
        <v>0</v>
      </c>
      <c r="BQ19" s="110"/>
      <c r="BR19" s="108">
        <v>1512.4999999999998</v>
      </c>
      <c r="BS19" s="109">
        <v>0</v>
      </c>
      <c r="BT19" s="109">
        <v>475.8</v>
      </c>
      <c r="BU19" s="107"/>
      <c r="BV19" s="111">
        <v>12</v>
      </c>
      <c r="BW19" s="98">
        <v>12</v>
      </c>
      <c r="BX19" s="113"/>
      <c r="BY19" s="113">
        <v>259</v>
      </c>
      <c r="BZ19" s="114">
        <v>259</v>
      </c>
      <c r="CA19" s="114">
        <v>83</v>
      </c>
      <c r="CB19" s="114">
        <v>82</v>
      </c>
      <c r="CC19" s="99">
        <v>424</v>
      </c>
      <c r="CD19" s="115">
        <v>8</v>
      </c>
      <c r="CE19" s="116">
        <v>8</v>
      </c>
      <c r="CF19" s="117">
        <v>0</v>
      </c>
      <c r="CG19" s="118" t="s">
        <v>39</v>
      </c>
      <c r="CH19" s="117">
        <v>0</v>
      </c>
      <c r="CI19" s="118" t="s">
        <v>39</v>
      </c>
      <c r="CJ19" s="117">
        <v>0</v>
      </c>
      <c r="CK19" s="118" t="s">
        <v>39</v>
      </c>
      <c r="CL19" s="119"/>
      <c r="CM19" s="120">
        <v>330</v>
      </c>
      <c r="CN19" s="121">
        <v>330</v>
      </c>
      <c r="CO19" s="120">
        <v>0</v>
      </c>
      <c r="CP19" s="121">
        <v>33727</v>
      </c>
      <c r="CQ19" s="121">
        <v>15700</v>
      </c>
      <c r="CR19" s="100"/>
      <c r="CS19" s="121">
        <v>5400</v>
      </c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11</v>
      </c>
      <c r="B20" s="442">
        <v>42210.5</v>
      </c>
      <c r="C20" s="453"/>
      <c r="D20" s="84" t="s">
        <v>121</v>
      </c>
      <c r="E20" s="23">
        <v>24</v>
      </c>
      <c r="F20" s="15">
        <v>2436</v>
      </c>
      <c r="G20" s="213"/>
      <c r="H20" s="27">
        <f t="shared" si="16"/>
        <v>278</v>
      </c>
      <c r="I20" s="216">
        <f t="shared" si="17"/>
        <v>11.583333333333334</v>
      </c>
      <c r="J20" s="29" t="str">
        <f ca="1">IF($J$5&gt;=B20,"N/A",SUM(INDIRECT(ADDRESS(6+(MATCH($J$5,$B$6:$B$59,0)),8)):H20))</f>
        <v>N/A</v>
      </c>
      <c r="K20" s="10">
        <f>1226.7+28</f>
        <v>1254.7</v>
      </c>
      <c r="L20" s="88"/>
      <c r="M20" s="4">
        <f t="shared" si="18"/>
        <v>278.20000000000005</v>
      </c>
      <c r="N20" s="220">
        <f t="shared" si="0"/>
        <v>11.591666666666669</v>
      </c>
      <c r="O20" s="30" t="str">
        <f ca="1">IF($O$5&gt;=B20,"N/A",SUM(INDIRECT(ADDRESS(6+(MATCH($O$5,$B$6:$B$59,0)),13)):M20))</f>
        <v>N/A</v>
      </c>
      <c r="P20" s="175">
        <f t="shared" si="19"/>
        <v>81.099999999999994</v>
      </c>
      <c r="Q20" s="175">
        <f t="shared" si="20"/>
        <v>12.237687434545892</v>
      </c>
      <c r="R20" s="175">
        <f t="shared" si="21"/>
        <v>316.99255850000003</v>
      </c>
      <c r="S20" s="70" t="str">
        <f t="shared" si="22"/>
        <v>NOON</v>
      </c>
      <c r="T20" s="241">
        <f t="shared" si="23"/>
        <v>42210.5</v>
      </c>
      <c r="U20" s="157">
        <f t="shared" si="1"/>
        <v>33.9</v>
      </c>
      <c r="V20" s="158">
        <f t="shared" si="2"/>
        <v>3</v>
      </c>
      <c r="W20" s="158">
        <f t="shared" si="3"/>
        <v>0</v>
      </c>
      <c r="X20" s="199">
        <f t="shared" si="4"/>
        <v>36.9</v>
      </c>
      <c r="Y20" s="159">
        <f t="shared" si="5"/>
        <v>1475.5999999999997</v>
      </c>
      <c r="Z20" s="181"/>
      <c r="AA20" s="148">
        <f t="shared" si="6"/>
        <v>0</v>
      </c>
      <c r="AB20" s="149">
        <f t="shared" si="7"/>
        <v>0</v>
      </c>
      <c r="AC20" s="149">
        <f t="shared" si="8"/>
        <v>0</v>
      </c>
      <c r="AD20" s="203">
        <f t="shared" si="9"/>
        <v>0</v>
      </c>
      <c r="AE20" s="150">
        <f t="shared" si="10"/>
        <v>475.8</v>
      </c>
      <c r="AF20" s="182"/>
      <c r="AG20" s="139">
        <f t="shared" si="11"/>
        <v>8</v>
      </c>
      <c r="AH20" s="140">
        <f t="shared" si="12"/>
        <v>10</v>
      </c>
      <c r="AI20" s="141">
        <f t="shared" si="13"/>
        <v>525</v>
      </c>
      <c r="AJ20" s="166">
        <f t="shared" si="14"/>
        <v>33400</v>
      </c>
      <c r="AK20" s="167">
        <f t="shared" si="14"/>
        <v>15600</v>
      </c>
      <c r="AL20" s="168">
        <f t="shared" si="15"/>
        <v>5350</v>
      </c>
      <c r="AM20" s="237">
        <f t="shared" si="24"/>
        <v>0.14026100179856127</v>
      </c>
      <c r="AN20" s="70" t="str">
        <f t="shared" si="25"/>
        <v>NOON</v>
      </c>
      <c r="AO20" s="241">
        <f t="shared" si="26"/>
        <v>42210.5</v>
      </c>
      <c r="AP20" s="45" t="s">
        <v>40</v>
      </c>
      <c r="AQ20" s="98">
        <v>81.099999999999994</v>
      </c>
      <c r="AR20" s="99">
        <v>316.99255850000003</v>
      </c>
      <c r="AS20" s="99">
        <v>13.208023270833335</v>
      </c>
      <c r="AT20" s="100">
        <v>278.2</v>
      </c>
      <c r="AU20" s="101">
        <v>11.591666666666667</v>
      </c>
      <c r="AV20" s="100">
        <v>278.2</v>
      </c>
      <c r="AW20" s="101">
        <v>11.591666666666667</v>
      </c>
      <c r="AX20" s="101">
        <v>12.237687434545892</v>
      </c>
      <c r="AY20" s="99">
        <v>12.237687434545892</v>
      </c>
      <c r="AZ20" s="102"/>
      <c r="BA20" s="102"/>
      <c r="BB20" s="103">
        <v>33.193600000000004</v>
      </c>
      <c r="BC20" s="104">
        <v>33.9</v>
      </c>
      <c r="BD20" s="98">
        <v>0</v>
      </c>
      <c r="BE20" s="105">
        <v>3.6616000000000022</v>
      </c>
      <c r="BF20" s="104">
        <v>3</v>
      </c>
      <c r="BG20" s="115">
        <v>0</v>
      </c>
      <c r="BH20" s="104">
        <v>0</v>
      </c>
      <c r="BI20" s="98">
        <v>0</v>
      </c>
      <c r="BJ20" s="105">
        <v>0</v>
      </c>
      <c r="BK20" s="104">
        <v>0</v>
      </c>
      <c r="BL20" s="104">
        <v>0</v>
      </c>
      <c r="BM20" s="107"/>
      <c r="BN20" s="108">
        <v>36.9</v>
      </c>
      <c r="BO20" s="108">
        <v>0</v>
      </c>
      <c r="BP20" s="109">
        <v>0</v>
      </c>
      <c r="BQ20" s="110"/>
      <c r="BR20" s="108">
        <v>1475.5999999999997</v>
      </c>
      <c r="BS20" s="109">
        <v>0</v>
      </c>
      <c r="BT20" s="109">
        <v>475.8</v>
      </c>
      <c r="BU20" s="107"/>
      <c r="BV20" s="111">
        <v>10</v>
      </c>
      <c r="BW20" s="98">
        <v>10</v>
      </c>
      <c r="BX20" s="113"/>
      <c r="BY20" s="113">
        <v>361</v>
      </c>
      <c r="BZ20" s="114">
        <v>261</v>
      </c>
      <c r="CA20" s="114">
        <v>82</v>
      </c>
      <c r="CB20" s="114">
        <v>82</v>
      </c>
      <c r="CC20" s="99">
        <v>525</v>
      </c>
      <c r="CD20" s="115">
        <v>-91</v>
      </c>
      <c r="CE20" s="116">
        <v>8</v>
      </c>
      <c r="CF20" s="117">
        <v>0</v>
      </c>
      <c r="CG20" s="118" t="s">
        <v>39</v>
      </c>
      <c r="CH20" s="117">
        <v>0</v>
      </c>
      <c r="CI20" s="118" t="s">
        <v>39</v>
      </c>
      <c r="CJ20" s="117">
        <v>0</v>
      </c>
      <c r="CK20" s="118" t="s">
        <v>39</v>
      </c>
      <c r="CL20" s="119"/>
      <c r="CM20" s="120">
        <v>327</v>
      </c>
      <c r="CN20" s="121">
        <v>327</v>
      </c>
      <c r="CO20" s="120">
        <v>0</v>
      </c>
      <c r="CP20" s="121">
        <v>33400</v>
      </c>
      <c r="CQ20" s="121">
        <v>15600</v>
      </c>
      <c r="CR20" s="100"/>
      <c r="CS20" s="121">
        <v>5350</v>
      </c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11</v>
      </c>
      <c r="B21" s="442">
        <v>42211.5</v>
      </c>
      <c r="C21" s="453"/>
      <c r="D21" s="84" t="s">
        <v>122</v>
      </c>
      <c r="E21" s="23">
        <v>23</v>
      </c>
      <c r="F21" s="15">
        <v>2695.6</v>
      </c>
      <c r="G21" s="213"/>
      <c r="H21" s="27">
        <f t="shared" si="16"/>
        <v>259.59999999999991</v>
      </c>
      <c r="I21" s="216">
        <f t="shared" si="17"/>
        <v>11.286956521739127</v>
      </c>
      <c r="J21" s="29" t="str">
        <f ca="1">IF($J$5&gt;=B21,"N/A",SUM(INDIRECT(ADDRESS(6+(MATCH($J$5,$B$6:$B$59,0)),8)):H21))</f>
        <v>N/A</v>
      </c>
      <c r="K21" s="10">
        <f>958.2+20</f>
        <v>978.2</v>
      </c>
      <c r="L21" s="88"/>
      <c r="M21" s="4">
        <f t="shared" si="18"/>
        <v>276.5</v>
      </c>
      <c r="N21" s="220">
        <f t="shared" si="0"/>
        <v>12.021739130434783</v>
      </c>
      <c r="O21" s="30" t="str">
        <f ca="1">IF($O$5&gt;=B21,"N/A",SUM(INDIRECT(ADDRESS(6+(MATCH($O$5,$B$6:$B$59,0)),13)):M21))</f>
        <v>N/A</v>
      </c>
      <c r="P21" s="175">
        <f t="shared" si="19"/>
        <v>78.3</v>
      </c>
      <c r="Q21" s="175">
        <f t="shared" si="20"/>
        <v>5.6746544098436367</v>
      </c>
      <c r="R21" s="175">
        <f t="shared" si="21"/>
        <v>293.13436200000001</v>
      </c>
      <c r="S21" s="70" t="str">
        <f t="shared" si="22"/>
        <v>NOON</v>
      </c>
      <c r="T21" s="241">
        <f t="shared" si="23"/>
        <v>42211.5</v>
      </c>
      <c r="U21" s="157">
        <f t="shared" si="1"/>
        <v>29.1</v>
      </c>
      <c r="V21" s="158">
        <f t="shared" si="2"/>
        <v>2.7</v>
      </c>
      <c r="W21" s="158">
        <f t="shared" si="3"/>
        <v>0</v>
      </c>
      <c r="X21" s="199">
        <f t="shared" si="4"/>
        <v>31.8</v>
      </c>
      <c r="Y21" s="159">
        <f t="shared" si="5"/>
        <v>1443.7999999999997</v>
      </c>
      <c r="Z21" s="181"/>
      <c r="AA21" s="148">
        <f t="shared" si="6"/>
        <v>0</v>
      </c>
      <c r="AB21" s="149">
        <f t="shared" si="7"/>
        <v>0</v>
      </c>
      <c r="AC21" s="149">
        <f t="shared" si="8"/>
        <v>0</v>
      </c>
      <c r="AD21" s="203">
        <f t="shared" si="9"/>
        <v>0</v>
      </c>
      <c r="AE21" s="150">
        <f t="shared" si="10"/>
        <v>475.8</v>
      </c>
      <c r="AF21" s="182"/>
      <c r="AG21" s="139">
        <f t="shared" si="11"/>
        <v>9</v>
      </c>
      <c r="AH21" s="140">
        <f t="shared" si="12"/>
        <v>10</v>
      </c>
      <c r="AI21" s="141">
        <f t="shared" si="13"/>
        <v>426</v>
      </c>
      <c r="AJ21" s="166">
        <f t="shared" si="14"/>
        <v>33098</v>
      </c>
      <c r="AK21" s="167">
        <f t="shared" si="14"/>
        <v>15600</v>
      </c>
      <c r="AL21" s="168">
        <f t="shared" si="15"/>
        <v>5350</v>
      </c>
      <c r="AM21" s="237">
        <f t="shared" ref="AM21:AM59" si="27">((R21-H21)/R21)</f>
        <v>0.11439928697270946</v>
      </c>
      <c r="AN21" s="70" t="str">
        <f t="shared" si="25"/>
        <v>NOON</v>
      </c>
      <c r="AO21" s="241">
        <f t="shared" si="26"/>
        <v>42211.5</v>
      </c>
      <c r="AP21" s="45" t="s">
        <v>40</v>
      </c>
      <c r="AQ21" s="98">
        <v>78.3</v>
      </c>
      <c r="AR21" s="99">
        <v>293.13436200000001</v>
      </c>
      <c r="AS21" s="99">
        <v>12.744972260869565</v>
      </c>
      <c r="AT21" s="100">
        <v>276.5</v>
      </c>
      <c r="AU21" s="101">
        <v>12.021739130434783</v>
      </c>
      <c r="AV21" s="100">
        <v>276.5</v>
      </c>
      <c r="AW21" s="101">
        <v>12.021739130434783</v>
      </c>
      <c r="AX21" s="101">
        <v>5.6746544098436367</v>
      </c>
      <c r="AY21" s="99">
        <v>5.6746544098436367</v>
      </c>
      <c r="AZ21" s="102"/>
      <c r="BA21" s="102"/>
      <c r="BB21" s="103">
        <v>120.08760000000001</v>
      </c>
      <c r="BC21" s="104">
        <v>29.1</v>
      </c>
      <c r="BD21" s="98">
        <v>0</v>
      </c>
      <c r="BE21" s="105">
        <v>-88.439600000000013</v>
      </c>
      <c r="BF21" s="104">
        <v>2.7</v>
      </c>
      <c r="BG21" s="115">
        <v>0</v>
      </c>
      <c r="BH21" s="104">
        <v>0</v>
      </c>
      <c r="BI21" s="98">
        <v>0</v>
      </c>
      <c r="BJ21" s="105">
        <v>0</v>
      </c>
      <c r="BK21" s="104">
        <v>0</v>
      </c>
      <c r="BL21" s="104">
        <v>0</v>
      </c>
      <c r="BM21" s="107"/>
      <c r="BN21" s="108">
        <v>31.8</v>
      </c>
      <c r="BO21" s="108">
        <v>0</v>
      </c>
      <c r="BP21" s="109">
        <v>0</v>
      </c>
      <c r="BQ21" s="110"/>
      <c r="BR21" s="108">
        <v>1443.7999999999997</v>
      </c>
      <c r="BS21" s="109">
        <v>0</v>
      </c>
      <c r="BT21" s="109">
        <v>475.8</v>
      </c>
      <c r="BU21" s="107"/>
      <c r="BV21" s="111">
        <v>10</v>
      </c>
      <c r="BW21" s="98">
        <v>10</v>
      </c>
      <c r="BX21" s="113"/>
      <c r="BY21" s="113">
        <v>264</v>
      </c>
      <c r="BZ21" s="114">
        <v>264</v>
      </c>
      <c r="CA21" s="114">
        <v>81</v>
      </c>
      <c r="CB21" s="114">
        <v>81</v>
      </c>
      <c r="CC21" s="99">
        <v>426</v>
      </c>
      <c r="CD21" s="115">
        <v>109</v>
      </c>
      <c r="CE21" s="116">
        <v>9</v>
      </c>
      <c r="CF21" s="117">
        <v>0</v>
      </c>
      <c r="CG21" s="118" t="s">
        <v>39</v>
      </c>
      <c r="CH21" s="117">
        <v>0</v>
      </c>
      <c r="CI21" s="118" t="s">
        <v>39</v>
      </c>
      <c r="CJ21" s="117">
        <v>0</v>
      </c>
      <c r="CK21" s="118" t="s">
        <v>39</v>
      </c>
      <c r="CL21" s="119"/>
      <c r="CM21" s="120">
        <v>302</v>
      </c>
      <c r="CN21" s="121">
        <v>302</v>
      </c>
      <c r="CO21" s="120">
        <v>0</v>
      </c>
      <c r="CP21" s="121">
        <v>33098</v>
      </c>
      <c r="CQ21" s="121">
        <v>15600</v>
      </c>
      <c r="CR21" s="100"/>
      <c r="CS21" s="121">
        <v>5350</v>
      </c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11</v>
      </c>
      <c r="B22" s="442">
        <v>42212.5</v>
      </c>
      <c r="C22" s="453"/>
      <c r="D22" s="84" t="s">
        <v>123</v>
      </c>
      <c r="E22" s="23">
        <v>24</v>
      </c>
      <c r="F22" s="15">
        <v>2960.5</v>
      </c>
      <c r="G22" s="213"/>
      <c r="H22" s="27">
        <f t="shared" si="16"/>
        <v>264.90000000000009</v>
      </c>
      <c r="I22" s="216">
        <f t="shared" si="17"/>
        <v>11.037500000000003</v>
      </c>
      <c r="J22" s="29" t="str">
        <f ca="1">IF($J$5&gt;=B22,"N/A",SUM(INDIRECT(ADDRESS(6+(MATCH($J$5,$B$6:$B$59,0)),8)):H22))</f>
        <v>N/A</v>
      </c>
      <c r="K22" s="10">
        <f>686.3+10</f>
        <v>696.3</v>
      </c>
      <c r="L22" s="88"/>
      <c r="M22" s="4">
        <f t="shared" si="18"/>
        <v>281.90000000000009</v>
      </c>
      <c r="N22" s="220">
        <f t="shared" si="0"/>
        <v>11.745833333333337</v>
      </c>
      <c r="O22" s="30" t="str">
        <f ca="1">IF($O$5&gt;=B22,"N/A",SUM(INDIRECT(ADDRESS(6+(MATCH($O$5,$B$6:$B$59,0)),13)):M22))</f>
        <v>N/A</v>
      </c>
      <c r="P22" s="175">
        <f t="shared" si="19"/>
        <v>76.5</v>
      </c>
      <c r="Q22" s="175">
        <f t="shared" si="20"/>
        <v>5.7094073370083214</v>
      </c>
      <c r="R22" s="175">
        <f t="shared" si="21"/>
        <v>298.96937970000005</v>
      </c>
      <c r="S22" s="70" t="str">
        <f t="shared" si="22"/>
        <v>NOON</v>
      </c>
      <c r="T22" s="241">
        <f t="shared" si="23"/>
        <v>42212.5</v>
      </c>
      <c r="U22" s="157">
        <f t="shared" si="1"/>
        <v>29.4</v>
      </c>
      <c r="V22" s="158">
        <f t="shared" si="2"/>
        <v>3</v>
      </c>
      <c r="W22" s="158">
        <f t="shared" si="3"/>
        <v>0</v>
      </c>
      <c r="X22" s="199">
        <f t="shared" si="4"/>
        <v>32.4</v>
      </c>
      <c r="Y22" s="159">
        <f t="shared" si="5"/>
        <v>1411.3999999999996</v>
      </c>
      <c r="Z22" s="181"/>
      <c r="AA22" s="148">
        <f t="shared" si="6"/>
        <v>0</v>
      </c>
      <c r="AB22" s="149">
        <f t="shared" si="7"/>
        <v>0</v>
      </c>
      <c r="AC22" s="149">
        <f t="shared" si="8"/>
        <v>0</v>
      </c>
      <c r="AD22" s="203">
        <f t="shared" si="9"/>
        <v>0</v>
      </c>
      <c r="AE22" s="150">
        <f t="shared" si="10"/>
        <v>475.8</v>
      </c>
      <c r="AF22" s="182"/>
      <c r="AG22" s="139">
        <f t="shared" si="11"/>
        <v>9</v>
      </c>
      <c r="AH22" s="140">
        <f t="shared" si="12"/>
        <v>11</v>
      </c>
      <c r="AI22" s="141">
        <f t="shared" si="13"/>
        <v>427</v>
      </c>
      <c r="AJ22" s="166">
        <f t="shared" si="14"/>
        <v>32791</v>
      </c>
      <c r="AK22" s="167">
        <f t="shared" si="14"/>
        <v>15500</v>
      </c>
      <c r="AL22" s="168">
        <f t="shared" si="15"/>
        <v>5300</v>
      </c>
      <c r="AM22" s="237">
        <f t="shared" si="27"/>
        <v>0.11395608384439496</v>
      </c>
      <c r="AN22" s="70" t="str">
        <f t="shared" si="25"/>
        <v>NOON</v>
      </c>
      <c r="AO22" s="241">
        <f t="shared" si="26"/>
        <v>42212.5</v>
      </c>
      <c r="AP22" s="45" t="s">
        <v>40</v>
      </c>
      <c r="AQ22" s="98">
        <v>76.5</v>
      </c>
      <c r="AR22" s="99">
        <v>298.96937970000005</v>
      </c>
      <c r="AS22" s="99">
        <v>12.457057487500002</v>
      </c>
      <c r="AT22" s="100">
        <v>281.89999999999998</v>
      </c>
      <c r="AU22" s="101">
        <v>11.745833333333332</v>
      </c>
      <c r="AV22" s="100">
        <v>281.89999999999998</v>
      </c>
      <c r="AW22" s="101">
        <v>11.745833333333332</v>
      </c>
      <c r="AX22" s="101">
        <v>5.7094073370083214</v>
      </c>
      <c r="AY22" s="99">
        <v>5.7094073370083214</v>
      </c>
      <c r="AZ22" s="102"/>
      <c r="BA22" s="102"/>
      <c r="BB22" s="103">
        <v>-63.066000000000003</v>
      </c>
      <c r="BC22" s="104">
        <v>29.4</v>
      </c>
      <c r="BD22" s="98">
        <v>0</v>
      </c>
      <c r="BE22" s="105">
        <v>95.735200000000006</v>
      </c>
      <c r="BF22" s="104">
        <v>3</v>
      </c>
      <c r="BG22" s="115">
        <v>0</v>
      </c>
      <c r="BH22" s="104">
        <v>0</v>
      </c>
      <c r="BI22" s="98">
        <v>0</v>
      </c>
      <c r="BJ22" s="105">
        <v>0</v>
      </c>
      <c r="BK22" s="104">
        <v>0</v>
      </c>
      <c r="BL22" s="104">
        <v>0</v>
      </c>
      <c r="BM22" s="107"/>
      <c r="BN22" s="108">
        <v>32.4</v>
      </c>
      <c r="BO22" s="108">
        <v>0</v>
      </c>
      <c r="BP22" s="109">
        <v>0</v>
      </c>
      <c r="BQ22" s="110"/>
      <c r="BR22" s="108">
        <v>1411.3999999999996</v>
      </c>
      <c r="BS22" s="109">
        <v>0</v>
      </c>
      <c r="BT22" s="109">
        <v>475.8</v>
      </c>
      <c r="BU22" s="107"/>
      <c r="BV22" s="111">
        <v>11</v>
      </c>
      <c r="BW22" s="98">
        <v>11</v>
      </c>
      <c r="BX22" s="113"/>
      <c r="BY22" s="113">
        <v>266</v>
      </c>
      <c r="BZ22" s="114">
        <v>266</v>
      </c>
      <c r="CA22" s="114">
        <v>80</v>
      </c>
      <c r="CB22" s="114">
        <v>81</v>
      </c>
      <c r="CC22" s="99">
        <v>427</v>
      </c>
      <c r="CD22" s="115">
        <v>10</v>
      </c>
      <c r="CE22" s="116">
        <v>9</v>
      </c>
      <c r="CF22" s="117">
        <v>0</v>
      </c>
      <c r="CG22" s="118" t="s">
        <v>39</v>
      </c>
      <c r="CH22" s="117">
        <v>0</v>
      </c>
      <c r="CI22" s="118" t="s">
        <v>39</v>
      </c>
      <c r="CJ22" s="117">
        <v>0</v>
      </c>
      <c r="CK22" s="118" t="s">
        <v>39</v>
      </c>
      <c r="CL22" s="119"/>
      <c r="CM22" s="120">
        <v>307</v>
      </c>
      <c r="CN22" s="121">
        <v>307</v>
      </c>
      <c r="CO22" s="120">
        <v>0</v>
      </c>
      <c r="CP22" s="121">
        <v>32791</v>
      </c>
      <c r="CQ22" s="121">
        <v>15500</v>
      </c>
      <c r="CR22" s="100"/>
      <c r="CS22" s="121">
        <v>5300</v>
      </c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 t="s">
        <v>11</v>
      </c>
      <c r="B23" s="442">
        <v>42213.5</v>
      </c>
      <c r="C23" s="453"/>
      <c r="D23" s="84" t="s">
        <v>124</v>
      </c>
      <c r="E23" s="23">
        <v>24</v>
      </c>
      <c r="F23" s="15">
        <v>3223.4</v>
      </c>
      <c r="G23" s="213"/>
      <c r="H23" s="27">
        <f t="shared" si="16"/>
        <v>262.90000000000009</v>
      </c>
      <c r="I23" s="216">
        <f t="shared" si="17"/>
        <v>10.954166666666671</v>
      </c>
      <c r="J23" s="29" t="str">
        <f ca="1">IF($J$5&gt;=B23,"N/A",SUM(INDIRECT(ADDRESS(6+(MATCH($J$5,$B$6:$B$59,0)),8)):H23))</f>
        <v>N/A</v>
      </c>
      <c r="K23" s="10">
        <f>418</f>
        <v>418</v>
      </c>
      <c r="L23" s="88"/>
      <c r="M23" s="4">
        <f t="shared" si="18"/>
        <v>278.29999999999995</v>
      </c>
      <c r="N23" s="220">
        <f t="shared" si="0"/>
        <v>11.595833333333331</v>
      </c>
      <c r="O23" s="30" t="str">
        <f ca="1">IF($O$5&gt;=B23,"N/A",SUM(INDIRECT(ADDRESS(6+(MATCH($O$5,$B$6:$B$59,0)),13)):M23))</f>
        <v>N/A</v>
      </c>
      <c r="P23" s="175">
        <f t="shared" si="19"/>
        <v>77.3</v>
      </c>
      <c r="Q23" s="175">
        <f t="shared" si="20"/>
        <v>7.830132884947127</v>
      </c>
      <c r="R23" s="175">
        <f t="shared" si="21"/>
        <v>301.94249890000003</v>
      </c>
      <c r="S23" s="70" t="str">
        <f t="shared" si="22"/>
        <v>NOON</v>
      </c>
      <c r="T23" s="241">
        <f t="shared" si="23"/>
        <v>42213.5</v>
      </c>
      <c r="U23" s="157">
        <f t="shared" si="1"/>
        <v>30.4</v>
      </c>
      <c r="V23" s="158">
        <f t="shared" si="2"/>
        <v>3</v>
      </c>
      <c r="W23" s="158">
        <f t="shared" si="3"/>
        <v>0</v>
      </c>
      <c r="X23" s="199">
        <f t="shared" si="4"/>
        <v>33.4</v>
      </c>
      <c r="Y23" s="159">
        <f t="shared" si="5"/>
        <v>1377.9999999999995</v>
      </c>
      <c r="Z23" s="181"/>
      <c r="AA23" s="148">
        <f t="shared" si="6"/>
        <v>0</v>
      </c>
      <c r="AB23" s="149">
        <f t="shared" si="7"/>
        <v>0</v>
      </c>
      <c r="AC23" s="149">
        <f t="shared" si="8"/>
        <v>0</v>
      </c>
      <c r="AD23" s="203">
        <f t="shared" si="9"/>
        <v>0</v>
      </c>
      <c r="AE23" s="150">
        <f t="shared" si="10"/>
        <v>475.8</v>
      </c>
      <c r="AF23" s="182"/>
      <c r="AG23" s="139">
        <f t="shared" si="11"/>
        <v>9</v>
      </c>
      <c r="AH23" s="140">
        <f t="shared" si="12"/>
        <v>13</v>
      </c>
      <c r="AI23" s="141">
        <f t="shared" si="13"/>
        <v>431</v>
      </c>
      <c r="AJ23" s="166">
        <f t="shared" si="14"/>
        <v>32479</v>
      </c>
      <c r="AK23" s="167">
        <f t="shared" si="14"/>
        <v>15400</v>
      </c>
      <c r="AL23" s="168">
        <f t="shared" si="15"/>
        <v>5250</v>
      </c>
      <c r="AM23" s="237">
        <f t="shared" si="27"/>
        <v>0.12930441737163464</v>
      </c>
      <c r="AN23" s="70" t="str">
        <f t="shared" si="25"/>
        <v>NOON</v>
      </c>
      <c r="AO23" s="241">
        <f t="shared" si="26"/>
        <v>42213.5</v>
      </c>
      <c r="AP23" s="45" t="s">
        <v>40</v>
      </c>
      <c r="AQ23" s="98">
        <v>77.3</v>
      </c>
      <c r="AR23" s="99">
        <v>301.94249890000003</v>
      </c>
      <c r="AS23" s="99">
        <v>12.580937454166667</v>
      </c>
      <c r="AT23" s="100">
        <v>278.3</v>
      </c>
      <c r="AU23" s="101">
        <v>11.595833333333333</v>
      </c>
      <c r="AV23" s="100">
        <v>278.3</v>
      </c>
      <c r="AW23" s="101">
        <v>11.595833333333333</v>
      </c>
      <c r="AX23" s="101">
        <v>7.830132884947127</v>
      </c>
      <c r="AY23" s="99">
        <v>7.830132884947127</v>
      </c>
      <c r="AZ23" s="102"/>
      <c r="BA23" s="102"/>
      <c r="BB23" s="103">
        <v>29.338800000000003</v>
      </c>
      <c r="BC23" s="104">
        <v>30.4</v>
      </c>
      <c r="BD23" s="98">
        <v>0</v>
      </c>
      <c r="BE23" s="105">
        <v>3.8456000000000023</v>
      </c>
      <c r="BF23" s="104">
        <v>3</v>
      </c>
      <c r="BG23" s="115">
        <v>0</v>
      </c>
      <c r="BH23" s="104">
        <v>0</v>
      </c>
      <c r="BI23" s="98">
        <v>0</v>
      </c>
      <c r="BJ23" s="105">
        <v>0</v>
      </c>
      <c r="BK23" s="104">
        <v>0</v>
      </c>
      <c r="BL23" s="104">
        <v>0</v>
      </c>
      <c r="BM23" s="107"/>
      <c r="BN23" s="108">
        <v>33.4</v>
      </c>
      <c r="BO23" s="108">
        <v>0</v>
      </c>
      <c r="BP23" s="109">
        <v>0</v>
      </c>
      <c r="BQ23" s="110"/>
      <c r="BR23" s="108">
        <v>1377.9999999999995</v>
      </c>
      <c r="BS23" s="109">
        <v>0</v>
      </c>
      <c r="BT23" s="109">
        <v>475.8</v>
      </c>
      <c r="BU23" s="107"/>
      <c r="BV23" s="111">
        <v>11</v>
      </c>
      <c r="BW23" s="98">
        <v>13</v>
      </c>
      <c r="BX23" s="113"/>
      <c r="BY23" s="113">
        <v>270</v>
      </c>
      <c r="BZ23" s="114">
        <v>270</v>
      </c>
      <c r="CA23" s="114">
        <v>80</v>
      </c>
      <c r="CB23" s="114">
        <v>81</v>
      </c>
      <c r="CC23" s="99">
        <v>431</v>
      </c>
      <c r="CD23" s="115">
        <v>9</v>
      </c>
      <c r="CE23" s="116">
        <v>9</v>
      </c>
      <c r="CF23" s="117">
        <v>0</v>
      </c>
      <c r="CG23" s="118" t="s">
        <v>39</v>
      </c>
      <c r="CH23" s="117">
        <v>0</v>
      </c>
      <c r="CI23" s="118" t="s">
        <v>39</v>
      </c>
      <c r="CJ23" s="117">
        <v>0</v>
      </c>
      <c r="CK23" s="118" t="s">
        <v>39</v>
      </c>
      <c r="CL23" s="119"/>
      <c r="CM23" s="120">
        <v>312</v>
      </c>
      <c r="CN23" s="121">
        <v>312</v>
      </c>
      <c r="CO23" s="120">
        <v>0</v>
      </c>
      <c r="CP23" s="121">
        <v>32479</v>
      </c>
      <c r="CQ23" s="121">
        <v>15400</v>
      </c>
      <c r="CR23" s="100"/>
      <c r="CS23" s="121">
        <v>5250</v>
      </c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 t="s">
        <v>11</v>
      </c>
      <c r="B24" s="442">
        <v>42214.5</v>
      </c>
      <c r="C24" s="453"/>
      <c r="D24" s="84"/>
      <c r="E24" s="23">
        <v>23</v>
      </c>
      <c r="F24" s="15">
        <v>3471.5</v>
      </c>
      <c r="G24" s="213"/>
      <c r="H24" s="27">
        <f t="shared" si="16"/>
        <v>248.09999999999991</v>
      </c>
      <c r="I24" s="216">
        <f t="shared" si="17"/>
        <v>10.786956521739127</v>
      </c>
      <c r="J24" s="29" t="str">
        <f ca="1">IF($J$5&gt;=B24,"N/A",SUM(INDIRECT(ADDRESS(6+(MATCH($J$5,$B$6:$B$59,0)),8)):H24))</f>
        <v>N/A</v>
      </c>
      <c r="K24" s="10">
        <v>172.2</v>
      </c>
      <c r="L24" s="88">
        <v>5.8</v>
      </c>
      <c r="M24" s="4">
        <f t="shared" si="18"/>
        <v>251.60000000000002</v>
      </c>
      <c r="N24" s="220">
        <f t="shared" si="0"/>
        <v>10.93913043478261</v>
      </c>
      <c r="O24" s="30" t="str">
        <f ca="1">IF($O$5&gt;=B24,"N/A",SUM(INDIRECT(ADDRESS(6+(MATCH($O$5,$B$6:$B$59,0)),13)):M24))</f>
        <v>N/A</v>
      </c>
      <c r="P24" s="175">
        <f t="shared" si="19"/>
        <v>76.099999999999994</v>
      </c>
      <c r="Q24" s="175">
        <f t="shared" si="20"/>
        <v>11.697127873100088</v>
      </c>
      <c r="R24" s="175">
        <f t="shared" si="21"/>
        <v>284.92844450000001</v>
      </c>
      <c r="S24" s="70" t="str">
        <f t="shared" si="22"/>
        <v>NOON</v>
      </c>
      <c r="T24" s="241">
        <f t="shared" si="23"/>
        <v>42214.5</v>
      </c>
      <c r="U24" s="157">
        <f t="shared" si="1"/>
        <v>6</v>
      </c>
      <c r="V24" s="158">
        <f t="shared" si="2"/>
        <v>0.9</v>
      </c>
      <c r="W24" s="158">
        <f t="shared" si="3"/>
        <v>0</v>
      </c>
      <c r="X24" s="199">
        <f t="shared" si="4"/>
        <v>6.9</v>
      </c>
      <c r="Y24" s="159">
        <f t="shared" si="5"/>
        <v>1371.0999999999995</v>
      </c>
      <c r="Z24" s="181"/>
      <c r="AA24" s="148">
        <f t="shared" si="6"/>
        <v>22.4</v>
      </c>
      <c r="AB24" s="149">
        <f t="shared" si="7"/>
        <v>2.2999999999999998</v>
      </c>
      <c r="AC24" s="149">
        <f t="shared" si="8"/>
        <v>0.8</v>
      </c>
      <c r="AD24" s="203">
        <f t="shared" si="9"/>
        <v>25.5</v>
      </c>
      <c r="AE24" s="150">
        <f t="shared" si="10"/>
        <v>450.3</v>
      </c>
      <c r="AF24" s="182"/>
      <c r="AG24" s="139">
        <f t="shared" si="11"/>
        <v>8</v>
      </c>
      <c r="AH24" s="140">
        <f t="shared" si="12"/>
        <v>10</v>
      </c>
      <c r="AI24" s="141">
        <f t="shared" si="13"/>
        <v>433</v>
      </c>
      <c r="AJ24" s="166">
        <f t="shared" si="14"/>
        <v>32184</v>
      </c>
      <c r="AK24" s="167">
        <f t="shared" si="14"/>
        <v>15400</v>
      </c>
      <c r="AL24" s="168">
        <f t="shared" si="15"/>
        <v>5250</v>
      </c>
      <c r="AM24" s="237">
        <f t="shared" si="27"/>
        <v>0.12925506459921063</v>
      </c>
      <c r="AN24" s="70" t="str">
        <f t="shared" si="25"/>
        <v>NOON</v>
      </c>
      <c r="AO24" s="241">
        <f t="shared" si="26"/>
        <v>42214.5</v>
      </c>
      <c r="AP24" s="45" t="s">
        <v>40</v>
      </c>
      <c r="AQ24" s="98">
        <v>76.099999999999994</v>
      </c>
      <c r="AR24" s="99">
        <v>284.92844450000001</v>
      </c>
      <c r="AS24" s="99">
        <v>12.388193239130436</v>
      </c>
      <c r="AT24" s="100">
        <v>251.6</v>
      </c>
      <c r="AU24" s="101">
        <v>10.939130434782609</v>
      </c>
      <c r="AV24" s="100">
        <v>251.6</v>
      </c>
      <c r="AW24" s="101">
        <v>10.939130434782609</v>
      </c>
      <c r="AX24" s="101">
        <v>11.697127873100088</v>
      </c>
      <c r="AY24" s="99">
        <v>11.697127873100088</v>
      </c>
      <c r="AZ24" s="102"/>
      <c r="BA24" s="102"/>
      <c r="BB24" s="103">
        <v>28.290000000000003</v>
      </c>
      <c r="BC24" s="104">
        <v>6</v>
      </c>
      <c r="BD24" s="98">
        <v>22.4</v>
      </c>
      <c r="BE24" s="105">
        <v>3.5603999999999978</v>
      </c>
      <c r="BF24" s="104">
        <v>0.9</v>
      </c>
      <c r="BG24" s="115">
        <v>0</v>
      </c>
      <c r="BH24" s="104">
        <v>0</v>
      </c>
      <c r="BI24" s="98">
        <v>2.2999999999999998</v>
      </c>
      <c r="BJ24" s="105">
        <v>0.43610000000000004</v>
      </c>
      <c r="BK24" s="104">
        <v>0</v>
      </c>
      <c r="BL24" s="104">
        <v>0.8</v>
      </c>
      <c r="BM24" s="107"/>
      <c r="BN24" s="108">
        <v>6.9</v>
      </c>
      <c r="BO24" s="108">
        <v>0</v>
      </c>
      <c r="BP24" s="109">
        <v>25.5</v>
      </c>
      <c r="BQ24" s="110"/>
      <c r="BR24" s="108">
        <v>1371.0999999999995</v>
      </c>
      <c r="BS24" s="109">
        <v>0</v>
      </c>
      <c r="BT24" s="109">
        <v>450.3</v>
      </c>
      <c r="BU24" s="107"/>
      <c r="BV24" s="111">
        <v>10</v>
      </c>
      <c r="BW24" s="98">
        <v>10</v>
      </c>
      <c r="BX24" s="113"/>
      <c r="BY24" s="113">
        <v>272</v>
      </c>
      <c r="BZ24" s="114">
        <v>272</v>
      </c>
      <c r="CA24" s="114">
        <v>80</v>
      </c>
      <c r="CB24" s="114">
        <v>81</v>
      </c>
      <c r="CC24" s="99">
        <v>433</v>
      </c>
      <c r="CD24" s="115">
        <v>8</v>
      </c>
      <c r="CE24" s="116">
        <v>8</v>
      </c>
      <c r="CF24" s="117">
        <v>0</v>
      </c>
      <c r="CG24" s="118" t="s">
        <v>39</v>
      </c>
      <c r="CH24" s="117">
        <v>0</v>
      </c>
      <c r="CI24" s="118" t="s">
        <v>39</v>
      </c>
      <c r="CJ24" s="117">
        <v>0</v>
      </c>
      <c r="CK24" s="118" t="s">
        <v>39</v>
      </c>
      <c r="CL24" s="119"/>
      <c r="CM24" s="120">
        <v>295</v>
      </c>
      <c r="CN24" s="121">
        <v>295</v>
      </c>
      <c r="CO24" s="120">
        <v>0</v>
      </c>
      <c r="CP24" s="121">
        <v>32184</v>
      </c>
      <c r="CQ24" s="121">
        <v>15400</v>
      </c>
      <c r="CR24" s="100"/>
      <c r="CS24" s="121">
        <v>5250</v>
      </c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 t="s">
        <v>97</v>
      </c>
      <c r="B25" s="442">
        <v>42215.14166666667</v>
      </c>
      <c r="C25" s="453"/>
      <c r="D25" s="84"/>
      <c r="E25" s="23">
        <v>14.9</v>
      </c>
      <c r="F25" s="15">
        <v>3631.4</v>
      </c>
      <c r="G25" s="213"/>
      <c r="H25" s="27">
        <f t="shared" si="16"/>
        <v>159.90000000000009</v>
      </c>
      <c r="I25" s="216">
        <f t="shared" si="17"/>
        <v>10.73154362416108</v>
      </c>
      <c r="J25" s="29" t="str">
        <f ca="1">IF($J$5&gt;=B25,"N/A",SUM(INDIRECT(ADDRESS(6+(MATCH($J$5,$B$6:$B$59,0)),8)):H25))</f>
        <v>N/A</v>
      </c>
      <c r="K25" s="10">
        <v>7.5</v>
      </c>
      <c r="L25" s="88"/>
      <c r="M25" s="4">
        <f t="shared" si="18"/>
        <v>164.7</v>
      </c>
      <c r="N25" s="220">
        <f t="shared" si="0"/>
        <v>11.053691275167784</v>
      </c>
      <c r="O25" s="30" t="str">
        <f ca="1">IF($O$5&gt;=B25,"N/A",SUM(INDIRECT(ADDRESS(6+(MATCH($O$5,$B$6:$B$59,0)),13)):M25))</f>
        <v>N/A</v>
      </c>
      <c r="P25" s="175">
        <f t="shared" si="19"/>
        <v>73.5</v>
      </c>
      <c r="Q25" s="175">
        <f t="shared" si="20"/>
        <v>10.585229639557278</v>
      </c>
      <c r="R25" s="175">
        <f t="shared" si="21"/>
        <v>184.19775540000001</v>
      </c>
      <c r="S25" s="70" t="str">
        <f t="shared" si="22"/>
        <v>EOSP</v>
      </c>
      <c r="T25" s="241">
        <f t="shared" si="23"/>
        <v>42215.14166666667</v>
      </c>
      <c r="U25" s="157">
        <f t="shared" si="1"/>
        <v>0</v>
      </c>
      <c r="V25" s="158">
        <f t="shared" si="2"/>
        <v>0</v>
      </c>
      <c r="W25" s="158">
        <f t="shared" si="3"/>
        <v>0</v>
      </c>
      <c r="X25" s="199">
        <f t="shared" si="4"/>
        <v>0</v>
      </c>
      <c r="Y25" s="159">
        <f t="shared" si="5"/>
        <v>1371.0999999999995</v>
      </c>
      <c r="Z25" s="181"/>
      <c r="AA25" s="148">
        <f t="shared" si="6"/>
        <v>16.8</v>
      </c>
      <c r="AB25" s="149">
        <f t="shared" si="7"/>
        <v>2</v>
      </c>
      <c r="AC25" s="149">
        <f t="shared" si="8"/>
        <v>0.2</v>
      </c>
      <c r="AD25" s="203">
        <f t="shared" si="9"/>
        <v>19</v>
      </c>
      <c r="AE25" s="150">
        <f t="shared" si="10"/>
        <v>431.3</v>
      </c>
      <c r="AF25" s="182"/>
      <c r="AG25" s="139">
        <f t="shared" si="11"/>
        <v>6</v>
      </c>
      <c r="AH25" s="140">
        <f t="shared" si="12"/>
        <v>8</v>
      </c>
      <c r="AI25" s="141">
        <f t="shared" si="13"/>
        <v>435</v>
      </c>
      <c r="AJ25" s="166">
        <f t="shared" si="14"/>
        <v>31988</v>
      </c>
      <c r="AK25" s="167">
        <f t="shared" si="14"/>
        <v>15300</v>
      </c>
      <c r="AL25" s="168">
        <f t="shared" si="15"/>
        <v>5200</v>
      </c>
      <c r="AM25" s="237">
        <f t="shared" si="27"/>
        <v>0.13191124586309652</v>
      </c>
      <c r="AN25" s="70" t="str">
        <f t="shared" si="25"/>
        <v>EOSP</v>
      </c>
      <c r="AO25" s="241">
        <f t="shared" si="26"/>
        <v>42215.14166666667</v>
      </c>
      <c r="AP25" s="45" t="s">
        <v>40</v>
      </c>
      <c r="AQ25" s="98">
        <v>73.5</v>
      </c>
      <c r="AR25" s="99">
        <v>184.19775540000001</v>
      </c>
      <c r="AS25" s="99">
        <v>12.362265463087249</v>
      </c>
      <c r="AT25" s="100">
        <v>164.7</v>
      </c>
      <c r="AU25" s="101">
        <v>11.053691275167784</v>
      </c>
      <c r="AV25" s="100">
        <v>164.7</v>
      </c>
      <c r="AW25" s="101">
        <v>11.053691275167784</v>
      </c>
      <c r="AX25" s="101">
        <v>10.585229639557278</v>
      </c>
      <c r="AY25" s="99">
        <v>10.585229639557278</v>
      </c>
      <c r="AZ25" s="102"/>
      <c r="BA25" s="102"/>
      <c r="BB25" s="103">
        <v>17.7836</v>
      </c>
      <c r="BC25" s="104">
        <v>0</v>
      </c>
      <c r="BD25" s="98">
        <v>16.8</v>
      </c>
      <c r="BE25" s="105">
        <v>2.5116000000000005</v>
      </c>
      <c r="BF25" s="104">
        <v>0</v>
      </c>
      <c r="BG25" s="115">
        <v>0</v>
      </c>
      <c r="BH25" s="104">
        <v>0</v>
      </c>
      <c r="BI25" s="98">
        <v>2</v>
      </c>
      <c r="BJ25" s="105">
        <v>8.0099999999999991E-2</v>
      </c>
      <c r="BK25" s="104">
        <v>0</v>
      </c>
      <c r="BL25" s="104">
        <v>0.2</v>
      </c>
      <c r="BM25" s="107"/>
      <c r="BN25" s="108">
        <v>0</v>
      </c>
      <c r="BO25" s="108">
        <v>0</v>
      </c>
      <c r="BP25" s="109">
        <v>19</v>
      </c>
      <c r="BQ25" s="110"/>
      <c r="BR25" s="108">
        <v>1371.0999999999995</v>
      </c>
      <c r="BS25" s="109">
        <v>0</v>
      </c>
      <c r="BT25" s="109">
        <v>431.3</v>
      </c>
      <c r="BU25" s="107"/>
      <c r="BV25" s="111">
        <v>7</v>
      </c>
      <c r="BW25" s="98">
        <v>8</v>
      </c>
      <c r="BX25" s="113"/>
      <c r="BY25" s="113">
        <v>274</v>
      </c>
      <c r="BZ25" s="114">
        <v>274</v>
      </c>
      <c r="CA25" s="114">
        <v>80</v>
      </c>
      <c r="CB25" s="114">
        <v>81</v>
      </c>
      <c r="CC25" s="99">
        <v>435</v>
      </c>
      <c r="CD25" s="115">
        <v>6</v>
      </c>
      <c r="CE25" s="116">
        <v>6</v>
      </c>
      <c r="CF25" s="117">
        <v>0</v>
      </c>
      <c r="CG25" s="118" t="s">
        <v>39</v>
      </c>
      <c r="CH25" s="117">
        <v>0</v>
      </c>
      <c r="CI25" s="118" t="s">
        <v>39</v>
      </c>
      <c r="CJ25" s="117">
        <v>0</v>
      </c>
      <c r="CK25" s="118" t="s">
        <v>39</v>
      </c>
      <c r="CL25" s="119"/>
      <c r="CM25" s="120">
        <v>196</v>
      </c>
      <c r="CN25" s="121">
        <v>196</v>
      </c>
      <c r="CO25" s="120">
        <v>0</v>
      </c>
      <c r="CP25" s="121">
        <v>31988</v>
      </c>
      <c r="CQ25" s="121">
        <v>15300</v>
      </c>
      <c r="CR25" s="100"/>
      <c r="CS25" s="121">
        <v>5200</v>
      </c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 t="s">
        <v>10</v>
      </c>
      <c r="B26" s="442">
        <v>42215.25</v>
      </c>
      <c r="C26" s="453"/>
      <c r="D26" s="84"/>
      <c r="E26" s="23">
        <v>2.6</v>
      </c>
      <c r="F26" s="15">
        <v>3642.2</v>
      </c>
      <c r="G26" s="213"/>
      <c r="H26" s="27">
        <f t="shared" si="16"/>
        <v>10.799999999999727</v>
      </c>
      <c r="I26" s="216">
        <f t="shared" si="17"/>
        <v>4.1538461538460485</v>
      </c>
      <c r="J26" s="29" t="str">
        <f ca="1">IF($J$5&gt;=B26,"N/A",SUM(INDIRECT(ADDRESS(6+(MATCH($J$5,$B$6:$B$59,0)),8)):H26))</f>
        <v>N/A</v>
      </c>
      <c r="K26" s="10">
        <v>0</v>
      </c>
      <c r="L26" s="88">
        <v>3.3</v>
      </c>
      <c r="M26" s="4">
        <f t="shared" si="18"/>
        <v>10.8</v>
      </c>
      <c r="N26" s="220">
        <f t="shared" si="0"/>
        <v>4.1538461538461542</v>
      </c>
      <c r="O26" s="30" t="str">
        <f ca="1">IF($O$5&gt;=B26,"N/A",SUM(INDIRECT(ADDRESS(6+(MATCH($O$5,$B$6:$B$59,0)),13)):M26))</f>
        <v>N/A</v>
      </c>
      <c r="P26" s="175">
        <f t="shared" si="19"/>
        <v>35.4</v>
      </c>
      <c r="Q26" s="175">
        <f t="shared" si="20"/>
        <v>20.575320187094459</v>
      </c>
      <c r="R26" s="175">
        <f t="shared" si="21"/>
        <v>13.597788527999999</v>
      </c>
      <c r="S26" s="70" t="str">
        <f t="shared" si="22"/>
        <v>FWE</v>
      </c>
      <c r="T26" s="241">
        <f t="shared" si="23"/>
        <v>42215.25</v>
      </c>
      <c r="U26" s="157">
        <f t="shared" si="1"/>
        <v>0</v>
      </c>
      <c r="V26" s="158">
        <f t="shared" si="2"/>
        <v>0</v>
      </c>
      <c r="W26" s="158">
        <f t="shared" si="3"/>
        <v>0</v>
      </c>
      <c r="X26" s="199">
        <f t="shared" si="4"/>
        <v>0</v>
      </c>
      <c r="Y26" s="159">
        <f t="shared" si="5"/>
        <v>1371.0999999999995</v>
      </c>
      <c r="Z26" s="181"/>
      <c r="AA26" s="148">
        <f t="shared" si="6"/>
        <v>0.8</v>
      </c>
      <c r="AB26" s="149">
        <f t="shared" si="7"/>
        <v>0.4</v>
      </c>
      <c r="AC26" s="149">
        <f t="shared" si="8"/>
        <v>0.1</v>
      </c>
      <c r="AD26" s="203">
        <f t="shared" si="9"/>
        <v>1.3000000000000003</v>
      </c>
      <c r="AE26" s="150">
        <f t="shared" si="10"/>
        <v>430</v>
      </c>
      <c r="AF26" s="182"/>
      <c r="AG26" s="139">
        <f t="shared" si="11"/>
        <v>0</v>
      </c>
      <c r="AH26" s="140">
        <f t="shared" si="12"/>
        <v>0</v>
      </c>
      <c r="AI26" s="141">
        <f t="shared" si="13"/>
        <v>435</v>
      </c>
      <c r="AJ26" s="166">
        <f t="shared" si="14"/>
        <v>31971</v>
      </c>
      <c r="AK26" s="167">
        <f t="shared" si="14"/>
        <v>15300</v>
      </c>
      <c r="AL26" s="168">
        <f t="shared" si="15"/>
        <v>5200</v>
      </c>
      <c r="AM26" s="237">
        <f t="shared" si="27"/>
        <v>0.20575320187096469</v>
      </c>
      <c r="AN26" s="70" t="str">
        <f t="shared" si="25"/>
        <v>FWE</v>
      </c>
      <c r="AO26" s="241">
        <f t="shared" si="26"/>
        <v>42215.25</v>
      </c>
      <c r="AP26" s="45" t="s">
        <v>40</v>
      </c>
      <c r="AQ26" s="98">
        <v>35.4</v>
      </c>
      <c r="AR26" s="99">
        <v>13.597788527999999</v>
      </c>
      <c r="AS26" s="99">
        <v>5.7617747999999995</v>
      </c>
      <c r="AT26" s="100">
        <v>10.8</v>
      </c>
      <c r="AU26" s="101">
        <v>4.5762711864406782</v>
      </c>
      <c r="AV26" s="100">
        <v>10.8</v>
      </c>
      <c r="AW26" s="101">
        <v>4.5762711864406782</v>
      </c>
      <c r="AX26" s="101">
        <v>20.575320187094459</v>
      </c>
      <c r="AY26" s="99">
        <v>20.575320187094459</v>
      </c>
      <c r="AZ26" s="102"/>
      <c r="BA26" s="102"/>
      <c r="BB26" s="103">
        <v>0.76360000000000028</v>
      </c>
      <c r="BC26" s="104">
        <v>0</v>
      </c>
      <c r="BD26" s="98">
        <v>0.8</v>
      </c>
      <c r="BE26" s="105">
        <v>0.37719999999999981</v>
      </c>
      <c r="BF26" s="104">
        <v>0</v>
      </c>
      <c r="BG26" s="115">
        <v>0</v>
      </c>
      <c r="BH26" s="104">
        <v>0</v>
      </c>
      <c r="BI26" s="98">
        <v>0.4</v>
      </c>
      <c r="BJ26" s="105">
        <v>0.13350000000000001</v>
      </c>
      <c r="BK26" s="104">
        <v>0</v>
      </c>
      <c r="BL26" s="104">
        <v>0.1</v>
      </c>
      <c r="BM26" s="107"/>
      <c r="BN26" s="108">
        <v>0</v>
      </c>
      <c r="BO26" s="108">
        <v>0</v>
      </c>
      <c r="BP26" s="109">
        <v>1.3000000000000003</v>
      </c>
      <c r="BQ26" s="110"/>
      <c r="BR26" s="108">
        <v>1371.0999999999995</v>
      </c>
      <c r="BS26" s="109">
        <v>0</v>
      </c>
      <c r="BT26" s="109">
        <v>430</v>
      </c>
      <c r="BU26" s="107"/>
      <c r="BV26" s="111">
        <v>0</v>
      </c>
      <c r="BW26" s="98">
        <v>0</v>
      </c>
      <c r="BX26" s="113"/>
      <c r="BY26" s="113">
        <v>274</v>
      </c>
      <c r="BZ26" s="114">
        <v>274</v>
      </c>
      <c r="CA26" s="114">
        <v>80</v>
      </c>
      <c r="CB26" s="114">
        <v>81</v>
      </c>
      <c r="CC26" s="99">
        <v>435</v>
      </c>
      <c r="CD26" s="115">
        <v>0</v>
      </c>
      <c r="CE26" s="116">
        <v>0</v>
      </c>
      <c r="CF26" s="117">
        <v>0</v>
      </c>
      <c r="CG26" s="118" t="s">
        <v>39</v>
      </c>
      <c r="CH26" s="117">
        <v>0</v>
      </c>
      <c r="CI26" s="118" t="s">
        <v>39</v>
      </c>
      <c r="CJ26" s="117">
        <v>0</v>
      </c>
      <c r="CK26" s="118" t="s">
        <v>39</v>
      </c>
      <c r="CL26" s="119"/>
      <c r="CM26" s="120">
        <v>17</v>
      </c>
      <c r="CN26" s="121">
        <v>17</v>
      </c>
      <c r="CO26" s="120">
        <v>0</v>
      </c>
      <c r="CP26" s="121">
        <v>31971</v>
      </c>
      <c r="CQ26" s="121">
        <v>15300</v>
      </c>
      <c r="CR26" s="100"/>
      <c r="CS26" s="121">
        <v>5200</v>
      </c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 t="s">
        <v>103</v>
      </c>
      <c r="B27" s="442">
        <v>42215.5</v>
      </c>
      <c r="C27" s="453"/>
      <c r="D27" s="84"/>
      <c r="E27" s="23"/>
      <c r="F27" s="15">
        <v>3642.2</v>
      </c>
      <c r="G27" s="213"/>
      <c r="H27" s="27">
        <f t="shared" si="16"/>
        <v>0</v>
      </c>
      <c r="I27" s="216" t="str">
        <f t="shared" si="17"/>
        <v/>
      </c>
      <c r="J27" s="29" t="str">
        <f ca="1">IF($J$5&gt;=B27,"N/A",SUM(INDIRECT(ADDRESS(6+(MATCH($J$5,$B$6:$B$59,0)),8)):H27))</f>
        <v>N/A</v>
      </c>
      <c r="K27" s="10">
        <v>0</v>
      </c>
      <c r="L27" s="88"/>
      <c r="M27" s="4">
        <f t="shared" si="18"/>
        <v>0</v>
      </c>
      <c r="N27" s="220" t="str">
        <f t="shared" si="0"/>
        <v/>
      </c>
      <c r="O27" s="30" t="str">
        <f ca="1">IF($O$5&gt;=B27,"N/A",SUM(INDIRECT(ADDRESS(6+(MATCH($O$5,$B$6:$B$59,0)),13)):M27))</f>
        <v>N/A</v>
      </c>
      <c r="P27" s="175" t="str">
        <f t="shared" si="19"/>
        <v/>
      </c>
      <c r="Q27" s="175" t="str">
        <f t="shared" si="20"/>
        <v/>
      </c>
      <c r="R27" s="175" t="str">
        <f t="shared" si="21"/>
        <v/>
      </c>
      <c r="S27" s="70" t="str">
        <f t="shared" si="22"/>
        <v>PNOON</v>
      </c>
      <c r="T27" s="241">
        <f t="shared" si="23"/>
        <v>42215.5</v>
      </c>
      <c r="U27" s="157">
        <f t="shared" si="1"/>
        <v>0</v>
      </c>
      <c r="V27" s="158">
        <f t="shared" si="2"/>
        <v>0</v>
      </c>
      <c r="W27" s="158">
        <f t="shared" si="3"/>
        <v>0</v>
      </c>
      <c r="X27" s="199">
        <f t="shared" si="4"/>
        <v>0</v>
      </c>
      <c r="Y27" s="159">
        <f t="shared" si="5"/>
        <v>1371.0999999999995</v>
      </c>
      <c r="Z27" s="181"/>
      <c r="AA27" s="148">
        <f t="shared" si="6"/>
        <v>0</v>
      </c>
      <c r="AB27" s="149">
        <f t="shared" si="7"/>
        <v>0.8</v>
      </c>
      <c r="AC27" s="149">
        <f t="shared" si="8"/>
        <v>0.3</v>
      </c>
      <c r="AD27" s="203">
        <f t="shared" si="9"/>
        <v>1.1000000000000001</v>
      </c>
      <c r="AE27" s="150">
        <f t="shared" si="10"/>
        <v>428.9</v>
      </c>
      <c r="AF27" s="182"/>
      <c r="AG27" s="139">
        <f t="shared" si="11"/>
        <v>0</v>
      </c>
      <c r="AH27" s="140">
        <f t="shared" si="12"/>
        <v>0</v>
      </c>
      <c r="AI27" s="141">
        <f t="shared" si="13"/>
        <v>435</v>
      </c>
      <c r="AJ27" s="166">
        <f t="shared" si="14"/>
        <v>31971</v>
      </c>
      <c r="AK27" s="167">
        <f t="shared" si="14"/>
        <v>15300</v>
      </c>
      <c r="AL27" s="168">
        <f t="shared" si="15"/>
        <v>5200</v>
      </c>
      <c r="AM27" s="237" t="e">
        <f t="shared" si="27"/>
        <v>#VALUE!</v>
      </c>
      <c r="AN27" s="70" t="str">
        <f t="shared" si="25"/>
        <v>PNOON</v>
      </c>
      <c r="AO27" s="241">
        <f t="shared" si="26"/>
        <v>42215.5</v>
      </c>
      <c r="AP27" s="45" t="s">
        <v>40</v>
      </c>
      <c r="AQ27" s="98"/>
      <c r="AR27" s="99" t="s">
        <v>39</v>
      </c>
      <c r="AS27" s="99" t="s">
        <v>39</v>
      </c>
      <c r="AT27" s="100" t="s">
        <v>39</v>
      </c>
      <c r="AU27" s="101" t="s">
        <v>39</v>
      </c>
      <c r="AV27" s="100" t="s">
        <v>39</v>
      </c>
      <c r="AW27" s="101" t="s">
        <v>39</v>
      </c>
      <c r="AX27" s="101" t="s">
        <v>39</v>
      </c>
      <c r="AY27" s="99" t="s">
        <v>39</v>
      </c>
      <c r="AZ27" s="102"/>
      <c r="BA27" s="102"/>
      <c r="BB27" s="105">
        <v>-0.22080000000000055</v>
      </c>
      <c r="BC27" s="104">
        <v>0</v>
      </c>
      <c r="BD27" s="98">
        <v>0</v>
      </c>
      <c r="BE27" s="105">
        <v>0.80040000000000056</v>
      </c>
      <c r="BF27" s="104">
        <v>0</v>
      </c>
      <c r="BG27" s="106">
        <v>0</v>
      </c>
      <c r="BH27" s="104">
        <v>0</v>
      </c>
      <c r="BI27" s="98">
        <v>0.8</v>
      </c>
      <c r="BJ27" s="105">
        <v>0.3649</v>
      </c>
      <c r="BK27" s="104">
        <v>0</v>
      </c>
      <c r="BL27" s="104">
        <v>0.3</v>
      </c>
      <c r="BM27" s="107"/>
      <c r="BN27" s="108">
        <v>0</v>
      </c>
      <c r="BO27" s="108">
        <v>0</v>
      </c>
      <c r="BP27" s="109">
        <v>1.1000000000000001</v>
      </c>
      <c r="BQ27" s="110"/>
      <c r="BR27" s="108">
        <v>1371.0999999999995</v>
      </c>
      <c r="BS27" s="109">
        <v>0</v>
      </c>
      <c r="BT27" s="109">
        <v>428.9</v>
      </c>
      <c r="BU27" s="107"/>
      <c r="BV27" s="111">
        <v>0</v>
      </c>
      <c r="BW27" s="98">
        <v>0</v>
      </c>
      <c r="BX27" s="113"/>
      <c r="BY27" s="113">
        <v>274</v>
      </c>
      <c r="BZ27" s="114">
        <v>274</v>
      </c>
      <c r="CA27" s="114">
        <v>80</v>
      </c>
      <c r="CB27" s="114">
        <v>81</v>
      </c>
      <c r="CC27" s="99">
        <v>435</v>
      </c>
      <c r="CD27" s="111">
        <v>0</v>
      </c>
      <c r="CE27" s="116">
        <v>0</v>
      </c>
      <c r="CF27" s="225">
        <v>0</v>
      </c>
      <c r="CG27" s="226" t="s">
        <v>39</v>
      </c>
      <c r="CH27" s="225">
        <v>0</v>
      </c>
      <c r="CI27" s="226" t="s">
        <v>39</v>
      </c>
      <c r="CJ27" s="225">
        <v>0</v>
      </c>
      <c r="CK27" s="226" t="s">
        <v>39</v>
      </c>
      <c r="CL27" s="227"/>
      <c r="CM27" s="228">
        <v>0</v>
      </c>
      <c r="CN27" s="229">
        <v>0</v>
      </c>
      <c r="CO27" s="228">
        <v>0</v>
      </c>
      <c r="CP27" s="121">
        <v>31971</v>
      </c>
      <c r="CQ27" s="121">
        <v>15300</v>
      </c>
      <c r="CR27" s="100"/>
      <c r="CS27" s="121">
        <v>5200</v>
      </c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 t="s">
        <v>103</v>
      </c>
      <c r="B28" s="442">
        <v>42216.5</v>
      </c>
      <c r="C28" s="453"/>
      <c r="D28" s="84"/>
      <c r="E28" s="23"/>
      <c r="F28" s="15">
        <v>3642.2</v>
      </c>
      <c r="G28" s="213"/>
      <c r="H28" s="27">
        <f t="shared" si="16"/>
        <v>0</v>
      </c>
      <c r="I28" s="216" t="str">
        <f t="shared" si="17"/>
        <v/>
      </c>
      <c r="J28" s="29" t="str">
        <f ca="1">IF($J$5&gt;=B28,"N/A",SUM(INDIRECT(ADDRESS(6+(MATCH($J$5,$B$6:$B$59,0)),8)):H28))</f>
        <v>N/A</v>
      </c>
      <c r="K28" s="10">
        <v>0</v>
      </c>
      <c r="L28" s="88"/>
      <c r="M28" s="4">
        <f t="shared" si="18"/>
        <v>0</v>
      </c>
      <c r="N28" s="220" t="str">
        <f t="shared" si="0"/>
        <v/>
      </c>
      <c r="O28" s="30" t="str">
        <f ca="1">IF($O$5&gt;=B28,"N/A",SUM(INDIRECT(ADDRESS(6+(MATCH($O$5,$B$6:$B$59,0)),13)):M28))</f>
        <v>N/A</v>
      </c>
      <c r="P28" s="175" t="str">
        <f t="shared" si="19"/>
        <v/>
      </c>
      <c r="Q28" s="175" t="str">
        <f t="shared" si="20"/>
        <v/>
      </c>
      <c r="R28" s="175" t="str">
        <f t="shared" si="21"/>
        <v/>
      </c>
      <c r="S28" s="70" t="str">
        <f t="shared" si="22"/>
        <v>PNOON</v>
      </c>
      <c r="T28" s="241">
        <f t="shared" si="23"/>
        <v>42216.5</v>
      </c>
      <c r="U28" s="157">
        <f t="shared" si="1"/>
        <v>0</v>
      </c>
      <c r="V28" s="158">
        <f t="shared" si="2"/>
        <v>0</v>
      </c>
      <c r="W28" s="158">
        <f t="shared" si="3"/>
        <v>0</v>
      </c>
      <c r="X28" s="199">
        <f t="shared" si="4"/>
        <v>0</v>
      </c>
      <c r="Y28" s="159">
        <f t="shared" si="5"/>
        <v>1371.0999999999995</v>
      </c>
      <c r="Z28" s="181"/>
      <c r="AA28" s="148">
        <f t="shared" si="6"/>
        <v>0</v>
      </c>
      <c r="AB28" s="149">
        <f t="shared" si="7"/>
        <v>2</v>
      </c>
      <c r="AC28" s="149">
        <f t="shared" si="8"/>
        <v>1.9</v>
      </c>
      <c r="AD28" s="203">
        <f t="shared" si="9"/>
        <v>3.9</v>
      </c>
      <c r="AE28" s="150">
        <f t="shared" si="10"/>
        <v>425</v>
      </c>
      <c r="AF28" s="182"/>
      <c r="AG28" s="139">
        <f t="shared" si="11"/>
        <v>0</v>
      </c>
      <c r="AH28" s="140">
        <f t="shared" si="12"/>
        <v>0</v>
      </c>
      <c r="AI28" s="141">
        <f t="shared" si="13"/>
        <v>424</v>
      </c>
      <c r="AJ28" s="166">
        <f t="shared" si="14"/>
        <v>31971</v>
      </c>
      <c r="AK28" s="167">
        <f t="shared" si="14"/>
        <v>15300</v>
      </c>
      <c r="AL28" s="168">
        <f t="shared" si="15"/>
        <v>5200</v>
      </c>
      <c r="AM28" s="237" t="e">
        <f t="shared" si="27"/>
        <v>#VALUE!</v>
      </c>
      <c r="AN28" s="70" t="str">
        <f t="shared" si="25"/>
        <v>PNOON</v>
      </c>
      <c r="AO28" s="241">
        <f t="shared" si="26"/>
        <v>42216.5</v>
      </c>
      <c r="AP28" s="45" t="s">
        <v>40</v>
      </c>
      <c r="AQ28" s="98"/>
      <c r="AR28" s="99" t="s">
        <v>39</v>
      </c>
      <c r="AS28" s="99" t="s">
        <v>39</v>
      </c>
      <c r="AT28" s="100" t="s">
        <v>39</v>
      </c>
      <c r="AU28" s="101" t="s">
        <v>39</v>
      </c>
      <c r="AV28" s="100" t="s">
        <v>39</v>
      </c>
      <c r="AW28" s="101" t="s">
        <v>39</v>
      </c>
      <c r="AX28" s="101" t="s">
        <v>39</v>
      </c>
      <c r="AY28" s="99" t="s">
        <v>39</v>
      </c>
      <c r="AZ28" s="102"/>
      <c r="BA28" s="102"/>
      <c r="BB28" s="105">
        <v>-0.84639999999999826</v>
      </c>
      <c r="BC28" s="104">
        <v>0</v>
      </c>
      <c r="BD28" s="98">
        <v>0</v>
      </c>
      <c r="BE28" s="105">
        <v>3.1095999999999986</v>
      </c>
      <c r="BF28" s="104">
        <v>0</v>
      </c>
      <c r="BG28" s="106">
        <v>0</v>
      </c>
      <c r="BH28" s="104">
        <v>0</v>
      </c>
      <c r="BI28" s="98">
        <v>2</v>
      </c>
      <c r="BJ28" s="105">
        <v>1.8779000000000001</v>
      </c>
      <c r="BK28" s="104">
        <v>0</v>
      </c>
      <c r="BL28" s="104">
        <v>1.9</v>
      </c>
      <c r="BM28" s="107"/>
      <c r="BN28" s="108">
        <v>0</v>
      </c>
      <c r="BO28" s="108">
        <v>0</v>
      </c>
      <c r="BP28" s="109">
        <v>3.9</v>
      </c>
      <c r="BQ28" s="110"/>
      <c r="BR28" s="108">
        <v>1371.0999999999995</v>
      </c>
      <c r="BS28" s="109">
        <v>0</v>
      </c>
      <c r="BT28" s="109">
        <v>425</v>
      </c>
      <c r="BU28" s="107"/>
      <c r="BV28" s="111">
        <v>0</v>
      </c>
      <c r="BW28" s="98">
        <v>0</v>
      </c>
      <c r="BX28" s="113"/>
      <c r="BY28" s="113">
        <v>266</v>
      </c>
      <c r="BZ28" s="114">
        <v>266</v>
      </c>
      <c r="CA28" s="114">
        <v>79</v>
      </c>
      <c r="CB28" s="114">
        <v>79</v>
      </c>
      <c r="CC28" s="99">
        <v>424</v>
      </c>
      <c r="CD28" s="115">
        <v>11</v>
      </c>
      <c r="CE28" s="116">
        <v>0</v>
      </c>
      <c r="CF28" s="225">
        <v>0</v>
      </c>
      <c r="CG28" s="226" t="s">
        <v>39</v>
      </c>
      <c r="CH28" s="225">
        <v>0</v>
      </c>
      <c r="CI28" s="226" t="s">
        <v>39</v>
      </c>
      <c r="CJ28" s="225">
        <v>0</v>
      </c>
      <c r="CK28" s="226" t="s">
        <v>39</v>
      </c>
      <c r="CL28" s="227"/>
      <c r="CM28" s="228">
        <v>0</v>
      </c>
      <c r="CN28" s="229">
        <v>0</v>
      </c>
      <c r="CO28" s="228">
        <v>0</v>
      </c>
      <c r="CP28" s="121">
        <v>31971</v>
      </c>
      <c r="CQ28" s="121">
        <v>15300</v>
      </c>
      <c r="CR28" s="100"/>
      <c r="CS28" s="121">
        <v>5200</v>
      </c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 t="s">
        <v>9</v>
      </c>
      <c r="B29" s="442">
        <v>42216.633333333331</v>
      </c>
      <c r="C29" s="453"/>
      <c r="D29" s="84"/>
      <c r="E29" s="23"/>
      <c r="F29" s="15">
        <v>3642.2</v>
      </c>
      <c r="G29" s="213"/>
      <c r="H29" s="27">
        <f t="shared" si="16"/>
        <v>0</v>
      </c>
      <c r="I29" s="216" t="str">
        <f t="shared" si="17"/>
        <v/>
      </c>
      <c r="J29" s="29" t="str">
        <f ca="1">IF($J$5&gt;=B29,"N/A",SUM(INDIRECT(ADDRESS(6+(MATCH($J$5,$B$6:$B$59,0)),8)):H29))</f>
        <v>N/A</v>
      </c>
      <c r="K29" s="10">
        <v>0</v>
      </c>
      <c r="L29" s="88"/>
      <c r="M29" s="4">
        <f t="shared" si="18"/>
        <v>0</v>
      </c>
      <c r="N29" s="220" t="str">
        <f t="shared" si="0"/>
        <v/>
      </c>
      <c r="O29" s="30" t="str">
        <f ca="1">IF($O$5&gt;=B29,"N/A",SUM(INDIRECT(ADDRESS(6+(MATCH($O$5,$B$6:$B$59,0)),13)):M29))</f>
        <v>N/A</v>
      </c>
      <c r="P29" s="175" t="str">
        <f t="shared" si="19"/>
        <v/>
      </c>
      <c r="Q29" s="175" t="str">
        <f t="shared" si="20"/>
        <v/>
      </c>
      <c r="R29" s="175" t="str">
        <f t="shared" si="21"/>
        <v/>
      </c>
      <c r="S29" s="70" t="str">
        <f t="shared" si="22"/>
        <v>SBE</v>
      </c>
      <c r="T29" s="241">
        <f t="shared" si="23"/>
        <v>42216.633333333331</v>
      </c>
      <c r="U29" s="157">
        <f t="shared" si="1"/>
        <v>0</v>
      </c>
      <c r="V29" s="158">
        <f t="shared" si="2"/>
        <v>0</v>
      </c>
      <c r="W29" s="158">
        <f t="shared" si="3"/>
        <v>0</v>
      </c>
      <c r="X29" s="199">
        <f t="shared" si="4"/>
        <v>0</v>
      </c>
      <c r="Y29" s="159">
        <f t="shared" si="5"/>
        <v>1371.0999999999995</v>
      </c>
      <c r="Z29" s="181"/>
      <c r="AA29" s="148">
        <f t="shared" si="6"/>
        <v>0</v>
      </c>
      <c r="AB29" s="149">
        <f t="shared" si="7"/>
        <v>0.6</v>
      </c>
      <c r="AC29" s="149">
        <f t="shared" si="8"/>
        <v>0.6</v>
      </c>
      <c r="AD29" s="203">
        <f t="shared" si="9"/>
        <v>1.2</v>
      </c>
      <c r="AE29" s="150">
        <f t="shared" si="10"/>
        <v>423.8</v>
      </c>
      <c r="AF29" s="182"/>
      <c r="AG29" s="139">
        <f t="shared" si="11"/>
        <v>0</v>
      </c>
      <c r="AH29" s="140">
        <f t="shared" si="12"/>
        <v>0</v>
      </c>
      <c r="AI29" s="141">
        <f t="shared" si="13"/>
        <v>421</v>
      </c>
      <c r="AJ29" s="166">
        <f t="shared" si="14"/>
        <v>31971</v>
      </c>
      <c r="AK29" s="167">
        <f t="shared" si="14"/>
        <v>15300</v>
      </c>
      <c r="AL29" s="168">
        <f t="shared" si="15"/>
        <v>5200</v>
      </c>
      <c r="AM29" s="237" t="e">
        <f t="shared" si="27"/>
        <v>#VALUE!</v>
      </c>
      <c r="AN29" s="70" t="str">
        <f t="shared" si="25"/>
        <v>SBE</v>
      </c>
      <c r="AO29" s="241">
        <f t="shared" si="26"/>
        <v>42216.633333333331</v>
      </c>
      <c r="AP29" s="45" t="s">
        <v>40</v>
      </c>
      <c r="AQ29" s="98"/>
      <c r="AR29" s="99" t="s">
        <v>39</v>
      </c>
      <c r="AS29" s="99" t="s">
        <v>39</v>
      </c>
      <c r="AT29" s="100" t="s">
        <v>39</v>
      </c>
      <c r="AU29" s="101" t="s">
        <v>39</v>
      </c>
      <c r="AV29" s="100" t="s">
        <v>39</v>
      </c>
      <c r="AW29" s="101" t="s">
        <v>39</v>
      </c>
      <c r="AX29" s="101" t="s">
        <v>39</v>
      </c>
      <c r="AY29" s="99" t="s">
        <v>39</v>
      </c>
      <c r="AZ29" s="102"/>
      <c r="BA29" s="102"/>
      <c r="BB29" s="105">
        <v>-7.360000000000011E-2</v>
      </c>
      <c r="BC29" s="104">
        <v>0</v>
      </c>
      <c r="BD29" s="98">
        <v>0</v>
      </c>
      <c r="BE29" s="105">
        <v>0.63480000000000014</v>
      </c>
      <c r="BF29" s="104">
        <v>0</v>
      </c>
      <c r="BG29" s="106">
        <v>0</v>
      </c>
      <c r="BH29" s="104">
        <v>0</v>
      </c>
      <c r="BI29" s="98">
        <v>0.6</v>
      </c>
      <c r="BJ29" s="105">
        <v>0.60520000000000007</v>
      </c>
      <c r="BK29" s="104">
        <v>0</v>
      </c>
      <c r="BL29" s="104">
        <v>0.6</v>
      </c>
      <c r="BM29" s="107"/>
      <c r="BN29" s="108">
        <v>0</v>
      </c>
      <c r="BO29" s="108">
        <v>0</v>
      </c>
      <c r="BP29" s="109">
        <v>1.2</v>
      </c>
      <c r="BQ29" s="110"/>
      <c r="BR29" s="108">
        <v>1371.0999999999995</v>
      </c>
      <c r="BS29" s="109">
        <v>0</v>
      </c>
      <c r="BT29" s="109">
        <v>423.8</v>
      </c>
      <c r="BU29" s="107"/>
      <c r="BV29" s="111">
        <v>0</v>
      </c>
      <c r="BW29" s="98">
        <v>0</v>
      </c>
      <c r="BX29" s="113"/>
      <c r="BY29" s="113">
        <v>264</v>
      </c>
      <c r="BZ29" s="114">
        <v>264</v>
      </c>
      <c r="CA29" s="114">
        <v>78</v>
      </c>
      <c r="CB29" s="114">
        <v>79</v>
      </c>
      <c r="CC29" s="99">
        <v>421</v>
      </c>
      <c r="CD29" s="111">
        <v>3</v>
      </c>
      <c r="CE29" s="116">
        <v>0</v>
      </c>
      <c r="CF29" s="225">
        <v>0</v>
      </c>
      <c r="CG29" s="226" t="s">
        <v>39</v>
      </c>
      <c r="CH29" s="225">
        <v>0</v>
      </c>
      <c r="CI29" s="226" t="s">
        <v>39</v>
      </c>
      <c r="CJ29" s="225">
        <v>0</v>
      </c>
      <c r="CK29" s="226" t="s">
        <v>39</v>
      </c>
      <c r="CL29" s="227"/>
      <c r="CM29" s="228">
        <v>0</v>
      </c>
      <c r="CN29" s="229">
        <v>0</v>
      </c>
      <c r="CO29" s="228">
        <v>0</v>
      </c>
      <c r="CP29" s="121">
        <v>31971</v>
      </c>
      <c r="CQ29" s="121">
        <v>15300</v>
      </c>
      <c r="CR29" s="100"/>
      <c r="CS29" s="121">
        <v>5200</v>
      </c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 t="s">
        <v>10</v>
      </c>
      <c r="B30" s="442">
        <v>42216.98333333333</v>
      </c>
      <c r="C30" s="453"/>
      <c r="D30" s="84"/>
      <c r="E30" s="23">
        <v>6</v>
      </c>
      <c r="F30" s="15">
        <f>3642.2+27</f>
        <v>3669.2</v>
      </c>
      <c r="G30" s="213"/>
      <c r="H30" s="27">
        <f t="shared" si="16"/>
        <v>27</v>
      </c>
      <c r="I30" s="216">
        <f t="shared" si="17"/>
        <v>4.5</v>
      </c>
      <c r="J30" s="29" t="str">
        <f ca="1">IF($J$5&gt;=B30,"N/A",SUM(INDIRECT(ADDRESS(6+(MATCH($J$5,$B$6:$B$59,0)),8)):H30))</f>
        <v>N/A</v>
      </c>
      <c r="K30" s="10">
        <v>0</v>
      </c>
      <c r="L30" s="88">
        <v>28</v>
      </c>
      <c r="M30" s="4">
        <f t="shared" si="18"/>
        <v>28</v>
      </c>
      <c r="N30" s="220">
        <f t="shared" si="0"/>
        <v>4.666666666666667</v>
      </c>
      <c r="O30" s="30" t="str">
        <f ca="1">IF($O$5&gt;=B30,"N/A",SUM(INDIRECT(ADDRESS(6+(MATCH($O$5,$B$6:$B$59,0)),13)):M30))</f>
        <v>N/A</v>
      </c>
      <c r="P30" s="175">
        <f t="shared" si="19"/>
        <v>41.9</v>
      </c>
      <c r="Q30" s="175">
        <f t="shared" si="20"/>
        <v>14.884904432770712</v>
      </c>
      <c r="R30" s="175">
        <f t="shared" si="21"/>
        <v>34.071512000000006</v>
      </c>
      <c r="S30" s="70" t="str">
        <f t="shared" si="22"/>
        <v>FWE</v>
      </c>
      <c r="T30" s="241">
        <f t="shared" si="23"/>
        <v>42216.98333333333</v>
      </c>
      <c r="U30" s="157">
        <f t="shared" si="1"/>
        <v>0</v>
      </c>
      <c r="V30" s="158">
        <f t="shared" si="2"/>
        <v>0</v>
      </c>
      <c r="W30" s="158">
        <f t="shared" si="3"/>
        <v>0</v>
      </c>
      <c r="X30" s="199">
        <f t="shared" si="4"/>
        <v>0</v>
      </c>
      <c r="Y30" s="159">
        <f t="shared" si="5"/>
        <v>1371.0999999999995</v>
      </c>
      <c r="Z30" s="181"/>
      <c r="AA30" s="148">
        <f t="shared" si="6"/>
        <v>2.1</v>
      </c>
      <c r="AB30" s="149">
        <f t="shared" si="7"/>
        <v>1.3</v>
      </c>
      <c r="AC30" s="149">
        <f t="shared" si="8"/>
        <v>0.6</v>
      </c>
      <c r="AD30" s="203">
        <f t="shared" si="9"/>
        <v>4</v>
      </c>
      <c r="AE30" s="150">
        <f t="shared" si="10"/>
        <v>419.8</v>
      </c>
      <c r="AF30" s="182"/>
      <c r="AG30" s="139">
        <f t="shared" si="11"/>
        <v>0</v>
      </c>
      <c r="AH30" s="140">
        <f t="shared" si="12"/>
        <v>0</v>
      </c>
      <c r="AI30" s="141">
        <f t="shared" si="13"/>
        <v>417</v>
      </c>
      <c r="AJ30" s="166">
        <f t="shared" si="14"/>
        <v>31901</v>
      </c>
      <c r="AK30" s="167">
        <f t="shared" si="14"/>
        <v>15300</v>
      </c>
      <c r="AL30" s="168">
        <f t="shared" si="15"/>
        <v>5200</v>
      </c>
      <c r="AM30" s="237">
        <f t="shared" si="27"/>
        <v>0.20754911023614112</v>
      </c>
      <c r="AN30" s="70" t="str">
        <f t="shared" si="25"/>
        <v>FWE</v>
      </c>
      <c r="AO30" s="241">
        <f t="shared" si="26"/>
        <v>42216.98333333333</v>
      </c>
      <c r="AP30" s="45" t="s">
        <v>40</v>
      </c>
      <c r="AQ30" s="98">
        <v>41.9</v>
      </c>
      <c r="AR30" s="99">
        <v>34.071512000000006</v>
      </c>
      <c r="AS30" s="99">
        <v>6.8143024000000008</v>
      </c>
      <c r="AT30" s="100">
        <v>29</v>
      </c>
      <c r="AU30" s="101">
        <v>5.8</v>
      </c>
      <c r="AV30" s="100">
        <v>29</v>
      </c>
      <c r="AW30" s="101">
        <v>5.8</v>
      </c>
      <c r="AX30" s="101">
        <v>14.884904432770712</v>
      </c>
      <c r="AY30" s="99">
        <v>14.884904432770712</v>
      </c>
      <c r="AZ30" s="102"/>
      <c r="BA30" s="102"/>
      <c r="BB30" s="103">
        <v>1.7480000000000002</v>
      </c>
      <c r="BC30" s="104">
        <v>0</v>
      </c>
      <c r="BD30" s="98">
        <v>2.1</v>
      </c>
      <c r="BE30" s="105">
        <v>1.38</v>
      </c>
      <c r="BF30" s="104">
        <v>0</v>
      </c>
      <c r="BG30" s="115">
        <v>0</v>
      </c>
      <c r="BH30" s="104">
        <v>0</v>
      </c>
      <c r="BI30" s="98">
        <v>1.3</v>
      </c>
      <c r="BJ30" s="105">
        <v>0.59629999999999994</v>
      </c>
      <c r="BK30" s="104">
        <v>0</v>
      </c>
      <c r="BL30" s="104">
        <v>0.6</v>
      </c>
      <c r="BM30" s="107"/>
      <c r="BN30" s="108">
        <v>0</v>
      </c>
      <c r="BO30" s="108">
        <v>0</v>
      </c>
      <c r="BP30" s="109">
        <v>4</v>
      </c>
      <c r="BQ30" s="110"/>
      <c r="BR30" s="108">
        <v>1371.0999999999995</v>
      </c>
      <c r="BS30" s="109">
        <v>0</v>
      </c>
      <c r="BT30" s="109">
        <v>419.8</v>
      </c>
      <c r="BU30" s="107"/>
      <c r="BV30" s="111">
        <v>0</v>
      </c>
      <c r="BW30" s="98">
        <v>0</v>
      </c>
      <c r="BX30" s="113"/>
      <c r="BY30" s="113">
        <v>260</v>
      </c>
      <c r="BZ30" s="114">
        <v>260</v>
      </c>
      <c r="CA30" s="114">
        <v>78</v>
      </c>
      <c r="CB30" s="114">
        <v>79</v>
      </c>
      <c r="CC30" s="99">
        <v>417</v>
      </c>
      <c r="CD30" s="115">
        <v>4</v>
      </c>
      <c r="CE30" s="116">
        <v>0</v>
      </c>
      <c r="CF30" s="90">
        <v>0</v>
      </c>
      <c r="CG30" s="90" t="s">
        <v>39</v>
      </c>
      <c r="CH30" s="90">
        <v>0</v>
      </c>
      <c r="CI30" s="90" t="s">
        <v>39</v>
      </c>
      <c r="CJ30" s="90">
        <v>0</v>
      </c>
      <c r="CK30" s="90" t="s">
        <v>39</v>
      </c>
      <c r="CL30" s="90"/>
      <c r="CM30" s="90">
        <v>68</v>
      </c>
      <c r="CN30" s="90">
        <v>70</v>
      </c>
      <c r="CO30" s="90">
        <v>2</v>
      </c>
      <c r="CP30" s="121">
        <v>31901</v>
      </c>
      <c r="CQ30" s="121">
        <v>15300</v>
      </c>
      <c r="CR30" s="100"/>
      <c r="CS30" s="121">
        <v>5200</v>
      </c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 t="s">
        <v>103</v>
      </c>
      <c r="B31" s="442">
        <v>42217.5</v>
      </c>
      <c r="C31" s="453"/>
      <c r="D31" s="84"/>
      <c r="E31" s="23"/>
      <c r="F31" s="15">
        <v>3669.2</v>
      </c>
      <c r="G31" s="213"/>
      <c r="H31" s="27">
        <f t="shared" si="16"/>
        <v>0</v>
      </c>
      <c r="I31" s="216" t="str">
        <f t="shared" si="17"/>
        <v/>
      </c>
      <c r="J31" s="29" t="str">
        <f ca="1">IF($J$5&gt;=B31,"N/A",SUM(INDIRECT(ADDRESS(6+(MATCH($J$5,$B$6:$B$59,0)),8)):H31))</f>
        <v>N/A</v>
      </c>
      <c r="K31" s="10">
        <v>0</v>
      </c>
      <c r="L31" s="88"/>
      <c r="M31" s="4">
        <f t="shared" si="18"/>
        <v>0</v>
      </c>
      <c r="N31" s="220" t="str">
        <f t="shared" si="0"/>
        <v/>
      </c>
      <c r="O31" s="30" t="str">
        <f ca="1">IF($O$5&gt;=B31,"N/A",SUM(INDIRECT(ADDRESS(6+(MATCH($O$5,$B$6:$B$59,0)),13)):M31))</f>
        <v>N/A</v>
      </c>
      <c r="P31" s="175" t="str">
        <f t="shared" si="19"/>
        <v/>
      </c>
      <c r="Q31" s="175" t="str">
        <f t="shared" si="20"/>
        <v/>
      </c>
      <c r="R31" s="175" t="str">
        <f t="shared" si="21"/>
        <v/>
      </c>
      <c r="S31" s="70" t="str">
        <f t="shared" si="22"/>
        <v>PNOON</v>
      </c>
      <c r="T31" s="241">
        <f t="shared" si="23"/>
        <v>42217.5</v>
      </c>
      <c r="U31" s="157">
        <f t="shared" si="1"/>
        <v>0</v>
      </c>
      <c r="V31" s="158">
        <f t="shared" si="2"/>
        <v>0</v>
      </c>
      <c r="W31" s="158">
        <f t="shared" si="3"/>
        <v>0</v>
      </c>
      <c r="X31" s="199">
        <f t="shared" si="4"/>
        <v>0</v>
      </c>
      <c r="Y31" s="159">
        <f t="shared" si="5"/>
        <v>1371.0999999999995</v>
      </c>
      <c r="Z31" s="181"/>
      <c r="AA31" s="148">
        <f t="shared" si="6"/>
        <v>0</v>
      </c>
      <c r="AB31" s="149">
        <f t="shared" si="7"/>
        <v>1.8</v>
      </c>
      <c r="AC31" s="149">
        <f t="shared" si="8"/>
        <v>20.399999999999999</v>
      </c>
      <c r="AD31" s="203">
        <f t="shared" si="9"/>
        <v>22.2</v>
      </c>
      <c r="AE31" s="150">
        <f t="shared" si="10"/>
        <v>397.6</v>
      </c>
      <c r="AF31" s="182"/>
      <c r="AG31" s="139">
        <f t="shared" si="11"/>
        <v>8</v>
      </c>
      <c r="AH31" s="140">
        <f t="shared" si="12"/>
        <v>0</v>
      </c>
      <c r="AI31" s="141">
        <f t="shared" si="13"/>
        <v>413</v>
      </c>
      <c r="AJ31" s="166">
        <f t="shared" si="14"/>
        <v>31901</v>
      </c>
      <c r="AK31" s="167">
        <f t="shared" si="14"/>
        <v>15300</v>
      </c>
      <c r="AL31" s="168">
        <f t="shared" si="15"/>
        <v>5200</v>
      </c>
      <c r="AM31" s="237" t="e">
        <f t="shared" si="27"/>
        <v>#VALUE!</v>
      </c>
      <c r="AN31" s="70" t="str">
        <f t="shared" si="25"/>
        <v>PNOON</v>
      </c>
      <c r="AO31" s="241">
        <f t="shared" si="26"/>
        <v>42217.5</v>
      </c>
      <c r="AP31" s="45" t="s">
        <v>40</v>
      </c>
      <c r="AQ31" s="98"/>
      <c r="AR31" s="99" t="s">
        <v>39</v>
      </c>
      <c r="AS31" s="99" t="s">
        <v>39</v>
      </c>
      <c r="AT31" s="100" t="s">
        <v>39</v>
      </c>
      <c r="AU31" s="101" t="s">
        <v>39</v>
      </c>
      <c r="AV31" s="100" t="s">
        <v>39</v>
      </c>
      <c r="AW31" s="101" t="s">
        <v>39</v>
      </c>
      <c r="AX31" s="101" t="s">
        <v>39</v>
      </c>
      <c r="AY31" s="99" t="s">
        <v>39</v>
      </c>
      <c r="AZ31" s="102"/>
      <c r="BA31" s="102"/>
      <c r="BB31" s="103">
        <v>-0.11040000000000028</v>
      </c>
      <c r="BC31" s="104">
        <v>0</v>
      </c>
      <c r="BD31" s="98">
        <v>0</v>
      </c>
      <c r="BE31" s="105">
        <v>2.806</v>
      </c>
      <c r="BF31" s="104">
        <v>0</v>
      </c>
      <c r="BG31" s="115">
        <v>0</v>
      </c>
      <c r="BH31" s="104">
        <v>0</v>
      </c>
      <c r="BI31" s="98">
        <v>1.8</v>
      </c>
      <c r="BJ31" s="105">
        <v>20.2119</v>
      </c>
      <c r="BK31" s="104">
        <v>0</v>
      </c>
      <c r="BL31" s="104">
        <v>20.399999999999999</v>
      </c>
      <c r="BM31" s="107"/>
      <c r="BN31" s="108">
        <v>0</v>
      </c>
      <c r="BO31" s="108">
        <v>0</v>
      </c>
      <c r="BP31" s="109">
        <v>22.2</v>
      </c>
      <c r="BQ31" s="110"/>
      <c r="BR31" s="108">
        <v>1371.0999999999995</v>
      </c>
      <c r="BS31" s="109">
        <v>0</v>
      </c>
      <c r="BT31" s="109">
        <v>397.6</v>
      </c>
      <c r="BU31" s="107"/>
      <c r="BV31" s="111">
        <v>0</v>
      </c>
      <c r="BW31" s="98">
        <v>0</v>
      </c>
      <c r="BX31" s="113"/>
      <c r="BY31" s="113">
        <v>256</v>
      </c>
      <c r="BZ31" s="114">
        <v>256</v>
      </c>
      <c r="CA31" s="114">
        <v>78</v>
      </c>
      <c r="CB31" s="114">
        <v>79</v>
      </c>
      <c r="CC31" s="99">
        <v>413</v>
      </c>
      <c r="CD31" s="115">
        <v>4</v>
      </c>
      <c r="CE31" s="116">
        <v>8</v>
      </c>
      <c r="CF31" s="90">
        <v>0</v>
      </c>
      <c r="CG31" s="90" t="s">
        <v>39</v>
      </c>
      <c r="CH31" s="90">
        <v>0</v>
      </c>
      <c r="CI31" s="90" t="s">
        <v>39</v>
      </c>
      <c r="CJ31" s="90">
        <v>0</v>
      </c>
      <c r="CK31" s="90" t="s">
        <v>39</v>
      </c>
      <c r="CL31" s="90"/>
      <c r="CM31" s="90">
        <v>0</v>
      </c>
      <c r="CN31" s="90">
        <v>0</v>
      </c>
      <c r="CO31" s="90">
        <v>0</v>
      </c>
      <c r="CP31" s="121">
        <v>31901</v>
      </c>
      <c r="CQ31" s="121">
        <v>15300</v>
      </c>
      <c r="CR31" s="100"/>
      <c r="CS31" s="121">
        <v>5200</v>
      </c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 t="s">
        <v>103</v>
      </c>
      <c r="B32" s="442">
        <v>42218.5</v>
      </c>
      <c r="C32" s="453"/>
      <c r="D32" s="84"/>
      <c r="E32" s="23"/>
      <c r="F32" s="15">
        <v>3669.2</v>
      </c>
      <c r="G32" s="213"/>
      <c r="H32" s="27">
        <f t="shared" si="16"/>
        <v>0</v>
      </c>
      <c r="I32" s="216" t="str">
        <f t="shared" si="17"/>
        <v/>
      </c>
      <c r="J32" s="29" t="str">
        <f ca="1">IF($J$5&gt;=B32,"N/A",SUM(INDIRECT(ADDRESS(6+(MATCH($J$5,$B$6:$B$59,0)),8)):H32))</f>
        <v>N/A</v>
      </c>
      <c r="K32" s="10">
        <v>0</v>
      </c>
      <c r="L32" s="88"/>
      <c r="M32" s="4">
        <f t="shared" si="18"/>
        <v>0</v>
      </c>
      <c r="N32" s="220" t="str">
        <f t="shared" si="0"/>
        <v/>
      </c>
      <c r="O32" s="30" t="str">
        <f ca="1">IF($O$5&gt;=B32,"N/A",SUM(INDIRECT(ADDRESS(6+(MATCH($O$5,$B$6:$B$59,0)),13)):M32))</f>
        <v>N/A</v>
      </c>
      <c r="P32" s="175" t="str">
        <f t="shared" si="19"/>
        <v/>
      </c>
      <c r="Q32" s="175" t="str">
        <f t="shared" si="20"/>
        <v/>
      </c>
      <c r="R32" s="175" t="str">
        <f t="shared" si="21"/>
        <v/>
      </c>
      <c r="S32" s="70" t="str">
        <f t="shared" si="22"/>
        <v>PNOON</v>
      </c>
      <c r="T32" s="241">
        <f t="shared" si="23"/>
        <v>42218.5</v>
      </c>
      <c r="U32" s="157">
        <f t="shared" si="1"/>
        <v>0</v>
      </c>
      <c r="V32" s="158">
        <f t="shared" si="2"/>
        <v>0</v>
      </c>
      <c r="W32" s="158">
        <f t="shared" si="3"/>
        <v>0</v>
      </c>
      <c r="X32" s="199">
        <f t="shared" si="4"/>
        <v>0</v>
      </c>
      <c r="Y32" s="159">
        <f t="shared" si="5"/>
        <v>1371.0999999999995</v>
      </c>
      <c r="Z32" s="181"/>
      <c r="AA32" s="148">
        <f t="shared" si="6"/>
        <v>0</v>
      </c>
      <c r="AB32" s="149">
        <f t="shared" si="7"/>
        <v>4.0999999999999996</v>
      </c>
      <c r="AC32" s="149">
        <f t="shared" si="8"/>
        <v>46.4</v>
      </c>
      <c r="AD32" s="203">
        <f t="shared" si="9"/>
        <v>50.5</v>
      </c>
      <c r="AE32" s="150">
        <f t="shared" si="10"/>
        <v>347.1</v>
      </c>
      <c r="AF32" s="182"/>
      <c r="AG32" s="139">
        <f t="shared" si="11"/>
        <v>8</v>
      </c>
      <c r="AH32" s="140">
        <f t="shared" si="12"/>
        <v>0</v>
      </c>
      <c r="AI32" s="141">
        <f t="shared" si="13"/>
        <v>403</v>
      </c>
      <c r="AJ32" s="166">
        <f t="shared" si="14"/>
        <v>31901</v>
      </c>
      <c r="AK32" s="167">
        <f t="shared" si="14"/>
        <v>15200</v>
      </c>
      <c r="AL32" s="168">
        <f t="shared" si="15"/>
        <v>5100</v>
      </c>
      <c r="AM32" s="237" t="e">
        <f t="shared" si="27"/>
        <v>#VALUE!</v>
      </c>
      <c r="AN32" s="70" t="str">
        <f t="shared" si="25"/>
        <v>PNOON</v>
      </c>
      <c r="AO32" s="241">
        <f t="shared" si="26"/>
        <v>42218.5</v>
      </c>
      <c r="AP32" s="45" t="s">
        <v>40</v>
      </c>
      <c r="AQ32" s="98"/>
      <c r="AR32" s="99" t="s">
        <v>39</v>
      </c>
      <c r="AS32" s="99" t="s">
        <v>39</v>
      </c>
      <c r="AT32" s="100" t="s">
        <v>39</v>
      </c>
      <c r="AU32" s="101" t="s">
        <v>39</v>
      </c>
      <c r="AV32" s="100" t="s">
        <v>39</v>
      </c>
      <c r="AW32" s="101" t="s">
        <v>39</v>
      </c>
      <c r="AX32" s="101" t="s">
        <v>39</v>
      </c>
      <c r="AY32" s="99" t="s">
        <v>39</v>
      </c>
      <c r="AZ32" s="102"/>
      <c r="BA32" s="102"/>
      <c r="BB32" s="103">
        <v>-0.43239999999999945</v>
      </c>
      <c r="BC32" s="104">
        <v>0</v>
      </c>
      <c r="BD32" s="98">
        <v>0</v>
      </c>
      <c r="BE32" s="105">
        <v>5.0599999999999996</v>
      </c>
      <c r="BF32" s="104">
        <v>0</v>
      </c>
      <c r="BG32" s="115">
        <v>0</v>
      </c>
      <c r="BH32" s="104">
        <v>0</v>
      </c>
      <c r="BI32" s="98">
        <v>4.0999999999999996</v>
      </c>
      <c r="BJ32" s="105">
        <v>44.802599999999998</v>
      </c>
      <c r="BK32" s="104">
        <v>0</v>
      </c>
      <c r="BL32" s="104">
        <v>46.4</v>
      </c>
      <c r="BM32" s="107"/>
      <c r="BN32" s="108">
        <v>0</v>
      </c>
      <c r="BO32" s="108">
        <v>0</v>
      </c>
      <c r="BP32" s="109">
        <v>50.5</v>
      </c>
      <c r="BQ32" s="110"/>
      <c r="BR32" s="108">
        <v>1371.0999999999995</v>
      </c>
      <c r="BS32" s="109">
        <v>0</v>
      </c>
      <c r="BT32" s="109">
        <v>347.1</v>
      </c>
      <c r="BU32" s="107"/>
      <c r="BV32" s="111">
        <v>0</v>
      </c>
      <c r="BW32" s="98">
        <v>0</v>
      </c>
      <c r="BX32" s="113"/>
      <c r="BY32" s="113">
        <v>251</v>
      </c>
      <c r="BZ32" s="114">
        <v>251</v>
      </c>
      <c r="CA32" s="114">
        <v>75</v>
      </c>
      <c r="CB32" s="114">
        <v>77</v>
      </c>
      <c r="CC32" s="99">
        <v>403</v>
      </c>
      <c r="CD32" s="115">
        <v>10</v>
      </c>
      <c r="CE32" s="116">
        <v>8</v>
      </c>
      <c r="CF32" s="90">
        <v>0</v>
      </c>
      <c r="CG32" s="90" t="s">
        <v>39</v>
      </c>
      <c r="CH32" s="90">
        <v>0</v>
      </c>
      <c r="CI32" s="90" t="s">
        <v>39</v>
      </c>
      <c r="CJ32" s="90">
        <v>0</v>
      </c>
      <c r="CK32" s="90" t="s">
        <v>39</v>
      </c>
      <c r="CL32" s="90"/>
      <c r="CM32" s="90">
        <v>0</v>
      </c>
      <c r="CN32" s="90">
        <v>0</v>
      </c>
      <c r="CO32" s="90">
        <v>0</v>
      </c>
      <c r="CP32" s="121">
        <v>31901</v>
      </c>
      <c r="CQ32" s="121">
        <v>15200</v>
      </c>
      <c r="CR32" s="100"/>
      <c r="CS32" s="121">
        <v>5100</v>
      </c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 t="s">
        <v>9</v>
      </c>
      <c r="B33" s="442">
        <v>42218.67083333333</v>
      </c>
      <c r="C33" s="453"/>
      <c r="D33" s="84"/>
      <c r="E33" s="23"/>
      <c r="F33" s="15">
        <v>3669.2</v>
      </c>
      <c r="G33" s="213"/>
      <c r="H33" s="27">
        <f t="shared" si="16"/>
        <v>0</v>
      </c>
      <c r="I33" s="216" t="str">
        <f t="shared" si="17"/>
        <v/>
      </c>
      <c r="J33" s="29" t="str">
        <f ca="1">IF($J$5&gt;=B33,"N/A",SUM(INDIRECT(ADDRESS(6+(MATCH($J$5,$B$6:$B$59,0)),8)):H33))</f>
        <v>N/A</v>
      </c>
      <c r="K33" s="10">
        <v>28</v>
      </c>
      <c r="L33" s="88">
        <v>-28.2</v>
      </c>
      <c r="M33" s="4">
        <f t="shared" si="18"/>
        <v>-56.2</v>
      </c>
      <c r="N33" s="220" t="str">
        <f t="shared" si="0"/>
        <v/>
      </c>
      <c r="O33" s="30" t="str">
        <f ca="1">IF($O$5&gt;=B33,"N/A",SUM(INDIRECT(ADDRESS(6+(MATCH($O$5,$B$6:$B$59,0)),13)):M33))</f>
        <v>N/A</v>
      </c>
      <c r="P33" s="175" t="str">
        <f t="shared" si="19"/>
        <v/>
      </c>
      <c r="Q33" s="175" t="str">
        <f t="shared" si="20"/>
        <v/>
      </c>
      <c r="R33" s="175" t="str">
        <f t="shared" si="21"/>
        <v/>
      </c>
      <c r="S33" s="70" t="str">
        <f t="shared" si="22"/>
        <v>SBE</v>
      </c>
      <c r="T33" s="241">
        <f t="shared" si="23"/>
        <v>42218.67083333333</v>
      </c>
      <c r="U33" s="157">
        <f t="shared" si="1"/>
        <v>0</v>
      </c>
      <c r="V33" s="158">
        <f t="shared" si="2"/>
        <v>0</v>
      </c>
      <c r="W33" s="158">
        <f t="shared" si="3"/>
        <v>0</v>
      </c>
      <c r="X33" s="199">
        <f t="shared" si="4"/>
        <v>0</v>
      </c>
      <c r="Y33" s="159">
        <f t="shared" si="5"/>
        <v>1371.0999999999995</v>
      </c>
      <c r="Z33" s="181"/>
      <c r="AA33" s="148">
        <f t="shared" si="6"/>
        <v>0</v>
      </c>
      <c r="AB33" s="149">
        <f t="shared" si="7"/>
        <v>0.8</v>
      </c>
      <c r="AC33" s="149">
        <f t="shared" si="8"/>
        <v>3.6</v>
      </c>
      <c r="AD33" s="203">
        <f t="shared" si="9"/>
        <v>4.4000000000000004</v>
      </c>
      <c r="AE33" s="150">
        <f t="shared" si="10"/>
        <v>342.70000000000005</v>
      </c>
      <c r="AF33" s="182"/>
      <c r="AG33" s="139">
        <f t="shared" si="11"/>
        <v>3</v>
      </c>
      <c r="AH33" s="140">
        <f t="shared" si="12"/>
        <v>0</v>
      </c>
      <c r="AI33" s="141">
        <f t="shared" si="13"/>
        <v>400</v>
      </c>
      <c r="AJ33" s="166">
        <f t="shared" si="14"/>
        <v>31901</v>
      </c>
      <c r="AK33" s="167">
        <f t="shared" si="14"/>
        <v>15200</v>
      </c>
      <c r="AL33" s="168">
        <f t="shared" si="15"/>
        <v>5100</v>
      </c>
      <c r="AM33" s="237" t="e">
        <f t="shared" si="27"/>
        <v>#VALUE!</v>
      </c>
      <c r="AN33" s="70" t="str">
        <f t="shared" si="25"/>
        <v>SBE</v>
      </c>
      <c r="AO33" s="241">
        <f t="shared" si="26"/>
        <v>42218.67083333333</v>
      </c>
      <c r="AP33" s="45" t="s">
        <v>40</v>
      </c>
      <c r="AQ33" s="98"/>
      <c r="AR33" s="99" t="s">
        <v>39</v>
      </c>
      <c r="AS33" s="99" t="s">
        <v>39</v>
      </c>
      <c r="AT33" s="100" t="s">
        <v>39</v>
      </c>
      <c r="AU33" s="101" t="s">
        <v>39</v>
      </c>
      <c r="AV33" s="100" t="s">
        <v>39</v>
      </c>
      <c r="AW33" s="101" t="s">
        <v>39</v>
      </c>
      <c r="AX33" s="101" t="s">
        <v>39</v>
      </c>
      <c r="AY33" s="99" t="s">
        <v>39</v>
      </c>
      <c r="AZ33" s="102"/>
      <c r="BA33" s="102"/>
      <c r="BB33" s="103">
        <v>-0.10120000000000029</v>
      </c>
      <c r="BC33" s="104">
        <v>0</v>
      </c>
      <c r="BD33" s="98">
        <v>0</v>
      </c>
      <c r="BE33" s="105">
        <v>0.94760000000000033</v>
      </c>
      <c r="BF33" s="104">
        <v>0</v>
      </c>
      <c r="BG33" s="115">
        <v>0</v>
      </c>
      <c r="BH33" s="104">
        <v>0</v>
      </c>
      <c r="BI33" s="98">
        <v>0.8</v>
      </c>
      <c r="BJ33" s="105">
        <v>2.9014000000000002</v>
      </c>
      <c r="BK33" s="104">
        <v>0</v>
      </c>
      <c r="BL33" s="104">
        <v>3.6</v>
      </c>
      <c r="BM33" s="107"/>
      <c r="BN33" s="108">
        <v>0</v>
      </c>
      <c r="BO33" s="108">
        <v>0</v>
      </c>
      <c r="BP33" s="109">
        <v>4.4000000000000004</v>
      </c>
      <c r="BQ33" s="110"/>
      <c r="BR33" s="108">
        <v>1371.0999999999995</v>
      </c>
      <c r="BS33" s="109">
        <v>0</v>
      </c>
      <c r="BT33" s="109">
        <v>342.70000000000005</v>
      </c>
      <c r="BU33" s="107"/>
      <c r="BV33" s="111">
        <v>0</v>
      </c>
      <c r="BW33" s="98">
        <v>0</v>
      </c>
      <c r="BX33" s="113"/>
      <c r="BY33" s="113">
        <v>248</v>
      </c>
      <c r="BZ33" s="114">
        <v>248</v>
      </c>
      <c r="CA33" s="114">
        <v>75</v>
      </c>
      <c r="CB33" s="114">
        <v>77</v>
      </c>
      <c r="CC33" s="99">
        <v>400</v>
      </c>
      <c r="CD33" s="115">
        <v>3</v>
      </c>
      <c r="CE33" s="116">
        <v>3</v>
      </c>
      <c r="CF33" s="90">
        <v>0</v>
      </c>
      <c r="CG33" s="90" t="s">
        <v>39</v>
      </c>
      <c r="CH33" s="90">
        <v>0</v>
      </c>
      <c r="CI33" s="90" t="s">
        <v>39</v>
      </c>
      <c r="CJ33" s="90">
        <v>0</v>
      </c>
      <c r="CK33" s="90" t="s">
        <v>39</v>
      </c>
      <c r="CL33" s="90"/>
      <c r="CM33" s="90">
        <v>0</v>
      </c>
      <c r="CN33" s="90">
        <v>0</v>
      </c>
      <c r="CO33" s="90">
        <v>0</v>
      </c>
      <c r="CP33" s="121">
        <v>31901</v>
      </c>
      <c r="CQ33" s="121">
        <v>15200</v>
      </c>
      <c r="CR33" s="100"/>
      <c r="CS33" s="121">
        <v>5100</v>
      </c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 t="s">
        <v>103</v>
      </c>
      <c r="B34" s="442">
        <v>42219.5</v>
      </c>
      <c r="C34" s="443"/>
      <c r="D34" s="84"/>
      <c r="E34" s="23">
        <v>3</v>
      </c>
      <c r="F34" s="15">
        <v>3692.8</v>
      </c>
      <c r="G34" s="213"/>
      <c r="H34" s="27">
        <f t="shared" si="16"/>
        <v>23.600000000000364</v>
      </c>
      <c r="I34" s="216">
        <f t="shared" si="17"/>
        <v>7.8666666666667879</v>
      </c>
      <c r="J34" s="29" t="str">
        <f ca="1">IF($J$5&gt;=B34,"N/A",SUM(INDIRECT(ADDRESS(6+(MATCH($J$5,$B$6:$B$59,0)),8)):H34))</f>
        <v>N/A</v>
      </c>
      <c r="K34" s="10">
        <v>4</v>
      </c>
      <c r="L34" s="88"/>
      <c r="M34" s="4">
        <f t="shared" si="18"/>
        <v>24</v>
      </c>
      <c r="N34" s="220">
        <f t="shared" si="0"/>
        <v>8</v>
      </c>
      <c r="O34" s="30" t="str">
        <f ca="1">IF($O$5&gt;=B34,"N/A",SUM(INDIRECT(ADDRESS(6+(MATCH($O$5,$B$6:$B$59,0)),13)):M34))</f>
        <v>N/A</v>
      </c>
      <c r="P34" s="175">
        <f t="shared" si="19"/>
        <v>54</v>
      </c>
      <c r="Q34" s="175">
        <f t="shared" si="20"/>
        <v>7.9942394579952962</v>
      </c>
      <c r="R34" s="175">
        <f t="shared" si="21"/>
        <v>26.085323200000001</v>
      </c>
      <c r="S34" s="70" t="str">
        <f t="shared" si="22"/>
        <v>PNOON</v>
      </c>
      <c r="T34" s="241">
        <f t="shared" si="23"/>
        <v>42219.5</v>
      </c>
      <c r="U34" s="157">
        <f t="shared" si="1"/>
        <v>0</v>
      </c>
      <c r="V34" s="158">
        <f t="shared" si="2"/>
        <v>0</v>
      </c>
      <c r="W34" s="158">
        <f t="shared" si="3"/>
        <v>0</v>
      </c>
      <c r="X34" s="199">
        <f t="shared" si="4"/>
        <v>0</v>
      </c>
      <c r="Y34" s="159">
        <f t="shared" si="5"/>
        <v>1371.0999999999995</v>
      </c>
      <c r="Z34" s="181"/>
      <c r="AA34" s="148">
        <f t="shared" si="6"/>
        <v>1.3</v>
      </c>
      <c r="AB34" s="149">
        <f t="shared" si="7"/>
        <v>2.5</v>
      </c>
      <c r="AC34" s="149">
        <f t="shared" si="8"/>
        <v>1.3</v>
      </c>
      <c r="AD34" s="203">
        <f t="shared" si="9"/>
        <v>5.0999999999999996</v>
      </c>
      <c r="AE34" s="150">
        <f t="shared" si="10"/>
        <v>337.6</v>
      </c>
      <c r="AF34" s="182"/>
      <c r="AG34" s="139">
        <f t="shared" si="11"/>
        <v>8</v>
      </c>
      <c r="AH34" s="140">
        <f t="shared" si="12"/>
        <v>0</v>
      </c>
      <c r="AI34" s="141">
        <f t="shared" si="13"/>
        <v>392</v>
      </c>
      <c r="AJ34" s="166">
        <f t="shared" si="14"/>
        <v>31862</v>
      </c>
      <c r="AK34" s="167">
        <f t="shared" si="14"/>
        <v>15200</v>
      </c>
      <c r="AL34" s="168">
        <f t="shared" si="15"/>
        <v>5050</v>
      </c>
      <c r="AM34" s="237">
        <f t="shared" si="27"/>
        <v>9.5276688003606461E-2</v>
      </c>
      <c r="AN34" s="70" t="str">
        <f t="shared" si="25"/>
        <v>PNOON</v>
      </c>
      <c r="AO34" s="241">
        <f t="shared" si="26"/>
        <v>42219.5</v>
      </c>
      <c r="AP34" s="45" t="s">
        <v>40</v>
      </c>
      <c r="AQ34" s="98">
        <v>54</v>
      </c>
      <c r="AR34" s="99">
        <v>26.085323200000001</v>
      </c>
      <c r="AS34" s="99">
        <v>8.6951077333333338</v>
      </c>
      <c r="AT34" s="100">
        <v>24</v>
      </c>
      <c r="AU34" s="101">
        <v>8</v>
      </c>
      <c r="AV34" s="100">
        <v>24</v>
      </c>
      <c r="AW34" s="101">
        <v>8</v>
      </c>
      <c r="AX34" s="101">
        <v>7.9942394579952962</v>
      </c>
      <c r="AY34" s="99">
        <v>7.9942394579952962</v>
      </c>
      <c r="AZ34" s="102"/>
      <c r="BA34" s="102"/>
      <c r="BB34" s="103">
        <v>0.69000000000000172</v>
      </c>
      <c r="BC34" s="104">
        <v>0</v>
      </c>
      <c r="BD34" s="98">
        <v>1.3</v>
      </c>
      <c r="BE34" s="105">
        <v>2.6955999999999984</v>
      </c>
      <c r="BF34" s="104">
        <v>0</v>
      </c>
      <c r="BG34" s="115">
        <v>0</v>
      </c>
      <c r="BH34" s="104">
        <v>0</v>
      </c>
      <c r="BI34" s="98">
        <v>2.5</v>
      </c>
      <c r="BJ34" s="105">
        <v>1.3884000000000001</v>
      </c>
      <c r="BK34" s="104">
        <v>0</v>
      </c>
      <c r="BL34" s="104">
        <v>1.3</v>
      </c>
      <c r="BM34" s="107"/>
      <c r="BN34" s="108">
        <v>0</v>
      </c>
      <c r="BO34" s="108">
        <v>0</v>
      </c>
      <c r="BP34" s="109">
        <v>5.0999999999999996</v>
      </c>
      <c r="BQ34" s="110"/>
      <c r="BR34" s="108">
        <v>1371.0999999999995</v>
      </c>
      <c r="BS34" s="109">
        <v>0</v>
      </c>
      <c r="BT34" s="109">
        <v>337.6</v>
      </c>
      <c r="BU34" s="107"/>
      <c r="BV34" s="111">
        <v>0</v>
      </c>
      <c r="BW34" s="98">
        <v>0</v>
      </c>
      <c r="BX34" s="113"/>
      <c r="BY34" s="113">
        <v>240</v>
      </c>
      <c r="BZ34" s="114">
        <v>240</v>
      </c>
      <c r="CA34" s="114">
        <v>75</v>
      </c>
      <c r="CB34" s="114">
        <v>77</v>
      </c>
      <c r="CC34" s="99">
        <v>392</v>
      </c>
      <c r="CD34" s="115">
        <v>8</v>
      </c>
      <c r="CE34" s="116">
        <v>8</v>
      </c>
      <c r="CF34" s="90">
        <v>0</v>
      </c>
      <c r="CG34" s="90" t="s">
        <v>39</v>
      </c>
      <c r="CH34" s="90">
        <v>0</v>
      </c>
      <c r="CI34" s="90" t="s">
        <v>39</v>
      </c>
      <c r="CJ34" s="90">
        <v>0</v>
      </c>
      <c r="CK34" s="90" t="s">
        <v>39</v>
      </c>
      <c r="CL34" s="90"/>
      <c r="CM34" s="90">
        <v>39</v>
      </c>
      <c r="CN34" s="90">
        <v>39</v>
      </c>
      <c r="CO34" s="90">
        <v>0</v>
      </c>
      <c r="CP34" s="121">
        <v>31862</v>
      </c>
      <c r="CQ34" s="121">
        <v>15200</v>
      </c>
      <c r="CR34" s="100"/>
      <c r="CS34" s="121">
        <v>5050</v>
      </c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 t="s">
        <v>9</v>
      </c>
      <c r="B35" s="442">
        <v>42220.458333333336</v>
      </c>
      <c r="C35" s="443"/>
      <c r="D35" s="84"/>
      <c r="E35" s="23">
        <v>0.5</v>
      </c>
      <c r="F35" s="15">
        <v>2.5</v>
      </c>
      <c r="G35" s="213">
        <v>3692.8</v>
      </c>
      <c r="H35" s="27">
        <f t="shared" si="16"/>
        <v>2.5</v>
      </c>
      <c r="I35" s="216">
        <f t="shared" si="17"/>
        <v>5</v>
      </c>
      <c r="J35" s="29" t="str">
        <f ca="1">IF($J$5&gt;=B35,"N/A",SUM(INDIRECT(ADDRESS(6+(MATCH($J$5,$B$6:$B$59,0)),8)):H35))</f>
        <v>N/A</v>
      </c>
      <c r="K35" s="10">
        <v>3702.5</v>
      </c>
      <c r="L35" s="88">
        <f>3702.5-1.5</f>
        <v>3701</v>
      </c>
      <c r="M35" s="4">
        <f t="shared" si="18"/>
        <v>2.5</v>
      </c>
      <c r="N35" s="220">
        <f t="shared" si="0"/>
        <v>5</v>
      </c>
      <c r="O35" s="30" t="str">
        <f ca="1">IF($O$5&gt;=B35,"N/A",SUM(INDIRECT(ADDRESS(6+(MATCH($O$5,$B$6:$B$59,0)),13)):M35))</f>
        <v>N/A</v>
      </c>
      <c r="P35" s="175" t="str">
        <f t="shared" si="19"/>
        <v/>
      </c>
      <c r="Q35" s="175" t="str">
        <f t="shared" si="20"/>
        <v/>
      </c>
      <c r="R35" s="175" t="str">
        <f t="shared" si="21"/>
        <v/>
      </c>
      <c r="S35" s="70" t="str">
        <f t="shared" si="22"/>
        <v>SBE</v>
      </c>
      <c r="T35" s="241">
        <f t="shared" si="23"/>
        <v>42220.458333333336</v>
      </c>
      <c r="U35" s="157">
        <f t="shared" si="1"/>
        <v>0</v>
      </c>
      <c r="V35" s="158">
        <f t="shared" si="2"/>
        <v>0</v>
      </c>
      <c r="W35" s="158">
        <f t="shared" si="3"/>
        <v>0</v>
      </c>
      <c r="X35" s="199">
        <f t="shared" si="4"/>
        <v>0</v>
      </c>
      <c r="Y35" s="159">
        <f t="shared" si="5"/>
        <v>1371.0999999999995</v>
      </c>
      <c r="Z35" s="181"/>
      <c r="AA35" s="148">
        <f t="shared" si="6"/>
        <v>0.4</v>
      </c>
      <c r="AB35" s="149">
        <f t="shared" si="7"/>
        <v>1.9</v>
      </c>
      <c r="AC35" s="149">
        <f t="shared" si="8"/>
        <v>1.6</v>
      </c>
      <c r="AD35" s="203">
        <f t="shared" si="9"/>
        <v>3.9</v>
      </c>
      <c r="AE35" s="150">
        <f t="shared" si="10"/>
        <v>333.70000000000005</v>
      </c>
      <c r="AF35" s="182"/>
      <c r="AG35" s="139">
        <f t="shared" si="11"/>
        <v>10</v>
      </c>
      <c r="AH35" s="140">
        <f t="shared" si="12"/>
        <v>0</v>
      </c>
      <c r="AI35" s="141">
        <f t="shared" si="13"/>
        <v>382</v>
      </c>
      <c r="AJ35" s="166">
        <f t="shared" si="14"/>
        <v>31862</v>
      </c>
      <c r="AK35" s="167">
        <f t="shared" si="14"/>
        <v>15200</v>
      </c>
      <c r="AL35" s="168">
        <f t="shared" si="15"/>
        <v>5050</v>
      </c>
      <c r="AM35" s="237" t="e">
        <f t="shared" si="27"/>
        <v>#VALUE!</v>
      </c>
      <c r="AN35" s="70" t="str">
        <f t="shared" si="25"/>
        <v>SBE</v>
      </c>
      <c r="AO35" s="241">
        <f t="shared" si="26"/>
        <v>42220.458333333336</v>
      </c>
      <c r="AP35" s="45" t="s">
        <v>40</v>
      </c>
      <c r="AQ35" s="98"/>
      <c r="AR35" s="99" t="s">
        <v>39</v>
      </c>
      <c r="AS35" s="99" t="s">
        <v>39</v>
      </c>
      <c r="AT35" s="100" t="s">
        <v>39</v>
      </c>
      <c r="AU35" s="101" t="s">
        <v>39</v>
      </c>
      <c r="AV35" s="100" t="s">
        <v>39</v>
      </c>
      <c r="AW35" s="101" t="s">
        <v>39</v>
      </c>
      <c r="AX35" s="101" t="s">
        <v>39</v>
      </c>
      <c r="AY35" s="99" t="s">
        <v>39</v>
      </c>
      <c r="AZ35" s="102"/>
      <c r="BA35" s="102"/>
      <c r="BB35" s="103">
        <v>-0.53359999999999896</v>
      </c>
      <c r="BC35" s="104">
        <v>0</v>
      </c>
      <c r="BD35" s="98">
        <v>0.4</v>
      </c>
      <c r="BE35" s="105">
        <v>3.0267999999999993</v>
      </c>
      <c r="BF35" s="104">
        <v>0</v>
      </c>
      <c r="BG35" s="115">
        <v>0</v>
      </c>
      <c r="BH35" s="104">
        <v>0</v>
      </c>
      <c r="BI35" s="98">
        <v>1.9</v>
      </c>
      <c r="BJ35" s="105">
        <v>1.7177</v>
      </c>
      <c r="BK35" s="104">
        <v>0</v>
      </c>
      <c r="BL35" s="104">
        <v>1.6</v>
      </c>
      <c r="BM35" s="107"/>
      <c r="BN35" s="108">
        <v>0</v>
      </c>
      <c r="BO35" s="108">
        <v>0</v>
      </c>
      <c r="BP35" s="109">
        <v>3.9</v>
      </c>
      <c r="BQ35" s="110"/>
      <c r="BR35" s="108">
        <v>1371.0999999999995</v>
      </c>
      <c r="BS35" s="109">
        <v>0</v>
      </c>
      <c r="BT35" s="109">
        <v>333.70000000000005</v>
      </c>
      <c r="BU35" s="107"/>
      <c r="BV35" s="111">
        <v>0</v>
      </c>
      <c r="BW35" s="98">
        <v>0</v>
      </c>
      <c r="BX35" s="113"/>
      <c r="BY35" s="113">
        <v>236</v>
      </c>
      <c r="BZ35" s="114">
        <v>236</v>
      </c>
      <c r="CA35" s="114">
        <v>69</v>
      </c>
      <c r="CB35" s="114">
        <v>77</v>
      </c>
      <c r="CC35" s="99">
        <v>382</v>
      </c>
      <c r="CD35" s="115">
        <v>10</v>
      </c>
      <c r="CE35" s="116">
        <v>10</v>
      </c>
      <c r="CF35" s="90">
        <v>0</v>
      </c>
      <c r="CG35" s="90" t="s">
        <v>39</v>
      </c>
      <c r="CH35" s="90">
        <v>0</v>
      </c>
      <c r="CI35" s="90" t="s">
        <v>39</v>
      </c>
      <c r="CJ35" s="90">
        <v>0</v>
      </c>
      <c r="CK35" s="90" t="s">
        <v>39</v>
      </c>
      <c r="CL35" s="90"/>
      <c r="CM35" s="90">
        <v>0</v>
      </c>
      <c r="CN35" s="90">
        <v>0</v>
      </c>
      <c r="CO35" s="90">
        <v>0</v>
      </c>
      <c r="CP35" s="121">
        <v>31862</v>
      </c>
      <c r="CQ35" s="121">
        <v>15200</v>
      </c>
      <c r="CR35" s="100"/>
      <c r="CS35" s="121">
        <v>5050</v>
      </c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 t="s">
        <v>27</v>
      </c>
      <c r="B36" s="442">
        <v>42220.5</v>
      </c>
      <c r="C36" s="453"/>
      <c r="D36" s="84"/>
      <c r="E36" s="23">
        <v>1</v>
      </c>
      <c r="F36" s="15">
        <v>10.199999999999999</v>
      </c>
      <c r="G36" s="213">
        <v>2.5</v>
      </c>
      <c r="H36" s="27">
        <f t="shared" si="16"/>
        <v>10.199999999999999</v>
      </c>
      <c r="I36" s="216">
        <f t="shared" si="17"/>
        <v>10.199999999999999</v>
      </c>
      <c r="J36" s="29" t="str">
        <f ca="1">IF($J$5&gt;=B36,"N/A",SUM(INDIRECT(ADDRESS(6+(MATCH($J$5,$B$6:$B$59,0)),8)):H36))</f>
        <v>N/A</v>
      </c>
      <c r="K36" s="10">
        <v>3692.3</v>
      </c>
      <c r="L36" s="88"/>
      <c r="M36" s="4">
        <f t="shared" si="18"/>
        <v>10.199999999999818</v>
      </c>
      <c r="N36" s="220">
        <f t="shared" si="0"/>
        <v>10.199999999999818</v>
      </c>
      <c r="O36" s="30" t="str">
        <f ca="1">IF($O$5&gt;=B36,"N/A",SUM(INDIRECT(ADDRESS(6+(MATCH($O$5,$B$6:$B$59,0)),13)):M36))</f>
        <v>N/A</v>
      </c>
      <c r="P36" s="175">
        <f t="shared" si="19"/>
        <v>62.2</v>
      </c>
      <c r="Q36" s="175">
        <f t="shared" si="20"/>
        <v>-0.61791334842515966</v>
      </c>
      <c r="R36" s="175">
        <f t="shared" si="21"/>
        <v>10.1373599</v>
      </c>
      <c r="S36" s="70" t="str">
        <f t="shared" si="22"/>
        <v>BOSP</v>
      </c>
      <c r="T36" s="241">
        <f t="shared" si="23"/>
        <v>42220.5</v>
      </c>
      <c r="U36" s="157">
        <f t="shared" si="1"/>
        <v>0</v>
      </c>
      <c r="V36" s="158">
        <f t="shared" si="2"/>
        <v>0</v>
      </c>
      <c r="W36" s="158">
        <f t="shared" si="3"/>
        <v>0</v>
      </c>
      <c r="X36" s="199">
        <f t="shared" si="4"/>
        <v>0</v>
      </c>
      <c r="Y36" s="159">
        <f t="shared" si="5"/>
        <v>1371.0999999999995</v>
      </c>
      <c r="Z36" s="181"/>
      <c r="AA36" s="148">
        <f t="shared" si="6"/>
        <v>0.8</v>
      </c>
      <c r="AB36" s="149">
        <f t="shared" si="7"/>
        <v>0.2</v>
      </c>
      <c r="AC36" s="149">
        <f t="shared" si="8"/>
        <v>0</v>
      </c>
      <c r="AD36" s="203">
        <f t="shared" si="9"/>
        <v>1</v>
      </c>
      <c r="AE36" s="150">
        <f t="shared" si="10"/>
        <v>332.70000000000005</v>
      </c>
      <c r="AF36" s="182"/>
      <c r="AG36" s="139">
        <f t="shared" si="11"/>
        <v>0</v>
      </c>
      <c r="AH36" s="140">
        <f t="shared" si="12"/>
        <v>0</v>
      </c>
      <c r="AI36" s="141">
        <f t="shared" si="13"/>
        <v>382</v>
      </c>
      <c r="AJ36" s="166">
        <f t="shared" si="14"/>
        <v>31850</v>
      </c>
      <c r="AK36" s="167">
        <f t="shared" si="14"/>
        <v>15200</v>
      </c>
      <c r="AL36" s="168">
        <f t="shared" si="15"/>
        <v>5050</v>
      </c>
      <c r="AM36" s="237">
        <f t="shared" si="27"/>
        <v>-6.179133484251597E-3</v>
      </c>
      <c r="AN36" s="70" t="str">
        <f t="shared" si="25"/>
        <v>BOSP</v>
      </c>
      <c r="AO36" s="241">
        <f t="shared" si="26"/>
        <v>42220.5</v>
      </c>
      <c r="AP36" s="45" t="s">
        <v>40</v>
      </c>
      <c r="AQ36" s="98">
        <v>62.2</v>
      </c>
      <c r="AR36" s="99">
        <v>10.1373599</v>
      </c>
      <c r="AS36" s="99">
        <v>10.1373599</v>
      </c>
      <c r="AT36" s="100">
        <v>10.199999999999999</v>
      </c>
      <c r="AU36" s="101">
        <v>10.199999999999999</v>
      </c>
      <c r="AV36" s="100">
        <v>10.199999999999999</v>
      </c>
      <c r="AW36" s="101">
        <v>10.199999999999999</v>
      </c>
      <c r="AX36" s="101">
        <v>-0.61791334842515966</v>
      </c>
      <c r="AY36" s="99">
        <v>-0.61791334842515966</v>
      </c>
      <c r="AZ36" s="102"/>
      <c r="BA36" s="102"/>
      <c r="BB36" s="103">
        <v>0.81879999999999997</v>
      </c>
      <c r="BC36" s="104">
        <v>0</v>
      </c>
      <c r="BD36" s="98">
        <v>0.8</v>
      </c>
      <c r="BE36" s="105">
        <v>0.14720000000000005</v>
      </c>
      <c r="BF36" s="104">
        <v>0</v>
      </c>
      <c r="BG36" s="115">
        <v>0</v>
      </c>
      <c r="BH36" s="104">
        <v>0</v>
      </c>
      <c r="BI36" s="98">
        <v>0.2</v>
      </c>
      <c r="BJ36" s="105">
        <v>0</v>
      </c>
      <c r="BK36" s="104">
        <v>0</v>
      </c>
      <c r="BL36" s="104">
        <v>0</v>
      </c>
      <c r="BM36" s="107"/>
      <c r="BN36" s="108">
        <v>0</v>
      </c>
      <c r="BO36" s="108">
        <v>0</v>
      </c>
      <c r="BP36" s="109">
        <v>1</v>
      </c>
      <c r="BQ36" s="110"/>
      <c r="BR36" s="108">
        <v>1371.0999999999995</v>
      </c>
      <c r="BS36" s="109">
        <v>0</v>
      </c>
      <c r="BT36" s="109">
        <v>332.70000000000005</v>
      </c>
      <c r="BU36" s="107"/>
      <c r="BV36" s="111">
        <v>0</v>
      </c>
      <c r="BW36" s="98">
        <v>0</v>
      </c>
      <c r="BX36" s="113"/>
      <c r="BY36" s="113">
        <v>236</v>
      </c>
      <c r="BZ36" s="114">
        <v>236</v>
      </c>
      <c r="CA36" s="114">
        <v>69</v>
      </c>
      <c r="CB36" s="114">
        <v>77</v>
      </c>
      <c r="CC36" s="99">
        <v>382</v>
      </c>
      <c r="CD36" s="115">
        <v>0</v>
      </c>
      <c r="CE36" s="116">
        <v>0</v>
      </c>
      <c r="CF36" s="90">
        <v>0</v>
      </c>
      <c r="CG36" s="90" t="s">
        <v>39</v>
      </c>
      <c r="CH36" s="90">
        <v>0</v>
      </c>
      <c r="CI36" s="90" t="s">
        <v>39</v>
      </c>
      <c r="CJ36" s="90">
        <v>0</v>
      </c>
      <c r="CK36" s="90" t="s">
        <v>39</v>
      </c>
      <c r="CL36" s="90"/>
      <c r="CM36" s="90">
        <v>12</v>
      </c>
      <c r="CN36" s="90">
        <v>12</v>
      </c>
      <c r="CO36" s="90">
        <v>0</v>
      </c>
      <c r="CP36" s="121">
        <v>31850</v>
      </c>
      <c r="CQ36" s="121">
        <v>15200</v>
      </c>
      <c r="CR36" s="100"/>
      <c r="CS36" s="121">
        <v>5050</v>
      </c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x14ac:dyDescent="0.25">
      <c r="A37" s="83" t="s">
        <v>11</v>
      </c>
      <c r="B37" s="442">
        <v>42221.5</v>
      </c>
      <c r="C37" s="453"/>
      <c r="D37" s="84"/>
      <c r="E37" s="23">
        <v>25</v>
      </c>
      <c r="F37" s="15">
        <v>282.10000000000002</v>
      </c>
      <c r="G37" s="213"/>
      <c r="H37" s="27">
        <f t="shared" si="16"/>
        <v>271.90000000000003</v>
      </c>
      <c r="I37" s="216">
        <f t="shared" si="17"/>
        <v>10.876000000000001</v>
      </c>
      <c r="J37" s="29">
        <f ca="1">IF($J$5&gt;=B37,"N/A",SUM(INDIRECT(ADDRESS(6+(MATCH($J$5,$B$6:$B$59,0)),8)):H37))</f>
        <v>271.90000000000003</v>
      </c>
      <c r="K37" s="10">
        <v>3404.5</v>
      </c>
      <c r="L37" s="88"/>
      <c r="M37" s="4">
        <f t="shared" si="18"/>
        <v>287.80000000000018</v>
      </c>
      <c r="N37" s="220">
        <f t="shared" si="0"/>
        <v>11.512000000000008</v>
      </c>
      <c r="O37" s="30">
        <f ca="1">IF($O$5&gt;=B37,"N/A",SUM(INDIRECT(ADDRESS(6+(MATCH($O$5,$B$6:$B$59,0)),13)):M37))</f>
        <v>287.80000000000018</v>
      </c>
      <c r="P37" s="175">
        <f t="shared" si="19"/>
        <v>68.599999999999994</v>
      </c>
      <c r="Q37" s="175">
        <f t="shared" si="20"/>
        <v>-3.1737429950880776</v>
      </c>
      <c r="R37" s="175">
        <f t="shared" si="21"/>
        <v>278.94694100000004</v>
      </c>
      <c r="S37" s="70" t="str">
        <f t="shared" si="22"/>
        <v>NOON</v>
      </c>
      <c r="T37" s="241">
        <f t="shared" si="23"/>
        <v>42221.5</v>
      </c>
      <c r="U37" s="157">
        <f t="shared" si="1"/>
        <v>0</v>
      </c>
      <c r="V37" s="158">
        <f t="shared" si="2"/>
        <v>0</v>
      </c>
      <c r="W37" s="158">
        <f t="shared" si="3"/>
        <v>0</v>
      </c>
      <c r="X37" s="199">
        <f t="shared" si="4"/>
        <v>0</v>
      </c>
      <c r="Y37" s="159">
        <f t="shared" si="5"/>
        <v>1371.0999999999995</v>
      </c>
      <c r="Z37" s="181"/>
      <c r="AA37" s="148">
        <f t="shared" si="6"/>
        <v>21.7</v>
      </c>
      <c r="AB37" s="149">
        <f t="shared" si="7"/>
        <v>2.8</v>
      </c>
      <c r="AC37" s="149">
        <f t="shared" si="8"/>
        <v>0</v>
      </c>
      <c r="AD37" s="203">
        <f t="shared" si="9"/>
        <v>24.5</v>
      </c>
      <c r="AE37" s="150">
        <f t="shared" si="10"/>
        <v>308.20000000000005</v>
      </c>
      <c r="AF37" s="182"/>
      <c r="AG37" s="139">
        <f t="shared" si="11"/>
        <v>14</v>
      </c>
      <c r="AH37" s="140">
        <f t="shared" si="12"/>
        <v>21</v>
      </c>
      <c r="AI37" s="141">
        <f t="shared" si="13"/>
        <v>387</v>
      </c>
      <c r="AJ37" s="166">
        <f t="shared" si="14"/>
        <v>31559</v>
      </c>
      <c r="AK37" s="167">
        <f t="shared" si="14"/>
        <v>15100</v>
      </c>
      <c r="AL37" s="168">
        <f t="shared" si="15"/>
        <v>5000</v>
      </c>
      <c r="AM37" s="237">
        <f t="shared" si="27"/>
        <v>2.5262657388309566E-2</v>
      </c>
      <c r="AN37" s="70" t="str">
        <f t="shared" si="25"/>
        <v>NOON</v>
      </c>
      <c r="AO37" s="241">
        <f t="shared" si="26"/>
        <v>42221.5</v>
      </c>
      <c r="AP37" s="45" t="s">
        <v>40</v>
      </c>
      <c r="AQ37" s="98">
        <v>68.599999999999994</v>
      </c>
      <c r="AR37" s="99">
        <v>278.94694100000004</v>
      </c>
      <c r="AS37" s="99">
        <v>11.157877640000002</v>
      </c>
      <c r="AT37" s="100">
        <v>287.8</v>
      </c>
      <c r="AU37" s="101">
        <v>11.512</v>
      </c>
      <c r="AV37" s="100">
        <v>287.8</v>
      </c>
      <c r="AW37" s="101">
        <v>11.512</v>
      </c>
      <c r="AX37" s="101">
        <v>-3.1737429950880776</v>
      </c>
      <c r="AY37" s="99">
        <v>-3.1737429950880776</v>
      </c>
      <c r="AZ37" s="102"/>
      <c r="BA37" s="102"/>
      <c r="BB37" s="103">
        <v>23.027600000000003</v>
      </c>
      <c r="BC37" s="104">
        <v>0</v>
      </c>
      <c r="BD37" s="98">
        <v>21.7</v>
      </c>
      <c r="BE37" s="105">
        <v>3.8639999999999999</v>
      </c>
      <c r="BF37" s="104">
        <v>0</v>
      </c>
      <c r="BG37" s="115">
        <v>0</v>
      </c>
      <c r="BH37" s="104">
        <v>0</v>
      </c>
      <c r="BI37" s="98">
        <v>2.8</v>
      </c>
      <c r="BJ37" s="105">
        <v>0</v>
      </c>
      <c r="BK37" s="104">
        <v>0</v>
      </c>
      <c r="BL37" s="104">
        <v>0</v>
      </c>
      <c r="BM37" s="107"/>
      <c r="BN37" s="108">
        <v>0</v>
      </c>
      <c r="BO37" s="108">
        <v>0</v>
      </c>
      <c r="BP37" s="109">
        <v>24.5</v>
      </c>
      <c r="BQ37" s="110"/>
      <c r="BR37" s="108">
        <v>1371.0999999999995</v>
      </c>
      <c r="BS37" s="109">
        <v>0</v>
      </c>
      <c r="BT37" s="109">
        <v>308.20000000000005</v>
      </c>
      <c r="BU37" s="107"/>
      <c r="BV37" s="111">
        <v>21</v>
      </c>
      <c r="BW37" s="98">
        <v>21</v>
      </c>
      <c r="BX37" s="113"/>
      <c r="BY37" s="113">
        <v>231</v>
      </c>
      <c r="BZ37" s="114">
        <v>231</v>
      </c>
      <c r="CA37" s="114">
        <v>81</v>
      </c>
      <c r="CB37" s="114">
        <v>75</v>
      </c>
      <c r="CC37" s="99">
        <v>387</v>
      </c>
      <c r="CD37" s="115">
        <v>16</v>
      </c>
      <c r="CE37" s="116">
        <v>14</v>
      </c>
      <c r="CF37" s="90">
        <v>0</v>
      </c>
      <c r="CG37" s="90" t="s">
        <v>39</v>
      </c>
      <c r="CH37" s="90">
        <v>0</v>
      </c>
      <c r="CI37" s="90" t="s">
        <v>39</v>
      </c>
      <c r="CJ37" s="90">
        <v>0</v>
      </c>
      <c r="CK37" s="90" t="s">
        <v>39</v>
      </c>
      <c r="CL37" s="90"/>
      <c r="CM37" s="90">
        <v>291</v>
      </c>
      <c r="CN37" s="90">
        <v>291</v>
      </c>
      <c r="CO37" s="90">
        <v>0</v>
      </c>
      <c r="CP37" s="121">
        <v>31559</v>
      </c>
      <c r="CQ37" s="121">
        <v>15100</v>
      </c>
      <c r="CR37" s="100"/>
      <c r="CS37" s="121">
        <v>5000</v>
      </c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customHeight="1" x14ac:dyDescent="0.25">
      <c r="A38" s="83" t="s">
        <v>11</v>
      </c>
      <c r="B38" s="442">
        <v>42222.5</v>
      </c>
      <c r="C38" s="453"/>
      <c r="D38" s="84"/>
      <c r="E38" s="23">
        <v>24</v>
      </c>
      <c r="F38" s="15">
        <v>544</v>
      </c>
      <c r="G38" s="213"/>
      <c r="H38" s="27">
        <f t="shared" si="16"/>
        <v>261.89999999999998</v>
      </c>
      <c r="I38" s="216">
        <f t="shared" si="17"/>
        <v>10.9125</v>
      </c>
      <c r="J38" s="29">
        <f ca="1">IF($J$5&gt;=B38,"N/A",SUM(INDIRECT(ADDRESS(6+(MATCH($J$5,$B$6:$B$59,0)),8)):H38))</f>
        <v>533.79999999999995</v>
      </c>
      <c r="K38" s="10">
        <v>3121.5</v>
      </c>
      <c r="L38" s="88"/>
      <c r="M38" s="4">
        <f t="shared" si="18"/>
        <v>283</v>
      </c>
      <c r="N38" s="220">
        <f t="shared" si="0"/>
        <v>11.791666666666666</v>
      </c>
      <c r="O38" s="30">
        <f ca="1">IF($O$5&gt;=B38,"N/A",SUM(INDIRECT(ADDRESS(6+(MATCH($O$5,$B$6:$B$59,0)),13)):M38))</f>
        <v>570.80000000000018</v>
      </c>
      <c r="P38" s="175">
        <f t="shared" si="19"/>
        <v>67.8</v>
      </c>
      <c r="Q38" s="175">
        <f t="shared" si="20"/>
        <v>-6.9190299930362187</v>
      </c>
      <c r="R38" s="175">
        <f t="shared" si="21"/>
        <v>264.68627710000004</v>
      </c>
      <c r="S38" s="70" t="str">
        <f t="shared" si="22"/>
        <v>NOON</v>
      </c>
      <c r="T38" s="241">
        <f t="shared" si="23"/>
        <v>42222.5</v>
      </c>
      <c r="U38" s="157">
        <f t="shared" si="1"/>
        <v>19.8</v>
      </c>
      <c r="V38" s="158">
        <f t="shared" si="2"/>
        <v>2.6</v>
      </c>
      <c r="W38" s="158">
        <f t="shared" si="3"/>
        <v>0.3</v>
      </c>
      <c r="X38" s="199">
        <f t="shared" si="4"/>
        <v>22.700000000000003</v>
      </c>
      <c r="Y38" s="159">
        <f t="shared" si="5"/>
        <v>1348.3999999999994</v>
      </c>
      <c r="Z38" s="181"/>
      <c r="AA38" s="148">
        <f t="shared" si="6"/>
        <v>1.8</v>
      </c>
      <c r="AB38" s="149">
        <f t="shared" si="7"/>
        <v>0.3</v>
      </c>
      <c r="AC38" s="149">
        <f t="shared" si="8"/>
        <v>0</v>
      </c>
      <c r="AD38" s="203">
        <f t="shared" si="9"/>
        <v>2.1</v>
      </c>
      <c r="AE38" s="150">
        <f t="shared" si="10"/>
        <v>306.10000000000002</v>
      </c>
      <c r="AF38" s="182"/>
      <c r="AG38" s="139">
        <f t="shared" si="11"/>
        <v>10</v>
      </c>
      <c r="AH38" s="140">
        <f t="shared" si="12"/>
        <v>16</v>
      </c>
      <c r="AI38" s="141">
        <f t="shared" si="13"/>
        <v>396</v>
      </c>
      <c r="AJ38" s="166">
        <f t="shared" si="14"/>
        <v>31282</v>
      </c>
      <c r="AK38" s="167">
        <f t="shared" si="14"/>
        <v>15000</v>
      </c>
      <c r="AL38" s="168">
        <f t="shared" si="15"/>
        <v>4950</v>
      </c>
      <c r="AM38" s="237">
        <f t="shared" si="27"/>
        <v>1.0526715364799179E-2</v>
      </c>
      <c r="AN38" s="70" t="str">
        <f t="shared" si="25"/>
        <v>NOON</v>
      </c>
      <c r="AO38" s="241">
        <f t="shared" si="26"/>
        <v>42222.5</v>
      </c>
      <c r="AP38" s="45" t="s">
        <v>40</v>
      </c>
      <c r="AQ38" s="98">
        <v>67.8</v>
      </c>
      <c r="AR38" s="99">
        <v>264.68627710000004</v>
      </c>
      <c r="AS38" s="99">
        <v>11.028594879166668</v>
      </c>
      <c r="AT38" s="100">
        <v>283</v>
      </c>
      <c r="AU38" s="101">
        <v>11.791666666666666</v>
      </c>
      <c r="AV38" s="100">
        <v>283</v>
      </c>
      <c r="AW38" s="101">
        <v>11.791666666666666</v>
      </c>
      <c r="AX38" s="101">
        <v>-6.9190299930362187</v>
      </c>
      <c r="AY38" s="99">
        <v>-6.9190299930362187</v>
      </c>
      <c r="AZ38" s="102"/>
      <c r="BA38" s="102"/>
      <c r="BB38" s="103">
        <v>19.448800000000002</v>
      </c>
      <c r="BC38" s="104">
        <v>19.8</v>
      </c>
      <c r="BD38" s="98">
        <v>1.8</v>
      </c>
      <c r="BE38" s="105">
        <v>3.6615999999999986</v>
      </c>
      <c r="BF38" s="104">
        <v>2.6</v>
      </c>
      <c r="BG38" s="115">
        <v>0</v>
      </c>
      <c r="BH38" s="104">
        <v>0</v>
      </c>
      <c r="BI38" s="98">
        <v>0.3</v>
      </c>
      <c r="BJ38" s="105">
        <v>0</v>
      </c>
      <c r="BK38" s="104">
        <v>0.3</v>
      </c>
      <c r="BL38" s="104">
        <v>0</v>
      </c>
      <c r="BM38" s="107"/>
      <c r="BN38" s="108">
        <v>22.700000000000003</v>
      </c>
      <c r="BO38" s="108">
        <v>0</v>
      </c>
      <c r="BP38" s="109">
        <v>2.1</v>
      </c>
      <c r="BQ38" s="110"/>
      <c r="BR38" s="108">
        <v>1348.3999999999994</v>
      </c>
      <c r="BS38" s="109">
        <v>0</v>
      </c>
      <c r="BT38" s="109">
        <v>306.10000000000002</v>
      </c>
      <c r="BU38" s="107"/>
      <c r="BV38" s="111">
        <v>16</v>
      </c>
      <c r="BW38" s="98">
        <v>16</v>
      </c>
      <c r="BX38" s="113"/>
      <c r="BY38" s="113">
        <v>237</v>
      </c>
      <c r="BZ38" s="114">
        <v>237</v>
      </c>
      <c r="CA38" s="114">
        <v>85</v>
      </c>
      <c r="CB38" s="114">
        <v>74</v>
      </c>
      <c r="CC38" s="99">
        <v>396</v>
      </c>
      <c r="CD38" s="115">
        <v>7</v>
      </c>
      <c r="CE38" s="116">
        <v>10</v>
      </c>
      <c r="CF38" s="90">
        <v>0</v>
      </c>
      <c r="CG38" s="90" t="s">
        <v>39</v>
      </c>
      <c r="CH38" s="90">
        <v>0</v>
      </c>
      <c r="CI38" s="90" t="s">
        <v>39</v>
      </c>
      <c r="CJ38" s="90">
        <v>0</v>
      </c>
      <c r="CK38" s="90" t="s">
        <v>39</v>
      </c>
      <c r="CL38" s="90"/>
      <c r="CM38" s="90">
        <v>277</v>
      </c>
      <c r="CN38" s="90">
        <v>277</v>
      </c>
      <c r="CO38" s="90">
        <v>0</v>
      </c>
      <c r="CP38" s="121">
        <v>31282</v>
      </c>
      <c r="CQ38" s="121">
        <v>15000</v>
      </c>
      <c r="CR38" s="100"/>
      <c r="CS38" s="121">
        <v>4950</v>
      </c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customHeight="1" x14ac:dyDescent="0.25">
      <c r="A39" s="83" t="s">
        <v>11</v>
      </c>
      <c r="B39" s="442">
        <v>42223.5</v>
      </c>
      <c r="C39" s="453"/>
      <c r="D39" s="84"/>
      <c r="E39" s="23">
        <v>24</v>
      </c>
      <c r="F39" s="15">
        <v>819.3</v>
      </c>
      <c r="G39" s="213"/>
      <c r="H39" s="27">
        <f t="shared" si="16"/>
        <v>275.29999999999995</v>
      </c>
      <c r="I39" s="216">
        <f t="shared" si="17"/>
        <v>11.470833333333331</v>
      </c>
      <c r="J39" s="29">
        <f ca="1">IF($J$5&gt;=B39,"N/A",SUM(INDIRECT(ADDRESS(6+(MATCH($J$5,$B$6:$B$59,0)),8)):H39))</f>
        <v>809.09999999999991</v>
      </c>
      <c r="K39" s="10">
        <v>2837.3</v>
      </c>
      <c r="L39" s="88"/>
      <c r="M39" s="4">
        <f t="shared" si="18"/>
        <v>284.19999999999982</v>
      </c>
      <c r="N39" s="220">
        <f t="shared" si="0"/>
        <v>11.84166666666666</v>
      </c>
      <c r="O39" s="30">
        <f ca="1">IF($O$5&gt;=B39,"N/A",SUM(INDIRECT(ADDRESS(6+(MATCH($O$5,$B$6:$B$59,0)),13)):M39))</f>
        <v>855</v>
      </c>
      <c r="P39" s="175">
        <f t="shared" si="19"/>
        <v>69.900000000000006</v>
      </c>
      <c r="Q39" s="175">
        <f t="shared" si="20"/>
        <v>-4.028903903118084</v>
      </c>
      <c r="R39" s="175">
        <f t="shared" si="21"/>
        <v>273.19330430000002</v>
      </c>
      <c r="S39" s="70" t="str">
        <f t="shared" si="22"/>
        <v>NOON</v>
      </c>
      <c r="T39" s="241">
        <f t="shared" si="23"/>
        <v>42223.5</v>
      </c>
      <c r="U39" s="157">
        <f t="shared" si="1"/>
        <v>20</v>
      </c>
      <c r="V39" s="158">
        <f t="shared" si="2"/>
        <v>2.6</v>
      </c>
      <c r="W39" s="158">
        <f t="shared" si="3"/>
        <v>0</v>
      </c>
      <c r="X39" s="199">
        <f t="shared" si="4"/>
        <v>22.6</v>
      </c>
      <c r="Y39" s="159">
        <f t="shared" si="5"/>
        <v>1325.7999999999995</v>
      </c>
      <c r="Z39" s="181"/>
      <c r="AA39" s="148">
        <f t="shared" si="6"/>
        <v>0</v>
      </c>
      <c r="AB39" s="149">
        <f t="shared" si="7"/>
        <v>0.1</v>
      </c>
      <c r="AC39" s="149">
        <f t="shared" si="8"/>
        <v>0</v>
      </c>
      <c r="AD39" s="203">
        <f t="shared" si="9"/>
        <v>0.1</v>
      </c>
      <c r="AE39" s="150">
        <f t="shared" si="10"/>
        <v>306</v>
      </c>
      <c r="AF39" s="182"/>
      <c r="AG39" s="139">
        <f t="shared" si="11"/>
        <v>12</v>
      </c>
      <c r="AH39" s="140">
        <f t="shared" si="12"/>
        <v>4</v>
      </c>
      <c r="AI39" s="141">
        <f t="shared" si="13"/>
        <v>387</v>
      </c>
      <c r="AJ39" s="166">
        <f t="shared" si="14"/>
        <v>30999</v>
      </c>
      <c r="AK39" s="167">
        <f t="shared" si="14"/>
        <v>14900</v>
      </c>
      <c r="AL39" s="168">
        <f t="shared" si="15"/>
        <v>4900</v>
      </c>
      <c r="AM39" s="237">
        <f t="shared" si="27"/>
        <v>-7.7113738398453561E-3</v>
      </c>
      <c r="AN39" s="70" t="str">
        <f t="shared" si="25"/>
        <v>NOON</v>
      </c>
      <c r="AO39" s="241">
        <f t="shared" si="26"/>
        <v>42223.5</v>
      </c>
      <c r="AP39" s="45" t="s">
        <v>40</v>
      </c>
      <c r="AQ39" s="98">
        <v>69.900000000000006</v>
      </c>
      <c r="AR39" s="99">
        <v>273.19330430000002</v>
      </c>
      <c r="AS39" s="99">
        <v>11.383054345833335</v>
      </c>
      <c r="AT39" s="100">
        <v>284.2</v>
      </c>
      <c r="AU39" s="101">
        <v>11.841666666666667</v>
      </c>
      <c r="AV39" s="100">
        <v>284.2</v>
      </c>
      <c r="AW39" s="101">
        <v>11.841666666666667</v>
      </c>
      <c r="AX39" s="101">
        <v>-4.028903903118084</v>
      </c>
      <c r="AY39" s="99">
        <v>-4.028903903118084</v>
      </c>
      <c r="AZ39" s="102"/>
      <c r="BA39" s="102"/>
      <c r="BB39" s="103">
        <v>940.95760000000007</v>
      </c>
      <c r="BC39" s="104">
        <v>20</v>
      </c>
      <c r="BD39" s="98">
        <v>0</v>
      </c>
      <c r="BE39" s="105">
        <v>-916.65120000000002</v>
      </c>
      <c r="BF39" s="104">
        <v>2.6</v>
      </c>
      <c r="BG39" s="115">
        <v>0</v>
      </c>
      <c r="BH39" s="104">
        <v>0</v>
      </c>
      <c r="BI39" s="98">
        <v>0.1</v>
      </c>
      <c r="BJ39" s="105">
        <v>0</v>
      </c>
      <c r="BK39" s="104">
        <v>0</v>
      </c>
      <c r="BL39" s="104">
        <v>0</v>
      </c>
      <c r="BM39" s="107"/>
      <c r="BN39" s="108">
        <v>22.6</v>
      </c>
      <c r="BO39" s="108">
        <v>0</v>
      </c>
      <c r="BP39" s="109">
        <v>0.1</v>
      </c>
      <c r="BQ39" s="110"/>
      <c r="BR39" s="108">
        <v>1325.7999999999995</v>
      </c>
      <c r="BS39" s="109">
        <v>0</v>
      </c>
      <c r="BT39" s="109">
        <v>306</v>
      </c>
      <c r="BU39" s="107"/>
      <c r="BV39" s="111">
        <v>4</v>
      </c>
      <c r="BW39" s="98">
        <v>4</v>
      </c>
      <c r="BX39" s="113"/>
      <c r="BY39" s="113">
        <v>232</v>
      </c>
      <c r="BZ39" s="114">
        <v>232</v>
      </c>
      <c r="CA39" s="114">
        <v>82</v>
      </c>
      <c r="CB39" s="114">
        <v>73</v>
      </c>
      <c r="CC39" s="99">
        <v>387</v>
      </c>
      <c r="CD39" s="115">
        <v>13</v>
      </c>
      <c r="CE39" s="116">
        <v>12</v>
      </c>
      <c r="CF39" s="90">
        <v>0</v>
      </c>
      <c r="CG39" s="90" t="s">
        <v>39</v>
      </c>
      <c r="CH39" s="90">
        <v>0</v>
      </c>
      <c r="CI39" s="90" t="s">
        <v>39</v>
      </c>
      <c r="CJ39" s="90">
        <v>0</v>
      </c>
      <c r="CK39" s="90" t="s">
        <v>39</v>
      </c>
      <c r="CL39" s="90"/>
      <c r="CM39" s="90">
        <v>283</v>
      </c>
      <c r="CN39" s="90">
        <v>283</v>
      </c>
      <c r="CO39" s="90">
        <v>0</v>
      </c>
      <c r="CP39" s="121">
        <v>30999</v>
      </c>
      <c r="CQ39" s="121">
        <v>14900</v>
      </c>
      <c r="CR39" s="100"/>
      <c r="CS39" s="121">
        <v>4900</v>
      </c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customHeight="1" x14ac:dyDescent="0.25">
      <c r="A40" s="83" t="s">
        <v>11</v>
      </c>
      <c r="B40" s="442">
        <v>42225.5</v>
      </c>
      <c r="C40" s="453"/>
      <c r="D40" s="84"/>
      <c r="E40" s="23">
        <v>25</v>
      </c>
      <c r="F40" s="15">
        <v>1108.5999999999999</v>
      </c>
      <c r="G40" s="213"/>
      <c r="H40" s="27">
        <f t="shared" si="16"/>
        <v>289.29999999999995</v>
      </c>
      <c r="I40" s="216">
        <f t="shared" si="17"/>
        <v>11.571999999999997</v>
      </c>
      <c r="J40" s="29">
        <f ca="1">IF($J$5&gt;=B40,"N/A",SUM(INDIRECT(ADDRESS(6+(MATCH($J$5,$B$6:$B$59,0)),8)):H40))</f>
        <v>1098.3999999999999</v>
      </c>
      <c r="K40" s="10">
        <v>2534</v>
      </c>
      <c r="L40" s="88"/>
      <c r="M40" s="4">
        <f t="shared" si="18"/>
        <v>303.30000000000018</v>
      </c>
      <c r="N40" s="220">
        <f t="shared" si="0"/>
        <v>12.132000000000007</v>
      </c>
      <c r="O40" s="30">
        <f ca="1">IF($O$5&gt;=B40,"N/A",SUM(INDIRECT(ADDRESS(6+(MATCH($O$5,$B$6:$B$59,0)),13)):M40))</f>
        <v>1158.3000000000002</v>
      </c>
      <c r="P40" s="175">
        <f t="shared" si="19"/>
        <v>70</v>
      </c>
      <c r="Q40" s="175">
        <f t="shared" si="20"/>
        <v>-6.5400826511053829</v>
      </c>
      <c r="R40" s="175">
        <f t="shared" si="21"/>
        <v>284.68158880000004</v>
      </c>
      <c r="S40" s="70" t="str">
        <f t="shared" si="22"/>
        <v>NOON</v>
      </c>
      <c r="T40" s="241">
        <f t="shared" si="23"/>
        <v>42225.5</v>
      </c>
      <c r="U40" s="157">
        <f>(IF(BC40="","",BC40)+2.2)</f>
        <v>25.5</v>
      </c>
      <c r="V40" s="158">
        <f t="shared" si="2"/>
        <v>2.6</v>
      </c>
      <c r="W40" s="158">
        <f t="shared" si="3"/>
        <v>0</v>
      </c>
      <c r="X40" s="199">
        <f>(IF(BN40="","",BN40)+2.2)</f>
        <v>28.1</v>
      </c>
      <c r="Y40" s="159">
        <f t="shared" si="5"/>
        <v>1297.6999999999994</v>
      </c>
      <c r="Z40" s="181"/>
      <c r="AA40" s="148">
        <f t="shared" si="6"/>
        <v>0</v>
      </c>
      <c r="AB40" s="149">
        <f t="shared" si="7"/>
        <v>0</v>
      </c>
      <c r="AC40" s="149">
        <f t="shared" si="8"/>
        <v>0</v>
      </c>
      <c r="AD40" s="203">
        <f t="shared" si="9"/>
        <v>0</v>
      </c>
      <c r="AE40" s="150">
        <f t="shared" si="10"/>
        <v>306</v>
      </c>
      <c r="AF40" s="182"/>
      <c r="AG40" s="139">
        <f t="shared" si="11"/>
        <v>9</v>
      </c>
      <c r="AH40" s="140">
        <f t="shared" si="12"/>
        <v>19</v>
      </c>
      <c r="AI40" s="141">
        <f t="shared" si="13"/>
        <v>396</v>
      </c>
      <c r="AJ40" s="166">
        <f t="shared" si="14"/>
        <v>30702</v>
      </c>
      <c r="AK40" s="167">
        <f t="shared" si="14"/>
        <v>14900</v>
      </c>
      <c r="AL40" s="168">
        <f t="shared" si="15"/>
        <v>4900</v>
      </c>
      <c r="AM40" s="237">
        <f t="shared" si="27"/>
        <v>-1.6223076523731665E-2</v>
      </c>
      <c r="AN40" s="70" t="str">
        <f t="shared" si="25"/>
        <v>NOON</v>
      </c>
      <c r="AO40" s="241">
        <f t="shared" si="26"/>
        <v>42225.5</v>
      </c>
      <c r="AP40" s="45" t="s">
        <v>40</v>
      </c>
      <c r="AQ40" s="98">
        <v>70</v>
      </c>
      <c r="AR40" s="99">
        <v>284.68158880000004</v>
      </c>
      <c r="AS40" s="99">
        <v>11.387263552000002</v>
      </c>
      <c r="AT40" s="100">
        <v>303.3</v>
      </c>
      <c r="AU40" s="101">
        <v>12.132</v>
      </c>
      <c r="AV40" s="100">
        <v>303.3</v>
      </c>
      <c r="AW40" s="101">
        <v>12.132</v>
      </c>
      <c r="AX40" s="101">
        <v>-6.5400826511053829</v>
      </c>
      <c r="AY40" s="99">
        <v>-6.5400826511053829</v>
      </c>
      <c r="AZ40" s="102"/>
      <c r="BA40" s="102"/>
      <c r="BB40" s="103">
        <v>21.629200000000001</v>
      </c>
      <c r="BC40" s="104">
        <v>23.3</v>
      </c>
      <c r="BD40" s="98">
        <v>0</v>
      </c>
      <c r="BE40" s="105">
        <v>3.7719999999999998</v>
      </c>
      <c r="BF40" s="104">
        <v>2.6</v>
      </c>
      <c r="BG40" s="115">
        <v>0</v>
      </c>
      <c r="BH40" s="104">
        <v>0</v>
      </c>
      <c r="BI40" s="98">
        <v>0</v>
      </c>
      <c r="BJ40" s="105">
        <v>0</v>
      </c>
      <c r="BK40" s="104">
        <v>0</v>
      </c>
      <c r="BL40" s="104">
        <v>0</v>
      </c>
      <c r="BM40" s="107"/>
      <c r="BN40" s="108">
        <v>25.900000000000002</v>
      </c>
      <c r="BO40" s="108">
        <v>0</v>
      </c>
      <c r="BP40" s="109">
        <v>0</v>
      </c>
      <c r="BQ40" s="110"/>
      <c r="BR40" s="108">
        <v>1297.6999999999994</v>
      </c>
      <c r="BS40" s="109">
        <v>0</v>
      </c>
      <c r="BT40" s="109">
        <v>306</v>
      </c>
      <c r="BU40" s="107"/>
      <c r="BV40" s="111">
        <v>18</v>
      </c>
      <c r="BW40" s="98">
        <v>19</v>
      </c>
      <c r="BX40" s="113"/>
      <c r="BY40" s="113">
        <v>232</v>
      </c>
      <c r="BZ40" s="114">
        <v>232</v>
      </c>
      <c r="CA40" s="114">
        <v>91</v>
      </c>
      <c r="CB40" s="114">
        <v>73</v>
      </c>
      <c r="CC40" s="99">
        <v>396</v>
      </c>
      <c r="CD40" s="115">
        <v>10</v>
      </c>
      <c r="CE40" s="116">
        <v>9</v>
      </c>
      <c r="CF40" s="90">
        <v>0</v>
      </c>
      <c r="CG40" s="90" t="s">
        <v>39</v>
      </c>
      <c r="CH40" s="90">
        <v>0</v>
      </c>
      <c r="CI40" s="90" t="s">
        <v>39</v>
      </c>
      <c r="CJ40" s="90">
        <v>0</v>
      </c>
      <c r="CK40" s="90" t="s">
        <v>39</v>
      </c>
      <c r="CL40" s="90"/>
      <c r="CM40" s="90">
        <v>297</v>
      </c>
      <c r="CN40" s="90">
        <v>297</v>
      </c>
      <c r="CO40" s="90">
        <v>0</v>
      </c>
      <c r="CP40" s="121">
        <v>30702</v>
      </c>
      <c r="CQ40" s="121">
        <v>14900</v>
      </c>
      <c r="CR40" s="100"/>
      <c r="CS40" s="121">
        <v>4900</v>
      </c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customHeight="1" x14ac:dyDescent="0.25">
      <c r="A41" s="83" t="s">
        <v>11</v>
      </c>
      <c r="B41" s="442">
        <v>42226.5</v>
      </c>
      <c r="C41" s="453"/>
      <c r="D41" s="84"/>
      <c r="E41" s="23">
        <v>24</v>
      </c>
      <c r="F41" s="15">
        <v>1364.5</v>
      </c>
      <c r="G41" s="213"/>
      <c r="H41" s="27">
        <f t="shared" si="16"/>
        <v>255.90000000000009</v>
      </c>
      <c r="I41" s="216">
        <f t="shared" si="17"/>
        <v>10.662500000000003</v>
      </c>
      <c r="J41" s="29">
        <f ca="1">IF($J$5&gt;=B41,"N/A",SUM(INDIRECT(ADDRESS(6+(MATCH($J$5,$B$6:$B$59,0)),8)):H41))</f>
        <v>1354.3</v>
      </c>
      <c r="K41" s="10">
        <v>2280.4</v>
      </c>
      <c r="L41" s="88"/>
      <c r="M41" s="4">
        <f t="shared" si="18"/>
        <v>253.59999999999991</v>
      </c>
      <c r="N41" s="220">
        <f t="shared" si="0"/>
        <v>10.566666666666663</v>
      </c>
      <c r="O41" s="30">
        <f ca="1">IF($O$5&gt;=B41,"N/A",SUM(INDIRECT(ADDRESS(6+(MATCH($O$5,$B$6:$B$59,0)),13)):M41))</f>
        <v>1411.9</v>
      </c>
      <c r="P41" s="175">
        <f t="shared" si="19"/>
        <v>65.599999999999994</v>
      </c>
      <c r="Q41" s="175">
        <f t="shared" si="20"/>
        <v>1.0277750020652245</v>
      </c>
      <c r="R41" s="175">
        <f t="shared" si="21"/>
        <v>256.23350390000002</v>
      </c>
      <c r="S41" s="70" t="str">
        <f t="shared" si="22"/>
        <v>NOON</v>
      </c>
      <c r="T41" s="241">
        <f t="shared" si="23"/>
        <v>42226.5</v>
      </c>
      <c r="U41" s="157">
        <f t="shared" si="1"/>
        <v>18.8</v>
      </c>
      <c r="V41" s="158">
        <f t="shared" si="2"/>
        <v>3</v>
      </c>
      <c r="W41" s="158">
        <f t="shared" si="3"/>
        <v>0</v>
      </c>
      <c r="X41" s="199">
        <f t="shared" si="4"/>
        <v>21.8</v>
      </c>
      <c r="Y41" s="159">
        <f t="shared" si="5"/>
        <v>1275.8999999999994</v>
      </c>
      <c r="Z41" s="181"/>
      <c r="AA41" s="148">
        <f t="shared" si="6"/>
        <v>0</v>
      </c>
      <c r="AB41" s="149">
        <f t="shared" si="7"/>
        <v>0</v>
      </c>
      <c r="AC41" s="149">
        <f t="shared" si="8"/>
        <v>0.2</v>
      </c>
      <c r="AD41" s="203">
        <f t="shared" si="9"/>
        <v>0.2</v>
      </c>
      <c r="AE41" s="150">
        <f t="shared" si="10"/>
        <v>305.8</v>
      </c>
      <c r="AF41" s="182"/>
      <c r="AG41" s="139">
        <f t="shared" si="11"/>
        <v>9</v>
      </c>
      <c r="AH41" s="140">
        <f t="shared" si="12"/>
        <v>17</v>
      </c>
      <c r="AI41" s="141">
        <f t="shared" si="13"/>
        <v>404</v>
      </c>
      <c r="AJ41" s="166">
        <f t="shared" si="14"/>
        <v>30434</v>
      </c>
      <c r="AK41" s="167">
        <f t="shared" si="14"/>
        <v>14800</v>
      </c>
      <c r="AL41" s="168">
        <f t="shared" si="15"/>
        <v>4850</v>
      </c>
      <c r="AM41" s="237">
        <f t="shared" si="27"/>
        <v>1.3015624222587293E-3</v>
      </c>
      <c r="AN41" s="70" t="str">
        <f t="shared" si="25"/>
        <v>NOON</v>
      </c>
      <c r="AO41" s="241">
        <f t="shared" si="26"/>
        <v>42226.5</v>
      </c>
      <c r="AP41" s="45" t="s">
        <v>40</v>
      </c>
      <c r="AQ41" s="98">
        <v>65.599999999999994</v>
      </c>
      <c r="AR41" s="99">
        <v>256.23350390000002</v>
      </c>
      <c r="AS41" s="99">
        <v>10.676395995833333</v>
      </c>
      <c r="AT41" s="100">
        <v>253.6</v>
      </c>
      <c r="AU41" s="101">
        <v>10.566666666666666</v>
      </c>
      <c r="AV41" s="100">
        <v>253.6</v>
      </c>
      <c r="AW41" s="101">
        <v>10.566666666666666</v>
      </c>
      <c r="AX41" s="101">
        <v>1.0277750020652245</v>
      </c>
      <c r="AY41" s="99">
        <v>1.0277750020652245</v>
      </c>
      <c r="AZ41" s="102"/>
      <c r="BA41" s="102"/>
      <c r="BB41" s="103">
        <v>17.139600000000002</v>
      </c>
      <c r="BC41" s="104">
        <v>18.8</v>
      </c>
      <c r="BD41" s="98">
        <v>0</v>
      </c>
      <c r="BE41" s="105">
        <v>4.2044000000000015</v>
      </c>
      <c r="BF41" s="104">
        <v>3</v>
      </c>
      <c r="BG41" s="115">
        <v>0</v>
      </c>
      <c r="BH41" s="104">
        <v>0</v>
      </c>
      <c r="BI41" s="98">
        <v>0</v>
      </c>
      <c r="BJ41" s="105">
        <v>0</v>
      </c>
      <c r="BK41" s="104">
        <v>0</v>
      </c>
      <c r="BL41" s="104">
        <v>0.2</v>
      </c>
      <c r="BM41" s="107"/>
      <c r="BN41" s="108">
        <v>21.8</v>
      </c>
      <c r="BO41" s="108">
        <v>0</v>
      </c>
      <c r="BP41" s="109">
        <v>0.2</v>
      </c>
      <c r="BQ41" s="110"/>
      <c r="BR41" s="108">
        <v>1275.8999999999994</v>
      </c>
      <c r="BS41" s="109">
        <v>0</v>
      </c>
      <c r="BT41" s="109">
        <v>305.8</v>
      </c>
      <c r="BU41" s="107"/>
      <c r="BV41" s="111">
        <v>17</v>
      </c>
      <c r="BW41" s="98">
        <v>17</v>
      </c>
      <c r="BX41" s="113"/>
      <c r="BY41" s="113">
        <v>241</v>
      </c>
      <c r="BZ41" s="114">
        <v>241</v>
      </c>
      <c r="CA41" s="114">
        <v>90</v>
      </c>
      <c r="CB41" s="114">
        <v>73</v>
      </c>
      <c r="CC41" s="99">
        <v>404</v>
      </c>
      <c r="CD41" s="115">
        <v>9</v>
      </c>
      <c r="CE41" s="116">
        <v>9</v>
      </c>
      <c r="CF41" s="90">
        <v>0</v>
      </c>
      <c r="CG41" s="90" t="s">
        <v>39</v>
      </c>
      <c r="CH41" s="90">
        <v>0</v>
      </c>
      <c r="CI41" s="90" t="s">
        <v>39</v>
      </c>
      <c r="CJ41" s="90">
        <v>0</v>
      </c>
      <c r="CK41" s="90" t="s">
        <v>39</v>
      </c>
      <c r="CL41" s="90"/>
      <c r="CM41" s="90">
        <v>268</v>
      </c>
      <c r="CN41" s="90">
        <v>268</v>
      </c>
      <c r="CO41" s="90">
        <v>0</v>
      </c>
      <c r="CP41" s="121">
        <v>30434</v>
      </c>
      <c r="CQ41" s="121">
        <v>14800</v>
      </c>
      <c r="CR41" s="100"/>
      <c r="CS41" s="121">
        <v>4850</v>
      </c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customHeight="1" x14ac:dyDescent="0.25">
      <c r="A42" s="83" t="s">
        <v>11</v>
      </c>
      <c r="B42" s="442">
        <v>42227.5</v>
      </c>
      <c r="C42" s="453"/>
      <c r="D42" s="84"/>
      <c r="E42" s="23">
        <v>25</v>
      </c>
      <c r="F42" s="15">
        <v>1642.4</v>
      </c>
      <c r="G42" s="213"/>
      <c r="H42" s="27">
        <f t="shared" si="16"/>
        <v>277.90000000000009</v>
      </c>
      <c r="I42" s="216">
        <f t="shared" si="17"/>
        <v>11.116000000000003</v>
      </c>
      <c r="J42" s="29">
        <f ca="1">IF($J$5&gt;=B42,"N/A",SUM(INDIRECT(ADDRESS(6+(MATCH($J$5,$B$6:$B$59,0)),8)):H42))</f>
        <v>1632.2</v>
      </c>
      <c r="K42" s="10">
        <v>1987.7</v>
      </c>
      <c r="L42" s="88"/>
      <c r="M42" s="4">
        <f t="shared" si="18"/>
        <v>292.70000000000005</v>
      </c>
      <c r="N42" s="220">
        <f t="shared" si="0"/>
        <v>11.708000000000002</v>
      </c>
      <c r="O42" s="30">
        <f ca="1">IF($O$5&gt;=B42,"N/A",SUM(INDIRECT(ADDRESS(6+(MATCH($O$5,$B$6:$B$59,0)),13)):M42))</f>
        <v>1704.6000000000001</v>
      </c>
      <c r="P42" s="175">
        <f t="shared" si="19"/>
        <v>70</v>
      </c>
      <c r="Q42" s="175">
        <f t="shared" si="20"/>
        <v>-2.8176041755842673</v>
      </c>
      <c r="R42" s="175">
        <f t="shared" si="21"/>
        <v>284.67887610000002</v>
      </c>
      <c r="S42" s="70" t="str">
        <f t="shared" si="22"/>
        <v>NOON</v>
      </c>
      <c r="T42" s="241">
        <f t="shared" si="23"/>
        <v>42227.5</v>
      </c>
      <c r="U42" s="157">
        <f t="shared" si="1"/>
        <v>22.5</v>
      </c>
      <c r="V42" s="158">
        <f t="shared" si="2"/>
        <v>3</v>
      </c>
      <c r="W42" s="158">
        <f t="shared" si="3"/>
        <v>0</v>
      </c>
      <c r="X42" s="199">
        <f t="shared" si="4"/>
        <v>25.5</v>
      </c>
      <c r="Y42" s="159">
        <f t="shared" si="5"/>
        <v>1250.3999999999994</v>
      </c>
      <c r="Z42" s="181"/>
      <c r="AA42" s="148">
        <f t="shared" si="6"/>
        <v>0</v>
      </c>
      <c r="AB42" s="149">
        <f t="shared" si="7"/>
        <v>0</v>
      </c>
      <c r="AC42" s="149">
        <f t="shared" si="8"/>
        <v>0</v>
      </c>
      <c r="AD42" s="203">
        <f t="shared" si="9"/>
        <v>0</v>
      </c>
      <c r="AE42" s="150">
        <f t="shared" si="10"/>
        <v>305.8</v>
      </c>
      <c r="AF42" s="182"/>
      <c r="AG42" s="139">
        <f t="shared" si="11"/>
        <v>12</v>
      </c>
      <c r="AH42" s="140">
        <f t="shared" si="12"/>
        <v>17</v>
      </c>
      <c r="AI42" s="141">
        <f t="shared" si="13"/>
        <v>409</v>
      </c>
      <c r="AJ42" s="166">
        <f t="shared" si="14"/>
        <v>30139</v>
      </c>
      <c r="AK42" s="167">
        <f t="shared" si="14"/>
        <v>14800</v>
      </c>
      <c r="AL42" s="168">
        <f t="shared" si="15"/>
        <v>4850</v>
      </c>
      <c r="AM42" s="237">
        <f t="shared" si="27"/>
        <v>2.3812360765463669E-2</v>
      </c>
      <c r="AN42" s="70" t="str">
        <f t="shared" si="25"/>
        <v>NOON</v>
      </c>
      <c r="AO42" s="241">
        <f t="shared" si="26"/>
        <v>42227.5</v>
      </c>
      <c r="AP42" s="45" t="s">
        <v>40</v>
      </c>
      <c r="AQ42" s="98">
        <v>70</v>
      </c>
      <c r="AR42" s="99">
        <v>284.67887610000002</v>
      </c>
      <c r="AS42" s="99">
        <v>11.387155044000002</v>
      </c>
      <c r="AT42" s="100">
        <v>292.7</v>
      </c>
      <c r="AU42" s="101">
        <v>11.708</v>
      </c>
      <c r="AV42" s="100">
        <v>292.7</v>
      </c>
      <c r="AW42" s="101">
        <v>11.708</v>
      </c>
      <c r="AX42" s="101">
        <v>-2.8176041755842673</v>
      </c>
      <c r="AY42" s="99">
        <v>-2.8176041755842673</v>
      </c>
      <c r="AZ42" s="102"/>
      <c r="BA42" s="102"/>
      <c r="BB42" s="103">
        <v>21.9604</v>
      </c>
      <c r="BC42" s="104">
        <v>22.5</v>
      </c>
      <c r="BD42" s="98">
        <v>0</v>
      </c>
      <c r="BE42" s="105">
        <v>3.8639999999999999</v>
      </c>
      <c r="BF42" s="104">
        <v>3</v>
      </c>
      <c r="BG42" s="115">
        <v>0</v>
      </c>
      <c r="BH42" s="104">
        <v>0</v>
      </c>
      <c r="BI42" s="98">
        <v>0</v>
      </c>
      <c r="BJ42" s="105">
        <v>0.27589999999999998</v>
      </c>
      <c r="BK42" s="104">
        <v>0</v>
      </c>
      <c r="BL42" s="104">
        <v>0</v>
      </c>
      <c r="BM42" s="107"/>
      <c r="BN42" s="108">
        <v>25.5</v>
      </c>
      <c r="BO42" s="108">
        <v>0</v>
      </c>
      <c r="BP42" s="109">
        <v>0</v>
      </c>
      <c r="BQ42" s="110"/>
      <c r="BR42" s="108">
        <v>1250.3999999999994</v>
      </c>
      <c r="BS42" s="109">
        <v>0</v>
      </c>
      <c r="BT42" s="109">
        <v>305.8</v>
      </c>
      <c r="BU42" s="107"/>
      <c r="BV42" s="111">
        <v>17</v>
      </c>
      <c r="BW42" s="98">
        <v>17</v>
      </c>
      <c r="BX42" s="113"/>
      <c r="BY42" s="113">
        <v>249</v>
      </c>
      <c r="BZ42" s="114">
        <v>249</v>
      </c>
      <c r="CA42" s="114">
        <v>88</v>
      </c>
      <c r="CB42" s="114">
        <v>72</v>
      </c>
      <c r="CC42" s="99">
        <v>409</v>
      </c>
      <c r="CD42" s="115">
        <v>12</v>
      </c>
      <c r="CE42" s="116">
        <v>12</v>
      </c>
      <c r="CF42" s="90">
        <v>0</v>
      </c>
      <c r="CG42" s="90" t="s">
        <v>39</v>
      </c>
      <c r="CH42" s="90">
        <v>0</v>
      </c>
      <c r="CI42" s="90" t="s">
        <v>39</v>
      </c>
      <c r="CJ42" s="90">
        <v>0</v>
      </c>
      <c r="CK42" s="90" t="s">
        <v>39</v>
      </c>
      <c r="CL42" s="90"/>
      <c r="CM42" s="90">
        <v>295</v>
      </c>
      <c r="CN42" s="90">
        <v>295</v>
      </c>
      <c r="CO42" s="90">
        <v>0</v>
      </c>
      <c r="CP42" s="121">
        <v>30139</v>
      </c>
      <c r="CQ42" s="121">
        <v>14800</v>
      </c>
      <c r="CR42" s="100"/>
      <c r="CS42" s="121">
        <v>4850</v>
      </c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customHeight="1" x14ac:dyDescent="0.25">
      <c r="A43" s="83" t="s">
        <v>11</v>
      </c>
      <c r="B43" s="442">
        <v>42228.5</v>
      </c>
      <c r="C43" s="453"/>
      <c r="D43" s="84"/>
      <c r="E43" s="23">
        <v>24</v>
      </c>
      <c r="F43" s="15">
        <v>1924.6</v>
      </c>
      <c r="G43" s="213"/>
      <c r="H43" s="27">
        <f t="shared" si="16"/>
        <v>282.19999999999982</v>
      </c>
      <c r="I43" s="216">
        <f t="shared" si="17"/>
        <v>11.758333333333326</v>
      </c>
      <c r="J43" s="29">
        <f ca="1">IF($J$5&gt;=B43,"N/A",SUM(INDIRECT(ADDRESS(6+(MATCH($J$5,$B$6:$B$59,0)),8)):H43))</f>
        <v>1914.3999999999999</v>
      </c>
      <c r="K43" s="10">
        <v>1700</v>
      </c>
      <c r="L43" s="88"/>
      <c r="M43" s="4">
        <f t="shared" si="18"/>
        <v>287.70000000000005</v>
      </c>
      <c r="N43" s="220">
        <f t="shared" si="0"/>
        <v>11.987500000000002</v>
      </c>
      <c r="O43" s="30">
        <f ca="1">IF($O$5&gt;=B43,"N/A",SUM(INDIRECT(ADDRESS(6+(MATCH($O$5,$B$6:$B$59,0)),13)):M43))</f>
        <v>1992.3000000000002</v>
      </c>
      <c r="P43" s="175">
        <f t="shared" si="19"/>
        <v>72.599999999999994</v>
      </c>
      <c r="Q43" s="175">
        <f t="shared" si="20"/>
        <v>-1.3936044134825212</v>
      </c>
      <c r="R43" s="175">
        <f t="shared" si="21"/>
        <v>283.74570729999999</v>
      </c>
      <c r="S43" s="70" t="str">
        <f t="shared" si="22"/>
        <v>NOON</v>
      </c>
      <c r="T43" s="241">
        <f t="shared" si="23"/>
        <v>42228.5</v>
      </c>
      <c r="U43" s="157">
        <f t="shared" si="1"/>
        <v>24.6</v>
      </c>
      <c r="V43" s="158">
        <f t="shared" si="2"/>
        <v>3.2</v>
      </c>
      <c r="W43" s="158">
        <f t="shared" si="3"/>
        <v>0</v>
      </c>
      <c r="X43" s="199">
        <f t="shared" si="4"/>
        <v>27.8</v>
      </c>
      <c r="Y43" s="159">
        <f t="shared" si="5"/>
        <v>1222.5999999999995</v>
      </c>
      <c r="Z43" s="181"/>
      <c r="AA43" s="148">
        <f t="shared" si="6"/>
        <v>0</v>
      </c>
      <c r="AB43" s="149">
        <f t="shared" si="7"/>
        <v>0.2</v>
      </c>
      <c r="AC43" s="149">
        <f t="shared" si="8"/>
        <v>0</v>
      </c>
      <c r="AD43" s="203">
        <f t="shared" si="9"/>
        <v>0.2</v>
      </c>
      <c r="AE43" s="150">
        <f t="shared" si="10"/>
        <v>305.60000000000002</v>
      </c>
      <c r="AF43" s="182"/>
      <c r="AG43" s="139">
        <f t="shared" si="11"/>
        <v>9</v>
      </c>
      <c r="AH43" s="140">
        <f t="shared" si="12"/>
        <v>15</v>
      </c>
      <c r="AI43" s="141">
        <f t="shared" si="13"/>
        <v>417</v>
      </c>
      <c r="AJ43" s="166">
        <f t="shared" si="14"/>
        <v>29849</v>
      </c>
      <c r="AK43" s="167">
        <f t="shared" si="14"/>
        <v>14700</v>
      </c>
      <c r="AL43" s="168">
        <f t="shared" si="15"/>
        <v>4800</v>
      </c>
      <c r="AM43" s="237">
        <f t="shared" si="27"/>
        <v>5.4475090203423646E-3</v>
      </c>
      <c r="AN43" s="70" t="str">
        <f t="shared" si="25"/>
        <v>NOON</v>
      </c>
      <c r="AO43" s="241">
        <f t="shared" si="26"/>
        <v>42228.5</v>
      </c>
      <c r="AP43" s="45" t="s">
        <v>40</v>
      </c>
      <c r="AQ43" s="98">
        <v>72.599999999999994</v>
      </c>
      <c r="AR43" s="99">
        <v>283.74570729999999</v>
      </c>
      <c r="AS43" s="99">
        <v>11.822737804166666</v>
      </c>
      <c r="AT43" s="100">
        <v>287.7</v>
      </c>
      <c r="AU43" s="101">
        <v>11.987499999999999</v>
      </c>
      <c r="AV43" s="100">
        <v>287.7</v>
      </c>
      <c r="AW43" s="101">
        <v>11.987499999999999</v>
      </c>
      <c r="AX43" s="101">
        <v>-1.3936044134825212</v>
      </c>
      <c r="AY43" s="99">
        <v>-1.3936044134825212</v>
      </c>
      <c r="AZ43" s="102"/>
      <c r="BA43" s="102"/>
      <c r="BB43" s="103">
        <v>23.0184</v>
      </c>
      <c r="BC43" s="104">
        <v>24.6</v>
      </c>
      <c r="BD43" s="98">
        <v>0</v>
      </c>
      <c r="BE43" s="105">
        <v>4.1307999999999989</v>
      </c>
      <c r="BF43" s="104">
        <v>3.2</v>
      </c>
      <c r="BG43" s="115">
        <v>0</v>
      </c>
      <c r="BH43" s="104">
        <v>0</v>
      </c>
      <c r="BI43" s="98">
        <v>0.2</v>
      </c>
      <c r="BJ43" s="105">
        <v>0</v>
      </c>
      <c r="BK43" s="104">
        <v>0</v>
      </c>
      <c r="BL43" s="104">
        <v>0</v>
      </c>
      <c r="BM43" s="107"/>
      <c r="BN43" s="108">
        <v>27.8</v>
      </c>
      <c r="BO43" s="108">
        <v>0</v>
      </c>
      <c r="BP43" s="109">
        <v>0.2</v>
      </c>
      <c r="BQ43" s="110"/>
      <c r="BR43" s="108">
        <v>1222.5999999999995</v>
      </c>
      <c r="BS43" s="109">
        <v>0</v>
      </c>
      <c r="BT43" s="109">
        <v>305.60000000000002</v>
      </c>
      <c r="BU43" s="107"/>
      <c r="BV43" s="111">
        <v>15</v>
      </c>
      <c r="BW43" s="98">
        <v>15</v>
      </c>
      <c r="BX43" s="113"/>
      <c r="BY43" s="113">
        <v>259</v>
      </c>
      <c r="BZ43" s="114">
        <v>259</v>
      </c>
      <c r="CA43" s="114">
        <v>86</v>
      </c>
      <c r="CB43" s="114">
        <v>72</v>
      </c>
      <c r="CC43" s="99">
        <v>417</v>
      </c>
      <c r="CD43" s="115">
        <v>7</v>
      </c>
      <c r="CE43" s="116">
        <v>9</v>
      </c>
      <c r="CF43" s="90">
        <v>0</v>
      </c>
      <c r="CG43" s="90" t="s">
        <v>39</v>
      </c>
      <c r="CH43" s="90">
        <v>0</v>
      </c>
      <c r="CI43" s="90" t="s">
        <v>39</v>
      </c>
      <c r="CJ43" s="90">
        <v>0</v>
      </c>
      <c r="CK43" s="90" t="s">
        <v>39</v>
      </c>
      <c r="CL43" s="90"/>
      <c r="CM43" s="90">
        <v>290</v>
      </c>
      <c r="CN43" s="90">
        <v>290</v>
      </c>
      <c r="CO43" s="90">
        <v>0</v>
      </c>
      <c r="CP43" s="121">
        <v>29849</v>
      </c>
      <c r="CQ43" s="121">
        <v>14700</v>
      </c>
      <c r="CR43" s="100"/>
      <c r="CS43" s="121">
        <v>4800</v>
      </c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customHeight="1" x14ac:dyDescent="0.25">
      <c r="A44" s="83" t="s">
        <v>11</v>
      </c>
      <c r="B44" s="442">
        <v>42229.5</v>
      </c>
      <c r="C44" s="453"/>
      <c r="D44" s="84" t="s">
        <v>125</v>
      </c>
      <c r="E44" s="23">
        <v>24</v>
      </c>
      <c r="F44" s="15">
        <v>2207</v>
      </c>
      <c r="G44" s="213"/>
      <c r="H44" s="27">
        <f t="shared" si="16"/>
        <v>282.40000000000009</v>
      </c>
      <c r="I44" s="216">
        <f t="shared" si="17"/>
        <v>11.766666666666671</v>
      </c>
      <c r="J44" s="29">
        <f ca="1">IF($J$5&gt;=B44,"N/A",SUM(INDIRECT(ADDRESS(6+(MATCH($J$5,$B$6:$B$59,0)),8)):H44))</f>
        <v>2196.8000000000002</v>
      </c>
      <c r="K44" s="10">
        <v>1445.2</v>
      </c>
      <c r="L44" s="88">
        <v>33.799999999999997</v>
      </c>
      <c r="M44" s="4">
        <f t="shared" si="18"/>
        <v>288.59999999999997</v>
      </c>
      <c r="N44" s="220">
        <f t="shared" si="0"/>
        <v>12.024999999999999</v>
      </c>
      <c r="O44" s="30">
        <f ca="1">IF($O$5&gt;=B44,"N/A",SUM(INDIRECT(ADDRESS(6+(MATCH($O$5,$B$6:$B$59,0)),13)):M44))</f>
        <v>2280.9</v>
      </c>
      <c r="P44" s="175">
        <f t="shared" si="19"/>
        <v>73.7</v>
      </c>
      <c r="Q44" s="175">
        <f t="shared" si="20"/>
        <v>-0.22654129420531291</v>
      </c>
      <c r="R44" s="175">
        <f t="shared" si="21"/>
        <v>287.94767960000001</v>
      </c>
      <c r="S44" s="70" t="str">
        <f t="shared" si="22"/>
        <v>NOON</v>
      </c>
      <c r="T44" s="241">
        <f t="shared" si="23"/>
        <v>42229.5</v>
      </c>
      <c r="U44" s="157">
        <f t="shared" si="1"/>
        <v>24.2</v>
      </c>
      <c r="V44" s="158">
        <f t="shared" si="2"/>
        <v>4.2</v>
      </c>
      <c r="W44" s="158">
        <f t="shared" si="3"/>
        <v>0</v>
      </c>
      <c r="X44" s="199">
        <f t="shared" si="4"/>
        <v>28.4</v>
      </c>
      <c r="Y44" s="159">
        <f t="shared" si="5"/>
        <v>1194.1999999999994</v>
      </c>
      <c r="Z44" s="181"/>
      <c r="AA44" s="148">
        <f t="shared" si="6"/>
        <v>0</v>
      </c>
      <c r="AB44" s="149">
        <f t="shared" si="7"/>
        <v>0</v>
      </c>
      <c r="AC44" s="149">
        <f t="shared" si="8"/>
        <v>0</v>
      </c>
      <c r="AD44" s="203">
        <f t="shared" si="9"/>
        <v>0</v>
      </c>
      <c r="AE44" s="150">
        <f t="shared" si="10"/>
        <v>305.60000000000002</v>
      </c>
      <c r="AF44" s="182"/>
      <c r="AG44" s="139">
        <f t="shared" si="11"/>
        <v>10</v>
      </c>
      <c r="AH44" s="140">
        <f t="shared" si="12"/>
        <v>14</v>
      </c>
      <c r="AI44" s="141">
        <f t="shared" si="13"/>
        <v>411</v>
      </c>
      <c r="AJ44" s="166">
        <f t="shared" si="14"/>
        <v>29554</v>
      </c>
      <c r="AK44" s="167">
        <f t="shared" si="14"/>
        <v>14700</v>
      </c>
      <c r="AL44" s="168">
        <f t="shared" si="15"/>
        <v>4800</v>
      </c>
      <c r="AM44" s="237">
        <f t="shared" si="27"/>
        <v>1.9266276455870156E-2</v>
      </c>
      <c r="AN44" s="70" t="str">
        <f t="shared" si="25"/>
        <v>NOON</v>
      </c>
      <c r="AO44" s="241">
        <f t="shared" si="26"/>
        <v>42229.5</v>
      </c>
      <c r="AP44" s="45" t="s">
        <v>40</v>
      </c>
      <c r="AQ44" s="98">
        <v>73.7</v>
      </c>
      <c r="AR44" s="99">
        <v>287.94767960000001</v>
      </c>
      <c r="AS44" s="99">
        <v>11.997819983333335</v>
      </c>
      <c r="AT44" s="100">
        <v>288.60000000000002</v>
      </c>
      <c r="AU44" s="101">
        <v>12.025</v>
      </c>
      <c r="AV44" s="100">
        <v>288.60000000000002</v>
      </c>
      <c r="AW44" s="101">
        <v>12.025</v>
      </c>
      <c r="AX44" s="101">
        <v>-0.22654129420531291</v>
      </c>
      <c r="AY44" s="99">
        <v>-0.22654129420531291</v>
      </c>
      <c r="AZ44" s="102"/>
      <c r="BA44" s="102"/>
      <c r="BB44" s="103">
        <v>22.908000000000001</v>
      </c>
      <c r="BC44" s="104">
        <v>24.2</v>
      </c>
      <c r="BD44" s="98">
        <v>0</v>
      </c>
      <c r="BE44" s="105">
        <v>5.6487999999999996</v>
      </c>
      <c r="BF44" s="104">
        <v>4.2</v>
      </c>
      <c r="BG44" s="115">
        <v>0</v>
      </c>
      <c r="BH44" s="104">
        <v>0</v>
      </c>
      <c r="BI44" s="98">
        <v>0</v>
      </c>
      <c r="BJ44" s="105">
        <v>0</v>
      </c>
      <c r="BK44" s="104">
        <v>0</v>
      </c>
      <c r="BL44" s="104">
        <v>0</v>
      </c>
      <c r="BM44" s="107"/>
      <c r="BN44" s="108">
        <v>28.4</v>
      </c>
      <c r="BO44" s="108">
        <v>0</v>
      </c>
      <c r="BP44" s="109">
        <v>0</v>
      </c>
      <c r="BQ44" s="110"/>
      <c r="BR44" s="108">
        <v>1194.1999999999994</v>
      </c>
      <c r="BS44" s="109">
        <v>0</v>
      </c>
      <c r="BT44" s="109">
        <v>305.60000000000002</v>
      </c>
      <c r="BU44" s="107"/>
      <c r="BV44" s="111">
        <v>16</v>
      </c>
      <c r="BW44" s="98">
        <v>14</v>
      </c>
      <c r="BX44" s="113"/>
      <c r="BY44" s="113">
        <v>259</v>
      </c>
      <c r="BZ44" s="114">
        <v>259</v>
      </c>
      <c r="CA44" s="114">
        <v>84</v>
      </c>
      <c r="CB44" s="114">
        <v>68</v>
      </c>
      <c r="CC44" s="99">
        <v>411</v>
      </c>
      <c r="CD44" s="115">
        <v>20</v>
      </c>
      <c r="CE44" s="116">
        <v>10</v>
      </c>
      <c r="CF44" s="90">
        <v>0</v>
      </c>
      <c r="CG44" s="90" t="s">
        <v>39</v>
      </c>
      <c r="CH44" s="90">
        <v>0</v>
      </c>
      <c r="CI44" s="90" t="s">
        <v>39</v>
      </c>
      <c r="CJ44" s="90">
        <v>0</v>
      </c>
      <c r="CK44" s="90" t="s">
        <v>39</v>
      </c>
      <c r="CL44" s="90"/>
      <c r="CM44" s="90">
        <v>295</v>
      </c>
      <c r="CN44" s="90">
        <v>295</v>
      </c>
      <c r="CO44" s="90">
        <v>0</v>
      </c>
      <c r="CP44" s="121">
        <v>29554</v>
      </c>
      <c r="CQ44" s="121">
        <v>14700</v>
      </c>
      <c r="CR44" s="100"/>
      <c r="CS44" s="121">
        <v>4800</v>
      </c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customHeight="1" x14ac:dyDescent="0.25">
      <c r="A45" s="83" t="s">
        <v>11</v>
      </c>
      <c r="B45" s="442">
        <v>42230.5</v>
      </c>
      <c r="C45" s="453"/>
      <c r="D45" s="84"/>
      <c r="E45" s="23">
        <v>24</v>
      </c>
      <c r="F45" s="15">
        <v>2475</v>
      </c>
      <c r="G45" s="213"/>
      <c r="H45" s="27">
        <f t="shared" si="16"/>
        <v>268</v>
      </c>
      <c r="I45" s="216">
        <f t="shared" si="17"/>
        <v>11.166666666666666</v>
      </c>
      <c r="J45" s="29">
        <f ca="1">IF($J$5&gt;=B45,"N/A",SUM(INDIRECT(ADDRESS(6+(MATCH($J$5,$B$6:$B$59,0)),8)):H45))</f>
        <v>2464.8000000000002</v>
      </c>
      <c r="K45" s="10">
        <v>1167.5999999999999</v>
      </c>
      <c r="L45" s="88"/>
      <c r="M45" s="4">
        <f t="shared" si="18"/>
        <v>277.60000000000014</v>
      </c>
      <c r="N45" s="220">
        <f t="shared" si="0"/>
        <v>11.566666666666672</v>
      </c>
      <c r="O45" s="30">
        <f ca="1">IF($O$5&gt;=B45,"N/A",SUM(INDIRECT(ADDRESS(6+(MATCH($O$5,$B$6:$B$59,0)),13)):M45))</f>
        <v>2558.5</v>
      </c>
      <c r="P45" s="175">
        <f t="shared" si="19"/>
        <v>70.2</v>
      </c>
      <c r="Q45" s="175">
        <f t="shared" si="20"/>
        <v>-1.2540997961910429</v>
      </c>
      <c r="R45" s="175">
        <f t="shared" si="21"/>
        <v>274.1617382</v>
      </c>
      <c r="S45" s="70" t="str">
        <f t="shared" si="22"/>
        <v>NOON</v>
      </c>
      <c r="T45" s="241">
        <f t="shared" si="23"/>
        <v>42230.5</v>
      </c>
      <c r="U45" s="157">
        <f t="shared" si="1"/>
        <v>22.7</v>
      </c>
      <c r="V45" s="158">
        <f t="shared" si="2"/>
        <v>2.9</v>
      </c>
      <c r="W45" s="158">
        <f t="shared" si="3"/>
        <v>0</v>
      </c>
      <c r="X45" s="199">
        <f t="shared" si="4"/>
        <v>25.599999999999998</v>
      </c>
      <c r="Y45" s="159">
        <f t="shared" si="5"/>
        <v>1168.5999999999995</v>
      </c>
      <c r="Z45" s="181"/>
      <c r="AA45" s="148">
        <f t="shared" si="6"/>
        <v>0</v>
      </c>
      <c r="AB45" s="149">
        <f t="shared" si="7"/>
        <v>0</v>
      </c>
      <c r="AC45" s="149">
        <f t="shared" si="8"/>
        <v>0</v>
      </c>
      <c r="AD45" s="203">
        <f t="shared" si="9"/>
        <v>0</v>
      </c>
      <c r="AE45" s="150">
        <f t="shared" si="10"/>
        <v>305.60000000000002</v>
      </c>
      <c r="AF45" s="182"/>
      <c r="AG45" s="139">
        <f t="shared" si="11"/>
        <v>11</v>
      </c>
      <c r="AH45" s="140">
        <f t="shared" si="12"/>
        <v>15</v>
      </c>
      <c r="AI45" s="141">
        <f t="shared" si="13"/>
        <v>415</v>
      </c>
      <c r="AJ45" s="166">
        <f t="shared" si="14"/>
        <v>29270</v>
      </c>
      <c r="AK45" s="167">
        <f t="shared" si="14"/>
        <v>14600</v>
      </c>
      <c r="AL45" s="168">
        <f t="shared" si="15"/>
        <v>4750</v>
      </c>
      <c r="AM45" s="237">
        <f t="shared" si="27"/>
        <v>2.2474829056945343E-2</v>
      </c>
      <c r="AN45" s="70" t="str">
        <f t="shared" si="25"/>
        <v>NOON</v>
      </c>
      <c r="AO45" s="241">
        <f t="shared" si="26"/>
        <v>42230.5</v>
      </c>
      <c r="AP45" s="45" t="s">
        <v>40</v>
      </c>
      <c r="AQ45" s="98">
        <v>70.2</v>
      </c>
      <c r="AR45" s="99">
        <v>274.1617382</v>
      </c>
      <c r="AS45" s="99">
        <v>11.423405758333333</v>
      </c>
      <c r="AT45" s="100">
        <v>277.60000000000002</v>
      </c>
      <c r="AU45" s="101">
        <v>11.566666666666668</v>
      </c>
      <c r="AV45" s="100">
        <v>277.60000000000002</v>
      </c>
      <c r="AW45" s="101">
        <v>11.566666666666668</v>
      </c>
      <c r="AX45" s="101">
        <v>-1.2540997961910429</v>
      </c>
      <c r="AY45" s="99">
        <v>-1.2540997961910429</v>
      </c>
      <c r="AZ45" s="102"/>
      <c r="BA45" s="102"/>
      <c r="BB45" s="103">
        <v>21.850000000000005</v>
      </c>
      <c r="BC45" s="104">
        <v>22.7</v>
      </c>
      <c r="BD45" s="98">
        <v>0</v>
      </c>
      <c r="BE45" s="105">
        <v>3.7627999999999995</v>
      </c>
      <c r="BF45" s="104">
        <v>2.9</v>
      </c>
      <c r="BG45" s="115">
        <v>0</v>
      </c>
      <c r="BH45" s="104">
        <v>0</v>
      </c>
      <c r="BI45" s="98">
        <v>0</v>
      </c>
      <c r="BJ45" s="105">
        <v>0</v>
      </c>
      <c r="BK45" s="104">
        <v>0</v>
      </c>
      <c r="BL45" s="104">
        <v>0</v>
      </c>
      <c r="BM45" s="107"/>
      <c r="BN45" s="108">
        <v>25.599999999999998</v>
      </c>
      <c r="BO45" s="108">
        <v>0</v>
      </c>
      <c r="BP45" s="109">
        <v>0</v>
      </c>
      <c r="BQ45" s="110"/>
      <c r="BR45" s="108">
        <v>1168.5999999999995</v>
      </c>
      <c r="BS45" s="109">
        <v>0</v>
      </c>
      <c r="BT45" s="109">
        <v>305.60000000000002</v>
      </c>
      <c r="BU45" s="107"/>
      <c r="BV45" s="111">
        <v>15</v>
      </c>
      <c r="BW45" s="98">
        <v>15</v>
      </c>
      <c r="BX45" s="113"/>
      <c r="BY45" s="113">
        <v>273</v>
      </c>
      <c r="BZ45" s="114">
        <v>273</v>
      </c>
      <c r="CA45" s="114">
        <v>84</v>
      </c>
      <c r="CB45" s="114">
        <v>58</v>
      </c>
      <c r="CC45" s="99">
        <v>415</v>
      </c>
      <c r="CD45" s="115">
        <v>11</v>
      </c>
      <c r="CE45" s="116">
        <v>11</v>
      </c>
      <c r="CF45" s="90">
        <v>0</v>
      </c>
      <c r="CG45" s="90" t="s">
        <v>39</v>
      </c>
      <c r="CH45" s="90">
        <v>0</v>
      </c>
      <c r="CI45" s="90" t="s">
        <v>39</v>
      </c>
      <c r="CJ45" s="90">
        <v>0</v>
      </c>
      <c r="CK45" s="90" t="s">
        <v>39</v>
      </c>
      <c r="CL45" s="90"/>
      <c r="CM45" s="90">
        <v>284</v>
      </c>
      <c r="CN45" s="90">
        <v>284</v>
      </c>
      <c r="CO45" s="90">
        <v>0</v>
      </c>
      <c r="CP45" s="121">
        <v>29270</v>
      </c>
      <c r="CQ45" s="121">
        <v>14600</v>
      </c>
      <c r="CR45" s="100"/>
      <c r="CS45" s="121">
        <v>4750</v>
      </c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customHeight="1" x14ac:dyDescent="0.25">
      <c r="A46" s="83" t="s">
        <v>11</v>
      </c>
      <c r="B46" s="442">
        <v>42231.5</v>
      </c>
      <c r="C46" s="453"/>
      <c r="D46" s="84"/>
      <c r="E46" s="23">
        <v>25</v>
      </c>
      <c r="F46" s="15">
        <v>2752.1</v>
      </c>
      <c r="G46" s="213"/>
      <c r="H46" s="27">
        <f t="shared" si="16"/>
        <v>277.09999999999991</v>
      </c>
      <c r="I46" s="216">
        <f t="shared" si="17"/>
        <v>11.083999999999996</v>
      </c>
      <c r="J46" s="29">
        <f ca="1">IF($J$5&gt;=B46,"N/A",SUM(INDIRECT(ADDRESS(6+(MATCH($J$5,$B$6:$B$59,0)),8)):H46))</f>
        <v>2741.9</v>
      </c>
      <c r="K46" s="10">
        <v>888.8</v>
      </c>
      <c r="L46" s="88"/>
      <c r="M46" s="4">
        <f t="shared" si="18"/>
        <v>278.79999999999995</v>
      </c>
      <c r="N46" s="220">
        <f t="shared" si="0"/>
        <v>11.151999999999997</v>
      </c>
      <c r="O46" s="30">
        <f ca="1">IF($O$5&gt;=B46,"N/A",SUM(INDIRECT(ADDRESS(6+(MATCH($O$5,$B$6:$B$59,0)),13)):M46))</f>
        <v>2837.3</v>
      </c>
      <c r="P46" s="175">
        <f t="shared" si="19"/>
        <v>68.7</v>
      </c>
      <c r="Q46" s="175">
        <f t="shared" si="20"/>
        <v>0.26121384181241525</v>
      </c>
      <c r="R46" s="175">
        <f t="shared" si="21"/>
        <v>279.53017149999999</v>
      </c>
      <c r="S46" s="70" t="str">
        <f t="shared" si="22"/>
        <v>NOON</v>
      </c>
      <c r="T46" s="241">
        <f t="shared" si="23"/>
        <v>42231.5</v>
      </c>
      <c r="U46" s="157">
        <f t="shared" si="1"/>
        <v>21.3</v>
      </c>
      <c r="V46" s="158">
        <f t="shared" si="2"/>
        <v>3</v>
      </c>
      <c r="W46" s="158">
        <f t="shared" si="3"/>
        <v>1</v>
      </c>
      <c r="X46" s="199">
        <f t="shared" si="4"/>
        <v>25.3</v>
      </c>
      <c r="Y46" s="159">
        <f t="shared" si="5"/>
        <v>1143.2999999999995</v>
      </c>
      <c r="Z46" s="181"/>
      <c r="AA46" s="148">
        <f t="shared" si="6"/>
        <v>0</v>
      </c>
      <c r="AB46" s="149">
        <f t="shared" si="7"/>
        <v>0</v>
      </c>
      <c r="AC46" s="149">
        <f t="shared" si="8"/>
        <v>0.2</v>
      </c>
      <c r="AD46" s="203">
        <f t="shared" si="9"/>
        <v>0.2</v>
      </c>
      <c r="AE46" s="150">
        <f t="shared" si="10"/>
        <v>305.40000000000003</v>
      </c>
      <c r="AF46" s="182"/>
      <c r="AG46" s="139">
        <f t="shared" si="11"/>
        <v>9</v>
      </c>
      <c r="AH46" s="140">
        <f t="shared" si="12"/>
        <v>15</v>
      </c>
      <c r="AI46" s="141">
        <f t="shared" si="13"/>
        <v>419</v>
      </c>
      <c r="AJ46" s="166">
        <f t="shared" si="14"/>
        <v>28984</v>
      </c>
      <c r="AK46" s="167">
        <f t="shared" si="14"/>
        <v>14600</v>
      </c>
      <c r="AL46" s="168">
        <f t="shared" si="15"/>
        <v>4750</v>
      </c>
      <c r="AM46" s="237">
        <f t="shared" si="27"/>
        <v>8.69377172045303E-3</v>
      </c>
      <c r="AN46" s="70" t="str">
        <f t="shared" si="25"/>
        <v>NOON</v>
      </c>
      <c r="AO46" s="241">
        <f t="shared" si="26"/>
        <v>42231.5</v>
      </c>
      <c r="AP46" s="45" t="s">
        <v>40</v>
      </c>
      <c r="AQ46" s="98">
        <v>68.7</v>
      </c>
      <c r="AR46" s="99">
        <v>279.53017149999999</v>
      </c>
      <c r="AS46" s="99">
        <v>11.18120686</v>
      </c>
      <c r="AT46" s="100">
        <v>278.8</v>
      </c>
      <c r="AU46" s="101">
        <v>11.152000000000001</v>
      </c>
      <c r="AV46" s="100">
        <v>278.8</v>
      </c>
      <c r="AW46" s="101">
        <v>11.152000000000001</v>
      </c>
      <c r="AX46" s="101">
        <v>0.26121384181241525</v>
      </c>
      <c r="AY46" s="99">
        <v>0.26121384181241525</v>
      </c>
      <c r="AZ46" s="102"/>
      <c r="BA46" s="102"/>
      <c r="BB46" s="103">
        <v>20.267600000000002</v>
      </c>
      <c r="BC46" s="104">
        <v>21.3</v>
      </c>
      <c r="BD46" s="98">
        <v>0</v>
      </c>
      <c r="BE46" s="105">
        <v>3.9835999999999987</v>
      </c>
      <c r="BF46" s="104">
        <v>3</v>
      </c>
      <c r="BG46" s="115">
        <v>0</v>
      </c>
      <c r="BH46" s="104">
        <v>0</v>
      </c>
      <c r="BI46" s="98">
        <v>0</v>
      </c>
      <c r="BJ46" s="105">
        <v>1.0324</v>
      </c>
      <c r="BK46" s="104">
        <v>1</v>
      </c>
      <c r="BL46" s="104">
        <v>0.2</v>
      </c>
      <c r="BM46" s="107"/>
      <c r="BN46" s="108">
        <v>25.3</v>
      </c>
      <c r="BO46" s="108">
        <v>0</v>
      </c>
      <c r="BP46" s="109">
        <v>0.2</v>
      </c>
      <c r="BQ46" s="110"/>
      <c r="BR46" s="108">
        <v>1143.2999999999995</v>
      </c>
      <c r="BS46" s="109">
        <v>0</v>
      </c>
      <c r="BT46" s="109">
        <v>305.40000000000003</v>
      </c>
      <c r="BU46" s="107"/>
      <c r="BV46" s="111">
        <v>15</v>
      </c>
      <c r="BW46" s="98">
        <v>15</v>
      </c>
      <c r="BX46" s="113"/>
      <c r="BY46" s="113">
        <v>286</v>
      </c>
      <c r="BZ46" s="114">
        <v>286</v>
      </c>
      <c r="CA46" s="114">
        <v>84</v>
      </c>
      <c r="CB46" s="114">
        <v>49</v>
      </c>
      <c r="CC46" s="99">
        <v>419</v>
      </c>
      <c r="CD46" s="115">
        <v>11</v>
      </c>
      <c r="CE46" s="116">
        <v>9</v>
      </c>
      <c r="CF46" s="90">
        <v>0</v>
      </c>
      <c r="CG46" s="90" t="s">
        <v>39</v>
      </c>
      <c r="CH46" s="90">
        <v>0</v>
      </c>
      <c r="CI46" s="90" t="s">
        <v>39</v>
      </c>
      <c r="CJ46" s="90">
        <v>0</v>
      </c>
      <c r="CK46" s="90" t="s">
        <v>39</v>
      </c>
      <c r="CL46" s="90"/>
      <c r="CM46" s="90">
        <v>286</v>
      </c>
      <c r="CN46" s="90">
        <v>286</v>
      </c>
      <c r="CO46" s="90">
        <v>0</v>
      </c>
      <c r="CP46" s="121">
        <v>28984</v>
      </c>
      <c r="CQ46" s="121">
        <v>14600</v>
      </c>
      <c r="CR46" s="100"/>
      <c r="CS46" s="121">
        <v>4750</v>
      </c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customHeight="1" x14ac:dyDescent="0.25">
      <c r="A47" s="83" t="s">
        <v>11</v>
      </c>
      <c r="B47" s="442">
        <v>42232.5</v>
      </c>
      <c r="C47" s="453"/>
      <c r="D47" s="84" t="s">
        <v>126</v>
      </c>
      <c r="E47" s="23">
        <v>24</v>
      </c>
      <c r="F47" s="15">
        <v>3028</v>
      </c>
      <c r="G47" s="213"/>
      <c r="H47" s="27">
        <f t="shared" si="16"/>
        <v>275.90000000000009</v>
      </c>
      <c r="I47" s="216">
        <f t="shared" si="17"/>
        <v>11.495833333333337</v>
      </c>
      <c r="J47" s="29">
        <f ca="1">IF($J$5&gt;=B47,"N/A",SUM(INDIRECT(ADDRESS(6+(MATCH($J$5,$B$6:$B$59,0)),8)):H47))</f>
        <v>3017.8</v>
      </c>
      <c r="K47" s="10">
        <v>644</v>
      </c>
      <c r="L47" s="88">
        <v>38.200000000000003</v>
      </c>
      <c r="M47" s="4">
        <f t="shared" si="18"/>
        <v>282.99999999999994</v>
      </c>
      <c r="N47" s="220">
        <f t="shared" si="0"/>
        <v>11.791666666666664</v>
      </c>
      <c r="O47" s="30">
        <f ca="1">IF($O$5&gt;=B47,"N/A",SUM(INDIRECT(ADDRESS(6+(MATCH($O$5,$B$6:$B$59,0)),13)):M47))</f>
        <v>3120.3</v>
      </c>
      <c r="P47" s="175">
        <f t="shared" si="19"/>
        <v>70</v>
      </c>
      <c r="Q47" s="175">
        <f t="shared" si="20"/>
        <v>-3.4766315229324118</v>
      </c>
      <c r="R47" s="175">
        <f t="shared" si="21"/>
        <v>273.49170130000005</v>
      </c>
      <c r="S47" s="70" t="str">
        <f t="shared" si="22"/>
        <v>NOON</v>
      </c>
      <c r="T47" s="241">
        <f t="shared" si="23"/>
        <v>42232.5</v>
      </c>
      <c r="U47" s="157">
        <f t="shared" si="1"/>
        <v>21.4</v>
      </c>
      <c r="V47" s="158">
        <f t="shared" si="2"/>
        <v>2.8</v>
      </c>
      <c r="W47" s="158">
        <f t="shared" si="3"/>
        <v>0</v>
      </c>
      <c r="X47" s="199">
        <f t="shared" si="4"/>
        <v>24.2</v>
      </c>
      <c r="Y47" s="159">
        <f t="shared" si="5"/>
        <v>1119.0999999999995</v>
      </c>
      <c r="Z47" s="181"/>
      <c r="AA47" s="148">
        <f t="shared" si="6"/>
        <v>0</v>
      </c>
      <c r="AB47" s="149">
        <f t="shared" si="7"/>
        <v>0</v>
      </c>
      <c r="AC47" s="149">
        <f t="shared" si="8"/>
        <v>0</v>
      </c>
      <c r="AD47" s="203">
        <f t="shared" si="9"/>
        <v>0</v>
      </c>
      <c r="AE47" s="150">
        <f t="shared" si="10"/>
        <v>305.40000000000003</v>
      </c>
      <c r="AF47" s="182"/>
      <c r="AG47" s="139">
        <f t="shared" si="11"/>
        <v>7</v>
      </c>
      <c r="AH47" s="140">
        <f t="shared" si="12"/>
        <v>15</v>
      </c>
      <c r="AI47" s="141">
        <f t="shared" si="13"/>
        <v>428</v>
      </c>
      <c r="AJ47" s="166">
        <f t="shared" si="14"/>
        <v>28704</v>
      </c>
      <c r="AK47" s="167">
        <f t="shared" si="14"/>
        <v>14500</v>
      </c>
      <c r="AL47" s="168">
        <f t="shared" si="15"/>
        <v>4700</v>
      </c>
      <c r="AM47" s="237">
        <f t="shared" si="27"/>
        <v>-8.8057468967159668E-3</v>
      </c>
      <c r="AN47" s="70" t="str">
        <f t="shared" si="25"/>
        <v>NOON</v>
      </c>
      <c r="AO47" s="241">
        <f t="shared" si="26"/>
        <v>42232.5</v>
      </c>
      <c r="AP47" s="45" t="s">
        <v>40</v>
      </c>
      <c r="AQ47" s="98">
        <v>70</v>
      </c>
      <c r="AR47" s="99">
        <v>273.49170130000005</v>
      </c>
      <c r="AS47" s="99">
        <v>11.395487554166669</v>
      </c>
      <c r="AT47" s="100">
        <v>283</v>
      </c>
      <c r="AU47" s="101">
        <v>11.791666666666666</v>
      </c>
      <c r="AV47" s="100">
        <v>283</v>
      </c>
      <c r="AW47" s="101">
        <v>11.791666666666666</v>
      </c>
      <c r="AX47" s="101">
        <v>-3.4766315229324118</v>
      </c>
      <c r="AY47" s="99">
        <v>-3.4766315229324118</v>
      </c>
      <c r="AZ47" s="102"/>
      <c r="BA47" s="102"/>
      <c r="BB47" s="103">
        <v>20.727599999999999</v>
      </c>
      <c r="BC47" s="104">
        <v>21.4</v>
      </c>
      <c r="BD47" s="98">
        <v>0</v>
      </c>
      <c r="BE47" s="105">
        <v>3.5144000000000015</v>
      </c>
      <c r="BF47" s="104">
        <v>2.8</v>
      </c>
      <c r="BG47" s="115">
        <v>0</v>
      </c>
      <c r="BH47" s="104">
        <v>0</v>
      </c>
      <c r="BI47" s="98">
        <v>0</v>
      </c>
      <c r="BJ47" s="105">
        <v>0</v>
      </c>
      <c r="BK47" s="104">
        <v>0</v>
      </c>
      <c r="BL47" s="104">
        <v>0</v>
      </c>
      <c r="BM47" s="107"/>
      <c r="BN47" s="108">
        <v>24.2</v>
      </c>
      <c r="BO47" s="108">
        <v>0</v>
      </c>
      <c r="BP47" s="109">
        <v>0</v>
      </c>
      <c r="BQ47" s="110"/>
      <c r="BR47" s="108">
        <v>1119.0999999999995</v>
      </c>
      <c r="BS47" s="109">
        <v>0</v>
      </c>
      <c r="BT47" s="109">
        <v>305.40000000000003</v>
      </c>
      <c r="BU47" s="107"/>
      <c r="BV47" s="111">
        <v>15</v>
      </c>
      <c r="BW47" s="98">
        <v>15</v>
      </c>
      <c r="BX47" s="113"/>
      <c r="BY47" s="113">
        <v>286</v>
      </c>
      <c r="BZ47" s="114">
        <v>286</v>
      </c>
      <c r="CA47" s="114">
        <v>100</v>
      </c>
      <c r="CB47" s="114">
        <v>42</v>
      </c>
      <c r="CC47" s="99">
        <v>428</v>
      </c>
      <c r="CD47" s="115">
        <v>6</v>
      </c>
      <c r="CE47" s="116">
        <v>7</v>
      </c>
      <c r="CF47" s="90">
        <v>0</v>
      </c>
      <c r="CG47" s="90" t="s">
        <v>39</v>
      </c>
      <c r="CH47" s="90">
        <v>0</v>
      </c>
      <c r="CI47" s="90" t="s">
        <v>39</v>
      </c>
      <c r="CJ47" s="90">
        <v>0</v>
      </c>
      <c r="CK47" s="90" t="s">
        <v>39</v>
      </c>
      <c r="CL47" s="90"/>
      <c r="CM47" s="90">
        <v>280</v>
      </c>
      <c r="CN47" s="90">
        <v>280</v>
      </c>
      <c r="CO47" s="90">
        <v>0</v>
      </c>
      <c r="CP47" s="121">
        <v>28704</v>
      </c>
      <c r="CQ47" s="121">
        <v>14500</v>
      </c>
      <c r="CR47" s="100"/>
      <c r="CS47" s="121">
        <v>4700</v>
      </c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customHeight="1" x14ac:dyDescent="0.25">
      <c r="A48" s="83" t="s">
        <v>11</v>
      </c>
      <c r="B48" s="442">
        <v>42233.5</v>
      </c>
      <c r="C48" s="453"/>
      <c r="D48" s="84"/>
      <c r="E48" s="23">
        <v>24</v>
      </c>
      <c r="F48" s="15">
        <v>3288.7</v>
      </c>
      <c r="G48" s="213"/>
      <c r="H48" s="27">
        <f t="shared" si="16"/>
        <v>260.69999999999982</v>
      </c>
      <c r="I48" s="216">
        <f t="shared" si="17"/>
        <v>10.862499999999992</v>
      </c>
      <c r="J48" s="29">
        <f ca="1">IF($J$5&gt;=B48,"N/A",SUM(INDIRECT(ADDRESS(6+(MATCH($J$5,$B$6:$B$59,0)),8)):H48))</f>
        <v>3278.5</v>
      </c>
      <c r="K48" s="10">
        <v>381.8</v>
      </c>
      <c r="L48" s="88"/>
      <c r="M48" s="4">
        <f t="shared" si="18"/>
        <v>262.2</v>
      </c>
      <c r="N48" s="220">
        <f t="shared" si="0"/>
        <v>10.924999999999999</v>
      </c>
      <c r="O48" s="30">
        <f ca="1">IF($O$5&gt;=B48,"N/A",SUM(INDIRECT(ADDRESS(6+(MATCH($O$5,$B$6:$B$59,0)),13)):M48))</f>
        <v>3382.5</v>
      </c>
      <c r="P48" s="175">
        <f t="shared" si="19"/>
        <v>69.7</v>
      </c>
      <c r="Q48" s="175">
        <f t="shared" si="20"/>
        <v>3.7401229674919851</v>
      </c>
      <c r="R48" s="175">
        <f t="shared" si="21"/>
        <v>272.38763240000003</v>
      </c>
      <c r="S48" s="70" t="str">
        <f t="shared" si="22"/>
        <v>NOON</v>
      </c>
      <c r="T48" s="241">
        <f t="shared" si="23"/>
        <v>42233.5</v>
      </c>
      <c r="U48" s="157">
        <f t="shared" si="1"/>
        <v>21</v>
      </c>
      <c r="V48" s="158">
        <f t="shared" si="2"/>
        <v>3</v>
      </c>
      <c r="W48" s="158">
        <f t="shared" si="3"/>
        <v>0</v>
      </c>
      <c r="X48" s="199">
        <f t="shared" si="4"/>
        <v>24</v>
      </c>
      <c r="Y48" s="159">
        <f t="shared" si="5"/>
        <v>1095.0999999999995</v>
      </c>
      <c r="Z48" s="181"/>
      <c r="AA48" s="148">
        <f t="shared" si="6"/>
        <v>0</v>
      </c>
      <c r="AB48" s="149">
        <f t="shared" si="7"/>
        <v>0</v>
      </c>
      <c r="AC48" s="149">
        <f t="shared" si="8"/>
        <v>0.2</v>
      </c>
      <c r="AD48" s="203">
        <f t="shared" si="9"/>
        <v>0.2</v>
      </c>
      <c r="AE48" s="150">
        <f t="shared" si="10"/>
        <v>305.20000000000005</v>
      </c>
      <c r="AF48" s="182"/>
      <c r="AG48" s="139">
        <f t="shared" si="11"/>
        <v>10</v>
      </c>
      <c r="AH48" s="140">
        <f t="shared" si="12"/>
        <v>14</v>
      </c>
      <c r="AI48" s="141">
        <f t="shared" si="13"/>
        <v>420</v>
      </c>
      <c r="AJ48" s="166">
        <f t="shared" si="14"/>
        <v>28423</v>
      </c>
      <c r="AK48" s="167">
        <f t="shared" si="14"/>
        <v>14430</v>
      </c>
      <c r="AL48" s="168">
        <f t="shared" si="15"/>
        <v>4650</v>
      </c>
      <c r="AM48" s="237">
        <f t="shared" si="27"/>
        <v>4.2908087628725285E-2</v>
      </c>
      <c r="AN48" s="70" t="str">
        <f t="shared" si="25"/>
        <v>NOON</v>
      </c>
      <c r="AO48" s="241">
        <f t="shared" si="26"/>
        <v>42233.5</v>
      </c>
      <c r="AP48" s="45" t="s">
        <v>40</v>
      </c>
      <c r="AQ48" s="98">
        <v>69.7</v>
      </c>
      <c r="AR48" s="99">
        <v>272.38763240000003</v>
      </c>
      <c r="AS48" s="99">
        <v>11.349484683333335</v>
      </c>
      <c r="AT48" s="100">
        <v>262.2</v>
      </c>
      <c r="AU48" s="101">
        <v>10.924999999999999</v>
      </c>
      <c r="AV48" s="100">
        <v>262.2</v>
      </c>
      <c r="AW48" s="101">
        <v>10.924999999999999</v>
      </c>
      <c r="AX48" s="101">
        <v>3.7401229674919851</v>
      </c>
      <c r="AY48" s="99">
        <v>3.7401229674919851</v>
      </c>
      <c r="AZ48" s="102"/>
      <c r="BA48" s="102"/>
      <c r="BB48" s="103">
        <v>20.451600000000003</v>
      </c>
      <c r="BC48" s="104">
        <v>21</v>
      </c>
      <c r="BD48" s="98">
        <v>0</v>
      </c>
      <c r="BE48" s="105">
        <v>3.6247999999999991</v>
      </c>
      <c r="BF48" s="104">
        <v>3</v>
      </c>
      <c r="BG48" s="115">
        <v>0</v>
      </c>
      <c r="BH48" s="104">
        <v>0</v>
      </c>
      <c r="BI48" s="98">
        <v>0</v>
      </c>
      <c r="BJ48" s="105">
        <v>0</v>
      </c>
      <c r="BK48" s="104">
        <v>0</v>
      </c>
      <c r="BL48" s="104">
        <v>0.2</v>
      </c>
      <c r="BM48" s="107"/>
      <c r="BN48" s="108">
        <v>24</v>
      </c>
      <c r="BO48" s="108">
        <v>0</v>
      </c>
      <c r="BP48" s="109">
        <v>0.2</v>
      </c>
      <c r="BQ48" s="110"/>
      <c r="BR48" s="108">
        <v>1095.0999999999995</v>
      </c>
      <c r="BS48" s="109">
        <v>0</v>
      </c>
      <c r="BT48" s="109">
        <v>305.20000000000005</v>
      </c>
      <c r="BU48" s="107"/>
      <c r="BV48" s="111">
        <v>14</v>
      </c>
      <c r="BW48" s="98">
        <v>14</v>
      </c>
      <c r="BX48" s="113"/>
      <c r="BY48" s="113">
        <v>290</v>
      </c>
      <c r="BZ48" s="114">
        <v>290</v>
      </c>
      <c r="CA48" s="114">
        <v>100</v>
      </c>
      <c r="CB48" s="114">
        <v>30</v>
      </c>
      <c r="CC48" s="99">
        <v>420</v>
      </c>
      <c r="CD48" s="115">
        <v>22</v>
      </c>
      <c r="CE48" s="116">
        <v>10</v>
      </c>
      <c r="CF48" s="90">
        <v>0</v>
      </c>
      <c r="CG48" s="90" t="s">
        <v>39</v>
      </c>
      <c r="CH48" s="90">
        <v>0</v>
      </c>
      <c r="CI48" s="90" t="s">
        <v>39</v>
      </c>
      <c r="CJ48" s="90">
        <v>0</v>
      </c>
      <c r="CK48" s="90" t="s">
        <v>39</v>
      </c>
      <c r="CL48" s="90"/>
      <c r="CM48" s="90">
        <v>281</v>
      </c>
      <c r="CN48" s="90">
        <v>281</v>
      </c>
      <c r="CO48" s="90">
        <v>0</v>
      </c>
      <c r="CP48" s="121">
        <v>28423</v>
      </c>
      <c r="CQ48" s="121">
        <v>14430</v>
      </c>
      <c r="CR48" s="100"/>
      <c r="CS48" s="121">
        <v>4650</v>
      </c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customHeight="1" x14ac:dyDescent="0.25">
      <c r="A49" s="83" t="s">
        <v>11</v>
      </c>
      <c r="B49" s="442">
        <v>42234.5</v>
      </c>
      <c r="C49" s="453"/>
      <c r="D49" s="84" t="s">
        <v>127</v>
      </c>
      <c r="E49" s="23">
        <v>21</v>
      </c>
      <c r="F49" s="15">
        <v>3526</v>
      </c>
      <c r="G49" s="213"/>
      <c r="H49" s="27">
        <f t="shared" si="16"/>
        <v>237.30000000000018</v>
      </c>
      <c r="I49" s="216">
        <f t="shared" si="17"/>
        <v>11.300000000000008</v>
      </c>
      <c r="J49" s="29">
        <f ca="1">IF($J$5&gt;=B49,"N/A",SUM(INDIRECT(ADDRESS(6+(MATCH($J$5,$B$6:$B$59,0)),8)):H49))</f>
        <v>3515.8</v>
      </c>
      <c r="K49" s="10">
        <v>203.1</v>
      </c>
      <c r="L49" s="88">
        <v>77</v>
      </c>
      <c r="M49" s="4">
        <f t="shared" si="18"/>
        <v>255.70000000000002</v>
      </c>
      <c r="N49" s="220">
        <f t="shared" si="0"/>
        <v>12.176190476190477</v>
      </c>
      <c r="O49" s="30">
        <f ca="1">IF($O$5&gt;=B49,"N/A",SUM(INDIRECT(ADDRESS(6+(MATCH($O$5,$B$6:$B$59,0)),13)):M49))</f>
        <v>3638.2</v>
      </c>
      <c r="P49" s="175">
        <f t="shared" si="19"/>
        <v>70.7</v>
      </c>
      <c r="Q49" s="175">
        <f t="shared" si="20"/>
        <v>-5.7702495966018974</v>
      </c>
      <c r="R49" s="175">
        <f t="shared" si="21"/>
        <v>241.75039860000001</v>
      </c>
      <c r="S49" s="70" t="str">
        <f t="shared" si="22"/>
        <v>NOON</v>
      </c>
      <c r="T49" s="241">
        <f t="shared" si="23"/>
        <v>42234.5</v>
      </c>
      <c r="U49" s="157">
        <f t="shared" si="1"/>
        <v>19.399999999999999</v>
      </c>
      <c r="V49" s="158">
        <f t="shared" si="2"/>
        <v>4.5</v>
      </c>
      <c r="W49" s="158">
        <f t="shared" si="3"/>
        <v>0.5</v>
      </c>
      <c r="X49" s="199">
        <f t="shared" si="4"/>
        <v>24.4</v>
      </c>
      <c r="Y49" s="159">
        <f t="shared" si="5"/>
        <v>1070.6999999999994</v>
      </c>
      <c r="Z49" s="181"/>
      <c r="AA49" s="148">
        <f t="shared" si="6"/>
        <v>0</v>
      </c>
      <c r="AB49" s="149">
        <f t="shared" si="7"/>
        <v>0</v>
      </c>
      <c r="AC49" s="149">
        <f t="shared" si="8"/>
        <v>0</v>
      </c>
      <c r="AD49" s="203">
        <f t="shared" si="9"/>
        <v>0</v>
      </c>
      <c r="AE49" s="150">
        <f t="shared" si="10"/>
        <v>305.20000000000005</v>
      </c>
      <c r="AF49" s="182"/>
      <c r="AG49" s="139">
        <f t="shared" si="11"/>
        <v>6</v>
      </c>
      <c r="AH49" s="140">
        <f t="shared" si="12"/>
        <v>0</v>
      </c>
      <c r="AI49" s="141">
        <f t="shared" si="13"/>
        <v>416</v>
      </c>
      <c r="AJ49" s="166">
        <f t="shared" si="14"/>
        <v>28171</v>
      </c>
      <c r="AK49" s="167">
        <f t="shared" si="14"/>
        <v>14430</v>
      </c>
      <c r="AL49" s="168">
        <f t="shared" si="15"/>
        <v>4650</v>
      </c>
      <c r="AM49" s="237">
        <f t="shared" si="27"/>
        <v>1.8409064166067642E-2</v>
      </c>
      <c r="AN49" s="70" t="str">
        <f t="shared" si="25"/>
        <v>NOON</v>
      </c>
      <c r="AO49" s="241">
        <f t="shared" si="26"/>
        <v>42234.5</v>
      </c>
      <c r="AP49" s="45" t="s">
        <v>40</v>
      </c>
      <c r="AQ49" s="98">
        <v>70.7</v>
      </c>
      <c r="AR49" s="99">
        <v>241.75039860000001</v>
      </c>
      <c r="AS49" s="99">
        <v>11.511923742857144</v>
      </c>
      <c r="AT49" s="100">
        <v>255.7</v>
      </c>
      <c r="AU49" s="101">
        <v>12.176190476190476</v>
      </c>
      <c r="AV49" s="100">
        <v>255.7</v>
      </c>
      <c r="AW49" s="101">
        <v>12.176190476190476</v>
      </c>
      <c r="AX49" s="101">
        <v>-5.7702495966018974</v>
      </c>
      <c r="AY49" s="99">
        <v>-5.7702495966018974</v>
      </c>
      <c r="AZ49" s="102"/>
      <c r="BA49" s="102"/>
      <c r="BB49" s="103">
        <v>18.749599999999997</v>
      </c>
      <c r="BC49" s="104">
        <v>19.399999999999999</v>
      </c>
      <c r="BD49" s="98">
        <v>0</v>
      </c>
      <c r="BE49" s="105">
        <v>5.1244000000000014</v>
      </c>
      <c r="BF49" s="104">
        <v>4.5</v>
      </c>
      <c r="BG49" s="115">
        <v>0</v>
      </c>
      <c r="BH49" s="104">
        <v>0</v>
      </c>
      <c r="BI49" s="98">
        <v>0</v>
      </c>
      <c r="BJ49" s="105">
        <v>0.44500000000000001</v>
      </c>
      <c r="BK49" s="104">
        <v>0.5</v>
      </c>
      <c r="BL49" s="104">
        <v>0</v>
      </c>
      <c r="BM49" s="107"/>
      <c r="BN49" s="108">
        <v>24.4</v>
      </c>
      <c r="BO49" s="108">
        <v>0</v>
      </c>
      <c r="BP49" s="109">
        <v>0</v>
      </c>
      <c r="BQ49" s="110"/>
      <c r="BR49" s="108">
        <v>1070.6999999999994</v>
      </c>
      <c r="BS49" s="109">
        <v>0</v>
      </c>
      <c r="BT49" s="109">
        <v>305.20000000000005</v>
      </c>
      <c r="BU49" s="107"/>
      <c r="BV49" s="111">
        <v>0</v>
      </c>
      <c r="BW49" s="98">
        <v>0</v>
      </c>
      <c r="BX49" s="113"/>
      <c r="BY49" s="113">
        <v>290</v>
      </c>
      <c r="BZ49" s="114">
        <v>290</v>
      </c>
      <c r="CA49" s="114">
        <v>98</v>
      </c>
      <c r="CB49" s="114">
        <v>28</v>
      </c>
      <c r="CC49" s="99">
        <v>416</v>
      </c>
      <c r="CD49" s="115">
        <v>4</v>
      </c>
      <c r="CE49" s="116">
        <v>6</v>
      </c>
      <c r="CF49" s="90">
        <v>0</v>
      </c>
      <c r="CG49" s="90" t="s">
        <v>39</v>
      </c>
      <c r="CH49" s="90">
        <v>0</v>
      </c>
      <c r="CI49" s="90" t="s">
        <v>39</v>
      </c>
      <c r="CJ49" s="90">
        <v>0</v>
      </c>
      <c r="CK49" s="90" t="s">
        <v>39</v>
      </c>
      <c r="CL49" s="90"/>
      <c r="CM49" s="90">
        <v>252</v>
      </c>
      <c r="CN49" s="90">
        <v>252</v>
      </c>
      <c r="CO49" s="90">
        <v>0</v>
      </c>
      <c r="CP49" s="121">
        <v>28171</v>
      </c>
      <c r="CQ49" s="121">
        <v>14430</v>
      </c>
      <c r="CR49" s="100"/>
      <c r="CS49" s="121">
        <v>4650</v>
      </c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customHeight="1" x14ac:dyDescent="0.25">
      <c r="A50" s="83" t="s">
        <v>11</v>
      </c>
      <c r="B50" s="442">
        <v>42235.5</v>
      </c>
      <c r="C50" s="453"/>
      <c r="D50" s="84"/>
      <c r="E50" s="23">
        <v>15.2</v>
      </c>
      <c r="F50" s="15">
        <v>3592.7</v>
      </c>
      <c r="G50" s="213">
        <v>-9.1999999999999993</v>
      </c>
      <c r="H50" s="27">
        <f t="shared" si="16"/>
        <v>57.499999999999815</v>
      </c>
      <c r="I50" s="216">
        <f t="shared" si="17"/>
        <v>3.7828947368420933</v>
      </c>
      <c r="J50" s="29">
        <f ca="1">IF($J$5&gt;=B50,"N/A",SUM(INDIRECT(ADDRESS(6+(MATCH($J$5,$B$6:$B$59,0)),8)):H50))</f>
        <v>3573.3</v>
      </c>
      <c r="K50" s="10">
        <v>183.9</v>
      </c>
      <c r="L50" s="88">
        <v>42.5</v>
      </c>
      <c r="M50" s="4">
        <f t="shared" si="18"/>
        <v>61.699999999999989</v>
      </c>
      <c r="N50" s="220">
        <f t="shared" si="0"/>
        <v>4.0592105263157885</v>
      </c>
      <c r="O50" s="30">
        <f ca="1">IF($O$5&gt;=B50,"N/A",SUM(INDIRECT(ADDRESS(6+(MATCH($O$5,$B$6:$B$59,0)),13)):M50))</f>
        <v>3699.8999999999996</v>
      </c>
      <c r="P50" s="175">
        <f t="shared" si="19"/>
        <v>24</v>
      </c>
      <c r="Q50" s="175">
        <f t="shared" si="20"/>
        <v>25.551154666176643</v>
      </c>
      <c r="R50" s="175">
        <f t="shared" si="21"/>
        <v>82.875697700000003</v>
      </c>
      <c r="S50" s="70" t="str">
        <f t="shared" si="22"/>
        <v>NOON</v>
      </c>
      <c r="T50" s="241">
        <f t="shared" si="23"/>
        <v>42235.5</v>
      </c>
      <c r="U50" s="157">
        <f t="shared" si="1"/>
        <v>4.8</v>
      </c>
      <c r="V50" s="158">
        <f t="shared" si="2"/>
        <v>3</v>
      </c>
      <c r="W50" s="158">
        <f t="shared" si="3"/>
        <v>2.9</v>
      </c>
      <c r="X50" s="199">
        <f t="shared" si="4"/>
        <v>10.7</v>
      </c>
      <c r="Y50" s="159">
        <f t="shared" si="5"/>
        <v>1059.9999999999993</v>
      </c>
      <c r="Z50" s="181"/>
      <c r="AA50" s="148">
        <f t="shared" si="6"/>
        <v>0.6</v>
      </c>
      <c r="AB50" s="149">
        <f t="shared" si="7"/>
        <v>0.5</v>
      </c>
      <c r="AC50" s="149">
        <f t="shared" si="8"/>
        <v>0.4</v>
      </c>
      <c r="AD50" s="203">
        <f t="shared" si="9"/>
        <v>1.5</v>
      </c>
      <c r="AE50" s="150">
        <f t="shared" si="10"/>
        <v>303.70000000000005</v>
      </c>
      <c r="AF50" s="182"/>
      <c r="AG50" s="139">
        <f t="shared" si="11"/>
        <v>6</v>
      </c>
      <c r="AH50" s="140">
        <f t="shared" si="12"/>
        <v>0</v>
      </c>
      <c r="AI50" s="141">
        <f t="shared" si="13"/>
        <v>410</v>
      </c>
      <c r="AJ50" s="166">
        <f t="shared" si="14"/>
        <v>28034</v>
      </c>
      <c r="AK50" s="167">
        <f t="shared" si="14"/>
        <v>14360</v>
      </c>
      <c r="AL50" s="168">
        <f t="shared" si="15"/>
        <v>4250</v>
      </c>
      <c r="AM50" s="237">
        <f t="shared" si="27"/>
        <v>0.30618985304783969</v>
      </c>
      <c r="AN50" s="70" t="str">
        <f t="shared" si="25"/>
        <v>NOON</v>
      </c>
      <c r="AO50" s="241">
        <f t="shared" si="26"/>
        <v>42235.5</v>
      </c>
      <c r="AP50" s="45" t="s">
        <v>40</v>
      </c>
      <c r="AQ50" s="98">
        <v>24</v>
      </c>
      <c r="AR50" s="99">
        <v>82.875697700000003</v>
      </c>
      <c r="AS50" s="99">
        <v>5.5250465133333337</v>
      </c>
      <c r="AT50" s="100">
        <v>61.7</v>
      </c>
      <c r="AU50" s="101">
        <v>4.1133333333333333</v>
      </c>
      <c r="AV50" s="100">
        <v>61.7</v>
      </c>
      <c r="AW50" s="101">
        <v>4.1133333333333333</v>
      </c>
      <c r="AX50" s="101">
        <v>25.551154666176643</v>
      </c>
      <c r="AY50" s="99">
        <v>25.551154666176643</v>
      </c>
      <c r="AZ50" s="102"/>
      <c r="BA50" s="102"/>
      <c r="BB50" s="103">
        <v>1.692800000000001</v>
      </c>
      <c r="BC50" s="104">
        <v>4.8</v>
      </c>
      <c r="BD50" s="98">
        <v>0.6</v>
      </c>
      <c r="BE50" s="105">
        <v>4.5999999999999996</v>
      </c>
      <c r="BF50" s="104">
        <v>3</v>
      </c>
      <c r="BG50" s="115">
        <v>0</v>
      </c>
      <c r="BH50" s="104">
        <v>0</v>
      </c>
      <c r="BI50" s="98">
        <v>0.5</v>
      </c>
      <c r="BJ50" s="105">
        <v>2.9103000000000003</v>
      </c>
      <c r="BK50" s="104">
        <v>2.9</v>
      </c>
      <c r="BL50" s="104">
        <v>0.4</v>
      </c>
      <c r="BM50" s="107"/>
      <c r="BN50" s="108">
        <v>10.7</v>
      </c>
      <c r="BO50" s="108">
        <v>0</v>
      </c>
      <c r="BP50" s="109">
        <v>1.5</v>
      </c>
      <c r="BQ50" s="110"/>
      <c r="BR50" s="108">
        <v>1059.9999999999993</v>
      </c>
      <c r="BS50" s="109">
        <v>0</v>
      </c>
      <c r="BT50" s="109">
        <v>303.70000000000005</v>
      </c>
      <c r="BU50" s="107"/>
      <c r="BV50" s="111">
        <v>0</v>
      </c>
      <c r="BW50" s="98">
        <v>0</v>
      </c>
      <c r="BX50" s="113"/>
      <c r="BY50" s="113">
        <v>290</v>
      </c>
      <c r="BZ50" s="114">
        <v>290</v>
      </c>
      <c r="CA50" s="114">
        <v>98</v>
      </c>
      <c r="CB50" s="114">
        <v>22</v>
      </c>
      <c r="CC50" s="99">
        <v>410</v>
      </c>
      <c r="CD50" s="115">
        <v>6</v>
      </c>
      <c r="CE50" s="116">
        <v>6</v>
      </c>
      <c r="CF50" s="90">
        <v>0</v>
      </c>
      <c r="CG50" s="90" t="s">
        <v>39</v>
      </c>
      <c r="CH50" s="90">
        <v>0</v>
      </c>
      <c r="CI50" s="90" t="s">
        <v>39</v>
      </c>
      <c r="CJ50" s="90">
        <v>0</v>
      </c>
      <c r="CK50" s="90" t="s">
        <v>39</v>
      </c>
      <c r="CL50" s="90"/>
      <c r="CM50" s="90">
        <v>137</v>
      </c>
      <c r="CN50" s="90">
        <v>137</v>
      </c>
      <c r="CO50" s="90">
        <v>0</v>
      </c>
      <c r="CP50" s="121">
        <v>28034</v>
      </c>
      <c r="CQ50" s="121">
        <v>14360</v>
      </c>
      <c r="CR50" s="100"/>
      <c r="CS50" s="121">
        <v>4250</v>
      </c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customHeight="1" x14ac:dyDescent="0.25">
      <c r="A51" s="83" t="s">
        <v>11</v>
      </c>
      <c r="B51" s="442">
        <v>42236.5</v>
      </c>
      <c r="C51" s="453"/>
      <c r="D51" s="84"/>
      <c r="E51" s="23">
        <v>0</v>
      </c>
      <c r="F51" s="15">
        <v>16.899999999999999</v>
      </c>
      <c r="G51" s="213">
        <v>3575.8</v>
      </c>
      <c r="H51" s="27">
        <f t="shared" si="16"/>
        <v>4.5474735088646412E-13</v>
      </c>
      <c r="I51" s="216" t="str">
        <f t="shared" si="17"/>
        <v/>
      </c>
      <c r="J51" s="29">
        <f ca="1">IF($J$5&gt;=B51,"N/A",SUM(INDIRECT(ADDRESS(6+(MATCH($J$5,$B$6:$B$59,0)),8)):H51))</f>
        <v>3573.3000000000006</v>
      </c>
      <c r="K51" s="10">
        <v>184.5</v>
      </c>
      <c r="L51" s="88">
        <v>0.6</v>
      </c>
      <c r="M51" s="4">
        <f t="shared" si="18"/>
        <v>5.6621374255882984E-15</v>
      </c>
      <c r="N51" s="220" t="str">
        <f t="shared" si="0"/>
        <v/>
      </c>
      <c r="O51" s="30">
        <f ca="1">IF($O$5&gt;=B51,"N/A",SUM(INDIRECT(ADDRESS(6+(MATCH($O$5,$B$6:$B$59,0)),13)):M51))</f>
        <v>3699.8999999999996</v>
      </c>
      <c r="P51" s="175">
        <f t="shared" si="19"/>
        <v>0</v>
      </c>
      <c r="Q51" s="175" t="e">
        <f t="shared" si="20"/>
        <v>#DIV/0!</v>
      </c>
      <c r="R51" s="175">
        <f t="shared" si="21"/>
        <v>0</v>
      </c>
      <c r="S51" s="70" t="str">
        <f t="shared" si="22"/>
        <v>NOON</v>
      </c>
      <c r="T51" s="241">
        <f t="shared" si="23"/>
        <v>42236.5</v>
      </c>
      <c r="U51" s="157">
        <f t="shared" si="1"/>
        <v>0</v>
      </c>
      <c r="V51" s="158">
        <f t="shared" si="2"/>
        <v>0</v>
      </c>
      <c r="W51" s="158">
        <f t="shared" si="3"/>
        <v>0</v>
      </c>
      <c r="X51" s="199">
        <f t="shared" si="4"/>
        <v>0</v>
      </c>
      <c r="Y51" s="159">
        <f t="shared" si="5"/>
        <v>1059.9999999999993</v>
      </c>
      <c r="Z51" s="181"/>
      <c r="AA51" s="148">
        <f t="shared" si="6"/>
        <v>0</v>
      </c>
      <c r="AB51" s="149">
        <f t="shared" si="7"/>
        <v>2.2999999999999998</v>
      </c>
      <c r="AC51" s="149">
        <f t="shared" si="8"/>
        <v>0</v>
      </c>
      <c r="AD51" s="203">
        <f t="shared" si="9"/>
        <v>2.2999999999999998</v>
      </c>
      <c r="AE51" s="150">
        <f t="shared" si="10"/>
        <v>301.40000000000003</v>
      </c>
      <c r="AF51" s="182"/>
      <c r="AG51" s="139">
        <f t="shared" si="11"/>
        <v>12</v>
      </c>
      <c r="AH51" s="140">
        <f t="shared" si="12"/>
        <v>0</v>
      </c>
      <c r="AI51" s="141">
        <f t="shared" si="13"/>
        <v>397</v>
      </c>
      <c r="AJ51" s="166">
        <f t="shared" si="14"/>
        <v>28034</v>
      </c>
      <c r="AK51" s="167">
        <f t="shared" si="14"/>
        <v>14300</v>
      </c>
      <c r="AL51" s="168">
        <f t="shared" si="15"/>
        <v>4200</v>
      </c>
      <c r="AM51" s="237" t="e">
        <f t="shared" si="27"/>
        <v>#DIV/0!</v>
      </c>
      <c r="AN51" s="70" t="str">
        <f t="shared" si="25"/>
        <v>NOON</v>
      </c>
      <c r="AO51" s="241">
        <f t="shared" si="26"/>
        <v>42236.5</v>
      </c>
      <c r="AP51" s="45" t="s">
        <v>40</v>
      </c>
      <c r="AQ51" s="98">
        <v>0</v>
      </c>
      <c r="AR51" s="99">
        <v>0</v>
      </c>
      <c r="AS51" s="99">
        <v>0</v>
      </c>
      <c r="AT51" s="100">
        <v>0</v>
      </c>
      <c r="AU51" s="101">
        <v>0</v>
      </c>
      <c r="AV51" s="100">
        <v>0</v>
      </c>
      <c r="AW51" s="101">
        <v>0</v>
      </c>
      <c r="AX51" s="101" t="e">
        <v>#DIV/0!</v>
      </c>
      <c r="AY51" s="99" t="e">
        <v>#DIV/0!</v>
      </c>
      <c r="AZ51" s="102"/>
      <c r="BA51" s="102"/>
      <c r="BB51" s="103">
        <v>-0.64400000000000068</v>
      </c>
      <c r="BC51" s="104">
        <v>0</v>
      </c>
      <c r="BD51" s="98">
        <v>0</v>
      </c>
      <c r="BE51" s="105">
        <v>0.69920000000000071</v>
      </c>
      <c r="BF51" s="104">
        <v>0</v>
      </c>
      <c r="BG51" s="115">
        <v>0</v>
      </c>
      <c r="BH51" s="104">
        <v>0</v>
      </c>
      <c r="BI51" s="98">
        <v>2.2999999999999998</v>
      </c>
      <c r="BJ51" s="105">
        <v>0</v>
      </c>
      <c r="BK51" s="104">
        <v>0</v>
      </c>
      <c r="BL51" s="104">
        <v>0</v>
      </c>
      <c r="BM51" s="107"/>
      <c r="BN51" s="108">
        <v>0</v>
      </c>
      <c r="BO51" s="108">
        <v>0</v>
      </c>
      <c r="BP51" s="109">
        <v>2.2999999999999998</v>
      </c>
      <c r="BQ51" s="110"/>
      <c r="BR51" s="108">
        <v>1059.9999999999993</v>
      </c>
      <c r="BS51" s="109">
        <v>0</v>
      </c>
      <c r="BT51" s="109">
        <v>301.40000000000003</v>
      </c>
      <c r="BU51" s="107"/>
      <c r="BV51" s="111">
        <v>0</v>
      </c>
      <c r="BW51" s="98">
        <v>0</v>
      </c>
      <c r="BX51" s="113"/>
      <c r="BY51" s="113">
        <v>290</v>
      </c>
      <c r="BZ51" s="114">
        <v>290</v>
      </c>
      <c r="CA51" s="114">
        <v>98</v>
      </c>
      <c r="CB51" s="114">
        <v>9</v>
      </c>
      <c r="CC51" s="99">
        <v>397</v>
      </c>
      <c r="CD51" s="115">
        <v>13</v>
      </c>
      <c r="CE51" s="116">
        <v>12</v>
      </c>
      <c r="CF51" s="90">
        <v>0</v>
      </c>
      <c r="CG51" s="90" t="s">
        <v>39</v>
      </c>
      <c r="CH51" s="90">
        <v>0</v>
      </c>
      <c r="CI51" s="90" t="s">
        <v>39</v>
      </c>
      <c r="CJ51" s="90">
        <v>0</v>
      </c>
      <c r="CK51" s="90" t="s">
        <v>39</v>
      </c>
      <c r="CL51" s="90"/>
      <c r="CM51" s="90">
        <v>0</v>
      </c>
      <c r="CN51" s="90">
        <v>0</v>
      </c>
      <c r="CO51" s="90">
        <v>0</v>
      </c>
      <c r="CP51" s="121">
        <v>28034</v>
      </c>
      <c r="CQ51" s="121">
        <v>14300</v>
      </c>
      <c r="CR51" s="100"/>
      <c r="CS51" s="121">
        <v>4200</v>
      </c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customHeight="1" x14ac:dyDescent="0.25">
      <c r="A52" s="83" t="s">
        <v>11</v>
      </c>
      <c r="B52" s="442">
        <v>42237.5</v>
      </c>
      <c r="C52" s="453"/>
      <c r="D52" s="84"/>
      <c r="E52" s="23">
        <v>1</v>
      </c>
      <c r="F52" s="15">
        <v>34.4</v>
      </c>
      <c r="G52" s="213">
        <v>-15.5</v>
      </c>
      <c r="H52" s="27">
        <f t="shared" si="16"/>
        <v>2</v>
      </c>
      <c r="I52" s="216">
        <f t="shared" si="17"/>
        <v>2</v>
      </c>
      <c r="J52" s="29">
        <f ca="1">IF($J$5&gt;=B52,"N/A",SUM(INDIRECT(ADDRESS(6+(MATCH($J$5,$B$6:$B$59,0)),8)):H52))</f>
        <v>3575.3000000000006</v>
      </c>
      <c r="K52" s="10">
        <v>177.7</v>
      </c>
      <c r="L52" s="88">
        <v>-4.8</v>
      </c>
      <c r="M52" s="4">
        <f t="shared" si="18"/>
        <v>2.0000000000000115</v>
      </c>
      <c r="N52" s="220">
        <f t="shared" si="0"/>
        <v>2.0000000000000115</v>
      </c>
      <c r="O52" s="30">
        <f ca="1">IF($O$5&gt;=B52,"N/A",SUM(INDIRECT(ADDRESS(6+(MATCH($O$5,$B$6:$B$59,0)),13)):M52))</f>
        <v>3701.8999999999996</v>
      </c>
      <c r="P52" s="175">
        <f t="shared" si="19"/>
        <v>0</v>
      </c>
      <c r="Q52" s="175" t="e">
        <f t="shared" si="20"/>
        <v>#DIV/0!</v>
      </c>
      <c r="R52" s="175">
        <f t="shared" si="21"/>
        <v>0</v>
      </c>
      <c r="S52" s="70" t="str">
        <f t="shared" si="22"/>
        <v>NOON</v>
      </c>
      <c r="T52" s="241">
        <f t="shared" si="23"/>
        <v>42237.5</v>
      </c>
      <c r="U52" s="157">
        <f t="shared" si="1"/>
        <v>0</v>
      </c>
      <c r="V52" s="158">
        <f t="shared" si="2"/>
        <v>0.4</v>
      </c>
      <c r="W52" s="158">
        <f t="shared" si="3"/>
        <v>0.3</v>
      </c>
      <c r="X52" s="199">
        <f t="shared" si="4"/>
        <v>0.7</v>
      </c>
      <c r="Y52" s="159">
        <f t="shared" si="5"/>
        <v>1059.2999999999993</v>
      </c>
      <c r="Z52" s="181"/>
      <c r="AA52" s="148">
        <f t="shared" si="6"/>
        <v>0</v>
      </c>
      <c r="AB52" s="149">
        <f t="shared" si="7"/>
        <v>3</v>
      </c>
      <c r="AC52" s="149">
        <f t="shared" si="8"/>
        <v>0.2</v>
      </c>
      <c r="AD52" s="203">
        <f t="shared" si="9"/>
        <v>3.2</v>
      </c>
      <c r="AE52" s="150">
        <f t="shared" si="10"/>
        <v>298.20000000000005</v>
      </c>
      <c r="AF52" s="182"/>
      <c r="AG52" s="139">
        <f t="shared" si="11"/>
        <v>12</v>
      </c>
      <c r="AH52" s="140">
        <f t="shared" si="12"/>
        <v>0</v>
      </c>
      <c r="AI52" s="141">
        <f t="shared" si="13"/>
        <v>385</v>
      </c>
      <c r="AJ52" s="166">
        <f t="shared" si="14"/>
        <v>28034</v>
      </c>
      <c r="AK52" s="167">
        <f t="shared" si="14"/>
        <v>14170</v>
      </c>
      <c r="AL52" s="168">
        <f t="shared" si="15"/>
        <v>4150</v>
      </c>
      <c r="AM52" s="237" t="e">
        <f t="shared" si="27"/>
        <v>#DIV/0!</v>
      </c>
      <c r="AN52" s="70" t="str">
        <f t="shared" si="25"/>
        <v>NOON</v>
      </c>
      <c r="AO52" s="241">
        <f t="shared" si="26"/>
        <v>42237.5</v>
      </c>
      <c r="AP52" s="45" t="s">
        <v>40</v>
      </c>
      <c r="AQ52" s="98">
        <v>0</v>
      </c>
      <c r="AR52" s="99">
        <v>0</v>
      </c>
      <c r="AS52" s="99">
        <v>0</v>
      </c>
      <c r="AT52" s="100">
        <v>0</v>
      </c>
      <c r="AU52" s="101">
        <v>0</v>
      </c>
      <c r="AV52" s="100">
        <v>0</v>
      </c>
      <c r="AW52" s="101">
        <v>0</v>
      </c>
      <c r="AX52" s="101" t="e">
        <v>#DIV/0!</v>
      </c>
      <c r="AY52" s="99" t="e">
        <v>#DIV/0!</v>
      </c>
      <c r="AZ52" s="102"/>
      <c r="BA52" s="102"/>
      <c r="BB52" s="103">
        <v>-0.30360000000000065</v>
      </c>
      <c r="BC52" s="104">
        <v>0</v>
      </c>
      <c r="BD52" s="98">
        <v>0</v>
      </c>
      <c r="BE52" s="105">
        <v>0.79120000000000068</v>
      </c>
      <c r="BF52" s="104">
        <v>0.4</v>
      </c>
      <c r="BG52" s="115">
        <v>0</v>
      </c>
      <c r="BH52" s="104">
        <v>0</v>
      </c>
      <c r="BI52" s="98">
        <v>3</v>
      </c>
      <c r="BJ52" s="105">
        <v>0.83660000000000001</v>
      </c>
      <c r="BK52" s="104">
        <v>0.3</v>
      </c>
      <c r="BL52" s="104">
        <v>0.2</v>
      </c>
      <c r="BM52" s="107"/>
      <c r="BN52" s="108">
        <v>0.7</v>
      </c>
      <c r="BO52" s="108">
        <v>0</v>
      </c>
      <c r="BP52" s="109">
        <v>3.2</v>
      </c>
      <c r="BQ52" s="110"/>
      <c r="BR52" s="108">
        <v>1059.2999999999993</v>
      </c>
      <c r="BS52" s="109">
        <v>0</v>
      </c>
      <c r="BT52" s="109">
        <v>298.20000000000005</v>
      </c>
      <c r="BU52" s="107"/>
      <c r="BV52" s="111">
        <v>0</v>
      </c>
      <c r="BW52" s="98">
        <v>0</v>
      </c>
      <c r="BX52" s="113"/>
      <c r="BY52" s="113">
        <v>285</v>
      </c>
      <c r="BZ52" s="114">
        <v>285</v>
      </c>
      <c r="CA52" s="114">
        <v>98</v>
      </c>
      <c r="CB52" s="114">
        <v>2</v>
      </c>
      <c r="CC52" s="99">
        <v>385</v>
      </c>
      <c r="CD52" s="115">
        <v>12</v>
      </c>
      <c r="CE52" s="116">
        <v>12</v>
      </c>
      <c r="CF52" s="90">
        <v>0</v>
      </c>
      <c r="CG52" s="90" t="s">
        <v>39</v>
      </c>
      <c r="CH52" s="90">
        <v>0</v>
      </c>
      <c r="CI52" s="90" t="s">
        <v>39</v>
      </c>
      <c r="CJ52" s="90">
        <v>0</v>
      </c>
      <c r="CK52" s="90" t="s">
        <v>39</v>
      </c>
      <c r="CL52" s="90"/>
      <c r="CM52" s="90">
        <v>0</v>
      </c>
      <c r="CN52" s="90">
        <v>0</v>
      </c>
      <c r="CO52" s="90">
        <v>0</v>
      </c>
      <c r="CP52" s="121">
        <v>28034</v>
      </c>
      <c r="CQ52" s="121">
        <v>14170</v>
      </c>
      <c r="CR52" s="100">
        <v>60</v>
      </c>
      <c r="CS52" s="121">
        <v>4150</v>
      </c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customHeight="1" x14ac:dyDescent="0.25">
      <c r="A53" s="83" t="s">
        <v>97</v>
      </c>
      <c r="B53" s="442">
        <v>42237.520833333336</v>
      </c>
      <c r="C53" s="453"/>
      <c r="D53" s="84"/>
      <c r="E53" s="23">
        <v>0.5</v>
      </c>
      <c r="F53" s="15">
        <v>34.9</v>
      </c>
      <c r="G53" s="213"/>
      <c r="H53" s="27">
        <f t="shared" si="16"/>
        <v>0.5</v>
      </c>
      <c r="I53" s="216">
        <f t="shared" si="17"/>
        <v>1</v>
      </c>
      <c r="J53" s="29">
        <f ca="1">IF($J$5&gt;=B53,"N/A",SUM(INDIRECT(ADDRESS(6+(MATCH($J$5,$B$6:$B$59,0)),8)):H53))</f>
        <v>3575.8000000000006</v>
      </c>
      <c r="K53" s="10">
        <v>178.3</v>
      </c>
      <c r="L53" s="88">
        <v>1.1000000000000001</v>
      </c>
      <c r="M53" s="4">
        <f t="shared" si="18"/>
        <v>0.49999999999997735</v>
      </c>
      <c r="N53" s="220">
        <f t="shared" si="0"/>
        <v>0.9999999999999547</v>
      </c>
      <c r="O53" s="30">
        <f ca="1">IF($O$5&gt;=B53,"N/A",SUM(INDIRECT(ADDRESS(6+(MATCH($O$5,$B$6:$B$59,0)),13)):M53))</f>
        <v>3702.3999999999996</v>
      </c>
      <c r="P53" s="175" t="str">
        <f t="shared" si="19"/>
        <v/>
      </c>
      <c r="Q53" s="175" t="str">
        <f t="shared" si="20"/>
        <v/>
      </c>
      <c r="R53" s="175" t="str">
        <f t="shared" si="21"/>
        <v/>
      </c>
      <c r="S53" s="70" t="str">
        <f t="shared" si="22"/>
        <v>EOSP</v>
      </c>
      <c r="T53" s="241">
        <f t="shared" si="23"/>
        <v>42237.520833333336</v>
      </c>
      <c r="U53" s="157" t="str">
        <f t="shared" si="1"/>
        <v/>
      </c>
      <c r="V53" s="158" t="str">
        <f t="shared" si="2"/>
        <v/>
      </c>
      <c r="W53" s="158" t="str">
        <f t="shared" si="3"/>
        <v/>
      </c>
      <c r="X53" s="199" t="str">
        <f t="shared" si="4"/>
        <v/>
      </c>
      <c r="Y53" s="159" t="str">
        <f t="shared" si="5"/>
        <v/>
      </c>
      <c r="Z53" s="181"/>
      <c r="AA53" s="148" t="str">
        <f t="shared" si="6"/>
        <v/>
      </c>
      <c r="AB53" s="149">
        <f t="shared" si="7"/>
        <v>0</v>
      </c>
      <c r="AC53" s="149" t="str">
        <f t="shared" si="8"/>
        <v/>
      </c>
      <c r="AD53" s="203">
        <f t="shared" si="9"/>
        <v>0</v>
      </c>
      <c r="AE53" s="150" t="str">
        <f t="shared" si="10"/>
        <v/>
      </c>
      <c r="AF53" s="182"/>
      <c r="AG53" s="139" t="str">
        <f t="shared" si="11"/>
        <v/>
      </c>
      <c r="AH53" s="140" t="str">
        <f t="shared" si="12"/>
        <v/>
      </c>
      <c r="AI53" s="141" t="str">
        <f t="shared" si="13"/>
        <v/>
      </c>
      <c r="AJ53" s="166" t="str">
        <f t="shared" si="14"/>
        <v/>
      </c>
      <c r="AK53" s="167" t="str">
        <f t="shared" si="14"/>
        <v/>
      </c>
      <c r="AL53" s="168" t="str">
        <f t="shared" si="15"/>
        <v/>
      </c>
      <c r="AM53" s="237" t="e">
        <f t="shared" si="27"/>
        <v>#VALUE!</v>
      </c>
      <c r="AN53" s="70" t="str">
        <f t="shared" si="25"/>
        <v>EOSP</v>
      </c>
      <c r="AO53" s="241">
        <f t="shared" si="26"/>
        <v>42237.520833333336</v>
      </c>
      <c r="AP53" s="45" t="s">
        <v>40</v>
      </c>
      <c r="AQ53" s="98"/>
      <c r="AR53" s="99"/>
      <c r="AS53" s="99"/>
      <c r="AT53" s="100"/>
      <c r="AU53" s="101"/>
      <c r="AV53" s="100"/>
      <c r="AW53" s="101"/>
      <c r="AX53" s="101"/>
      <c r="AY53" s="99"/>
      <c r="AZ53" s="102"/>
      <c r="BA53" s="102"/>
      <c r="BB53" s="103"/>
      <c r="BC53" s="104"/>
      <c r="BD53" s="98"/>
      <c r="BE53" s="105"/>
      <c r="BF53" s="104"/>
      <c r="BG53" s="115"/>
      <c r="BH53" s="104"/>
      <c r="BI53" s="98"/>
      <c r="BJ53" s="105"/>
      <c r="BK53" s="104"/>
      <c r="BL53" s="104"/>
      <c r="BM53" s="107"/>
      <c r="BN53" s="108"/>
      <c r="BO53" s="108"/>
      <c r="BP53" s="109"/>
      <c r="BQ53" s="110"/>
      <c r="BR53" s="108"/>
      <c r="BS53" s="109"/>
      <c r="BT53" s="109"/>
      <c r="BU53" s="107"/>
      <c r="BV53" s="111"/>
      <c r="BW53" s="98"/>
      <c r="BX53" s="113"/>
      <c r="BY53" s="113"/>
      <c r="BZ53" s="114"/>
      <c r="CA53" s="114"/>
      <c r="CB53" s="114"/>
      <c r="CC53" s="99"/>
      <c r="CD53" s="115"/>
      <c r="CE53" s="116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121"/>
      <c r="CQ53" s="121"/>
      <c r="CR53" s="100"/>
      <c r="CS53" s="121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customHeight="1" x14ac:dyDescent="0.25">
      <c r="A54" s="83" t="s">
        <v>10</v>
      </c>
      <c r="B54" s="442">
        <v>42237.541666666664</v>
      </c>
      <c r="C54" s="453"/>
      <c r="D54" s="84"/>
      <c r="E54" s="23">
        <v>0.5</v>
      </c>
      <c r="F54" s="15">
        <v>50.5</v>
      </c>
      <c r="G54" s="213">
        <v>-15.1</v>
      </c>
      <c r="H54" s="27">
        <f t="shared" si="16"/>
        <v>0.50000000000000178</v>
      </c>
      <c r="I54" s="216">
        <f t="shared" si="17"/>
        <v>1.0000000000000036</v>
      </c>
      <c r="J54" s="29">
        <f ca="1">IF($J$5&gt;=B54,"N/A",SUM(INDIRECT(ADDRESS(6+(MATCH($J$5,$B$6:$B$59,0)),8)):H54))</f>
        <v>3576.3000000000006</v>
      </c>
      <c r="K54" s="10">
        <v>178.3</v>
      </c>
      <c r="L54" s="88"/>
      <c r="M54" s="4">
        <f t="shared" si="18"/>
        <v>0</v>
      </c>
      <c r="N54" s="220">
        <f t="shared" si="0"/>
        <v>0</v>
      </c>
      <c r="O54" s="30">
        <f ca="1">IF($O$5&gt;=B54,"N/A",SUM(INDIRECT(ADDRESS(6+(MATCH($O$5,$B$6:$B$59,0)),13)):M54))</f>
        <v>3702.3999999999996</v>
      </c>
      <c r="P54" s="175" t="str">
        <f t="shared" si="19"/>
        <v/>
      </c>
      <c r="Q54" s="175" t="str">
        <f t="shared" si="20"/>
        <v/>
      </c>
      <c r="R54" s="175" t="str">
        <f t="shared" si="21"/>
        <v/>
      </c>
      <c r="S54" s="70" t="str">
        <f t="shared" si="22"/>
        <v>FWE</v>
      </c>
      <c r="T54" s="241">
        <f t="shared" si="23"/>
        <v>42237.541666666664</v>
      </c>
      <c r="U54" s="157" t="str">
        <f t="shared" si="1"/>
        <v/>
      </c>
      <c r="V54" s="158" t="str">
        <f t="shared" si="2"/>
        <v/>
      </c>
      <c r="W54" s="158" t="str">
        <f t="shared" si="3"/>
        <v/>
      </c>
      <c r="X54" s="199" t="str">
        <f t="shared" si="4"/>
        <v/>
      </c>
      <c r="Y54" s="159" t="str">
        <f t="shared" si="5"/>
        <v/>
      </c>
      <c r="Z54" s="181"/>
      <c r="AA54" s="148" t="str">
        <f t="shared" si="6"/>
        <v/>
      </c>
      <c r="AB54" s="149">
        <f t="shared" si="7"/>
        <v>0</v>
      </c>
      <c r="AC54" s="149" t="str">
        <f t="shared" si="8"/>
        <v/>
      </c>
      <c r="AD54" s="203">
        <f t="shared" si="9"/>
        <v>0</v>
      </c>
      <c r="AE54" s="150" t="str">
        <f t="shared" si="10"/>
        <v/>
      </c>
      <c r="AF54" s="182"/>
      <c r="AG54" s="139" t="str">
        <f t="shared" si="11"/>
        <v/>
      </c>
      <c r="AH54" s="140" t="str">
        <f t="shared" si="12"/>
        <v/>
      </c>
      <c r="AI54" s="141" t="str">
        <f t="shared" si="13"/>
        <v/>
      </c>
      <c r="AJ54" s="166" t="str">
        <f t="shared" si="14"/>
        <v/>
      </c>
      <c r="AK54" s="167" t="str">
        <f t="shared" si="14"/>
        <v/>
      </c>
      <c r="AL54" s="168" t="str">
        <f t="shared" si="15"/>
        <v/>
      </c>
      <c r="AM54" s="237" t="e">
        <f t="shared" si="27"/>
        <v>#VALUE!</v>
      </c>
      <c r="AN54" s="70" t="str">
        <f t="shared" si="25"/>
        <v>FWE</v>
      </c>
      <c r="AO54" s="241">
        <f t="shared" si="26"/>
        <v>42237.541666666664</v>
      </c>
      <c r="AP54" s="45" t="s">
        <v>40</v>
      </c>
      <c r="AQ54" s="98"/>
      <c r="AR54" s="99"/>
      <c r="AS54" s="99"/>
      <c r="AT54" s="100"/>
      <c r="AU54" s="101"/>
      <c r="AV54" s="100"/>
      <c r="AW54" s="101"/>
      <c r="AX54" s="101"/>
      <c r="AY54" s="99"/>
      <c r="AZ54" s="102"/>
      <c r="BA54" s="102"/>
      <c r="BB54" s="103"/>
      <c r="BC54" s="104"/>
      <c r="BD54" s="98"/>
      <c r="BE54" s="105"/>
      <c r="BF54" s="104"/>
      <c r="BG54" s="115"/>
      <c r="BH54" s="104"/>
      <c r="BI54" s="98"/>
      <c r="BJ54" s="105"/>
      <c r="BK54" s="104"/>
      <c r="BL54" s="104"/>
      <c r="BM54" s="107"/>
      <c r="BN54" s="108"/>
      <c r="BO54" s="108"/>
      <c r="BP54" s="109"/>
      <c r="BQ54" s="110"/>
      <c r="BR54" s="108"/>
      <c r="BS54" s="109"/>
      <c r="BT54" s="109"/>
      <c r="BU54" s="107"/>
      <c r="BV54" s="111"/>
      <c r="BW54" s="98"/>
      <c r="BX54" s="113"/>
      <c r="BY54" s="113"/>
      <c r="BZ54" s="114"/>
      <c r="CA54" s="114"/>
      <c r="CB54" s="114"/>
      <c r="CC54" s="99"/>
      <c r="CD54" s="115"/>
      <c r="CE54" s="116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121"/>
      <c r="CQ54" s="121"/>
      <c r="CR54" s="100"/>
      <c r="CS54" s="121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customHeight="1" x14ac:dyDescent="0.25">
      <c r="A55" s="83" t="s">
        <v>103</v>
      </c>
      <c r="B55" s="442">
        <v>42238.5</v>
      </c>
      <c r="C55" s="453"/>
      <c r="D55" s="84"/>
      <c r="E55" s="23">
        <v>0</v>
      </c>
      <c r="F55" s="15">
        <v>60</v>
      </c>
      <c r="G55" s="213">
        <v>-9.5</v>
      </c>
      <c r="H55" s="27">
        <f t="shared" si="16"/>
        <v>0</v>
      </c>
      <c r="I55" s="216" t="str">
        <f t="shared" si="17"/>
        <v/>
      </c>
      <c r="J55" s="29">
        <f ca="1">IF($J$5&gt;=B55,"N/A",SUM(INDIRECT(ADDRESS(6+(MATCH($J$5,$B$6:$B$59,0)),8)):H55))</f>
        <v>3576.3000000000006</v>
      </c>
      <c r="K55" s="10">
        <v>178.8</v>
      </c>
      <c r="L55" s="88">
        <v>0.5</v>
      </c>
      <c r="M55" s="4">
        <f t="shared" si="18"/>
        <v>0</v>
      </c>
      <c r="N55" s="220" t="str">
        <f t="shared" si="0"/>
        <v/>
      </c>
      <c r="O55" s="30">
        <f ca="1">IF($O$5&gt;=B55,"N/A",SUM(INDIRECT(ADDRESS(6+(MATCH($O$5,$B$6:$B$59,0)),13)):M55))</f>
        <v>3702.3999999999996</v>
      </c>
      <c r="P55" s="175">
        <f t="shared" si="19"/>
        <v>0</v>
      </c>
      <c r="Q55" s="175" t="e">
        <f t="shared" si="20"/>
        <v>#VALUE!</v>
      </c>
      <c r="R55" s="175">
        <f t="shared" si="21"/>
        <v>0</v>
      </c>
      <c r="S55" s="70" t="str">
        <f t="shared" si="22"/>
        <v>PNOON</v>
      </c>
      <c r="T55" s="241">
        <f t="shared" si="23"/>
        <v>42238.5</v>
      </c>
      <c r="U55" s="157">
        <f t="shared" si="1"/>
        <v>0</v>
      </c>
      <c r="V55" s="158">
        <f t="shared" si="2"/>
        <v>3</v>
      </c>
      <c r="W55" s="158">
        <f t="shared" si="3"/>
        <v>3</v>
      </c>
      <c r="X55" s="199">
        <f t="shared" si="4"/>
        <v>6</v>
      </c>
      <c r="Y55" s="159">
        <f t="shared" si="5"/>
        <v>1053.2999999999993</v>
      </c>
      <c r="Z55" s="181"/>
      <c r="AA55" s="148">
        <f t="shared" si="6"/>
        <v>0</v>
      </c>
      <c r="AB55" s="149">
        <f t="shared" si="7"/>
        <v>0</v>
      </c>
      <c r="AC55" s="149">
        <f t="shared" si="8"/>
        <v>0.2</v>
      </c>
      <c r="AD55" s="203">
        <f t="shared" si="9"/>
        <v>0.2</v>
      </c>
      <c r="AE55" s="150">
        <f t="shared" si="10"/>
        <v>298.00000000000006</v>
      </c>
      <c r="AF55" s="182"/>
      <c r="AG55" s="139">
        <f t="shared" si="11"/>
        <v>5</v>
      </c>
      <c r="AH55" s="140">
        <f t="shared" si="12"/>
        <v>0</v>
      </c>
      <c r="AI55" s="141">
        <f t="shared" si="13"/>
        <v>367</v>
      </c>
      <c r="AJ55" s="166">
        <f t="shared" si="14"/>
        <v>28024</v>
      </c>
      <c r="AK55" s="167">
        <f t="shared" si="14"/>
        <v>14100</v>
      </c>
      <c r="AL55" s="168">
        <f t="shared" si="15"/>
        <v>3650</v>
      </c>
      <c r="AM55" s="237" t="e">
        <f t="shared" si="27"/>
        <v>#DIV/0!</v>
      </c>
      <c r="AN55" s="70" t="str">
        <f t="shared" si="25"/>
        <v>PNOON</v>
      </c>
      <c r="AO55" s="241">
        <f t="shared" si="26"/>
        <v>42238.5</v>
      </c>
      <c r="AP55" s="45" t="s">
        <v>40</v>
      </c>
      <c r="AQ55" s="98">
        <v>0</v>
      </c>
      <c r="AR55" s="99">
        <v>0</v>
      </c>
      <c r="AS55" s="99">
        <v>0</v>
      </c>
      <c r="AT55" s="100" t="s">
        <v>39</v>
      </c>
      <c r="AU55" s="101" t="e">
        <v>#VALUE!</v>
      </c>
      <c r="AV55" s="100" t="s">
        <v>39</v>
      </c>
      <c r="AW55" s="101" t="e">
        <v>#VALUE!</v>
      </c>
      <c r="AX55" s="101" t="e">
        <v>#VALUE!</v>
      </c>
      <c r="AY55" s="99" t="e">
        <v>#VALUE!</v>
      </c>
      <c r="AZ55" s="102"/>
      <c r="BA55" s="102"/>
      <c r="BB55" s="103">
        <v>-0.78200000000000136</v>
      </c>
      <c r="BC55" s="104">
        <v>0</v>
      </c>
      <c r="BD55" s="98">
        <v>0</v>
      </c>
      <c r="BE55" s="105">
        <v>3.4684000000000013</v>
      </c>
      <c r="BF55" s="104">
        <v>3</v>
      </c>
      <c r="BG55" s="115">
        <v>0</v>
      </c>
      <c r="BH55" s="104">
        <v>0</v>
      </c>
      <c r="BI55" s="98">
        <v>0</v>
      </c>
      <c r="BJ55" s="105">
        <v>3.0794000000000001</v>
      </c>
      <c r="BK55" s="104">
        <v>3</v>
      </c>
      <c r="BL55" s="104">
        <v>0.2</v>
      </c>
      <c r="BM55" s="107"/>
      <c r="BN55" s="108">
        <v>6</v>
      </c>
      <c r="BO55" s="108">
        <v>0</v>
      </c>
      <c r="BP55" s="109">
        <v>0.2</v>
      </c>
      <c r="BQ55" s="110"/>
      <c r="BR55" s="108">
        <v>1053.2999999999993</v>
      </c>
      <c r="BS55" s="109">
        <v>0</v>
      </c>
      <c r="BT55" s="109">
        <v>298.00000000000006</v>
      </c>
      <c r="BU55" s="107"/>
      <c r="BV55" s="111">
        <v>0</v>
      </c>
      <c r="BW55" s="98">
        <v>0</v>
      </c>
      <c r="BX55" s="113"/>
      <c r="BY55" s="113">
        <v>283</v>
      </c>
      <c r="BZ55" s="114">
        <v>283</v>
      </c>
      <c r="CA55" s="114">
        <v>84</v>
      </c>
      <c r="CB55" s="114">
        <v>0</v>
      </c>
      <c r="CC55" s="99">
        <v>367</v>
      </c>
      <c r="CD55" s="115">
        <v>18</v>
      </c>
      <c r="CE55" s="116">
        <v>5</v>
      </c>
      <c r="CF55" s="90">
        <v>0</v>
      </c>
      <c r="CG55" s="90" t="s">
        <v>39</v>
      </c>
      <c r="CH55" s="90">
        <v>0</v>
      </c>
      <c r="CI55" s="90" t="s">
        <v>39</v>
      </c>
      <c r="CJ55" s="90">
        <v>0</v>
      </c>
      <c r="CK55" s="90" t="s">
        <v>39</v>
      </c>
      <c r="CL55" s="90"/>
      <c r="CM55" s="90">
        <v>3</v>
      </c>
      <c r="CN55" s="90">
        <v>10</v>
      </c>
      <c r="CO55" s="90">
        <v>7</v>
      </c>
      <c r="CP55" s="121">
        <v>28024</v>
      </c>
      <c r="CQ55" s="121">
        <v>14100</v>
      </c>
      <c r="CR55" s="100">
        <v>70</v>
      </c>
      <c r="CS55" s="121">
        <v>3650</v>
      </c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customHeight="1" x14ac:dyDescent="0.25">
      <c r="A56" s="83" t="s">
        <v>103</v>
      </c>
      <c r="B56" s="442">
        <v>42239.5</v>
      </c>
      <c r="C56" s="453"/>
      <c r="D56" s="84"/>
      <c r="E56" s="23">
        <v>0</v>
      </c>
      <c r="F56" s="15">
        <v>65.3</v>
      </c>
      <c r="G56" s="213">
        <v>-5.3</v>
      </c>
      <c r="H56" s="27">
        <f t="shared" si="16"/>
        <v>-2.6645352591003757E-15</v>
      </c>
      <c r="I56" s="216" t="str">
        <f t="shared" si="17"/>
        <v/>
      </c>
      <c r="J56" s="29">
        <f ca="1">IF($J$5&gt;=B56,"N/A",SUM(INDIRECT(ADDRESS(6+(MATCH($J$5,$B$6:$B$59,0)),8)):H56))</f>
        <v>3576.3000000000006</v>
      </c>
      <c r="K56" s="10">
        <v>176.7</v>
      </c>
      <c r="L56" s="88">
        <v>-2.1</v>
      </c>
      <c r="M56" s="4">
        <f t="shared" si="18"/>
        <v>2.2648549702353193E-14</v>
      </c>
      <c r="N56" s="220" t="str">
        <f t="shared" si="0"/>
        <v/>
      </c>
      <c r="O56" s="30">
        <f ca="1">IF($O$5&gt;=B56,"N/A",SUM(INDIRECT(ADDRESS(6+(MATCH($O$5,$B$6:$B$59,0)),13)):M56))</f>
        <v>3702.3999999999996</v>
      </c>
      <c r="P56" s="175">
        <f t="shared" si="19"/>
        <v>0</v>
      </c>
      <c r="Q56" s="175" t="e">
        <f t="shared" si="20"/>
        <v>#VALUE!</v>
      </c>
      <c r="R56" s="175">
        <f t="shared" si="21"/>
        <v>0</v>
      </c>
      <c r="S56" s="70" t="str">
        <f t="shared" si="22"/>
        <v>PNOON</v>
      </c>
      <c r="T56" s="241">
        <f t="shared" si="23"/>
        <v>42239.5</v>
      </c>
      <c r="U56" s="157">
        <f t="shared" si="1"/>
        <v>0</v>
      </c>
      <c r="V56" s="158">
        <f t="shared" si="2"/>
        <v>2.5</v>
      </c>
      <c r="W56" s="158">
        <f t="shared" si="3"/>
        <v>2.9</v>
      </c>
      <c r="X56" s="199">
        <f t="shared" si="4"/>
        <v>5.4</v>
      </c>
      <c r="Y56" s="159">
        <f t="shared" si="5"/>
        <v>1047.8999999999992</v>
      </c>
      <c r="Z56" s="181"/>
      <c r="AA56" s="148">
        <f t="shared" si="6"/>
        <v>0</v>
      </c>
      <c r="AB56" s="149">
        <f t="shared" si="7"/>
        <v>0</v>
      </c>
      <c r="AC56" s="149">
        <f t="shared" si="8"/>
        <v>0</v>
      </c>
      <c r="AD56" s="203">
        <f t="shared" si="9"/>
        <v>0</v>
      </c>
      <c r="AE56" s="150">
        <f t="shared" si="10"/>
        <v>298.00000000000006</v>
      </c>
      <c r="AF56" s="182"/>
      <c r="AG56" s="139">
        <f t="shared" si="11"/>
        <v>10</v>
      </c>
      <c r="AH56" s="140">
        <f t="shared" si="12"/>
        <v>0</v>
      </c>
      <c r="AI56" s="141">
        <f t="shared" si="13"/>
        <v>361</v>
      </c>
      <c r="AJ56" s="166">
        <f t="shared" si="14"/>
        <v>28024</v>
      </c>
      <c r="AK56" s="167">
        <f t="shared" si="14"/>
        <v>14100</v>
      </c>
      <c r="AL56" s="168">
        <f t="shared" si="15"/>
        <v>3650</v>
      </c>
      <c r="AM56" s="237" t="e">
        <f t="shared" si="27"/>
        <v>#DIV/0!</v>
      </c>
      <c r="AN56" s="70" t="str">
        <f t="shared" si="25"/>
        <v>PNOON</v>
      </c>
      <c r="AO56" s="241">
        <f t="shared" si="26"/>
        <v>42239.5</v>
      </c>
      <c r="AP56" s="45" t="s">
        <v>40</v>
      </c>
      <c r="AQ56" s="98">
        <v>0</v>
      </c>
      <c r="AR56" s="99">
        <v>0</v>
      </c>
      <c r="AS56" s="99">
        <v>0</v>
      </c>
      <c r="AT56" s="100" t="s">
        <v>39</v>
      </c>
      <c r="AU56" s="101" t="e">
        <v>#VALUE!</v>
      </c>
      <c r="AV56" s="100" t="s">
        <v>39</v>
      </c>
      <c r="AW56" s="101" t="e">
        <v>#VALUE!</v>
      </c>
      <c r="AX56" s="101" t="e">
        <v>#VALUE!</v>
      </c>
      <c r="AY56" s="99" t="e">
        <v>#VALUE!</v>
      </c>
      <c r="AZ56" s="102"/>
      <c r="BA56" s="102"/>
      <c r="BB56" s="103">
        <v>-0.88319999999999732</v>
      </c>
      <c r="BC56" s="104">
        <v>0</v>
      </c>
      <c r="BD56" s="98">
        <v>0</v>
      </c>
      <c r="BE56" s="105">
        <v>3.1831999999999971</v>
      </c>
      <c r="BF56" s="104">
        <v>2.5</v>
      </c>
      <c r="BG56" s="115">
        <v>0</v>
      </c>
      <c r="BH56" s="104">
        <v>0</v>
      </c>
      <c r="BI56" s="98">
        <v>0</v>
      </c>
      <c r="BJ56" s="105">
        <v>2.8569</v>
      </c>
      <c r="BK56" s="104">
        <v>2.9</v>
      </c>
      <c r="BL56" s="104">
        <v>0</v>
      </c>
      <c r="BM56" s="107"/>
      <c r="BN56" s="108">
        <v>5.4</v>
      </c>
      <c r="BO56" s="108">
        <v>0</v>
      </c>
      <c r="BP56" s="109">
        <v>0</v>
      </c>
      <c r="BQ56" s="110"/>
      <c r="BR56" s="108">
        <v>1047.8999999999992</v>
      </c>
      <c r="BS56" s="109">
        <v>0</v>
      </c>
      <c r="BT56" s="109">
        <v>298.00000000000006</v>
      </c>
      <c r="BU56" s="107"/>
      <c r="BV56" s="111">
        <v>0</v>
      </c>
      <c r="BW56" s="98">
        <v>0</v>
      </c>
      <c r="BX56" s="113"/>
      <c r="BY56" s="113">
        <v>277</v>
      </c>
      <c r="BZ56" s="114">
        <v>277</v>
      </c>
      <c r="CA56" s="114">
        <v>84</v>
      </c>
      <c r="CB56" s="114">
        <v>0</v>
      </c>
      <c r="CC56" s="99">
        <v>361</v>
      </c>
      <c r="CD56" s="115">
        <v>6</v>
      </c>
      <c r="CE56" s="116">
        <v>10</v>
      </c>
      <c r="CF56" s="90">
        <v>0</v>
      </c>
      <c r="CG56" s="90" t="s">
        <v>39</v>
      </c>
      <c r="CH56" s="90">
        <v>0</v>
      </c>
      <c r="CI56" s="90" t="s">
        <v>39</v>
      </c>
      <c r="CJ56" s="90">
        <v>0</v>
      </c>
      <c r="CK56" s="90" t="s">
        <v>39</v>
      </c>
      <c r="CL56" s="90"/>
      <c r="CM56" s="90">
        <v>0</v>
      </c>
      <c r="CN56" s="90">
        <v>0</v>
      </c>
      <c r="CO56" s="90">
        <v>0</v>
      </c>
      <c r="CP56" s="121">
        <v>28024</v>
      </c>
      <c r="CQ56" s="121">
        <v>14100</v>
      </c>
      <c r="CR56" s="100"/>
      <c r="CS56" s="121">
        <v>3650</v>
      </c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customHeight="1" x14ac:dyDescent="0.25">
      <c r="A57" s="83" t="s">
        <v>9</v>
      </c>
      <c r="B57" s="442">
        <v>42240.408333333333</v>
      </c>
      <c r="C57" s="453"/>
      <c r="D57" s="84"/>
      <c r="E57" s="23">
        <v>0</v>
      </c>
      <c r="F57" s="15">
        <v>0</v>
      </c>
      <c r="G57" s="213"/>
      <c r="H57" s="27" t="str">
        <f t="shared" si="16"/>
        <v/>
      </c>
      <c r="I57" s="216" t="str">
        <f t="shared" si="17"/>
        <v/>
      </c>
      <c r="J57" s="29">
        <f ca="1">IF($J$5&gt;=B57,"N/A",SUM(INDIRECT(ADDRESS(6+(MATCH($J$5,$B$6:$B$59,0)),8)):H57))</f>
        <v>3576.3000000000006</v>
      </c>
      <c r="K57" s="10">
        <v>169.3</v>
      </c>
      <c r="L57" s="88">
        <v>-7.4</v>
      </c>
      <c r="M57" s="4">
        <f t="shared" si="18"/>
        <v>-2.3092638912203256E-14</v>
      </c>
      <c r="N57" s="220" t="str">
        <f t="shared" si="0"/>
        <v/>
      </c>
      <c r="O57" s="30">
        <f ca="1">IF($O$5&gt;=B57,"N/A",SUM(INDIRECT(ADDRESS(6+(MATCH($O$5,$B$6:$B$59,0)),13)):M57))</f>
        <v>3702.3999999999996</v>
      </c>
      <c r="P57" s="175" t="str">
        <f t="shared" si="19"/>
        <v/>
      </c>
      <c r="Q57" s="175" t="str">
        <f t="shared" si="20"/>
        <v/>
      </c>
      <c r="R57" s="175" t="str">
        <f t="shared" si="21"/>
        <v/>
      </c>
      <c r="S57" s="70" t="str">
        <f t="shared" si="22"/>
        <v>SBE</v>
      </c>
      <c r="T57" s="241">
        <f t="shared" si="23"/>
        <v>42240.408333333333</v>
      </c>
      <c r="U57" s="157" t="str">
        <f t="shared" si="1"/>
        <v/>
      </c>
      <c r="V57" s="158" t="str">
        <f t="shared" si="2"/>
        <v/>
      </c>
      <c r="W57" s="158" t="str">
        <f t="shared" si="3"/>
        <v/>
      </c>
      <c r="X57" s="199" t="str">
        <f t="shared" si="4"/>
        <v/>
      </c>
      <c r="Y57" s="159" t="str">
        <f t="shared" si="5"/>
        <v/>
      </c>
      <c r="Z57" s="181"/>
      <c r="AA57" s="148" t="str">
        <f t="shared" si="6"/>
        <v/>
      </c>
      <c r="AB57" s="149">
        <f t="shared" si="7"/>
        <v>0</v>
      </c>
      <c r="AC57" s="149" t="str">
        <f t="shared" si="8"/>
        <v/>
      </c>
      <c r="AD57" s="203">
        <f t="shared" si="9"/>
        <v>0</v>
      </c>
      <c r="AE57" s="150" t="str">
        <f t="shared" si="10"/>
        <v/>
      </c>
      <c r="AF57" s="182"/>
      <c r="AG57" s="139" t="str">
        <f t="shared" si="11"/>
        <v/>
      </c>
      <c r="AH57" s="140" t="str">
        <f t="shared" si="12"/>
        <v/>
      </c>
      <c r="AI57" s="141" t="str">
        <f t="shared" si="13"/>
        <v/>
      </c>
      <c r="AJ57" s="166" t="str">
        <f t="shared" si="14"/>
        <v/>
      </c>
      <c r="AK57" s="167" t="str">
        <f t="shared" si="14"/>
        <v/>
      </c>
      <c r="AL57" s="168" t="str">
        <f t="shared" si="15"/>
        <v/>
      </c>
      <c r="AM57" s="237" t="e">
        <f t="shared" si="27"/>
        <v>#VALUE!</v>
      </c>
      <c r="AN57" s="70" t="str">
        <f t="shared" si="25"/>
        <v>SBE</v>
      </c>
      <c r="AO57" s="241">
        <f t="shared" si="26"/>
        <v>42240.408333333333</v>
      </c>
      <c r="AP57" s="45" t="s">
        <v>40</v>
      </c>
      <c r="AQ57" s="98"/>
      <c r="AR57" s="99"/>
      <c r="AS57" s="99"/>
      <c r="AT57" s="100"/>
      <c r="AU57" s="101"/>
      <c r="AV57" s="100"/>
      <c r="AW57" s="101"/>
      <c r="AX57" s="101"/>
      <c r="AY57" s="99"/>
      <c r="AZ57" s="102"/>
      <c r="BA57" s="102"/>
      <c r="BB57" s="103"/>
      <c r="BC57" s="104"/>
      <c r="BD57" s="98"/>
      <c r="BE57" s="105"/>
      <c r="BF57" s="104"/>
      <c r="BG57" s="115"/>
      <c r="BH57" s="104"/>
      <c r="BI57" s="98"/>
      <c r="BJ57" s="105"/>
      <c r="BK57" s="104"/>
      <c r="BL57" s="104"/>
      <c r="BM57" s="107"/>
      <c r="BN57" s="108"/>
      <c r="BO57" s="108"/>
      <c r="BP57" s="109"/>
      <c r="BQ57" s="110"/>
      <c r="BR57" s="108"/>
      <c r="BS57" s="109"/>
      <c r="BT57" s="109"/>
      <c r="BU57" s="107"/>
      <c r="BV57" s="111"/>
      <c r="BW57" s="98"/>
      <c r="BX57" s="113"/>
      <c r="BY57" s="113"/>
      <c r="BZ57" s="114"/>
      <c r="CA57" s="114"/>
      <c r="CB57" s="114"/>
      <c r="CC57" s="99"/>
      <c r="CD57" s="115"/>
      <c r="CE57" s="116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121"/>
      <c r="CQ57" s="121"/>
      <c r="CR57" s="100"/>
      <c r="CS57" s="121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customHeight="1" x14ac:dyDescent="0.25">
      <c r="A58" s="83" t="s">
        <v>103</v>
      </c>
      <c r="B58" s="442">
        <v>42240.5</v>
      </c>
      <c r="C58" s="453"/>
      <c r="D58" s="84"/>
      <c r="E58" s="23">
        <v>2.2000000000000002</v>
      </c>
      <c r="F58" s="15">
        <v>11.5</v>
      </c>
      <c r="G58" s="213"/>
      <c r="H58" s="27">
        <f t="shared" si="16"/>
        <v>11.5</v>
      </c>
      <c r="I58" s="216">
        <f t="shared" si="17"/>
        <v>5.2272727272727266</v>
      </c>
      <c r="J58" s="29">
        <f ca="1">IF($J$5&gt;=B58,"N/A",SUM(INDIRECT(ADDRESS(6+(MATCH($J$5,$B$6:$B$59,0)),8)):H58))</f>
        <v>3587.8000000000006</v>
      </c>
      <c r="K58" s="10">
        <v>157.19999999999999</v>
      </c>
      <c r="L58" s="88"/>
      <c r="M58" s="4">
        <f t="shared" si="18"/>
        <v>12.100000000000023</v>
      </c>
      <c r="N58" s="220">
        <f t="shared" si="0"/>
        <v>5.5000000000000098</v>
      </c>
      <c r="O58" s="30">
        <f ca="1">IF($O$5&gt;=B58,"N/A",SUM(INDIRECT(ADDRESS(6+(MATCH($O$5,$B$6:$B$59,0)),13)):M58))</f>
        <v>3714.4999999999995</v>
      </c>
      <c r="P58" s="175">
        <f t="shared" si="19"/>
        <v>0</v>
      </c>
      <c r="Q58" s="175" t="e">
        <f t="shared" si="20"/>
        <v>#VALUE!</v>
      </c>
      <c r="R58" s="175">
        <f t="shared" si="21"/>
        <v>0</v>
      </c>
      <c r="S58" s="70" t="str">
        <f t="shared" si="22"/>
        <v>PNOON</v>
      </c>
      <c r="T58" s="241">
        <f t="shared" si="23"/>
        <v>42240.5</v>
      </c>
      <c r="U58" s="157">
        <f t="shared" si="1"/>
        <v>0.3</v>
      </c>
      <c r="V58" s="158">
        <f t="shared" si="2"/>
        <v>2.8</v>
      </c>
      <c r="W58" s="158">
        <f t="shared" si="3"/>
        <v>2.8</v>
      </c>
      <c r="X58" s="199">
        <f t="shared" si="4"/>
        <v>5.8999999999999995</v>
      </c>
      <c r="Y58" s="159">
        <f t="shared" si="5"/>
        <v>1041.9999999999991</v>
      </c>
      <c r="Z58" s="181"/>
      <c r="AA58" s="148">
        <f t="shared" si="6"/>
        <v>0</v>
      </c>
      <c r="AB58" s="149">
        <f t="shared" si="7"/>
        <v>0</v>
      </c>
      <c r="AC58" s="149">
        <f t="shared" si="8"/>
        <v>0.2</v>
      </c>
      <c r="AD58" s="203">
        <f t="shared" si="9"/>
        <v>0.2</v>
      </c>
      <c r="AE58" s="150">
        <f t="shared" si="10"/>
        <v>297.80000000000007</v>
      </c>
      <c r="AF58" s="182"/>
      <c r="AG58" s="139">
        <f t="shared" si="11"/>
        <v>8</v>
      </c>
      <c r="AH58" s="140">
        <f t="shared" si="12"/>
        <v>0</v>
      </c>
      <c r="AI58" s="141">
        <f t="shared" si="13"/>
        <v>353</v>
      </c>
      <c r="AJ58" s="166">
        <f t="shared" si="14"/>
        <v>27997</v>
      </c>
      <c r="AK58" s="167">
        <f t="shared" si="14"/>
        <v>14030</v>
      </c>
      <c r="AL58" s="168">
        <f t="shared" si="15"/>
        <v>3600</v>
      </c>
      <c r="AM58" s="237" t="e">
        <f t="shared" si="27"/>
        <v>#DIV/0!</v>
      </c>
      <c r="AN58" s="70" t="str">
        <f t="shared" si="25"/>
        <v>PNOON</v>
      </c>
      <c r="AO58" s="241">
        <f t="shared" si="26"/>
        <v>42240.5</v>
      </c>
      <c r="AP58" s="45" t="s">
        <v>40</v>
      </c>
      <c r="AQ58" s="98">
        <v>0</v>
      </c>
      <c r="AR58" s="99">
        <v>0</v>
      </c>
      <c r="AS58" s="99">
        <v>0</v>
      </c>
      <c r="AT58" s="100" t="s">
        <v>39</v>
      </c>
      <c r="AU58" s="101" t="e">
        <v>#VALUE!</v>
      </c>
      <c r="AV58" s="100" t="s">
        <v>39</v>
      </c>
      <c r="AW58" s="101" t="e">
        <v>#VALUE!</v>
      </c>
      <c r="AX58" s="101" t="e">
        <v>#VALUE!</v>
      </c>
      <c r="AY58" s="99" t="e">
        <v>#VALUE!</v>
      </c>
      <c r="AZ58" s="102"/>
      <c r="BA58" s="102"/>
      <c r="BB58" s="103">
        <v>0.3312000000000026</v>
      </c>
      <c r="BC58" s="104">
        <v>0.3</v>
      </c>
      <c r="BD58" s="98">
        <v>0</v>
      </c>
      <c r="BE58" s="105">
        <v>3.2383999999999977</v>
      </c>
      <c r="BF58" s="104">
        <v>2.8</v>
      </c>
      <c r="BG58" s="115">
        <v>0</v>
      </c>
      <c r="BH58" s="104">
        <v>0</v>
      </c>
      <c r="BI58" s="98">
        <v>0</v>
      </c>
      <c r="BJ58" s="105">
        <v>2.8213000000000004</v>
      </c>
      <c r="BK58" s="104">
        <v>2.8</v>
      </c>
      <c r="BL58" s="104">
        <v>0.2</v>
      </c>
      <c r="BM58" s="107"/>
      <c r="BN58" s="108">
        <v>5.8999999999999995</v>
      </c>
      <c r="BO58" s="108">
        <v>0</v>
      </c>
      <c r="BP58" s="109">
        <v>0.2</v>
      </c>
      <c r="BQ58" s="110"/>
      <c r="BR58" s="108">
        <v>1041.9999999999991</v>
      </c>
      <c r="BS58" s="109">
        <v>0</v>
      </c>
      <c r="BT58" s="109">
        <v>297.80000000000007</v>
      </c>
      <c r="BU58" s="107"/>
      <c r="BV58" s="111">
        <v>0</v>
      </c>
      <c r="BW58" s="98">
        <v>0</v>
      </c>
      <c r="BX58" s="113"/>
      <c r="BY58" s="113">
        <v>269</v>
      </c>
      <c r="BZ58" s="114">
        <v>269</v>
      </c>
      <c r="CA58" s="114">
        <v>84</v>
      </c>
      <c r="CB58" s="114">
        <v>0</v>
      </c>
      <c r="CC58" s="99">
        <v>353</v>
      </c>
      <c r="CD58" s="115">
        <v>8</v>
      </c>
      <c r="CE58" s="116">
        <v>8</v>
      </c>
      <c r="CF58" s="90">
        <v>0</v>
      </c>
      <c r="CG58" s="90" t="s">
        <v>39</v>
      </c>
      <c r="CH58" s="90">
        <v>0</v>
      </c>
      <c r="CI58" s="90" t="s">
        <v>39</v>
      </c>
      <c r="CJ58" s="90">
        <v>0</v>
      </c>
      <c r="CK58" s="90" t="s">
        <v>39</v>
      </c>
      <c r="CL58" s="90"/>
      <c r="CM58" s="90">
        <v>27</v>
      </c>
      <c r="CN58" s="90">
        <v>27</v>
      </c>
      <c r="CO58" s="90">
        <v>0</v>
      </c>
      <c r="CP58" s="121">
        <v>27997</v>
      </c>
      <c r="CQ58" s="121">
        <v>14030</v>
      </c>
      <c r="CR58" s="100">
        <v>70</v>
      </c>
      <c r="CS58" s="121">
        <v>3600</v>
      </c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customHeight="1" thickBot="1" x14ac:dyDescent="0.3">
      <c r="A59" s="267" t="s">
        <v>103</v>
      </c>
      <c r="B59" s="454">
        <v>42241.5</v>
      </c>
      <c r="C59" s="455"/>
      <c r="D59" s="86"/>
      <c r="E59" s="24">
        <v>24</v>
      </c>
      <c r="F59" s="95">
        <v>133.4</v>
      </c>
      <c r="G59" s="214"/>
      <c r="H59" s="27">
        <f t="shared" si="16"/>
        <v>121.9</v>
      </c>
      <c r="I59" s="217">
        <f t="shared" si="17"/>
        <v>5.0791666666666666</v>
      </c>
      <c r="J59" s="29">
        <f ca="1">IF($J$5&gt;=B59,"N/A",SUM(INDIRECT(ADDRESS(6+(MATCH($J$5,$B$6:$B$59,0)),8)):H59))</f>
        <v>3709.7000000000007</v>
      </c>
      <c r="K59" s="10">
        <v>51</v>
      </c>
      <c r="L59" s="89"/>
      <c r="M59" s="4">
        <f t="shared" si="18"/>
        <v>106.19999999999999</v>
      </c>
      <c r="N59" s="221">
        <f t="shared" si="0"/>
        <v>4.4249999999999998</v>
      </c>
      <c r="O59" s="30">
        <f ca="1">IF($O$5&gt;=B59,"N/A",SUM(INDIRECT(ADDRESS(6+(MATCH($O$5,$B$6:$B$59,0)),13)):M59))</f>
        <v>3820.6999999999994</v>
      </c>
      <c r="P59" s="176">
        <f t="shared" si="19"/>
        <v>49.6</v>
      </c>
      <c r="Q59" s="176" t="e">
        <f t="shared" si="20"/>
        <v>#VALUE!</v>
      </c>
      <c r="R59" s="176">
        <f t="shared" si="21"/>
        <v>193.58098470000002</v>
      </c>
      <c r="S59" s="71" t="str">
        <f t="shared" si="22"/>
        <v>PNOON</v>
      </c>
      <c r="T59" s="242">
        <f t="shared" si="23"/>
        <v>42241.5</v>
      </c>
      <c r="U59" s="183">
        <f t="shared" si="1"/>
        <v>11.3</v>
      </c>
      <c r="V59" s="184">
        <f t="shared" si="2"/>
        <v>3.3</v>
      </c>
      <c r="W59" s="184">
        <f t="shared" si="3"/>
        <v>1</v>
      </c>
      <c r="X59" s="200">
        <f t="shared" si="4"/>
        <v>15.600000000000001</v>
      </c>
      <c r="Y59" s="185">
        <f t="shared" si="5"/>
        <v>1026.3999999999992</v>
      </c>
      <c r="Z59" s="186"/>
      <c r="AA59" s="187">
        <f t="shared" si="6"/>
        <v>0</v>
      </c>
      <c r="AB59" s="188">
        <f t="shared" si="7"/>
        <v>0</v>
      </c>
      <c r="AC59" s="188">
        <f t="shared" si="8"/>
        <v>0</v>
      </c>
      <c r="AD59" s="204">
        <f t="shared" si="9"/>
        <v>0</v>
      </c>
      <c r="AE59" s="189">
        <f t="shared" si="10"/>
        <v>297.80000000000007</v>
      </c>
      <c r="AF59" s="190"/>
      <c r="AG59" s="191">
        <f t="shared" si="11"/>
        <v>11</v>
      </c>
      <c r="AH59" s="192">
        <f t="shared" si="12"/>
        <v>0</v>
      </c>
      <c r="AI59" s="193">
        <f t="shared" si="13"/>
        <v>342</v>
      </c>
      <c r="AJ59" s="194">
        <f t="shared" si="14"/>
        <v>27657</v>
      </c>
      <c r="AK59" s="195">
        <f t="shared" si="14"/>
        <v>13930</v>
      </c>
      <c r="AL59" s="196">
        <f t="shared" si="15"/>
        <v>3550</v>
      </c>
      <c r="AM59" s="237">
        <f t="shared" si="27"/>
        <v>0.37028938979252957</v>
      </c>
      <c r="AN59" s="71" t="str">
        <f t="shared" si="25"/>
        <v>PNOON</v>
      </c>
      <c r="AO59" s="242">
        <f t="shared" si="26"/>
        <v>42241.5</v>
      </c>
      <c r="AP59" s="45" t="s">
        <v>40</v>
      </c>
      <c r="AQ59" s="98">
        <v>49.6</v>
      </c>
      <c r="AR59" s="99">
        <v>193.58098470000002</v>
      </c>
      <c r="AS59" s="99">
        <v>8.0658743625000007</v>
      </c>
      <c r="AT59" s="100" t="s">
        <v>39</v>
      </c>
      <c r="AU59" s="101" t="e">
        <v>#VALUE!</v>
      </c>
      <c r="AV59" s="100" t="s">
        <v>39</v>
      </c>
      <c r="AW59" s="101" t="e">
        <v>#VALUE!</v>
      </c>
      <c r="AX59" s="101" t="e">
        <v>#VALUE!</v>
      </c>
      <c r="AY59" s="99" t="e">
        <v>#VALUE!</v>
      </c>
      <c r="AZ59" s="102"/>
      <c r="BA59" s="102"/>
      <c r="BB59" s="103">
        <v>10.193599999999998</v>
      </c>
      <c r="BC59" s="104">
        <v>11.3</v>
      </c>
      <c r="BD59" s="98">
        <v>0</v>
      </c>
      <c r="BE59" s="105">
        <v>4.3424000000000014</v>
      </c>
      <c r="BF59" s="104">
        <v>3.3</v>
      </c>
      <c r="BG59" s="115">
        <v>0</v>
      </c>
      <c r="BH59" s="104">
        <v>0</v>
      </c>
      <c r="BI59" s="98">
        <v>0</v>
      </c>
      <c r="BJ59" s="105">
        <v>0.91670000000000007</v>
      </c>
      <c r="BK59" s="104">
        <v>1</v>
      </c>
      <c r="BL59" s="104">
        <v>0</v>
      </c>
      <c r="BM59" s="107"/>
      <c r="BN59" s="108">
        <v>15.600000000000001</v>
      </c>
      <c r="BO59" s="108">
        <v>0</v>
      </c>
      <c r="BP59" s="109">
        <v>0</v>
      </c>
      <c r="BQ59" s="110"/>
      <c r="BR59" s="108">
        <v>1026.3999999999992</v>
      </c>
      <c r="BS59" s="109">
        <v>0</v>
      </c>
      <c r="BT59" s="109">
        <v>297.80000000000007</v>
      </c>
      <c r="BU59" s="107"/>
      <c r="BV59" s="111">
        <v>0</v>
      </c>
      <c r="BW59" s="98">
        <v>0</v>
      </c>
      <c r="BX59" s="113"/>
      <c r="BY59" s="113">
        <v>258</v>
      </c>
      <c r="BZ59" s="114">
        <v>258</v>
      </c>
      <c r="CA59" s="114">
        <v>84</v>
      </c>
      <c r="CB59" s="114">
        <v>0</v>
      </c>
      <c r="CC59" s="99">
        <v>342</v>
      </c>
      <c r="CD59" s="115">
        <v>11</v>
      </c>
      <c r="CE59" s="116">
        <v>11</v>
      </c>
      <c r="CF59" s="90">
        <v>0</v>
      </c>
      <c r="CG59" s="90" t="s">
        <v>39</v>
      </c>
      <c r="CH59" s="90">
        <v>0</v>
      </c>
      <c r="CI59" s="90" t="s">
        <v>39</v>
      </c>
      <c r="CJ59" s="90">
        <v>0</v>
      </c>
      <c r="CK59" s="90" t="s">
        <v>39</v>
      </c>
      <c r="CL59" s="90"/>
      <c r="CM59" s="90">
        <v>340</v>
      </c>
      <c r="CN59" s="90">
        <v>340</v>
      </c>
      <c r="CO59" s="90">
        <v>0</v>
      </c>
      <c r="CP59" s="121">
        <v>27657</v>
      </c>
      <c r="CQ59" s="121">
        <v>13930</v>
      </c>
      <c r="CR59" s="100">
        <v>100</v>
      </c>
      <c r="CS59" s="121">
        <v>3550</v>
      </c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str">
        <f ca="1">INDIRECT(ADDRESS(5+$U$61,1))</f>
        <v>NOON</v>
      </c>
      <c r="L61" s="462">
        <v>42202.5</v>
      </c>
      <c r="M61" s="462"/>
      <c r="N61" s="462"/>
      <c r="O61" s="211"/>
      <c r="P61" s="72"/>
      <c r="Q61" s="72"/>
      <c r="R61" s="72"/>
      <c r="S61" s="72"/>
      <c r="T61" s="206" t="e">
        <f>MATCH(B6,B6:B59,0)</f>
        <v>#N/A</v>
      </c>
      <c r="U61" s="206">
        <f>MATCH(L61,B6:B59,0)</f>
        <v>4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 t="e">
        <f>MATCH(B6,B6:B59,0)</f>
        <v>#N/A</v>
      </c>
      <c r="C62" s="72">
        <f>MATCH(L61,B6:B59,0)</f>
        <v>4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262"/>
      <c r="H63" s="33" t="s">
        <v>2</v>
      </c>
      <c r="I63" s="210" t="s">
        <v>4</v>
      </c>
      <c r="J63" s="77"/>
      <c r="K63" s="260"/>
      <c r="L63" s="78"/>
      <c r="M63" s="78" t="s">
        <v>28</v>
      </c>
      <c r="N63" s="210" t="s">
        <v>4</v>
      </c>
      <c r="O63" s="77"/>
      <c r="P63" s="264" t="s">
        <v>0</v>
      </c>
      <c r="Q63" s="263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>
        <f ca="1">SUM(E6:INDIRECT(ADDRESS(5+$C$62,5)))</f>
        <v>1.5</v>
      </c>
      <c r="F64" s="13"/>
      <c r="G64" s="223"/>
      <c r="H64" s="16">
        <f ca="1">SUM(H6:INDIRECT(ADDRESS(5+$C$62,8)))</f>
        <v>2.9</v>
      </c>
      <c r="I64" s="222">
        <f ca="1">H64/E64</f>
        <v>1.9333333333333333</v>
      </c>
      <c r="J64" s="17"/>
      <c r="K64" s="8"/>
      <c r="L64" s="171"/>
      <c r="M64" s="11">
        <f ca="1">SUM(M6:INDIRECT(ADDRESS(5+$C$62,13)))</f>
        <v>2.9</v>
      </c>
      <c r="N64" s="12">
        <f ca="1">M64/E64</f>
        <v>1.9333333333333333</v>
      </c>
      <c r="O64" s="172"/>
      <c r="P64" s="173"/>
      <c r="Q64" s="173"/>
      <c r="R64" s="174">
        <f ca="1">SUM(R6:INDIRECT(ADDRESS(5+$C$62,18)))</f>
        <v>3</v>
      </c>
      <c r="S64" s="458">
        <f>L61</f>
        <v>42202.5</v>
      </c>
      <c r="T64" s="459"/>
      <c r="U64" s="151">
        <f ca="1">SUM(U6:INDIRECT(ADDRESS(5+$C$62,21)))</f>
        <v>0.2</v>
      </c>
      <c r="V64" s="152">
        <f ca="1">SUM(V6:INDIRECT(ADDRESS(5+$C$62,22)))</f>
        <v>4.7</v>
      </c>
      <c r="W64" s="152">
        <f ca="1">SUM(W6:INDIRECT(ADDRESS(5+$C$62,23)))</f>
        <v>3</v>
      </c>
      <c r="X64" s="197">
        <f ca="1">SUM(X6:INDIRECT(ADDRESS(5+$C$62,24)))</f>
        <v>7.9</v>
      </c>
      <c r="Y64" s="153">
        <f ca="1">INDIRECT(ADDRESS(5+$C$62,25))</f>
        <v>1782</v>
      </c>
      <c r="Z64" s="169">
        <f ca="1">SUM(Z6:INDIRECT(ADDRESS(5+$C$62,26)))</f>
        <v>800</v>
      </c>
      <c r="AA64" s="142">
        <f ca="1">SUM(AA6:INDIRECT(ADDRESS(5+$C$62,27)))</f>
        <v>0</v>
      </c>
      <c r="AB64" s="143">
        <f ca="1">SUM(AB6:INDIRECT(ADDRESS(5+$C$62,28)))</f>
        <v>0</v>
      </c>
      <c r="AC64" s="143">
        <f ca="1">SUM(AC6:INDIRECT(ADDRESS(5+$C$62,29)))</f>
        <v>0</v>
      </c>
      <c r="AD64" s="201">
        <f ca="1">SUM(AD6:INDIRECT(ADDRESS(5+$C$62,30)))</f>
        <v>0</v>
      </c>
      <c r="AE64" s="144">
        <f ca="1">INDIRECT(ADDRESS(5+$C$62,31))</f>
        <v>126.00000000000054</v>
      </c>
      <c r="AF64" s="170">
        <f ca="1">SUM(AF6:INDIRECT(ADDRESS(5+$C$62,32)))</f>
        <v>0</v>
      </c>
      <c r="AG64" s="133">
        <f ca="1">SUM(AG6:INDIRECT(ADDRESS(5+$C$62,33)))</f>
        <v>4</v>
      </c>
      <c r="AH64" s="134">
        <f ca="1">SUM(AH6:INDIRECT(ADDRESS(5+$C$62,34)))</f>
        <v>0</v>
      </c>
      <c r="AI64" s="135">
        <f ca="1">INDIRECT(ADDRESS(5+$C$62,35))</f>
        <v>305</v>
      </c>
      <c r="AJ64" s="160">
        <f ca="1">INDIRECT(ADDRESS(5+$C$62,36))</f>
        <v>36119</v>
      </c>
      <c r="AK64" s="161">
        <f ca="1">INDIRECT(ADDRESS(5+$C$62,37))</f>
        <v>17000</v>
      </c>
      <c r="AL64" s="162">
        <f ca="1">INDIRECT(ADDRESS(5+$C$62,38))</f>
        <v>5700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BOSP</v>
      </c>
      <c r="F66" s="462">
        <v>42220.5</v>
      </c>
      <c r="G66" s="462"/>
      <c r="H66" s="462"/>
      <c r="I66" s="75" t="s">
        <v>95</v>
      </c>
      <c r="J66" s="75"/>
      <c r="K66" s="74" t="str">
        <f ca="1">INDIRECT(ADDRESS(5+$U$66,1))</f>
        <v>EOSP</v>
      </c>
      <c r="L66" s="462">
        <v>42237.520833333336</v>
      </c>
      <c r="M66" s="462"/>
      <c r="N66" s="462"/>
      <c r="O66" s="211"/>
      <c r="P66" s="72"/>
      <c r="Q66" s="72"/>
      <c r="R66" s="72"/>
      <c r="S66" s="94"/>
      <c r="T66" s="207">
        <f>MATCH(F66,B6:B59,0)</f>
        <v>31</v>
      </c>
      <c r="U66" s="206">
        <f>MATCH(L66,B6:B59,0)</f>
        <v>48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31</v>
      </c>
      <c r="C67" s="72">
        <f>MATCH(L66,B6:B59,0)</f>
        <v>48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42220.5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262"/>
      <c r="H68" s="33" t="s">
        <v>2</v>
      </c>
      <c r="I68" s="210" t="s">
        <v>4</v>
      </c>
      <c r="J68" s="77"/>
      <c r="K68" s="260"/>
      <c r="L68" s="78"/>
      <c r="M68" s="78" t="s">
        <v>28</v>
      </c>
      <c r="N68" s="210" t="s">
        <v>4</v>
      </c>
      <c r="O68" s="77"/>
      <c r="P68" s="264" t="s">
        <v>0</v>
      </c>
      <c r="Q68" s="263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329.7</v>
      </c>
      <c r="F69" s="13"/>
      <c r="G69" s="223"/>
      <c r="H69" s="16">
        <f ca="1">SUM(INDIRECT(ADDRESS(6+$B$67,8)):INDIRECT(ADDRESS(5+$C$67,8)))</f>
        <v>3575.8000000000006</v>
      </c>
      <c r="I69" s="222">
        <f ca="1">H69/E69</f>
        <v>10.845617227782835</v>
      </c>
      <c r="J69" s="17"/>
      <c r="K69" s="8"/>
      <c r="L69" s="171"/>
      <c r="M69" s="11">
        <f ca="1">SUM(INDIRECT(ADDRESS(6+$B$67,13)):INDIRECT(ADDRESS(5+$C$67,13)))</f>
        <v>3702.3999999999996</v>
      </c>
      <c r="N69" s="12">
        <f ca="1">M69/E69</f>
        <v>11.229602669093115</v>
      </c>
      <c r="O69" s="172"/>
      <c r="P69" s="173"/>
      <c r="Q69" s="173"/>
      <c r="R69" s="174">
        <f ca="1">SUM(INDIRECT(ADDRESS(6+$B$67,18)):INDIRECT(ADDRESS(5+$C$67,18)))</f>
        <v>3638.3112177999997</v>
      </c>
      <c r="S69" s="458">
        <f>L66</f>
        <v>42237.520833333336</v>
      </c>
      <c r="T69" s="459"/>
      <c r="U69" s="151">
        <f ca="1">SUM(INDIRECT(ADDRESS(6+$B$67,21)):INDIRECT(ADDRESS(5+$C$67,21)))</f>
        <v>266</v>
      </c>
      <c r="V69" s="152">
        <f ca="1">SUM(INDIRECT(ADDRESS(6+$B$67,22)):INDIRECT(ADDRESS(5+$C$67,22)))</f>
        <v>40.799999999999997</v>
      </c>
      <c r="W69" s="152">
        <f ca="1">SUM(INDIRECT(ADDRESS(6+$B$67,23)):INDIRECT(ADDRESS(5+$C$67,23)))</f>
        <v>5</v>
      </c>
      <c r="X69" s="197">
        <f ca="1">SUM(INDIRECT(ADDRESS(6+$B$67,24)):INDIRECT(ADDRESS(5+$C$67,24)))</f>
        <v>311.79999999999995</v>
      </c>
      <c r="Y69" s="153" t="str">
        <f ca="1">INDIRECT(ADDRESS(5+$C$67,25))</f>
        <v/>
      </c>
      <c r="Z69" s="169">
        <f ca="1">SUM(INDIRECT(ADDRESS(6+$B$67,26)):INDIRECT(ADDRESS(5+$C$67,26)))</f>
        <v>0</v>
      </c>
      <c r="AA69" s="142">
        <f ca="1">SUM(INDIRECT(ADDRESS(6+$B$67,27)):INDIRECT(ADDRESS(5+$C$67,27)))</f>
        <v>24.1</v>
      </c>
      <c r="AB69" s="143">
        <f ca="1">SUM(INDIRECT(ADDRESS(6+$B$67,28)):INDIRECT(ADDRESS(5+$C$67,28)))</f>
        <v>9.1999999999999993</v>
      </c>
      <c r="AC69" s="143">
        <f ca="1">SUM(INDIRECT(ADDRESS(6+$B$67,29)):INDIRECT(ADDRESS(5+$C$67,29)))</f>
        <v>1.2</v>
      </c>
      <c r="AD69" s="201">
        <f ca="1">SUM(INDIRECT(ADDRESS(6+$B$67,30)):INDIRECT(ADDRESS(5+$C$67,30)))</f>
        <v>34.5</v>
      </c>
      <c r="AE69" s="144" t="str">
        <f ca="1">INDIRECT(ADDRESS(5+$C$67,31))</f>
        <v/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158</v>
      </c>
      <c r="AH69" s="134">
        <f ca="1">SUM(INDIRECT(ADDRESS(6+$B$67,34)):INDIRECT(ADDRESS(5+$C$67,34)))</f>
        <v>182</v>
      </c>
      <c r="AI69" s="135" t="str">
        <f ca="1">INDIRECT(ADDRESS(5+$C$67,35))</f>
        <v/>
      </c>
      <c r="AJ69" s="160" t="str">
        <f ca="1">INDIRECT(ADDRESS(5+$C$67,36))</f>
        <v/>
      </c>
      <c r="AK69" s="161" t="str">
        <f ca="1">INDIRECT(ADDRESS(5+$C$67,37))</f>
        <v/>
      </c>
      <c r="AL69" s="162" t="str">
        <f ca="1">INDIRECT(ADDRESS(5+$C$67,38))</f>
        <v/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str">
        <f ca="1">INDIRECT(ADDRESS(5+$T$71,1))</f>
        <v>PNOON</v>
      </c>
      <c r="F71" s="462">
        <v>42219.5</v>
      </c>
      <c r="G71" s="462"/>
      <c r="H71" s="462"/>
      <c r="I71" s="75" t="s">
        <v>95</v>
      </c>
      <c r="J71" s="75"/>
      <c r="K71" s="74" t="str">
        <f ca="1">INDIRECT(ADDRESS(5+$U$71,1))</f>
        <v>BOSP</v>
      </c>
      <c r="L71" s="462">
        <v>42220.5</v>
      </c>
      <c r="M71" s="462"/>
      <c r="N71" s="462"/>
      <c r="O71" s="211"/>
      <c r="P71" s="72"/>
      <c r="Q71" s="72"/>
      <c r="R71" s="72"/>
      <c r="S71" s="94"/>
      <c r="T71" s="207">
        <f>MATCH(F71,B6:B59,0)</f>
        <v>29</v>
      </c>
      <c r="U71" s="206">
        <f>MATCH(L71,B6:B59,0)</f>
        <v>31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>
        <f>MATCH(F71,B6:B59,0)</f>
        <v>29</v>
      </c>
      <c r="C72" s="72">
        <f>MATCH(L71,B6:B59,0)</f>
        <v>31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42219.5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262"/>
      <c r="H73" s="33" t="s">
        <v>2</v>
      </c>
      <c r="I73" s="210" t="s">
        <v>4</v>
      </c>
      <c r="J73" s="77"/>
      <c r="K73" s="260"/>
      <c r="L73" s="78"/>
      <c r="M73" s="78" t="s">
        <v>28</v>
      </c>
      <c r="N73" s="210" t="s">
        <v>4</v>
      </c>
      <c r="O73" s="77"/>
      <c r="P73" s="264" t="s">
        <v>0</v>
      </c>
      <c r="Q73" s="263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>
        <f ca="1">SUM(INDIRECT(ADDRESS(6+$B$72,5)):INDIRECT(ADDRESS(5+$C$72,5)))</f>
        <v>1.5</v>
      </c>
      <c r="F74" s="13"/>
      <c r="G74" s="223"/>
      <c r="H74" s="16">
        <f ca="1">SUM(INDIRECT(ADDRESS(6+$B$72,8)):INDIRECT(ADDRESS(5+$C$72,8)))</f>
        <v>12.7</v>
      </c>
      <c r="I74" s="222">
        <f ca="1">H74/E74</f>
        <v>8.4666666666666668</v>
      </c>
      <c r="J74" s="17"/>
      <c r="K74" s="8"/>
      <c r="L74" s="171"/>
      <c r="M74" s="11">
        <f ca="1">SUM(INDIRECT(ADDRESS(6+$B$72,13)):INDIRECT(ADDRESS(5+$C$72,13)))</f>
        <v>12.699999999999818</v>
      </c>
      <c r="N74" s="12">
        <f ca="1">M74/E74</f>
        <v>8.466666666666546</v>
      </c>
      <c r="O74" s="172"/>
      <c r="P74" s="173"/>
      <c r="Q74" s="173"/>
      <c r="R74" s="174">
        <f ca="1">SUM(INDIRECT(ADDRESS(6+$B$72,18)):INDIRECT(ADDRESS(5+$C$72,18)))</f>
        <v>10.1373599</v>
      </c>
      <c r="S74" s="458">
        <f>L71</f>
        <v>42220.5</v>
      </c>
      <c r="T74" s="459"/>
      <c r="U74" s="151">
        <f ca="1">SUM(INDIRECT(ADDRESS(6+$B$72,21)):INDIRECT(ADDRESS(5+$C$72,21)))</f>
        <v>0</v>
      </c>
      <c r="V74" s="152">
        <f ca="1">SUM(INDIRECT(ADDRESS(6+$B$72,22)):INDIRECT(ADDRESS(5+$C$72,22)))</f>
        <v>0</v>
      </c>
      <c r="W74" s="152">
        <f ca="1">SUM(INDIRECT(ADDRESS(6+$B$72,23)):INDIRECT(ADDRESS(5+$C$72,23)))</f>
        <v>0</v>
      </c>
      <c r="X74" s="197">
        <f ca="1">SUM(INDIRECT(ADDRESS(6+$B$72,24)):INDIRECT(ADDRESS(5+$C$72,24)))</f>
        <v>0</v>
      </c>
      <c r="Y74" s="153">
        <f ca="1">INDIRECT(ADDRESS(5+$C$72,25))</f>
        <v>1371.0999999999995</v>
      </c>
      <c r="Z74" s="169">
        <f ca="1">SUM(INDIRECT(ADDRESS(6+$B$72,26)):INDIRECT(ADDRESS(5+$C$72,26)))</f>
        <v>0</v>
      </c>
      <c r="AA74" s="142">
        <f ca="1">SUM(INDIRECT(ADDRESS(6+$B$72,27)):INDIRECT(ADDRESS(5+$C$72,27)))</f>
        <v>1.2000000000000002</v>
      </c>
      <c r="AB74" s="143">
        <f ca="1">SUM(INDIRECT(ADDRESS(6+$B$72,28)):INDIRECT(ADDRESS(5+$C$72,28)))</f>
        <v>2.1</v>
      </c>
      <c r="AC74" s="143">
        <f ca="1">SUM(INDIRECT(ADDRESS(6+$B$72,29)):INDIRECT(ADDRESS(5+$C$72,29)))</f>
        <v>1.6</v>
      </c>
      <c r="AD74" s="201">
        <f ca="1">SUM(INDIRECT(ADDRESS(6+$B$72,30)):INDIRECT(ADDRESS(5+$C$72,30)))</f>
        <v>4.9000000000000004</v>
      </c>
      <c r="AE74" s="144">
        <f ca="1">INDIRECT(ADDRESS(5+$C$72,31))</f>
        <v>332.70000000000005</v>
      </c>
      <c r="AF74" s="170">
        <f ca="1">SUM(INDIRECT(ADDRESS(6+$B$72,32)):INDIRECT(ADDRESS(5+$C$72,32)))</f>
        <v>0</v>
      </c>
      <c r="AG74" s="133">
        <f ca="1">SUM(INDIRECT(ADDRESS(6+$B$72,33)):INDIRECT(ADDRESS(5+$C$72,33)))</f>
        <v>10</v>
      </c>
      <c r="AH74" s="134">
        <f ca="1">SUM(INDIRECT(ADDRESS(6+$B$72,34)):INDIRECT(ADDRESS(5+$C$72,34)))</f>
        <v>0</v>
      </c>
      <c r="AI74" s="135">
        <f ca="1">INDIRECT(ADDRESS(5+$C$72,35))</f>
        <v>382</v>
      </c>
      <c r="AJ74" s="160">
        <f ca="1">INDIRECT(ADDRESS(5+$C$72,36))</f>
        <v>31850</v>
      </c>
      <c r="AK74" s="161">
        <f ca="1">INDIRECT(ADDRESS(5+$C$72,37))</f>
        <v>15200</v>
      </c>
      <c r="AL74" s="162">
        <f ca="1">INDIRECT(ADDRESS(5+$C$72,38))</f>
        <v>5050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sheet="1" objects="1" scenarios="1" selectLockedCells="1"/>
  <dataConsolidate/>
  <mergeCells count="141"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</mergeCells>
  <conditionalFormatting sqref="X6:X59">
    <cfRule type="cellIs" dxfId="139" priority="18" operator="notEqual">
      <formula>$U6+$V6+$W6</formula>
    </cfRule>
  </conditionalFormatting>
  <conditionalFormatting sqref="Y7:Y59">
    <cfRule type="cellIs" dxfId="138" priority="17" operator="notEqual">
      <formula>$Y6-$X7+$Z7</formula>
    </cfRule>
  </conditionalFormatting>
  <conditionalFormatting sqref="AD6:AD59">
    <cfRule type="cellIs" dxfId="137" priority="16" operator="notEqual">
      <formula>$AA6+$AB6+$AC6</formula>
    </cfRule>
  </conditionalFormatting>
  <conditionalFormatting sqref="AE7:AE59">
    <cfRule type="cellIs" dxfId="136" priority="15" operator="notEqual">
      <formula>$AE6-$AD7+$AF7</formula>
    </cfRule>
  </conditionalFormatting>
  <conditionalFormatting sqref="L66">
    <cfRule type="cellIs" dxfId="135" priority="14" operator="lessThan">
      <formula>$F$66</formula>
    </cfRule>
  </conditionalFormatting>
  <conditionalFormatting sqref="L71">
    <cfRule type="cellIs" dxfId="134" priority="13" operator="lessThan">
      <formula>$F$71</formula>
    </cfRule>
  </conditionalFormatting>
  <conditionalFormatting sqref="X64">
    <cfRule type="cellIs" dxfId="133" priority="12" operator="notEqual">
      <formula>$U64+$V64+$W64</formula>
    </cfRule>
  </conditionalFormatting>
  <conditionalFormatting sqref="Y64">
    <cfRule type="cellIs" dxfId="132" priority="11" operator="notEqual">
      <formula>$Y63-$X64+$Z64</formula>
    </cfRule>
  </conditionalFormatting>
  <conditionalFormatting sqref="AD64">
    <cfRule type="cellIs" dxfId="131" priority="10" operator="notEqual">
      <formula>$AA64+$AB64+$AC64</formula>
    </cfRule>
  </conditionalFormatting>
  <conditionalFormatting sqref="AE64">
    <cfRule type="cellIs" dxfId="130" priority="9" operator="notEqual">
      <formula>$AE63-$AD64+$AF64</formula>
    </cfRule>
  </conditionalFormatting>
  <conditionalFormatting sqref="X69">
    <cfRule type="cellIs" dxfId="129" priority="8" operator="notEqual">
      <formula>$U69+$V69+$W69</formula>
    </cfRule>
  </conditionalFormatting>
  <conditionalFormatting sqref="Y69">
    <cfRule type="cellIs" dxfId="128" priority="7" operator="notEqual">
      <formula>$Y68-$X69+$Z69</formula>
    </cfRule>
  </conditionalFormatting>
  <conditionalFormatting sqref="AD69">
    <cfRule type="cellIs" dxfId="127" priority="6" operator="notEqual">
      <formula>$AA69+$AB69+$AC69</formula>
    </cfRule>
  </conditionalFormatting>
  <conditionalFormatting sqref="AE69">
    <cfRule type="cellIs" dxfId="126" priority="5" operator="notEqual">
      <formula>$AE68-$AD69+$AF69</formula>
    </cfRule>
  </conditionalFormatting>
  <conditionalFormatting sqref="X74">
    <cfRule type="cellIs" dxfId="125" priority="4" operator="notEqual">
      <formula>$U74+$V74+$W74</formula>
    </cfRule>
  </conditionalFormatting>
  <conditionalFormatting sqref="Y74">
    <cfRule type="cellIs" dxfId="124" priority="3" operator="notEqual">
      <formula>$Y73-$X74+$Z74</formula>
    </cfRule>
  </conditionalFormatting>
  <conditionalFormatting sqref="AD74">
    <cfRule type="cellIs" dxfId="123" priority="2" operator="notEqual">
      <formula>$AA74+$AB74+$AC74</formula>
    </cfRule>
  </conditionalFormatting>
  <conditionalFormatting sqref="AE74">
    <cfRule type="cellIs" dxfId="122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7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J74" sqref="J74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>
        <v>0</v>
      </c>
      <c r="B4" s="415" t="s">
        <v>135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271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271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42260.166666666664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42260.166666666664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272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270"/>
      <c r="B6" s="437"/>
      <c r="C6" s="438"/>
      <c r="D6" s="42"/>
      <c r="E6" s="39"/>
      <c r="F6" s="13"/>
      <c r="G6" s="209" t="s">
        <v>3</v>
      </c>
      <c r="H6" s="36" t="s">
        <v>3</v>
      </c>
      <c r="I6" s="215" t="s">
        <v>3</v>
      </c>
      <c r="J6" s="37" t="s">
        <v>3</v>
      </c>
      <c r="K6" s="8">
        <v>0</v>
      </c>
      <c r="L6" s="38" t="s">
        <v>3</v>
      </c>
      <c r="M6" s="38" t="s">
        <v>3</v>
      </c>
      <c r="N6" s="219" t="s">
        <v>3</v>
      </c>
      <c r="O6" s="37" t="s">
        <v>3</v>
      </c>
      <c r="P6" s="274" t="s">
        <v>3</v>
      </c>
      <c r="Q6" s="273" t="s">
        <v>3</v>
      </c>
      <c r="R6" s="26" t="s">
        <v>3</v>
      </c>
      <c r="S6" s="40">
        <f>$A6</f>
        <v>0</v>
      </c>
      <c r="T6" s="239">
        <f>$B6</f>
        <v>0</v>
      </c>
      <c r="U6" s="151" t="str">
        <f>IF(BC6="","",BC6)</f>
        <v/>
      </c>
      <c r="V6" s="152" t="str">
        <f>IF(BF6="","",BF6)</f>
        <v/>
      </c>
      <c r="W6" s="152" t="str">
        <f>IF(BK6="","",BK6)</f>
        <v/>
      </c>
      <c r="X6" s="197" t="str">
        <f>IF(BN6="","",BN6)</f>
        <v/>
      </c>
      <c r="Y6" s="153" t="str">
        <f>IF(BR6="","",BR6)</f>
        <v/>
      </c>
      <c r="Z6" s="177"/>
      <c r="AA6" s="142" t="str">
        <f>IF(BD6="","",BD6)</f>
        <v/>
      </c>
      <c r="AB6" s="143">
        <f>IF(BH6+BI6="","",BH6+BI6)</f>
        <v>0</v>
      </c>
      <c r="AC6" s="143" t="str">
        <f>IF(BL6="","",BL6)</f>
        <v/>
      </c>
      <c r="AD6" s="201">
        <f>IF(BO6+BP6="","",BO6+BP6)</f>
        <v>0</v>
      </c>
      <c r="AE6" s="144" t="str">
        <f>IF(BS6+BT6=0,"",BS6+BT6)</f>
        <v/>
      </c>
      <c r="AF6" s="178"/>
      <c r="AG6" s="133" t="str">
        <f>IF(CE6="","",CE6)</f>
        <v/>
      </c>
      <c r="AH6" s="134" t="str">
        <f>IF(BW6="","",BW6)</f>
        <v/>
      </c>
      <c r="AI6" s="135" t="str">
        <f>IF(CC6="","",CC6)</f>
        <v/>
      </c>
      <c r="AJ6" s="160" t="str">
        <f>IF(CP6="","",CP6)</f>
        <v/>
      </c>
      <c r="AK6" s="161" t="str">
        <f>IF(CQ6="","",CQ6)</f>
        <v/>
      </c>
      <c r="AL6" s="162" t="str">
        <f>IF(CS6="","",CS6)</f>
        <v/>
      </c>
      <c r="AM6" s="237"/>
      <c r="AN6" s="69">
        <f>$A6</f>
        <v>0</v>
      </c>
      <c r="AO6" s="243">
        <f>$B6</f>
        <v>0</v>
      </c>
      <c r="AP6" s="45" t="s">
        <v>40</v>
      </c>
      <c r="AQ6" s="98"/>
      <c r="AR6" s="99"/>
      <c r="AS6" s="99"/>
      <c r="AT6" s="100"/>
      <c r="AU6" s="101"/>
      <c r="AV6" s="100"/>
      <c r="AW6" s="101"/>
      <c r="AX6" s="101"/>
      <c r="AY6" s="99"/>
      <c r="AZ6" s="102"/>
      <c r="BA6" s="102"/>
      <c r="BB6" s="103"/>
      <c r="BC6" s="104"/>
      <c r="BD6" s="98"/>
      <c r="BE6" s="105"/>
      <c r="BF6" s="104"/>
      <c r="BG6" s="106"/>
      <c r="BH6" s="104"/>
      <c r="BI6" s="98"/>
      <c r="BJ6" s="105"/>
      <c r="BK6" s="104"/>
      <c r="BL6" s="104"/>
      <c r="BM6" s="107"/>
      <c r="BN6" s="108"/>
      <c r="BO6" s="108"/>
      <c r="BP6" s="109"/>
      <c r="BQ6" s="110"/>
      <c r="BR6" s="108"/>
      <c r="BS6" s="109"/>
      <c r="BT6" s="109"/>
      <c r="BU6" s="107"/>
      <c r="BV6" s="111"/>
      <c r="BW6" s="98"/>
      <c r="BX6" s="112"/>
      <c r="BY6" s="113"/>
      <c r="BZ6" s="114"/>
      <c r="CA6" s="114"/>
      <c r="CB6" s="114"/>
      <c r="CC6" s="99"/>
      <c r="CD6" s="115"/>
      <c r="CE6" s="116"/>
      <c r="CF6" s="117"/>
      <c r="CG6" s="118"/>
      <c r="CH6" s="117"/>
      <c r="CI6" s="118"/>
      <c r="CJ6" s="117"/>
      <c r="CK6" s="118"/>
      <c r="CL6" s="119"/>
      <c r="CM6" s="120"/>
      <c r="CN6" s="121"/>
      <c r="CO6" s="120"/>
      <c r="CP6" s="121"/>
      <c r="CQ6" s="121"/>
      <c r="CR6" s="100"/>
      <c r="CS6" s="121"/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3" t="s">
        <v>97</v>
      </c>
      <c r="B7" s="442">
        <v>42237.520833333336</v>
      </c>
      <c r="C7" s="443"/>
      <c r="D7" s="84"/>
      <c r="E7" s="23">
        <v>0.5</v>
      </c>
      <c r="F7" s="15">
        <v>50.5</v>
      </c>
      <c r="G7" s="213">
        <v>-15.1</v>
      </c>
      <c r="H7" s="27">
        <f>IF(F7=0,"",F7-F6+G7)</f>
        <v>35.4</v>
      </c>
      <c r="I7" s="216">
        <f>IF(E7=0,"",$H7/$E7)</f>
        <v>70.8</v>
      </c>
      <c r="J7" s="29" t="str">
        <f ca="1">IF($J$5&gt;=B7,"N/A",SUM(INDIRECT(ADDRESS(6+(MATCH($J$5,$B$6:$B$59,0)),8)):H7))</f>
        <v>N/A</v>
      </c>
      <c r="K7" s="10">
        <v>178.3</v>
      </c>
      <c r="L7" s="87">
        <v>178.8</v>
      </c>
      <c r="M7" s="4">
        <f>IF(K7="","",K6-K7+L7)</f>
        <v>0.5</v>
      </c>
      <c r="N7" s="220">
        <f t="shared" ref="N7:N59" si="0">IF(E7=0,"",M7/E7)</f>
        <v>1</v>
      </c>
      <c r="O7" s="30" t="str">
        <f ca="1">IF($O$5&gt;=B7,"N/A",SUM(INDIRECT(ADDRESS(6+(MATCH($O$5,$B$6:$B$59,0)),13)):M7))</f>
        <v>N/A</v>
      </c>
      <c r="P7" s="175" t="str">
        <f>IF(AQ7="","",AQ7)</f>
        <v/>
      </c>
      <c r="Q7" s="175" t="str">
        <f>IF(AY7="","",AY7)</f>
        <v/>
      </c>
      <c r="R7" s="175" t="str">
        <f>IF(AR7="","",AR7)</f>
        <v/>
      </c>
      <c r="S7" s="43" t="str">
        <f>IF($A7="","",$A7)</f>
        <v>EOSP</v>
      </c>
      <c r="T7" s="240">
        <f>IF($B7="","",$B7)</f>
        <v>42237.520833333336</v>
      </c>
      <c r="U7" s="154" t="str">
        <f t="shared" ref="U7:U59" si="1">IF(BC7="","",BC7)</f>
        <v/>
      </c>
      <c r="V7" s="155" t="str">
        <f t="shared" ref="V7:V59" si="2">IF(BF7="","",BF7)</f>
        <v/>
      </c>
      <c r="W7" s="155" t="str">
        <f t="shared" ref="W7:W59" si="3">IF(BK7="","",BK7)</f>
        <v/>
      </c>
      <c r="X7" s="198" t="str">
        <f t="shared" ref="X7:X59" si="4">IF(BN7="","",BN7)</f>
        <v/>
      </c>
      <c r="Y7" s="156">
        <f t="shared" ref="Y7:Y59" si="5">IF(BR7="","",BR7)</f>
        <v>1059</v>
      </c>
      <c r="Z7" s="179"/>
      <c r="AA7" s="145" t="str">
        <f t="shared" ref="AA7:AA59" si="6">IF(BD7="","",BD7)</f>
        <v/>
      </c>
      <c r="AB7" s="146">
        <f t="shared" ref="AB7:AB59" si="7">IF(BH7+BI7="","",BH7+BI7)</f>
        <v>0</v>
      </c>
      <c r="AC7" s="146" t="str">
        <f t="shared" ref="AC7:AC59" si="8">IF(BL7="","",BL7)</f>
        <v/>
      </c>
      <c r="AD7" s="202">
        <f t="shared" ref="AD7:AD59" si="9">IF(BO7+BP7="","",BO7+BP7)</f>
        <v>0</v>
      </c>
      <c r="AE7" s="147">
        <f t="shared" ref="AE7:AE59" si="10">IF(BS7+BT7=0,"",BS7+BT7)</f>
        <v>298.2</v>
      </c>
      <c r="AF7" s="180"/>
      <c r="AG7" s="136" t="str">
        <f t="shared" ref="AG7:AG59" si="11">IF(CE7="","",CE7)</f>
        <v/>
      </c>
      <c r="AH7" s="137" t="str">
        <f t="shared" ref="AH7:AH59" si="12">IF(BW7="","",BW7)</f>
        <v/>
      </c>
      <c r="AI7" s="138" t="str">
        <f t="shared" ref="AI7:AI59" si="13">IF(CC7="","",CC7)</f>
        <v/>
      </c>
      <c r="AJ7" s="163" t="str">
        <f t="shared" ref="AJ7:AK59" si="14">IF(CP7="","",CP7)</f>
        <v/>
      </c>
      <c r="AK7" s="164" t="str">
        <f t="shared" si="14"/>
        <v/>
      </c>
      <c r="AL7" s="165" t="str">
        <f t="shared" ref="AL7:AL59" si="15">IF(CS7="","",CS7)</f>
        <v/>
      </c>
      <c r="AM7" s="237" t="e">
        <f>((R7-H7)/H7)</f>
        <v>#VALUE!</v>
      </c>
      <c r="AN7" s="70" t="str">
        <f>IF($A7="","",$A7)</f>
        <v>EOSP</v>
      </c>
      <c r="AO7" s="241">
        <f>IF($B7="","",$B7)</f>
        <v>42237.520833333336</v>
      </c>
      <c r="AP7" s="441" t="s">
        <v>90</v>
      </c>
      <c r="AQ7" s="98"/>
      <c r="AR7" s="99"/>
      <c r="AS7" s="99"/>
      <c r="AT7" s="100"/>
      <c r="AU7" s="101"/>
      <c r="AV7" s="100"/>
      <c r="AW7" s="101"/>
      <c r="AX7" s="101"/>
      <c r="AY7" s="99"/>
      <c r="AZ7" s="102"/>
      <c r="BA7" s="102"/>
      <c r="BB7" s="105"/>
      <c r="BC7" s="104"/>
      <c r="BD7" s="98"/>
      <c r="BE7" s="105"/>
      <c r="BF7" s="104"/>
      <c r="BG7" s="106"/>
      <c r="BH7" s="104"/>
      <c r="BI7" s="98"/>
      <c r="BJ7" s="105"/>
      <c r="BK7" s="104"/>
      <c r="BL7" s="104"/>
      <c r="BM7" s="107"/>
      <c r="BN7" s="108"/>
      <c r="BO7" s="108"/>
      <c r="BP7" s="109"/>
      <c r="BQ7" s="110"/>
      <c r="BR7" s="108">
        <v>1059</v>
      </c>
      <c r="BS7" s="109"/>
      <c r="BT7" s="109">
        <v>298.2</v>
      </c>
      <c r="BU7" s="107"/>
      <c r="BV7" s="111"/>
      <c r="BW7" s="98"/>
      <c r="BX7" s="113"/>
      <c r="BY7" s="113"/>
      <c r="BZ7" s="114"/>
      <c r="CA7" s="114"/>
      <c r="CB7" s="114"/>
      <c r="CC7" s="99"/>
      <c r="CD7" s="111"/>
      <c r="CE7" s="116"/>
      <c r="CF7" s="117"/>
      <c r="CG7" s="118"/>
      <c r="CH7" s="117"/>
      <c r="CI7" s="118"/>
      <c r="CJ7" s="117"/>
      <c r="CK7" s="118"/>
      <c r="CL7" s="119"/>
      <c r="CM7" s="122"/>
      <c r="CN7" s="121"/>
      <c r="CO7" s="120"/>
      <c r="CP7" s="121"/>
      <c r="CQ7" s="121"/>
      <c r="CR7" s="100"/>
      <c r="CS7" s="121"/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103</v>
      </c>
      <c r="B8" s="442">
        <v>42238.5</v>
      </c>
      <c r="C8" s="453"/>
      <c r="D8" s="84"/>
      <c r="E8" s="23">
        <v>0.5</v>
      </c>
      <c r="F8" s="15">
        <v>50.5</v>
      </c>
      <c r="G8" s="213">
        <v>0.5</v>
      </c>
      <c r="H8" s="27">
        <f t="shared" ref="H8:H59" si="16">IF(F8=0,"",F8-F7+G8)</f>
        <v>0.5</v>
      </c>
      <c r="I8" s="216">
        <f t="shared" ref="I8:I59" si="17">IF(E8=0,"",$H8/$E8)</f>
        <v>1</v>
      </c>
      <c r="J8" s="29" t="str">
        <f ca="1">IF($J$5&gt;=B8,"N/A",SUM(INDIRECT(ADDRESS(6+(MATCH($J$5,$B$6:$B$59,0)),8)):H8))</f>
        <v>N/A</v>
      </c>
      <c r="K8" s="10">
        <v>178.8</v>
      </c>
      <c r="L8" s="87">
        <v>0.5</v>
      </c>
      <c r="M8" s="4">
        <f t="shared" ref="M8:M59" si="18">IF(K8="","",K7-K8+L8)</f>
        <v>0</v>
      </c>
      <c r="N8" s="220">
        <f t="shared" si="0"/>
        <v>0</v>
      </c>
      <c r="O8" s="30" t="str">
        <f ca="1">IF($O$5&gt;=B8,"N/A",SUM(INDIRECT(ADDRESS(6+(MATCH($O$5,$B$6:$B$59,0)),13)):M8))</f>
        <v>N/A</v>
      </c>
      <c r="P8" s="175">
        <f t="shared" ref="P8:P59" si="19">IF(AQ8="","",AQ8)</f>
        <v>0</v>
      </c>
      <c r="Q8" s="175" t="e">
        <f t="shared" ref="Q8:Q59" si="20">IF(AY8="","",AY8)</f>
        <v>#VALUE!</v>
      </c>
      <c r="R8" s="175">
        <f t="shared" ref="R8:R59" si="21">IF(AR8="","",AR8)</f>
        <v>0</v>
      </c>
      <c r="S8" s="70" t="str">
        <f t="shared" ref="S8:S59" si="22">IF($A8="","",$A8)</f>
        <v>PNOON</v>
      </c>
      <c r="T8" s="241">
        <f t="shared" ref="T8:T59" si="23">IF($B8="","",$B8)</f>
        <v>42238.5</v>
      </c>
      <c r="U8" s="157">
        <f t="shared" si="1"/>
        <v>0.1</v>
      </c>
      <c r="V8" s="158">
        <f t="shared" si="2"/>
        <v>2.8</v>
      </c>
      <c r="W8" s="158">
        <f t="shared" si="3"/>
        <v>2.8</v>
      </c>
      <c r="X8" s="199">
        <f t="shared" si="4"/>
        <v>5.7</v>
      </c>
      <c r="Y8" s="159">
        <f t="shared" si="5"/>
        <v>1053.2999999999993</v>
      </c>
      <c r="Z8" s="181"/>
      <c r="AA8" s="148">
        <f t="shared" si="6"/>
        <v>0</v>
      </c>
      <c r="AB8" s="149">
        <f t="shared" si="7"/>
        <v>0</v>
      </c>
      <c r="AC8" s="149">
        <f t="shared" si="8"/>
        <v>0.2</v>
      </c>
      <c r="AD8" s="203">
        <f t="shared" si="9"/>
        <v>0.2</v>
      </c>
      <c r="AE8" s="150">
        <f t="shared" si="10"/>
        <v>298.00000000000006</v>
      </c>
      <c r="AF8" s="182"/>
      <c r="AG8" s="139">
        <f t="shared" si="11"/>
        <v>5</v>
      </c>
      <c r="AH8" s="140">
        <f t="shared" si="12"/>
        <v>0</v>
      </c>
      <c r="AI8" s="141">
        <f t="shared" si="13"/>
        <v>367</v>
      </c>
      <c r="AJ8" s="166">
        <f t="shared" si="14"/>
        <v>28024</v>
      </c>
      <c r="AK8" s="167">
        <f t="shared" si="14"/>
        <v>14100</v>
      </c>
      <c r="AL8" s="168">
        <f t="shared" si="15"/>
        <v>3650</v>
      </c>
      <c r="AM8" s="237">
        <f t="shared" ref="AM8:AM20" si="24">((R8-H8)/H8)</f>
        <v>-1</v>
      </c>
      <c r="AN8" s="70" t="str">
        <f t="shared" ref="AN8:AN59" si="25">IF($A8="","",$A8)</f>
        <v>PNOON</v>
      </c>
      <c r="AO8" s="241">
        <f t="shared" ref="AO8:AO59" si="26">IF($B8="","",$B8)</f>
        <v>42238.5</v>
      </c>
      <c r="AP8" s="441"/>
      <c r="AQ8" s="98">
        <v>0</v>
      </c>
      <c r="AR8" s="99">
        <v>0</v>
      </c>
      <c r="AS8" s="99">
        <v>0</v>
      </c>
      <c r="AT8" s="100" t="s">
        <v>39</v>
      </c>
      <c r="AU8" s="101" t="e">
        <v>#VALUE!</v>
      </c>
      <c r="AV8" s="100" t="s">
        <v>39</v>
      </c>
      <c r="AW8" s="101" t="e">
        <v>#VALUE!</v>
      </c>
      <c r="AX8" s="101" t="e">
        <v>#VALUE!</v>
      </c>
      <c r="AY8" s="99" t="e">
        <v>#VALUE!</v>
      </c>
      <c r="AZ8" s="102"/>
      <c r="BA8" s="102"/>
      <c r="BB8" s="105">
        <v>-0.78200000000000136</v>
      </c>
      <c r="BC8" s="104">
        <v>0.1</v>
      </c>
      <c r="BD8" s="98">
        <v>0</v>
      </c>
      <c r="BE8" s="105">
        <v>3.4684000000000013</v>
      </c>
      <c r="BF8" s="104">
        <v>2.8</v>
      </c>
      <c r="BG8" s="106">
        <v>0</v>
      </c>
      <c r="BH8" s="104">
        <v>0</v>
      </c>
      <c r="BI8" s="98">
        <v>0</v>
      </c>
      <c r="BJ8" s="105">
        <v>3.0794000000000001</v>
      </c>
      <c r="BK8" s="104">
        <v>2.8</v>
      </c>
      <c r="BL8" s="104">
        <v>0.2</v>
      </c>
      <c r="BM8" s="107"/>
      <c r="BN8" s="108">
        <v>5.7</v>
      </c>
      <c r="BO8" s="108">
        <v>0</v>
      </c>
      <c r="BP8" s="109">
        <v>0.2</v>
      </c>
      <c r="BQ8" s="110"/>
      <c r="BR8" s="108">
        <v>1053.2999999999993</v>
      </c>
      <c r="BS8" s="109">
        <v>0</v>
      </c>
      <c r="BT8" s="109">
        <v>298.00000000000006</v>
      </c>
      <c r="BU8" s="107"/>
      <c r="BV8" s="111">
        <v>0</v>
      </c>
      <c r="BW8" s="98">
        <v>0</v>
      </c>
      <c r="BX8" s="113"/>
      <c r="BY8" s="113">
        <v>283</v>
      </c>
      <c r="BZ8" s="114">
        <v>283</v>
      </c>
      <c r="CA8" s="114">
        <v>84</v>
      </c>
      <c r="CB8" s="114">
        <v>0</v>
      </c>
      <c r="CC8" s="99">
        <v>367</v>
      </c>
      <c r="CD8" s="115">
        <v>18</v>
      </c>
      <c r="CE8" s="116">
        <v>5</v>
      </c>
      <c r="CF8" s="117">
        <v>0</v>
      </c>
      <c r="CG8" s="118" t="s">
        <v>39</v>
      </c>
      <c r="CH8" s="117">
        <v>0</v>
      </c>
      <c r="CI8" s="118" t="s">
        <v>39</v>
      </c>
      <c r="CJ8" s="117">
        <v>0</v>
      </c>
      <c r="CK8" s="118" t="s">
        <v>39</v>
      </c>
      <c r="CL8" s="119"/>
      <c r="CM8" s="122">
        <v>3</v>
      </c>
      <c r="CN8" s="121">
        <v>10</v>
      </c>
      <c r="CO8" s="120">
        <v>7</v>
      </c>
      <c r="CP8" s="121">
        <v>28024</v>
      </c>
      <c r="CQ8" s="121">
        <v>14100</v>
      </c>
      <c r="CR8" s="100">
        <v>70</v>
      </c>
      <c r="CS8" s="121">
        <v>3650</v>
      </c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103</v>
      </c>
      <c r="B9" s="442">
        <v>42239.5</v>
      </c>
      <c r="C9" s="443"/>
      <c r="D9" s="84"/>
      <c r="E9" s="23">
        <v>0</v>
      </c>
      <c r="F9" s="15">
        <v>65.3</v>
      </c>
      <c r="G9" s="213">
        <v>-5.3</v>
      </c>
      <c r="H9" s="27">
        <f t="shared" si="16"/>
        <v>9.4999999999999964</v>
      </c>
      <c r="I9" s="216" t="str">
        <f t="shared" si="17"/>
        <v/>
      </c>
      <c r="J9" s="29" t="str">
        <f ca="1">IF($J$5&gt;=B9,"N/A",SUM(INDIRECT(ADDRESS(6+(MATCH($J$5,$B$6:$B$59,0)),8)):H9))</f>
        <v>N/A</v>
      </c>
      <c r="K9" s="10">
        <v>176.7</v>
      </c>
      <c r="L9" s="87">
        <v>-2.1</v>
      </c>
      <c r="M9" s="4">
        <f t="shared" si="18"/>
        <v>2.2648549702353193E-14</v>
      </c>
      <c r="N9" s="220" t="str">
        <f t="shared" si="0"/>
        <v/>
      </c>
      <c r="O9" s="30" t="str">
        <f ca="1">IF($O$5&gt;=B9,"N/A",SUM(INDIRECT(ADDRESS(6+(MATCH($O$5,$B$6:$B$59,0)),13)):M9))</f>
        <v>N/A</v>
      </c>
      <c r="P9" s="175">
        <f t="shared" si="19"/>
        <v>0</v>
      </c>
      <c r="Q9" s="175" t="e">
        <f t="shared" si="20"/>
        <v>#VALUE!</v>
      </c>
      <c r="R9" s="175">
        <f t="shared" si="21"/>
        <v>0</v>
      </c>
      <c r="S9" s="70" t="str">
        <f t="shared" si="22"/>
        <v>PNOON</v>
      </c>
      <c r="T9" s="241">
        <f t="shared" si="23"/>
        <v>42239.5</v>
      </c>
      <c r="U9" s="157">
        <f t="shared" si="1"/>
        <v>0</v>
      </c>
      <c r="V9" s="158">
        <f t="shared" si="2"/>
        <v>2.5</v>
      </c>
      <c r="W9" s="158">
        <f t="shared" si="3"/>
        <v>2.9</v>
      </c>
      <c r="X9" s="199">
        <f t="shared" si="4"/>
        <v>5.4</v>
      </c>
      <c r="Y9" s="159">
        <f t="shared" si="5"/>
        <v>1047.8999999999992</v>
      </c>
      <c r="Z9" s="181"/>
      <c r="AA9" s="148">
        <f t="shared" si="6"/>
        <v>0</v>
      </c>
      <c r="AB9" s="149">
        <f t="shared" si="7"/>
        <v>0</v>
      </c>
      <c r="AC9" s="149">
        <f t="shared" si="8"/>
        <v>0</v>
      </c>
      <c r="AD9" s="203">
        <f t="shared" si="9"/>
        <v>0</v>
      </c>
      <c r="AE9" s="150">
        <f t="shared" si="10"/>
        <v>298.00000000000006</v>
      </c>
      <c r="AF9" s="182"/>
      <c r="AG9" s="139">
        <f t="shared" si="11"/>
        <v>10</v>
      </c>
      <c r="AH9" s="140">
        <f t="shared" si="12"/>
        <v>0</v>
      </c>
      <c r="AI9" s="141">
        <f t="shared" si="13"/>
        <v>361</v>
      </c>
      <c r="AJ9" s="166">
        <f t="shared" si="14"/>
        <v>28024</v>
      </c>
      <c r="AK9" s="167">
        <f t="shared" si="14"/>
        <v>14100</v>
      </c>
      <c r="AL9" s="168">
        <f t="shared" si="15"/>
        <v>3650</v>
      </c>
      <c r="AM9" s="237">
        <f t="shared" si="24"/>
        <v>-1</v>
      </c>
      <c r="AN9" s="70" t="str">
        <f t="shared" si="25"/>
        <v>PNOON</v>
      </c>
      <c r="AO9" s="241">
        <f t="shared" si="26"/>
        <v>42239.5</v>
      </c>
      <c r="AP9" s="441"/>
      <c r="AQ9" s="98">
        <v>0</v>
      </c>
      <c r="AR9" s="99">
        <v>0</v>
      </c>
      <c r="AS9" s="99">
        <v>0</v>
      </c>
      <c r="AT9" s="100" t="s">
        <v>39</v>
      </c>
      <c r="AU9" s="101" t="e">
        <v>#VALUE!</v>
      </c>
      <c r="AV9" s="100" t="s">
        <v>39</v>
      </c>
      <c r="AW9" s="101" t="e">
        <v>#VALUE!</v>
      </c>
      <c r="AX9" s="101" t="e">
        <v>#VALUE!</v>
      </c>
      <c r="AY9" s="99" t="e">
        <v>#VALUE!</v>
      </c>
      <c r="AZ9" s="102"/>
      <c r="BA9" s="102"/>
      <c r="BB9" s="105">
        <v>-0.88319999999999732</v>
      </c>
      <c r="BC9" s="104">
        <v>0</v>
      </c>
      <c r="BD9" s="98">
        <v>0</v>
      </c>
      <c r="BE9" s="105">
        <v>3.1831999999999971</v>
      </c>
      <c r="BF9" s="104">
        <v>2.5</v>
      </c>
      <c r="BG9" s="106">
        <v>0</v>
      </c>
      <c r="BH9" s="104">
        <v>0</v>
      </c>
      <c r="BI9" s="98">
        <v>0</v>
      </c>
      <c r="BJ9" s="105">
        <v>2.8569</v>
      </c>
      <c r="BK9" s="104">
        <v>2.9</v>
      </c>
      <c r="BL9" s="104">
        <v>0</v>
      </c>
      <c r="BM9" s="107"/>
      <c r="BN9" s="108">
        <v>5.4</v>
      </c>
      <c r="BO9" s="108">
        <v>0</v>
      </c>
      <c r="BP9" s="109">
        <v>0</v>
      </c>
      <c r="BQ9" s="110"/>
      <c r="BR9" s="108">
        <v>1047.8999999999992</v>
      </c>
      <c r="BS9" s="109">
        <v>0</v>
      </c>
      <c r="BT9" s="109">
        <v>298.00000000000006</v>
      </c>
      <c r="BU9" s="107"/>
      <c r="BV9" s="111">
        <v>0</v>
      </c>
      <c r="BW9" s="98">
        <v>0</v>
      </c>
      <c r="BX9" s="113"/>
      <c r="BY9" s="113">
        <v>277</v>
      </c>
      <c r="BZ9" s="114">
        <v>277</v>
      </c>
      <c r="CA9" s="114">
        <v>84</v>
      </c>
      <c r="CB9" s="114">
        <v>0</v>
      </c>
      <c r="CC9" s="99">
        <v>361</v>
      </c>
      <c r="CD9" s="111">
        <v>6</v>
      </c>
      <c r="CE9" s="116">
        <v>10</v>
      </c>
      <c r="CF9" s="117">
        <v>0</v>
      </c>
      <c r="CG9" s="118" t="s">
        <v>39</v>
      </c>
      <c r="CH9" s="117">
        <v>0</v>
      </c>
      <c r="CI9" s="118" t="s">
        <v>39</v>
      </c>
      <c r="CJ9" s="117">
        <v>0</v>
      </c>
      <c r="CK9" s="118" t="s">
        <v>39</v>
      </c>
      <c r="CL9" s="119"/>
      <c r="CM9" s="122">
        <v>0</v>
      </c>
      <c r="CN9" s="121">
        <v>0</v>
      </c>
      <c r="CO9" s="120">
        <v>0</v>
      </c>
      <c r="CP9" s="121">
        <v>28024</v>
      </c>
      <c r="CQ9" s="121">
        <v>14100</v>
      </c>
      <c r="CR9" s="100"/>
      <c r="CS9" s="121">
        <v>3650</v>
      </c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9</v>
      </c>
      <c r="B10" s="442">
        <v>42240.408333333333</v>
      </c>
      <c r="C10" s="443"/>
      <c r="D10" s="84"/>
      <c r="E10" s="23">
        <v>0</v>
      </c>
      <c r="F10" s="15">
        <v>0</v>
      </c>
      <c r="G10" s="213"/>
      <c r="H10" s="27" t="str">
        <f t="shared" si="16"/>
        <v/>
      </c>
      <c r="I10" s="216" t="str">
        <f t="shared" si="17"/>
        <v/>
      </c>
      <c r="J10" s="29" t="str">
        <f ca="1">IF($J$5&gt;=B10,"N/A",SUM(INDIRECT(ADDRESS(6+(MATCH($J$5,$B$6:$B$59,0)),8)):H10))</f>
        <v>N/A</v>
      </c>
      <c r="K10" s="10">
        <v>169.3</v>
      </c>
      <c r="L10" s="88">
        <v>-7.4</v>
      </c>
      <c r="M10" s="4">
        <f t="shared" si="18"/>
        <v>-2.3092638912203256E-14</v>
      </c>
      <c r="N10" s="220" t="str">
        <f t="shared" si="0"/>
        <v/>
      </c>
      <c r="O10" s="30" t="str">
        <f ca="1">IF($O$5&gt;=B10,"N/A",SUM(INDIRECT(ADDRESS(6+(MATCH($O$5,$B$6:$B$59,0)),13)):M10))</f>
        <v>N/A</v>
      </c>
      <c r="P10" s="175" t="str">
        <f t="shared" si="19"/>
        <v/>
      </c>
      <c r="Q10" s="175" t="str">
        <f t="shared" si="20"/>
        <v/>
      </c>
      <c r="R10" s="175" t="str">
        <f t="shared" si="21"/>
        <v/>
      </c>
      <c r="S10" s="70" t="str">
        <f t="shared" si="22"/>
        <v>SBE</v>
      </c>
      <c r="T10" s="241">
        <f t="shared" si="23"/>
        <v>42240.408333333333</v>
      </c>
      <c r="U10" s="157" t="str">
        <f t="shared" si="1"/>
        <v/>
      </c>
      <c r="V10" s="158" t="str">
        <f t="shared" si="2"/>
        <v/>
      </c>
      <c r="W10" s="158" t="str">
        <f t="shared" si="3"/>
        <v/>
      </c>
      <c r="X10" s="199" t="str">
        <f t="shared" si="4"/>
        <v/>
      </c>
      <c r="Y10" s="159" t="str">
        <f t="shared" si="5"/>
        <v/>
      </c>
      <c r="Z10" s="181"/>
      <c r="AA10" s="148" t="str">
        <f t="shared" si="6"/>
        <v/>
      </c>
      <c r="AB10" s="149">
        <f t="shared" si="7"/>
        <v>0</v>
      </c>
      <c r="AC10" s="149" t="str">
        <f t="shared" si="8"/>
        <v/>
      </c>
      <c r="AD10" s="203">
        <f t="shared" si="9"/>
        <v>0</v>
      </c>
      <c r="AE10" s="150" t="str">
        <f t="shared" si="10"/>
        <v/>
      </c>
      <c r="AF10" s="182">
        <v>350</v>
      </c>
      <c r="AG10" s="139" t="str">
        <f t="shared" si="11"/>
        <v/>
      </c>
      <c r="AH10" s="140" t="str">
        <f t="shared" si="12"/>
        <v/>
      </c>
      <c r="AI10" s="141" t="str">
        <f t="shared" si="13"/>
        <v/>
      </c>
      <c r="AJ10" s="166" t="str">
        <f t="shared" si="14"/>
        <v/>
      </c>
      <c r="AK10" s="167" t="str">
        <f t="shared" si="14"/>
        <v/>
      </c>
      <c r="AL10" s="168" t="str">
        <f t="shared" si="15"/>
        <v/>
      </c>
      <c r="AM10" s="237" t="e">
        <f t="shared" si="24"/>
        <v>#VALUE!</v>
      </c>
      <c r="AN10" s="70" t="str">
        <f t="shared" si="25"/>
        <v>SBE</v>
      </c>
      <c r="AO10" s="241">
        <f t="shared" si="26"/>
        <v>42240.408333333333</v>
      </c>
      <c r="AP10" s="441"/>
      <c r="AQ10" s="98"/>
      <c r="AR10" s="99"/>
      <c r="AS10" s="99"/>
      <c r="AT10" s="100"/>
      <c r="AU10" s="101"/>
      <c r="AV10" s="100"/>
      <c r="AW10" s="101"/>
      <c r="AX10" s="101"/>
      <c r="AY10" s="99"/>
      <c r="AZ10" s="102"/>
      <c r="BA10" s="102"/>
      <c r="BB10" s="103"/>
      <c r="BC10" s="104"/>
      <c r="BD10" s="98"/>
      <c r="BE10" s="105"/>
      <c r="BF10" s="104"/>
      <c r="BG10" s="115"/>
      <c r="BH10" s="104"/>
      <c r="BI10" s="98"/>
      <c r="BJ10" s="105"/>
      <c r="BK10" s="104"/>
      <c r="BL10" s="104"/>
      <c r="BM10" s="107"/>
      <c r="BN10" s="108"/>
      <c r="BO10" s="108"/>
      <c r="BP10" s="109"/>
      <c r="BQ10" s="110"/>
      <c r="BR10" s="108"/>
      <c r="BS10" s="109"/>
      <c r="BT10" s="109"/>
      <c r="BU10" s="107"/>
      <c r="BV10" s="111"/>
      <c r="BW10" s="98"/>
      <c r="BX10" s="113"/>
      <c r="BY10" s="113"/>
      <c r="BZ10" s="114"/>
      <c r="CA10" s="114"/>
      <c r="CB10" s="114"/>
      <c r="CC10" s="99"/>
      <c r="CD10" s="115"/>
      <c r="CE10" s="116"/>
      <c r="CF10" s="117"/>
      <c r="CG10" s="118"/>
      <c r="CH10" s="117"/>
      <c r="CI10" s="118"/>
      <c r="CJ10" s="117"/>
      <c r="CK10" s="118"/>
      <c r="CL10" s="119"/>
      <c r="CM10" s="120"/>
      <c r="CN10" s="121"/>
      <c r="CO10" s="120"/>
      <c r="CP10" s="121"/>
      <c r="CQ10" s="121"/>
      <c r="CR10" s="100"/>
      <c r="CS10" s="121"/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103</v>
      </c>
      <c r="B11" s="442">
        <v>42240.5</v>
      </c>
      <c r="C11" s="443"/>
      <c r="D11" s="84"/>
      <c r="E11" s="23">
        <v>2.2000000000000002</v>
      </c>
      <c r="F11" s="15">
        <v>11.5</v>
      </c>
      <c r="G11" s="213"/>
      <c r="H11" s="27">
        <f t="shared" si="16"/>
        <v>11.5</v>
      </c>
      <c r="I11" s="216">
        <f t="shared" si="17"/>
        <v>5.2272727272727266</v>
      </c>
      <c r="J11" s="29" t="str">
        <f ca="1">IF($J$5&gt;=B11,"N/A",SUM(INDIRECT(ADDRESS(6+(MATCH($J$5,$B$6:$B$59,0)),8)):H11))</f>
        <v>N/A</v>
      </c>
      <c r="K11" s="10">
        <v>157.19999999999999</v>
      </c>
      <c r="L11" s="88"/>
      <c r="M11" s="4">
        <f t="shared" si="18"/>
        <v>12.100000000000023</v>
      </c>
      <c r="N11" s="220">
        <f t="shared" si="0"/>
        <v>5.5000000000000098</v>
      </c>
      <c r="O11" s="30" t="str">
        <f ca="1">IF($O$5&gt;=B11,"N/A",SUM(INDIRECT(ADDRESS(6+(MATCH($O$5,$B$6:$B$59,0)),13)):M11))</f>
        <v>N/A</v>
      </c>
      <c r="P11" s="175">
        <f t="shared" si="19"/>
        <v>0</v>
      </c>
      <c r="Q11" s="175" t="e">
        <f t="shared" si="20"/>
        <v>#VALUE!</v>
      </c>
      <c r="R11" s="175">
        <f t="shared" si="21"/>
        <v>0</v>
      </c>
      <c r="S11" s="70" t="str">
        <f t="shared" si="22"/>
        <v>PNOON</v>
      </c>
      <c r="T11" s="241">
        <f t="shared" si="23"/>
        <v>42240.5</v>
      </c>
      <c r="U11" s="157">
        <f t="shared" si="1"/>
        <v>0.3</v>
      </c>
      <c r="V11" s="158">
        <f t="shared" si="2"/>
        <v>2.8</v>
      </c>
      <c r="W11" s="158">
        <f t="shared" si="3"/>
        <v>2.8</v>
      </c>
      <c r="X11" s="199">
        <f t="shared" si="4"/>
        <v>5.8999999999999995</v>
      </c>
      <c r="Y11" s="159">
        <f t="shared" si="5"/>
        <v>1041.9999999999991</v>
      </c>
      <c r="Z11" s="181"/>
      <c r="AA11" s="148">
        <f t="shared" si="6"/>
        <v>0</v>
      </c>
      <c r="AB11" s="149">
        <f t="shared" si="7"/>
        <v>0</v>
      </c>
      <c r="AC11" s="149">
        <f t="shared" si="8"/>
        <v>0.2</v>
      </c>
      <c r="AD11" s="203">
        <f t="shared" si="9"/>
        <v>0.2</v>
      </c>
      <c r="AE11" s="150">
        <f t="shared" si="10"/>
        <v>297.80000000000007</v>
      </c>
      <c r="AF11" s="182"/>
      <c r="AG11" s="139">
        <f t="shared" si="11"/>
        <v>8</v>
      </c>
      <c r="AH11" s="140">
        <f t="shared" si="12"/>
        <v>0</v>
      </c>
      <c r="AI11" s="141">
        <f t="shared" si="13"/>
        <v>353</v>
      </c>
      <c r="AJ11" s="166">
        <f t="shared" si="14"/>
        <v>27997</v>
      </c>
      <c r="AK11" s="167">
        <f t="shared" si="14"/>
        <v>14030</v>
      </c>
      <c r="AL11" s="168">
        <f t="shared" si="15"/>
        <v>3600</v>
      </c>
      <c r="AM11" s="237">
        <f t="shared" si="24"/>
        <v>-1</v>
      </c>
      <c r="AN11" s="70" t="str">
        <f t="shared" si="25"/>
        <v>PNOON</v>
      </c>
      <c r="AO11" s="241">
        <f t="shared" si="26"/>
        <v>42240.5</v>
      </c>
      <c r="AP11" s="441"/>
      <c r="AQ11" s="98">
        <v>0</v>
      </c>
      <c r="AR11" s="99">
        <v>0</v>
      </c>
      <c r="AS11" s="99">
        <v>0</v>
      </c>
      <c r="AT11" s="100" t="s">
        <v>39</v>
      </c>
      <c r="AU11" s="101" t="e">
        <v>#VALUE!</v>
      </c>
      <c r="AV11" s="100" t="s">
        <v>39</v>
      </c>
      <c r="AW11" s="101" t="e">
        <v>#VALUE!</v>
      </c>
      <c r="AX11" s="101" t="e">
        <v>#VALUE!</v>
      </c>
      <c r="AY11" s="99" t="e">
        <v>#VALUE!</v>
      </c>
      <c r="AZ11" s="102"/>
      <c r="BA11" s="102"/>
      <c r="BB11" s="103">
        <v>0.3312000000000026</v>
      </c>
      <c r="BC11" s="104">
        <v>0.3</v>
      </c>
      <c r="BD11" s="98">
        <v>0</v>
      </c>
      <c r="BE11" s="105">
        <v>3.2383999999999977</v>
      </c>
      <c r="BF11" s="104">
        <v>2.8</v>
      </c>
      <c r="BG11" s="115">
        <v>0</v>
      </c>
      <c r="BH11" s="104">
        <v>0</v>
      </c>
      <c r="BI11" s="98">
        <v>0</v>
      </c>
      <c r="BJ11" s="105">
        <v>2.8213000000000004</v>
      </c>
      <c r="BK11" s="104">
        <v>2.8</v>
      </c>
      <c r="BL11" s="104">
        <v>0.2</v>
      </c>
      <c r="BM11" s="107"/>
      <c r="BN11" s="108">
        <v>5.8999999999999995</v>
      </c>
      <c r="BO11" s="108">
        <v>0</v>
      </c>
      <c r="BP11" s="109">
        <v>0.2</v>
      </c>
      <c r="BQ11" s="110"/>
      <c r="BR11" s="108">
        <v>1041.9999999999991</v>
      </c>
      <c r="BS11" s="109">
        <v>0</v>
      </c>
      <c r="BT11" s="109">
        <v>297.80000000000007</v>
      </c>
      <c r="BU11" s="107"/>
      <c r="BV11" s="111">
        <v>0</v>
      </c>
      <c r="BW11" s="98">
        <v>0</v>
      </c>
      <c r="BX11" s="113"/>
      <c r="BY11" s="113">
        <v>269</v>
      </c>
      <c r="BZ11" s="114">
        <v>269</v>
      </c>
      <c r="CA11" s="114">
        <v>84</v>
      </c>
      <c r="CB11" s="114">
        <v>0</v>
      </c>
      <c r="CC11" s="99">
        <v>353</v>
      </c>
      <c r="CD11" s="115">
        <v>8</v>
      </c>
      <c r="CE11" s="116">
        <v>8</v>
      </c>
      <c r="CF11" s="117">
        <v>0</v>
      </c>
      <c r="CG11" s="118" t="s">
        <v>39</v>
      </c>
      <c r="CH11" s="117">
        <v>0</v>
      </c>
      <c r="CI11" s="118" t="s">
        <v>39</v>
      </c>
      <c r="CJ11" s="117">
        <v>0</v>
      </c>
      <c r="CK11" s="118" t="s">
        <v>39</v>
      </c>
      <c r="CL11" s="119"/>
      <c r="CM11" s="120">
        <v>27</v>
      </c>
      <c r="CN11" s="121">
        <v>27</v>
      </c>
      <c r="CO11" s="120">
        <v>0</v>
      </c>
      <c r="CP11" s="121">
        <v>27997</v>
      </c>
      <c r="CQ11" s="121">
        <v>14030</v>
      </c>
      <c r="CR11" s="100">
        <v>70</v>
      </c>
      <c r="CS11" s="121">
        <v>3600</v>
      </c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103</v>
      </c>
      <c r="B12" s="442">
        <v>42241.5</v>
      </c>
      <c r="C12" s="443"/>
      <c r="D12" s="84"/>
      <c r="E12" s="23">
        <v>24</v>
      </c>
      <c r="F12" s="15">
        <v>133.4</v>
      </c>
      <c r="G12" s="213"/>
      <c r="H12" s="27">
        <f t="shared" si="16"/>
        <v>121.9</v>
      </c>
      <c r="I12" s="216">
        <f t="shared" si="17"/>
        <v>5.0791666666666666</v>
      </c>
      <c r="J12" s="29" t="str">
        <f ca="1">IF($J$5&gt;=B12,"N/A",SUM(INDIRECT(ADDRESS(6+(MATCH($J$5,$B$6:$B$59,0)),8)):H12))</f>
        <v>N/A</v>
      </c>
      <c r="K12" s="10">
        <v>51</v>
      </c>
      <c r="L12" s="88"/>
      <c r="M12" s="4">
        <f t="shared" si="18"/>
        <v>106.19999999999999</v>
      </c>
      <c r="N12" s="220">
        <f t="shared" si="0"/>
        <v>4.4249999999999998</v>
      </c>
      <c r="O12" s="30" t="str">
        <f ca="1">IF($O$5&gt;=B12,"N/A",SUM(INDIRECT(ADDRESS(6+(MATCH($O$5,$B$6:$B$59,0)),13)):M12))</f>
        <v>N/A</v>
      </c>
      <c r="P12" s="175">
        <f t="shared" si="19"/>
        <v>49.6</v>
      </c>
      <c r="Q12" s="175" t="e">
        <f t="shared" si="20"/>
        <v>#VALUE!</v>
      </c>
      <c r="R12" s="175">
        <f t="shared" si="21"/>
        <v>193.58098470000002</v>
      </c>
      <c r="S12" s="70" t="str">
        <f t="shared" si="22"/>
        <v>PNOON</v>
      </c>
      <c r="T12" s="241">
        <f t="shared" si="23"/>
        <v>42241.5</v>
      </c>
      <c r="U12" s="157">
        <f t="shared" si="1"/>
        <v>11.3</v>
      </c>
      <c r="V12" s="158">
        <f t="shared" si="2"/>
        <v>3.3</v>
      </c>
      <c r="W12" s="158">
        <f t="shared" si="3"/>
        <v>1</v>
      </c>
      <c r="X12" s="199">
        <f t="shared" si="4"/>
        <v>15.600000000000001</v>
      </c>
      <c r="Y12" s="159">
        <f t="shared" si="5"/>
        <v>1026.3999999999992</v>
      </c>
      <c r="Z12" s="181"/>
      <c r="AA12" s="148">
        <f t="shared" si="6"/>
        <v>0</v>
      </c>
      <c r="AB12" s="149">
        <f t="shared" si="7"/>
        <v>0</v>
      </c>
      <c r="AC12" s="149">
        <f t="shared" si="8"/>
        <v>0</v>
      </c>
      <c r="AD12" s="203">
        <f t="shared" si="9"/>
        <v>0</v>
      </c>
      <c r="AE12" s="150">
        <f t="shared" si="10"/>
        <v>297.80000000000007</v>
      </c>
      <c r="AF12" s="182"/>
      <c r="AG12" s="139">
        <f t="shared" si="11"/>
        <v>11</v>
      </c>
      <c r="AH12" s="140">
        <f t="shared" si="12"/>
        <v>0</v>
      </c>
      <c r="AI12" s="141">
        <f t="shared" si="13"/>
        <v>342</v>
      </c>
      <c r="AJ12" s="166">
        <f t="shared" si="14"/>
        <v>27657</v>
      </c>
      <c r="AK12" s="167">
        <f t="shared" si="14"/>
        <v>13930</v>
      </c>
      <c r="AL12" s="168">
        <f t="shared" si="15"/>
        <v>3550</v>
      </c>
      <c r="AM12" s="237">
        <f t="shared" si="24"/>
        <v>0.5880310475799837</v>
      </c>
      <c r="AN12" s="70" t="str">
        <f t="shared" si="25"/>
        <v>PNOON</v>
      </c>
      <c r="AO12" s="241">
        <f t="shared" si="26"/>
        <v>42241.5</v>
      </c>
      <c r="AP12" s="45" t="s">
        <v>40</v>
      </c>
      <c r="AQ12" s="98">
        <v>49.6</v>
      </c>
      <c r="AR12" s="99">
        <v>193.58098470000002</v>
      </c>
      <c r="AS12" s="99">
        <v>8.0658743625000007</v>
      </c>
      <c r="AT12" s="100" t="s">
        <v>39</v>
      </c>
      <c r="AU12" s="101" t="e">
        <v>#VALUE!</v>
      </c>
      <c r="AV12" s="100" t="s">
        <v>39</v>
      </c>
      <c r="AW12" s="101" t="e">
        <v>#VALUE!</v>
      </c>
      <c r="AX12" s="101" t="e">
        <v>#VALUE!</v>
      </c>
      <c r="AY12" s="99" t="e">
        <v>#VALUE!</v>
      </c>
      <c r="AZ12" s="102"/>
      <c r="BA12" s="102"/>
      <c r="BB12" s="103">
        <v>10.193599999999998</v>
      </c>
      <c r="BC12" s="104">
        <v>11.3</v>
      </c>
      <c r="BD12" s="98">
        <v>0</v>
      </c>
      <c r="BE12" s="105">
        <v>4.3424000000000014</v>
      </c>
      <c r="BF12" s="104">
        <v>3.3</v>
      </c>
      <c r="BG12" s="115">
        <v>0</v>
      </c>
      <c r="BH12" s="104">
        <v>0</v>
      </c>
      <c r="BI12" s="98">
        <v>0</v>
      </c>
      <c r="BJ12" s="105">
        <v>0.91670000000000007</v>
      </c>
      <c r="BK12" s="104">
        <v>1</v>
      </c>
      <c r="BL12" s="104">
        <v>0</v>
      </c>
      <c r="BM12" s="107"/>
      <c r="BN12" s="108">
        <v>15.600000000000001</v>
      </c>
      <c r="BO12" s="108">
        <v>0</v>
      </c>
      <c r="BP12" s="109">
        <v>0</v>
      </c>
      <c r="BQ12" s="110"/>
      <c r="BR12" s="108">
        <v>1026.3999999999992</v>
      </c>
      <c r="BS12" s="109">
        <v>0</v>
      </c>
      <c r="BT12" s="109">
        <v>297.80000000000007</v>
      </c>
      <c r="BU12" s="107"/>
      <c r="BV12" s="111">
        <v>0</v>
      </c>
      <c r="BW12" s="98">
        <v>0</v>
      </c>
      <c r="BX12" s="113"/>
      <c r="BY12" s="113">
        <v>258</v>
      </c>
      <c r="BZ12" s="114">
        <v>258</v>
      </c>
      <c r="CA12" s="114">
        <v>84</v>
      </c>
      <c r="CB12" s="114">
        <v>0</v>
      </c>
      <c r="CC12" s="99">
        <v>342</v>
      </c>
      <c r="CD12" s="115">
        <v>11</v>
      </c>
      <c r="CE12" s="116">
        <v>11</v>
      </c>
      <c r="CF12" s="117">
        <v>0</v>
      </c>
      <c r="CG12" s="118" t="s">
        <v>39</v>
      </c>
      <c r="CH12" s="117">
        <v>0</v>
      </c>
      <c r="CI12" s="118" t="s">
        <v>39</v>
      </c>
      <c r="CJ12" s="117">
        <v>0</v>
      </c>
      <c r="CK12" s="118" t="s">
        <v>39</v>
      </c>
      <c r="CL12" s="119"/>
      <c r="CM12" s="120">
        <v>340</v>
      </c>
      <c r="CN12" s="121">
        <v>340</v>
      </c>
      <c r="CO12" s="120">
        <v>0</v>
      </c>
      <c r="CP12" s="121">
        <v>27657</v>
      </c>
      <c r="CQ12" s="121">
        <v>13930</v>
      </c>
      <c r="CR12" s="100">
        <v>100</v>
      </c>
      <c r="CS12" s="121">
        <v>3550</v>
      </c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103</v>
      </c>
      <c r="B13" s="442">
        <v>42242.5</v>
      </c>
      <c r="C13" s="443"/>
      <c r="D13" s="84"/>
      <c r="E13" s="23">
        <v>24</v>
      </c>
      <c r="F13" s="15">
        <v>211.2</v>
      </c>
      <c r="G13" s="213"/>
      <c r="H13" s="27">
        <f t="shared" si="16"/>
        <v>77.799999999999983</v>
      </c>
      <c r="I13" s="216">
        <f t="shared" si="17"/>
        <v>3.2416666666666658</v>
      </c>
      <c r="J13" s="29" t="str">
        <f ca="1">IF($J$5&gt;=B13,"N/A",SUM(INDIRECT(ADDRESS(6+(MATCH($J$5,$B$6:$B$59,0)),8)):H13))</f>
        <v>N/A</v>
      </c>
      <c r="K13" s="10">
        <v>61.2</v>
      </c>
      <c r="L13" s="88">
        <v>84.7</v>
      </c>
      <c r="M13" s="4">
        <f t="shared" si="18"/>
        <v>74.5</v>
      </c>
      <c r="N13" s="220">
        <f t="shared" si="0"/>
        <v>3.1041666666666665</v>
      </c>
      <c r="O13" s="30" t="str">
        <f ca="1">IF($O$5&gt;=B13,"N/A",SUM(INDIRECT(ADDRESS(6+(MATCH($O$5,$B$6:$B$59,0)),13)):M13))</f>
        <v>N/A</v>
      </c>
      <c r="P13" s="175">
        <f t="shared" si="19"/>
        <v>44</v>
      </c>
      <c r="Q13" s="175" t="e">
        <f t="shared" si="20"/>
        <v>#VALUE!</v>
      </c>
      <c r="R13" s="175">
        <f t="shared" si="21"/>
        <v>171.49146860000002</v>
      </c>
      <c r="S13" s="70" t="str">
        <f t="shared" si="22"/>
        <v>PNOON</v>
      </c>
      <c r="T13" s="241">
        <f t="shared" si="23"/>
        <v>42242.5</v>
      </c>
      <c r="U13" s="157">
        <f t="shared" si="1"/>
        <v>8.1999999999999993</v>
      </c>
      <c r="V13" s="158">
        <f t="shared" si="2"/>
        <v>3.3</v>
      </c>
      <c r="W13" s="158">
        <f t="shared" si="3"/>
        <v>3</v>
      </c>
      <c r="X13" s="199">
        <f t="shared" si="4"/>
        <v>14.5</v>
      </c>
      <c r="Y13" s="159">
        <f t="shared" si="5"/>
        <v>1011.8999999999992</v>
      </c>
      <c r="Z13" s="181"/>
      <c r="AA13" s="148">
        <f t="shared" si="6"/>
        <v>0</v>
      </c>
      <c r="AB13" s="149">
        <f t="shared" si="7"/>
        <v>0</v>
      </c>
      <c r="AC13" s="149">
        <f t="shared" si="8"/>
        <v>0</v>
      </c>
      <c r="AD13" s="203">
        <f t="shared" si="9"/>
        <v>0</v>
      </c>
      <c r="AE13" s="150">
        <f t="shared" si="10"/>
        <v>297.80000000000007</v>
      </c>
      <c r="AF13" s="182"/>
      <c r="AG13" s="139">
        <f t="shared" si="11"/>
        <v>9</v>
      </c>
      <c r="AH13" s="140">
        <f t="shared" si="12"/>
        <v>10</v>
      </c>
      <c r="AI13" s="141">
        <f t="shared" si="13"/>
        <v>343</v>
      </c>
      <c r="AJ13" s="166">
        <f t="shared" si="14"/>
        <v>27357</v>
      </c>
      <c r="AK13" s="167">
        <f t="shared" si="14"/>
        <v>13830</v>
      </c>
      <c r="AL13" s="168">
        <f t="shared" si="15"/>
        <v>3500</v>
      </c>
      <c r="AM13" s="237">
        <f t="shared" si="24"/>
        <v>1.2042605218509004</v>
      </c>
      <c r="AN13" s="70" t="str">
        <f t="shared" si="25"/>
        <v>PNOON</v>
      </c>
      <c r="AO13" s="241">
        <f t="shared" si="26"/>
        <v>42242.5</v>
      </c>
      <c r="AP13" s="45" t="s">
        <v>40</v>
      </c>
      <c r="AQ13" s="98">
        <v>44</v>
      </c>
      <c r="AR13" s="99">
        <v>171.49146860000002</v>
      </c>
      <c r="AS13" s="99">
        <v>7.1454778583333338</v>
      </c>
      <c r="AT13" s="100" t="s">
        <v>39</v>
      </c>
      <c r="AU13" s="101" t="e">
        <v>#VALUE!</v>
      </c>
      <c r="AV13" s="100" t="s">
        <v>39</v>
      </c>
      <c r="AW13" s="101" t="e">
        <v>#VALUE!</v>
      </c>
      <c r="AX13" s="101" t="e">
        <v>#VALUE!</v>
      </c>
      <c r="AY13" s="99" t="e">
        <v>#VALUE!</v>
      </c>
      <c r="AZ13" s="102"/>
      <c r="BA13" s="102"/>
      <c r="BB13" s="103">
        <v>6.9919999999999991</v>
      </c>
      <c r="BC13" s="104">
        <v>8.1999999999999993</v>
      </c>
      <c r="BD13" s="98">
        <v>0</v>
      </c>
      <c r="BE13" s="105">
        <v>4.4804000000000013</v>
      </c>
      <c r="BF13" s="104">
        <v>3.3</v>
      </c>
      <c r="BG13" s="115">
        <v>0</v>
      </c>
      <c r="BH13" s="104">
        <v>0</v>
      </c>
      <c r="BI13" s="98">
        <v>0</v>
      </c>
      <c r="BJ13" s="105">
        <v>3.0082</v>
      </c>
      <c r="BK13" s="104">
        <v>3</v>
      </c>
      <c r="BL13" s="104">
        <v>0</v>
      </c>
      <c r="BM13" s="107"/>
      <c r="BN13" s="108">
        <v>14.5</v>
      </c>
      <c r="BO13" s="108">
        <v>0</v>
      </c>
      <c r="BP13" s="109">
        <v>0</v>
      </c>
      <c r="BQ13" s="110"/>
      <c r="BR13" s="108">
        <v>1011.8999999999992</v>
      </c>
      <c r="BS13" s="109">
        <v>0</v>
      </c>
      <c r="BT13" s="109">
        <v>297.80000000000007</v>
      </c>
      <c r="BU13" s="107"/>
      <c r="BV13" s="111">
        <v>11</v>
      </c>
      <c r="BW13" s="98">
        <v>10</v>
      </c>
      <c r="BX13" s="113"/>
      <c r="BY13" s="113">
        <v>249</v>
      </c>
      <c r="BZ13" s="114">
        <v>249</v>
      </c>
      <c r="CA13" s="114">
        <v>84</v>
      </c>
      <c r="CB13" s="114">
        <v>10</v>
      </c>
      <c r="CC13" s="99">
        <v>343</v>
      </c>
      <c r="CD13" s="115">
        <v>9</v>
      </c>
      <c r="CE13" s="116">
        <v>9</v>
      </c>
      <c r="CF13" s="117">
        <v>0</v>
      </c>
      <c r="CG13" s="118" t="s">
        <v>39</v>
      </c>
      <c r="CH13" s="117">
        <v>0</v>
      </c>
      <c r="CI13" s="118" t="s">
        <v>39</v>
      </c>
      <c r="CJ13" s="117">
        <v>0</v>
      </c>
      <c r="CK13" s="118" t="s">
        <v>39</v>
      </c>
      <c r="CL13" s="119"/>
      <c r="CM13" s="120">
        <v>299</v>
      </c>
      <c r="CN13" s="121">
        <v>300</v>
      </c>
      <c r="CO13" s="120">
        <v>1</v>
      </c>
      <c r="CP13" s="121">
        <v>27357</v>
      </c>
      <c r="CQ13" s="121">
        <v>13830</v>
      </c>
      <c r="CR13" s="100">
        <v>100</v>
      </c>
      <c r="CS13" s="121">
        <v>3500</v>
      </c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103</v>
      </c>
      <c r="B14" s="442">
        <v>42243.5</v>
      </c>
      <c r="C14" s="443"/>
      <c r="D14" s="84"/>
      <c r="E14" s="23">
        <v>24</v>
      </c>
      <c r="F14" s="15">
        <v>314.60000000000002</v>
      </c>
      <c r="G14" s="213"/>
      <c r="H14" s="27">
        <f t="shared" si="16"/>
        <v>103.40000000000003</v>
      </c>
      <c r="I14" s="216">
        <f t="shared" si="17"/>
        <v>4.3083333333333345</v>
      </c>
      <c r="J14" s="29" t="str">
        <f ca="1">IF($J$5&gt;=B14,"N/A",SUM(INDIRECT(ADDRESS(6+(MATCH($J$5,$B$6:$B$59,0)),8)):H14))</f>
        <v>N/A</v>
      </c>
      <c r="K14" s="10">
        <v>50.8</v>
      </c>
      <c r="L14" s="88">
        <v>85.4</v>
      </c>
      <c r="M14" s="4">
        <f t="shared" si="18"/>
        <v>95.800000000000011</v>
      </c>
      <c r="N14" s="220">
        <f t="shared" si="0"/>
        <v>3.9916666666666671</v>
      </c>
      <c r="O14" s="30" t="str">
        <f ca="1">IF($O$5&gt;=B14,"N/A",SUM(INDIRECT(ADDRESS(6+(MATCH($O$5,$B$6:$B$59,0)),13)):M14))</f>
        <v>N/A</v>
      </c>
      <c r="P14" s="175">
        <f t="shared" si="19"/>
        <v>56</v>
      </c>
      <c r="Q14" s="175" t="e">
        <f t="shared" si="20"/>
        <v>#VALUE!</v>
      </c>
      <c r="R14" s="175">
        <f t="shared" si="21"/>
        <v>219.65003170000003</v>
      </c>
      <c r="S14" s="70" t="str">
        <f t="shared" si="22"/>
        <v>PNOON</v>
      </c>
      <c r="T14" s="241">
        <f t="shared" si="23"/>
        <v>42243.5</v>
      </c>
      <c r="U14" s="157">
        <f t="shared" si="1"/>
        <v>16.399999999999999</v>
      </c>
      <c r="V14" s="158">
        <f t="shared" si="2"/>
        <v>3.3</v>
      </c>
      <c r="W14" s="158">
        <f t="shared" si="3"/>
        <v>1.9</v>
      </c>
      <c r="X14" s="199">
        <f t="shared" si="4"/>
        <v>21.6</v>
      </c>
      <c r="Y14" s="159">
        <f t="shared" si="5"/>
        <v>990.29999999999916</v>
      </c>
      <c r="Z14" s="181"/>
      <c r="AA14" s="148">
        <f t="shared" si="6"/>
        <v>0</v>
      </c>
      <c r="AB14" s="149">
        <f t="shared" si="7"/>
        <v>0</v>
      </c>
      <c r="AC14" s="149">
        <f t="shared" si="8"/>
        <v>0.2</v>
      </c>
      <c r="AD14" s="203">
        <f t="shared" si="9"/>
        <v>0.2</v>
      </c>
      <c r="AE14" s="150">
        <f t="shared" si="10"/>
        <v>297.60000000000008</v>
      </c>
      <c r="AF14" s="182"/>
      <c r="AG14" s="139">
        <f t="shared" si="11"/>
        <v>8</v>
      </c>
      <c r="AH14" s="140">
        <f t="shared" si="12"/>
        <v>12</v>
      </c>
      <c r="AI14" s="141">
        <f t="shared" si="13"/>
        <v>347</v>
      </c>
      <c r="AJ14" s="166">
        <f t="shared" si="14"/>
        <v>27012</v>
      </c>
      <c r="AK14" s="167">
        <f t="shared" si="14"/>
        <v>13730</v>
      </c>
      <c r="AL14" s="168">
        <f t="shared" si="15"/>
        <v>3450</v>
      </c>
      <c r="AM14" s="237">
        <f t="shared" si="24"/>
        <v>1.1242749680851059</v>
      </c>
      <c r="AN14" s="70" t="str">
        <f t="shared" si="25"/>
        <v>PNOON</v>
      </c>
      <c r="AO14" s="241">
        <f t="shared" si="26"/>
        <v>42243.5</v>
      </c>
      <c r="AP14" s="45" t="s">
        <v>40</v>
      </c>
      <c r="AQ14" s="98">
        <v>56</v>
      </c>
      <c r="AR14" s="99">
        <v>219.65003170000003</v>
      </c>
      <c r="AS14" s="99">
        <v>9.1520846541666678</v>
      </c>
      <c r="AT14" s="100" t="s">
        <v>39</v>
      </c>
      <c r="AU14" s="101" t="e">
        <v>#VALUE!</v>
      </c>
      <c r="AV14" s="100" t="s">
        <v>39</v>
      </c>
      <c r="AW14" s="101" t="e">
        <v>#VALUE!</v>
      </c>
      <c r="AX14" s="101" t="e">
        <v>#VALUE!</v>
      </c>
      <c r="AY14" s="99" t="e">
        <v>#VALUE!</v>
      </c>
      <c r="AZ14" s="102"/>
      <c r="BA14" s="102"/>
      <c r="BB14" s="103">
        <v>15.354800000000001</v>
      </c>
      <c r="BC14" s="104">
        <v>16.399999999999999</v>
      </c>
      <c r="BD14" s="98">
        <v>0</v>
      </c>
      <c r="BE14" s="105">
        <v>4.3884000000000016</v>
      </c>
      <c r="BF14" s="104">
        <v>3.3</v>
      </c>
      <c r="BG14" s="115">
        <v>0</v>
      </c>
      <c r="BH14" s="104">
        <v>0</v>
      </c>
      <c r="BI14" s="98">
        <v>0</v>
      </c>
      <c r="BJ14" s="105">
        <v>1.7177</v>
      </c>
      <c r="BK14" s="104">
        <v>1.9</v>
      </c>
      <c r="BL14" s="104">
        <v>0.2</v>
      </c>
      <c r="BM14" s="107"/>
      <c r="BN14" s="108">
        <v>21.6</v>
      </c>
      <c r="BO14" s="108">
        <v>0</v>
      </c>
      <c r="BP14" s="109">
        <v>0.2</v>
      </c>
      <c r="BQ14" s="110"/>
      <c r="BR14" s="108">
        <v>990.29999999999916</v>
      </c>
      <c r="BS14" s="109">
        <v>0</v>
      </c>
      <c r="BT14" s="109">
        <v>297.60000000000008</v>
      </c>
      <c r="BU14" s="107"/>
      <c r="BV14" s="111">
        <v>14</v>
      </c>
      <c r="BW14" s="98">
        <v>12</v>
      </c>
      <c r="BX14" s="113"/>
      <c r="BY14" s="113">
        <v>243</v>
      </c>
      <c r="BZ14" s="114">
        <v>243</v>
      </c>
      <c r="CA14" s="114">
        <v>84</v>
      </c>
      <c r="CB14" s="114">
        <v>20</v>
      </c>
      <c r="CC14" s="99">
        <v>347</v>
      </c>
      <c r="CD14" s="115">
        <v>8</v>
      </c>
      <c r="CE14" s="116">
        <v>8</v>
      </c>
      <c r="CF14" s="117">
        <v>0</v>
      </c>
      <c r="CG14" s="118" t="s">
        <v>39</v>
      </c>
      <c r="CH14" s="117">
        <v>0</v>
      </c>
      <c r="CI14" s="118" t="s">
        <v>39</v>
      </c>
      <c r="CJ14" s="117">
        <v>0</v>
      </c>
      <c r="CK14" s="118" t="s">
        <v>39</v>
      </c>
      <c r="CL14" s="119"/>
      <c r="CM14" s="120">
        <v>345</v>
      </c>
      <c r="CN14" s="121">
        <v>345</v>
      </c>
      <c r="CO14" s="120">
        <v>0</v>
      </c>
      <c r="CP14" s="121">
        <v>27012</v>
      </c>
      <c r="CQ14" s="121">
        <v>13730</v>
      </c>
      <c r="CR14" s="100">
        <v>100</v>
      </c>
      <c r="CS14" s="121">
        <v>3450</v>
      </c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103</v>
      </c>
      <c r="B15" s="442">
        <v>42244.5</v>
      </c>
      <c r="C15" s="453"/>
      <c r="D15" s="84"/>
      <c r="E15" s="23">
        <v>6.5</v>
      </c>
      <c r="F15" s="15">
        <v>369</v>
      </c>
      <c r="G15" s="213"/>
      <c r="H15" s="27">
        <f t="shared" si="16"/>
        <v>54.399999999999977</v>
      </c>
      <c r="I15" s="216">
        <f t="shared" si="17"/>
        <v>8.3692307692307661</v>
      </c>
      <c r="J15" s="29" t="str">
        <f ca="1">IF($J$5&gt;=B15,"N/A",SUM(INDIRECT(ADDRESS(6+(MATCH($J$5,$B$6:$B$59,0)),8)):H15))</f>
        <v>N/A</v>
      </c>
      <c r="K15" s="10">
        <v>0</v>
      </c>
      <c r="L15" s="88">
        <v>-0.6</v>
      </c>
      <c r="M15" s="4">
        <f t="shared" si="18"/>
        <v>50.199999999999996</v>
      </c>
      <c r="N15" s="220">
        <f t="shared" si="0"/>
        <v>7.7230769230769223</v>
      </c>
      <c r="O15" s="30" t="str">
        <f ca="1">IF($O$5&gt;=B15,"N/A",SUM(INDIRECT(ADDRESS(6+(MATCH($O$5,$B$6:$B$59,0)),13)):M15))</f>
        <v>N/A</v>
      </c>
      <c r="P15" s="175">
        <f t="shared" si="19"/>
        <v>47</v>
      </c>
      <c r="Q15" s="175" t="e">
        <f t="shared" si="20"/>
        <v>#VALUE!</v>
      </c>
      <c r="R15" s="175">
        <f t="shared" si="21"/>
        <v>53.882360100000007</v>
      </c>
      <c r="S15" s="70" t="str">
        <f t="shared" si="22"/>
        <v>PNOON</v>
      </c>
      <c r="T15" s="241">
        <f t="shared" si="23"/>
        <v>42244.5</v>
      </c>
      <c r="U15" s="157">
        <f t="shared" si="1"/>
        <v>5.5</v>
      </c>
      <c r="V15" s="158">
        <f t="shared" si="2"/>
        <v>3.6</v>
      </c>
      <c r="W15" s="158">
        <f t="shared" si="3"/>
        <v>2.5</v>
      </c>
      <c r="X15" s="199">
        <f t="shared" si="4"/>
        <v>11.6</v>
      </c>
      <c r="Y15" s="159">
        <f t="shared" si="5"/>
        <v>978.69999999999914</v>
      </c>
      <c r="Z15" s="181"/>
      <c r="AA15" s="148">
        <f t="shared" si="6"/>
        <v>0</v>
      </c>
      <c r="AB15" s="149">
        <f t="shared" si="7"/>
        <v>0</v>
      </c>
      <c r="AC15" s="149">
        <f t="shared" si="8"/>
        <v>0</v>
      </c>
      <c r="AD15" s="203">
        <f t="shared" si="9"/>
        <v>0</v>
      </c>
      <c r="AE15" s="150">
        <f t="shared" si="10"/>
        <v>297.60000000000008</v>
      </c>
      <c r="AF15" s="182"/>
      <c r="AG15" s="139">
        <f t="shared" si="11"/>
        <v>10</v>
      </c>
      <c r="AH15" s="140">
        <f t="shared" si="12"/>
        <v>3</v>
      </c>
      <c r="AI15" s="141">
        <f t="shared" si="13"/>
        <v>340</v>
      </c>
      <c r="AJ15" s="166">
        <f t="shared" si="14"/>
        <v>26949</v>
      </c>
      <c r="AK15" s="167">
        <f t="shared" si="14"/>
        <v>13630</v>
      </c>
      <c r="AL15" s="168">
        <f t="shared" si="15"/>
        <v>3400</v>
      </c>
      <c r="AM15" s="237">
        <f t="shared" si="24"/>
        <v>-9.5154393382347567E-3</v>
      </c>
      <c r="AN15" s="70" t="str">
        <f t="shared" si="25"/>
        <v>PNOON</v>
      </c>
      <c r="AO15" s="241">
        <f t="shared" si="26"/>
        <v>42244.5</v>
      </c>
      <c r="AP15" s="45" t="s">
        <v>40</v>
      </c>
      <c r="AQ15" s="98">
        <v>47</v>
      </c>
      <c r="AR15" s="99">
        <v>53.882360100000007</v>
      </c>
      <c r="AS15" s="99">
        <v>7.6974800142857154</v>
      </c>
      <c r="AT15" s="100" t="s">
        <v>39</v>
      </c>
      <c r="AU15" s="101" t="e">
        <v>#VALUE!</v>
      </c>
      <c r="AV15" s="100" t="s">
        <v>39</v>
      </c>
      <c r="AW15" s="101" t="e">
        <v>#VALUE!</v>
      </c>
      <c r="AX15" s="101" t="e">
        <v>#VALUE!</v>
      </c>
      <c r="AY15" s="99" t="e">
        <v>#VALUE!</v>
      </c>
      <c r="AZ15" s="102"/>
      <c r="BA15" s="102"/>
      <c r="BB15" s="103">
        <v>4.2688000000000015</v>
      </c>
      <c r="BC15" s="104">
        <v>5.5</v>
      </c>
      <c r="BD15" s="98">
        <v>0</v>
      </c>
      <c r="BE15" s="105">
        <v>4.6459999999999999</v>
      </c>
      <c r="BF15" s="104">
        <v>3.6</v>
      </c>
      <c r="BG15" s="115">
        <v>0</v>
      </c>
      <c r="BH15" s="104">
        <v>0</v>
      </c>
      <c r="BI15" s="98">
        <v>0</v>
      </c>
      <c r="BJ15" s="105">
        <v>2.4653</v>
      </c>
      <c r="BK15" s="104">
        <v>2.5</v>
      </c>
      <c r="BL15" s="104">
        <v>0</v>
      </c>
      <c r="BM15" s="107"/>
      <c r="BN15" s="108">
        <v>11.6</v>
      </c>
      <c r="BO15" s="108">
        <v>0</v>
      </c>
      <c r="BP15" s="109">
        <v>0</v>
      </c>
      <c r="BQ15" s="110"/>
      <c r="BR15" s="108">
        <v>978.69999999999914</v>
      </c>
      <c r="BS15" s="109">
        <v>0</v>
      </c>
      <c r="BT15" s="109">
        <v>297.60000000000008</v>
      </c>
      <c r="BU15" s="107"/>
      <c r="BV15" s="111">
        <v>3</v>
      </c>
      <c r="BW15" s="98">
        <v>3</v>
      </c>
      <c r="BX15" s="113"/>
      <c r="BY15" s="113">
        <v>233</v>
      </c>
      <c r="BZ15" s="114">
        <v>233</v>
      </c>
      <c r="CA15" s="114">
        <v>84</v>
      </c>
      <c r="CB15" s="114">
        <v>23</v>
      </c>
      <c r="CC15" s="99">
        <v>340</v>
      </c>
      <c r="CD15" s="115">
        <v>10</v>
      </c>
      <c r="CE15" s="116">
        <v>10</v>
      </c>
      <c r="CF15" s="117">
        <v>0</v>
      </c>
      <c r="CG15" s="118" t="s">
        <v>39</v>
      </c>
      <c r="CH15" s="117">
        <v>0</v>
      </c>
      <c r="CI15" s="118" t="s">
        <v>39</v>
      </c>
      <c r="CJ15" s="117">
        <v>0</v>
      </c>
      <c r="CK15" s="118" t="s">
        <v>39</v>
      </c>
      <c r="CL15" s="119"/>
      <c r="CM15" s="120">
        <v>63</v>
      </c>
      <c r="CN15" s="121">
        <v>63</v>
      </c>
      <c r="CO15" s="120">
        <v>0</v>
      </c>
      <c r="CP15" s="121">
        <v>26949</v>
      </c>
      <c r="CQ15" s="121">
        <v>13630</v>
      </c>
      <c r="CR15" s="100">
        <v>100</v>
      </c>
      <c r="CS15" s="121">
        <v>3400</v>
      </c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103</v>
      </c>
      <c r="B16" s="442">
        <v>42245.5</v>
      </c>
      <c r="C16" s="453"/>
      <c r="D16" s="84"/>
      <c r="E16" s="23">
        <v>1</v>
      </c>
      <c r="F16" s="15">
        <v>3.2</v>
      </c>
      <c r="G16" s="213">
        <v>369</v>
      </c>
      <c r="H16" s="27">
        <f t="shared" si="16"/>
        <v>3.1999999999999886</v>
      </c>
      <c r="I16" s="216">
        <f t="shared" si="17"/>
        <v>3.1999999999999886</v>
      </c>
      <c r="J16" s="29" t="str">
        <f ca="1">IF($J$5&gt;=B16,"N/A",SUM(INDIRECT(ADDRESS(6+(MATCH($J$5,$B$6:$B$59,0)),8)):H16))</f>
        <v>N/A</v>
      </c>
      <c r="K16" s="10">
        <v>0</v>
      </c>
      <c r="L16" s="88">
        <v>2.9</v>
      </c>
      <c r="M16" s="4">
        <f t="shared" si="18"/>
        <v>2.9</v>
      </c>
      <c r="N16" s="220">
        <f t="shared" si="0"/>
        <v>2.9</v>
      </c>
      <c r="O16" s="30" t="str">
        <f ca="1">IF($O$5&gt;=B16,"N/A",SUM(INDIRECT(ADDRESS(6+(MATCH($O$5,$B$6:$B$59,0)),13)):M16))</f>
        <v>N/A</v>
      </c>
      <c r="P16" s="175">
        <f t="shared" si="19"/>
        <v>50</v>
      </c>
      <c r="Q16" s="175" t="e">
        <f t="shared" si="20"/>
        <v>#VALUE!</v>
      </c>
      <c r="R16" s="175">
        <f t="shared" si="21"/>
        <v>4.8313187000000006</v>
      </c>
      <c r="S16" s="70" t="str">
        <f t="shared" si="22"/>
        <v>PNOON</v>
      </c>
      <c r="T16" s="241">
        <f t="shared" si="23"/>
        <v>42245.5</v>
      </c>
      <c r="U16" s="157">
        <f t="shared" si="1"/>
        <v>0.7</v>
      </c>
      <c r="V16" s="158">
        <f t="shared" si="2"/>
        <v>3</v>
      </c>
      <c r="W16" s="158">
        <f t="shared" si="3"/>
        <v>3</v>
      </c>
      <c r="X16" s="199">
        <f t="shared" si="4"/>
        <v>6.7</v>
      </c>
      <c r="Y16" s="159">
        <f t="shared" si="5"/>
        <v>1702</v>
      </c>
      <c r="Z16" s="181">
        <v>730</v>
      </c>
      <c r="AA16" s="148">
        <f t="shared" si="6"/>
        <v>0</v>
      </c>
      <c r="AB16" s="149">
        <f t="shared" si="7"/>
        <v>0</v>
      </c>
      <c r="AC16" s="149">
        <f t="shared" si="8"/>
        <v>0</v>
      </c>
      <c r="AD16" s="203">
        <f t="shared" si="9"/>
        <v>0</v>
      </c>
      <c r="AE16" s="150">
        <f t="shared" si="10"/>
        <v>297.60000000000008</v>
      </c>
      <c r="AF16" s="182"/>
      <c r="AG16" s="139">
        <f t="shared" si="11"/>
        <v>7</v>
      </c>
      <c r="AH16" s="140">
        <f t="shared" si="12"/>
        <v>0</v>
      </c>
      <c r="AI16" s="141">
        <f t="shared" si="13"/>
        <v>334</v>
      </c>
      <c r="AJ16" s="166">
        <f t="shared" si="14"/>
        <v>26940</v>
      </c>
      <c r="AK16" s="167">
        <f t="shared" si="14"/>
        <v>13500</v>
      </c>
      <c r="AL16" s="168">
        <f t="shared" si="15"/>
        <v>3350</v>
      </c>
      <c r="AM16" s="237">
        <f t="shared" si="24"/>
        <v>0.50978709375000553</v>
      </c>
      <c r="AN16" s="70" t="str">
        <f t="shared" si="25"/>
        <v>PNOON</v>
      </c>
      <c r="AO16" s="241">
        <f t="shared" si="26"/>
        <v>42245.5</v>
      </c>
      <c r="AP16" s="45" t="s">
        <v>40</v>
      </c>
      <c r="AQ16" s="98">
        <v>50</v>
      </c>
      <c r="AR16" s="99">
        <v>4.8313187000000006</v>
      </c>
      <c r="AS16" s="99">
        <v>8.0521978333333344</v>
      </c>
      <c r="AT16" s="100" t="s">
        <v>39</v>
      </c>
      <c r="AU16" s="101" t="e">
        <v>#VALUE!</v>
      </c>
      <c r="AV16" s="100" t="s">
        <v>39</v>
      </c>
      <c r="AW16" s="101" t="e">
        <v>#VALUE!</v>
      </c>
      <c r="AX16" s="101" t="e">
        <v>#VALUE!</v>
      </c>
      <c r="AY16" s="99" t="e">
        <v>#VALUE!</v>
      </c>
      <c r="AZ16" s="102"/>
      <c r="BA16" s="102"/>
      <c r="BB16" s="103">
        <v>-0.64400000000000013</v>
      </c>
      <c r="BC16" s="104">
        <v>0.7</v>
      </c>
      <c r="BD16" s="98">
        <v>0</v>
      </c>
      <c r="BE16" s="105">
        <v>4.1492000000000004</v>
      </c>
      <c r="BF16" s="104">
        <v>3</v>
      </c>
      <c r="BG16" s="115">
        <v>0</v>
      </c>
      <c r="BH16" s="104">
        <v>0</v>
      </c>
      <c r="BI16" s="98">
        <v>0</v>
      </c>
      <c r="BJ16" s="105">
        <v>3.0794000000000001</v>
      </c>
      <c r="BK16" s="104">
        <v>3</v>
      </c>
      <c r="BL16" s="104">
        <v>0</v>
      </c>
      <c r="BM16" s="107"/>
      <c r="BN16" s="108">
        <v>6.7</v>
      </c>
      <c r="BO16" s="108">
        <v>0</v>
      </c>
      <c r="BP16" s="109">
        <v>0</v>
      </c>
      <c r="BQ16" s="110"/>
      <c r="BR16" s="108">
        <v>1702</v>
      </c>
      <c r="BS16" s="109">
        <v>0</v>
      </c>
      <c r="BT16" s="109">
        <v>297.60000000000008</v>
      </c>
      <c r="BU16" s="107"/>
      <c r="BV16" s="111">
        <v>0</v>
      </c>
      <c r="BW16" s="98">
        <v>0</v>
      </c>
      <c r="BX16" s="113"/>
      <c r="BY16" s="113">
        <v>227</v>
      </c>
      <c r="BZ16" s="114">
        <v>227</v>
      </c>
      <c r="CA16" s="114">
        <v>84</v>
      </c>
      <c r="CB16" s="114">
        <v>23</v>
      </c>
      <c r="CC16" s="99">
        <v>334</v>
      </c>
      <c r="CD16" s="115">
        <v>6</v>
      </c>
      <c r="CE16" s="116">
        <v>7</v>
      </c>
      <c r="CF16" s="117">
        <v>0</v>
      </c>
      <c r="CG16" s="118" t="s">
        <v>39</v>
      </c>
      <c r="CH16" s="117">
        <v>0</v>
      </c>
      <c r="CI16" s="118" t="s">
        <v>39</v>
      </c>
      <c r="CJ16" s="117">
        <v>0</v>
      </c>
      <c r="CK16" s="118" t="s">
        <v>39</v>
      </c>
      <c r="CL16" s="119"/>
      <c r="CM16" s="120">
        <v>9</v>
      </c>
      <c r="CN16" s="121">
        <v>9</v>
      </c>
      <c r="CO16" s="120">
        <v>0</v>
      </c>
      <c r="CP16" s="121">
        <v>26940</v>
      </c>
      <c r="CQ16" s="121">
        <v>13500</v>
      </c>
      <c r="CR16" s="100">
        <v>130</v>
      </c>
      <c r="CS16" s="121">
        <v>3350</v>
      </c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9</v>
      </c>
      <c r="B17" s="442">
        <v>42245.675000000003</v>
      </c>
      <c r="C17" s="453"/>
      <c r="D17" s="84"/>
      <c r="E17" s="23"/>
      <c r="F17" s="15">
        <v>3.2</v>
      </c>
      <c r="G17" s="213"/>
      <c r="H17" s="27">
        <f t="shared" si="16"/>
        <v>0</v>
      </c>
      <c r="I17" s="216" t="str">
        <f t="shared" si="17"/>
        <v/>
      </c>
      <c r="J17" s="29" t="str">
        <f ca="1">IF($J$5&gt;=B17,"N/A",SUM(INDIRECT(ADDRESS(6+(MATCH($J$5,$B$6:$B$59,0)),8)):H17))</f>
        <v>N/A</v>
      </c>
      <c r="K17" s="10">
        <v>0</v>
      </c>
      <c r="L17" s="88"/>
      <c r="M17" s="4">
        <f t="shared" si="18"/>
        <v>0</v>
      </c>
      <c r="N17" s="220" t="str">
        <f t="shared" si="0"/>
        <v/>
      </c>
      <c r="O17" s="30" t="str">
        <f ca="1">IF($O$5&gt;=B17,"N/A",SUM(INDIRECT(ADDRESS(6+(MATCH($O$5,$B$6:$B$59,0)),13)):M17))</f>
        <v>N/A</v>
      </c>
      <c r="P17" s="175">
        <f t="shared" si="19"/>
        <v>1</v>
      </c>
      <c r="Q17" s="175" t="e">
        <f t="shared" si="20"/>
        <v>#VALUE!</v>
      </c>
      <c r="R17" s="175">
        <f t="shared" si="21"/>
        <v>4.6115900000000001E-2</v>
      </c>
      <c r="S17" s="70" t="str">
        <f t="shared" si="22"/>
        <v>SBE</v>
      </c>
      <c r="T17" s="241">
        <f t="shared" si="23"/>
        <v>42245.675000000003</v>
      </c>
      <c r="U17" s="157">
        <f t="shared" si="1"/>
        <v>0</v>
      </c>
      <c r="V17" s="158">
        <f t="shared" si="2"/>
        <v>0.6</v>
      </c>
      <c r="W17" s="158">
        <f t="shared" si="3"/>
        <v>0.6</v>
      </c>
      <c r="X17" s="199">
        <f t="shared" si="4"/>
        <v>1.2</v>
      </c>
      <c r="Y17" s="159">
        <f t="shared" si="5"/>
        <v>1700.8</v>
      </c>
      <c r="Z17" s="181"/>
      <c r="AA17" s="148">
        <f t="shared" si="6"/>
        <v>0</v>
      </c>
      <c r="AB17" s="149">
        <f t="shared" si="7"/>
        <v>0</v>
      </c>
      <c r="AC17" s="149">
        <f t="shared" si="8"/>
        <v>0</v>
      </c>
      <c r="AD17" s="203">
        <f t="shared" si="9"/>
        <v>0</v>
      </c>
      <c r="AE17" s="150">
        <f t="shared" si="10"/>
        <v>297.60000000000008</v>
      </c>
      <c r="AF17" s="182"/>
      <c r="AG17" s="139">
        <f t="shared" si="11"/>
        <v>2</v>
      </c>
      <c r="AH17" s="140">
        <f t="shared" si="12"/>
        <v>0</v>
      </c>
      <c r="AI17" s="141">
        <f t="shared" si="13"/>
        <v>332</v>
      </c>
      <c r="AJ17" s="166">
        <f t="shared" si="14"/>
        <v>26940</v>
      </c>
      <c r="AK17" s="167">
        <f t="shared" si="14"/>
        <v>13500</v>
      </c>
      <c r="AL17" s="168">
        <f t="shared" si="15"/>
        <v>3350</v>
      </c>
      <c r="AM17" s="237" t="e">
        <f t="shared" si="24"/>
        <v>#DIV/0!</v>
      </c>
      <c r="AN17" s="70" t="str">
        <f t="shared" si="25"/>
        <v>SBE</v>
      </c>
      <c r="AO17" s="241">
        <f t="shared" si="26"/>
        <v>42245.675000000003</v>
      </c>
      <c r="AP17" s="45" t="s">
        <v>40</v>
      </c>
      <c r="AQ17" s="98">
        <v>1</v>
      </c>
      <c r="AR17" s="99">
        <v>4.6115900000000001E-2</v>
      </c>
      <c r="AS17" s="99">
        <v>0.23057949999999999</v>
      </c>
      <c r="AT17" s="100" t="s">
        <v>39</v>
      </c>
      <c r="AU17" s="101" t="e">
        <v>#VALUE!</v>
      </c>
      <c r="AV17" s="100" t="s">
        <v>39</v>
      </c>
      <c r="AW17" s="101" t="e">
        <v>#VALUE!</v>
      </c>
      <c r="AX17" s="101" t="e">
        <v>#VALUE!</v>
      </c>
      <c r="AY17" s="99" t="e">
        <v>#VALUE!</v>
      </c>
      <c r="AZ17" s="102"/>
      <c r="BA17" s="102"/>
      <c r="BB17" s="103">
        <v>-0.20240000000000025</v>
      </c>
      <c r="BC17" s="104">
        <v>0</v>
      </c>
      <c r="BD17" s="98">
        <v>0</v>
      </c>
      <c r="BE17" s="105">
        <v>0.72680000000000022</v>
      </c>
      <c r="BF17" s="104">
        <v>0.6</v>
      </c>
      <c r="BG17" s="115">
        <v>0</v>
      </c>
      <c r="BH17" s="104">
        <v>0</v>
      </c>
      <c r="BI17" s="98">
        <v>0</v>
      </c>
      <c r="BJ17" s="105">
        <v>0.59629999999999994</v>
      </c>
      <c r="BK17" s="104">
        <v>0.6</v>
      </c>
      <c r="BL17" s="104">
        <v>0</v>
      </c>
      <c r="BM17" s="107"/>
      <c r="BN17" s="108">
        <v>1.2</v>
      </c>
      <c r="BO17" s="108">
        <v>0</v>
      </c>
      <c r="BP17" s="109">
        <v>0</v>
      </c>
      <c r="BQ17" s="110"/>
      <c r="BR17" s="108">
        <v>1700.8</v>
      </c>
      <c r="BS17" s="109">
        <v>0</v>
      </c>
      <c r="BT17" s="109">
        <v>297.60000000000008</v>
      </c>
      <c r="BU17" s="107"/>
      <c r="BV17" s="111">
        <v>0</v>
      </c>
      <c r="BW17" s="98">
        <v>0</v>
      </c>
      <c r="BX17" s="113"/>
      <c r="BY17" s="113">
        <v>225</v>
      </c>
      <c r="BZ17" s="114">
        <v>225</v>
      </c>
      <c r="CA17" s="114">
        <v>84</v>
      </c>
      <c r="CB17" s="114">
        <v>23</v>
      </c>
      <c r="CC17" s="99">
        <v>332</v>
      </c>
      <c r="CD17" s="115">
        <v>2</v>
      </c>
      <c r="CE17" s="116">
        <v>2</v>
      </c>
      <c r="CF17" s="117">
        <v>0</v>
      </c>
      <c r="CG17" s="118" t="s">
        <v>39</v>
      </c>
      <c r="CH17" s="117">
        <v>0</v>
      </c>
      <c r="CI17" s="118" t="s">
        <v>39</v>
      </c>
      <c r="CJ17" s="117">
        <v>0</v>
      </c>
      <c r="CK17" s="118" t="s">
        <v>39</v>
      </c>
      <c r="CL17" s="119"/>
      <c r="CM17" s="120">
        <v>0</v>
      </c>
      <c r="CN17" s="121">
        <v>0</v>
      </c>
      <c r="CO17" s="120">
        <v>0</v>
      </c>
      <c r="CP17" s="121">
        <v>26940</v>
      </c>
      <c r="CQ17" s="121">
        <v>13500</v>
      </c>
      <c r="CR17" s="100"/>
      <c r="CS17" s="121">
        <v>3350</v>
      </c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27</v>
      </c>
      <c r="B18" s="442">
        <v>42245.729166666664</v>
      </c>
      <c r="C18" s="453"/>
      <c r="D18" s="84"/>
      <c r="E18" s="23">
        <v>1.1000000000000001</v>
      </c>
      <c r="F18" s="15">
        <v>10.7</v>
      </c>
      <c r="G18" s="213"/>
      <c r="H18" s="27">
        <f t="shared" si="16"/>
        <v>7.4999999999999991</v>
      </c>
      <c r="I18" s="216">
        <f t="shared" si="17"/>
        <v>6.8181818181818166</v>
      </c>
      <c r="J18" s="29" t="str">
        <f ca="1">IF($J$5&gt;=B18,"N/A",SUM(INDIRECT(ADDRESS(6+(MATCH($J$5,$B$6:$B$59,0)),8)):H18))</f>
        <v>N/A</v>
      </c>
      <c r="K18" s="10">
        <v>1134</v>
      </c>
      <c r="L18" s="88">
        <v>1141</v>
      </c>
      <c r="M18" s="4">
        <f t="shared" si="18"/>
        <v>7</v>
      </c>
      <c r="N18" s="220">
        <f t="shared" si="0"/>
        <v>6.3636363636363633</v>
      </c>
      <c r="O18" s="30" t="str">
        <f ca="1">IF($O$5&gt;=B18,"N/A",SUM(INDIRECT(ADDRESS(6+(MATCH($O$5,$B$6:$B$59,0)),13)):M18))</f>
        <v>N/A</v>
      </c>
      <c r="P18" s="175" t="str">
        <f t="shared" si="19"/>
        <v/>
      </c>
      <c r="Q18" s="175">
        <f t="shared" si="20"/>
        <v>21.519011638237277</v>
      </c>
      <c r="R18" s="175">
        <f t="shared" si="21"/>
        <v>8.9193576000000014</v>
      </c>
      <c r="S18" s="70" t="str">
        <f t="shared" si="22"/>
        <v>BOSP</v>
      </c>
      <c r="T18" s="241">
        <f t="shared" si="23"/>
        <v>42245.729166666664</v>
      </c>
      <c r="U18" s="157">
        <f t="shared" si="1"/>
        <v>0.5</v>
      </c>
      <c r="V18" s="158">
        <f t="shared" si="2"/>
        <v>0.3</v>
      </c>
      <c r="W18" s="158">
        <f t="shared" si="3"/>
        <v>0.2</v>
      </c>
      <c r="X18" s="199">
        <f t="shared" si="4"/>
        <v>1</v>
      </c>
      <c r="Y18" s="159">
        <f t="shared" si="5"/>
        <v>1699.8</v>
      </c>
      <c r="Z18" s="181"/>
      <c r="AA18" s="148">
        <f t="shared" si="6"/>
        <v>0</v>
      </c>
      <c r="AB18" s="149">
        <f t="shared" si="7"/>
        <v>0</v>
      </c>
      <c r="AC18" s="149">
        <f t="shared" si="8"/>
        <v>0</v>
      </c>
      <c r="AD18" s="203">
        <f t="shared" si="9"/>
        <v>0</v>
      </c>
      <c r="AE18" s="150">
        <f t="shared" si="10"/>
        <v>297.60000000000008</v>
      </c>
      <c r="AF18" s="182"/>
      <c r="AG18" s="139">
        <f t="shared" si="11"/>
        <v>0</v>
      </c>
      <c r="AH18" s="140">
        <f t="shared" si="12"/>
        <v>0</v>
      </c>
      <c r="AI18" s="141">
        <f t="shared" si="13"/>
        <v>332</v>
      </c>
      <c r="AJ18" s="166">
        <f t="shared" si="14"/>
        <v>26926</v>
      </c>
      <c r="AK18" s="167">
        <f t="shared" si="14"/>
        <v>13500</v>
      </c>
      <c r="AL18" s="168">
        <f t="shared" si="15"/>
        <v>3350</v>
      </c>
      <c r="AM18" s="237">
        <f t="shared" si="24"/>
        <v>0.18924768000000033</v>
      </c>
      <c r="AN18" s="70" t="str">
        <f t="shared" si="25"/>
        <v>BOSP</v>
      </c>
      <c r="AO18" s="241">
        <f t="shared" si="26"/>
        <v>42245.729166666664</v>
      </c>
      <c r="AP18" s="45" t="s">
        <v>40</v>
      </c>
      <c r="AQ18" s="98"/>
      <c r="AR18" s="99">
        <v>8.9193576000000014</v>
      </c>
      <c r="AS18" s="99">
        <v>6.8610443076923087</v>
      </c>
      <c r="AT18" s="100">
        <v>7</v>
      </c>
      <c r="AU18" s="101">
        <v>5.3846153846153841</v>
      </c>
      <c r="AV18" s="100">
        <v>7</v>
      </c>
      <c r="AW18" s="101">
        <v>5.3846153846153841</v>
      </c>
      <c r="AX18" s="101">
        <v>21.519011638237277</v>
      </c>
      <c r="AY18" s="99">
        <v>21.519011638237277</v>
      </c>
      <c r="AZ18" s="102"/>
      <c r="BA18" s="102"/>
      <c r="BB18" s="103">
        <v>0.45079999999999992</v>
      </c>
      <c r="BC18" s="104">
        <v>0.5</v>
      </c>
      <c r="BD18" s="98">
        <v>0</v>
      </c>
      <c r="BE18" s="105">
        <v>0.28520000000000006</v>
      </c>
      <c r="BF18" s="104">
        <v>0.3</v>
      </c>
      <c r="BG18" s="115">
        <v>0</v>
      </c>
      <c r="BH18" s="104">
        <v>0</v>
      </c>
      <c r="BI18" s="98">
        <v>0</v>
      </c>
      <c r="BJ18" s="105">
        <v>0.15130000000000002</v>
      </c>
      <c r="BK18" s="104">
        <v>0.2</v>
      </c>
      <c r="BL18" s="104">
        <v>0</v>
      </c>
      <c r="BM18" s="107"/>
      <c r="BN18" s="108">
        <v>1</v>
      </c>
      <c r="BO18" s="108">
        <v>0</v>
      </c>
      <c r="BP18" s="109">
        <v>0</v>
      </c>
      <c r="BQ18" s="110"/>
      <c r="BR18" s="108">
        <v>1699.8</v>
      </c>
      <c r="BS18" s="109">
        <v>0</v>
      </c>
      <c r="BT18" s="109">
        <v>297.60000000000008</v>
      </c>
      <c r="BU18" s="107"/>
      <c r="BV18" s="111">
        <v>0</v>
      </c>
      <c r="BW18" s="98">
        <v>0</v>
      </c>
      <c r="BX18" s="113"/>
      <c r="BY18" s="113">
        <v>225</v>
      </c>
      <c r="BZ18" s="114">
        <v>225</v>
      </c>
      <c r="CA18" s="114">
        <v>84</v>
      </c>
      <c r="CB18" s="114">
        <v>23</v>
      </c>
      <c r="CC18" s="99">
        <v>332</v>
      </c>
      <c r="CD18" s="115">
        <v>0</v>
      </c>
      <c r="CE18" s="116">
        <v>0</v>
      </c>
      <c r="CF18" s="117">
        <v>0</v>
      </c>
      <c r="CG18" s="118" t="s">
        <v>39</v>
      </c>
      <c r="CH18" s="117">
        <v>0</v>
      </c>
      <c r="CI18" s="118" t="s">
        <v>39</v>
      </c>
      <c r="CJ18" s="117">
        <v>0</v>
      </c>
      <c r="CK18" s="118" t="s">
        <v>39</v>
      </c>
      <c r="CL18" s="119"/>
      <c r="CM18" s="120">
        <v>14</v>
      </c>
      <c r="CN18" s="121">
        <v>14</v>
      </c>
      <c r="CO18" s="120">
        <v>0</v>
      </c>
      <c r="CP18" s="121">
        <v>26926</v>
      </c>
      <c r="CQ18" s="121">
        <v>13500</v>
      </c>
      <c r="CR18" s="100"/>
      <c r="CS18" s="121">
        <v>3350</v>
      </c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11</v>
      </c>
      <c r="B19" s="442">
        <v>42246.5</v>
      </c>
      <c r="C19" s="453"/>
      <c r="D19" s="84"/>
      <c r="E19" s="23">
        <v>19.5</v>
      </c>
      <c r="F19" s="15">
        <v>226.3</v>
      </c>
      <c r="G19" s="213"/>
      <c r="H19" s="27">
        <f t="shared" si="16"/>
        <v>215.60000000000002</v>
      </c>
      <c r="I19" s="216">
        <f t="shared" si="17"/>
        <v>11.056410256410258</v>
      </c>
      <c r="J19" s="29" t="str">
        <f ca="1">IF($J$5&gt;=B19,"N/A",SUM(INDIRECT(ADDRESS(6+(MATCH($J$5,$B$6:$B$59,0)),8)):H19))</f>
        <v>N/A</v>
      </c>
      <c r="K19" s="10">
        <v>910.2</v>
      </c>
      <c r="L19" s="88"/>
      <c r="M19" s="4">
        <f t="shared" si="18"/>
        <v>223.79999999999995</v>
      </c>
      <c r="N19" s="220">
        <f t="shared" si="0"/>
        <v>11.476923076923075</v>
      </c>
      <c r="O19" s="30" t="str">
        <f ca="1">IF($O$5&gt;=B19,"N/A",SUM(INDIRECT(ADDRESS(6+(MATCH($O$5,$B$6:$B$59,0)),13)):M19))</f>
        <v>N/A</v>
      </c>
      <c r="P19" s="175">
        <f t="shared" si="19"/>
        <v>76</v>
      </c>
      <c r="Q19" s="175">
        <f t="shared" si="20"/>
        <v>7.2315595826797106</v>
      </c>
      <c r="R19" s="175">
        <f t="shared" si="21"/>
        <v>241.24583640000003</v>
      </c>
      <c r="S19" s="70" t="str">
        <f t="shared" si="22"/>
        <v>NOON</v>
      </c>
      <c r="T19" s="241">
        <f t="shared" si="23"/>
        <v>42246.5</v>
      </c>
      <c r="U19" s="157">
        <f t="shared" si="1"/>
        <v>23</v>
      </c>
      <c r="V19" s="158">
        <f t="shared" si="2"/>
        <v>2.4</v>
      </c>
      <c r="W19" s="158">
        <f t="shared" si="3"/>
        <v>0</v>
      </c>
      <c r="X19" s="199">
        <f t="shared" si="4"/>
        <v>25.4</v>
      </c>
      <c r="Y19" s="159">
        <f t="shared" si="5"/>
        <v>1674.3999999999999</v>
      </c>
      <c r="Z19" s="181"/>
      <c r="AA19" s="148">
        <f t="shared" si="6"/>
        <v>0</v>
      </c>
      <c r="AB19" s="149">
        <f t="shared" si="7"/>
        <v>0</v>
      </c>
      <c r="AC19" s="149">
        <f t="shared" si="8"/>
        <v>0</v>
      </c>
      <c r="AD19" s="203">
        <f t="shared" si="9"/>
        <v>0</v>
      </c>
      <c r="AE19" s="150">
        <f t="shared" si="10"/>
        <v>297.60000000000008</v>
      </c>
      <c r="AF19" s="182"/>
      <c r="AG19" s="139">
        <f t="shared" si="11"/>
        <v>10</v>
      </c>
      <c r="AH19" s="140">
        <f t="shared" si="12"/>
        <v>11</v>
      </c>
      <c r="AI19" s="141">
        <f t="shared" si="13"/>
        <v>335</v>
      </c>
      <c r="AJ19" s="166">
        <f t="shared" si="14"/>
        <v>26683</v>
      </c>
      <c r="AK19" s="167">
        <f t="shared" si="14"/>
        <v>13400</v>
      </c>
      <c r="AL19" s="168">
        <f t="shared" si="15"/>
        <v>3300</v>
      </c>
      <c r="AM19" s="237">
        <f t="shared" si="24"/>
        <v>0.11895100371057517</v>
      </c>
      <c r="AN19" s="70" t="str">
        <f t="shared" si="25"/>
        <v>NOON</v>
      </c>
      <c r="AO19" s="241">
        <f t="shared" si="26"/>
        <v>42246.5</v>
      </c>
      <c r="AP19" s="45" t="s">
        <v>40</v>
      </c>
      <c r="AQ19" s="98">
        <v>76</v>
      </c>
      <c r="AR19" s="99">
        <v>241.24583640000003</v>
      </c>
      <c r="AS19" s="99">
        <v>12.371581353846155</v>
      </c>
      <c r="AT19" s="100">
        <v>223.8</v>
      </c>
      <c r="AU19" s="101">
        <v>11.476923076923077</v>
      </c>
      <c r="AV19" s="100">
        <v>223.8</v>
      </c>
      <c r="AW19" s="101">
        <v>11.476923076923077</v>
      </c>
      <c r="AX19" s="101">
        <v>7.2315595826797106</v>
      </c>
      <c r="AY19" s="99">
        <v>7.2315595826797106</v>
      </c>
      <c r="AZ19" s="102"/>
      <c r="BA19" s="102"/>
      <c r="BB19" s="103">
        <v>22.125999999999998</v>
      </c>
      <c r="BC19" s="104">
        <v>23</v>
      </c>
      <c r="BD19" s="98">
        <v>0</v>
      </c>
      <c r="BE19" s="105">
        <v>2.8796000000000022</v>
      </c>
      <c r="BF19" s="104">
        <v>2.4</v>
      </c>
      <c r="BG19" s="115">
        <v>0</v>
      </c>
      <c r="BH19" s="104">
        <v>0</v>
      </c>
      <c r="BI19" s="98">
        <v>0</v>
      </c>
      <c r="BJ19" s="105">
        <v>0</v>
      </c>
      <c r="BK19" s="104">
        <v>0</v>
      </c>
      <c r="BL19" s="104">
        <v>0</v>
      </c>
      <c r="BM19" s="107"/>
      <c r="BN19" s="108">
        <v>25.4</v>
      </c>
      <c r="BO19" s="108">
        <v>0</v>
      </c>
      <c r="BP19" s="109">
        <v>0</v>
      </c>
      <c r="BQ19" s="110"/>
      <c r="BR19" s="108">
        <v>1674.3999999999999</v>
      </c>
      <c r="BS19" s="109">
        <v>0</v>
      </c>
      <c r="BT19" s="109">
        <v>297.60000000000008</v>
      </c>
      <c r="BU19" s="107"/>
      <c r="BV19" s="111">
        <v>9</v>
      </c>
      <c r="BW19" s="98">
        <v>11</v>
      </c>
      <c r="BX19" s="113"/>
      <c r="BY19" s="113">
        <v>217</v>
      </c>
      <c r="BZ19" s="114">
        <v>217</v>
      </c>
      <c r="CA19" s="114">
        <v>84</v>
      </c>
      <c r="CB19" s="114">
        <v>34</v>
      </c>
      <c r="CC19" s="99">
        <v>335</v>
      </c>
      <c r="CD19" s="115">
        <v>8</v>
      </c>
      <c r="CE19" s="116">
        <v>10</v>
      </c>
      <c r="CF19" s="117">
        <v>0</v>
      </c>
      <c r="CG19" s="118" t="s">
        <v>39</v>
      </c>
      <c r="CH19" s="117">
        <v>0</v>
      </c>
      <c r="CI19" s="118" t="s">
        <v>39</v>
      </c>
      <c r="CJ19" s="117">
        <v>0</v>
      </c>
      <c r="CK19" s="118" t="s">
        <v>39</v>
      </c>
      <c r="CL19" s="119"/>
      <c r="CM19" s="120">
        <v>243</v>
      </c>
      <c r="CN19" s="121">
        <v>243</v>
      </c>
      <c r="CO19" s="120">
        <v>0</v>
      </c>
      <c r="CP19" s="121">
        <v>26683</v>
      </c>
      <c r="CQ19" s="121">
        <v>13400</v>
      </c>
      <c r="CR19" s="100">
        <v>100</v>
      </c>
      <c r="CS19" s="121">
        <v>3300</v>
      </c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11</v>
      </c>
      <c r="B20" s="442">
        <v>42247.5</v>
      </c>
      <c r="C20" s="453"/>
      <c r="D20" s="84"/>
      <c r="E20" s="23">
        <v>24</v>
      </c>
      <c r="F20" s="15">
        <v>513</v>
      </c>
      <c r="G20" s="213"/>
      <c r="H20" s="27">
        <f t="shared" si="16"/>
        <v>286.7</v>
      </c>
      <c r="I20" s="216">
        <f t="shared" si="17"/>
        <v>11.945833333333333</v>
      </c>
      <c r="J20" s="29" t="str">
        <f ca="1">IF($J$5&gt;=B20,"N/A",SUM(INDIRECT(ADDRESS(6+(MATCH($J$5,$B$6:$B$59,0)),8)):H20))</f>
        <v>N/A</v>
      </c>
      <c r="K20" s="10">
        <v>614</v>
      </c>
      <c r="L20" s="88"/>
      <c r="M20" s="4">
        <f t="shared" si="18"/>
        <v>296.20000000000005</v>
      </c>
      <c r="N20" s="220">
        <f t="shared" si="0"/>
        <v>12.341666666666669</v>
      </c>
      <c r="O20" s="30" t="str">
        <f ca="1">IF($O$5&gt;=B20,"N/A",SUM(INDIRECT(ADDRESS(6+(MATCH($O$5,$B$6:$B$59,0)),13)):M20))</f>
        <v>N/A</v>
      </c>
      <c r="P20" s="175">
        <f t="shared" si="19"/>
        <v>79</v>
      </c>
      <c r="Q20" s="175">
        <f t="shared" si="20"/>
        <v>4.021354723640151</v>
      </c>
      <c r="R20" s="175">
        <f t="shared" si="21"/>
        <v>308.61031550000001</v>
      </c>
      <c r="S20" s="70" t="str">
        <f t="shared" si="22"/>
        <v>NOON</v>
      </c>
      <c r="T20" s="241">
        <f t="shared" si="23"/>
        <v>42247.5</v>
      </c>
      <c r="U20" s="157">
        <f t="shared" si="1"/>
        <v>31.400000000000002</v>
      </c>
      <c r="V20" s="158">
        <f t="shared" si="2"/>
        <v>2.8</v>
      </c>
      <c r="W20" s="158">
        <f t="shared" si="3"/>
        <v>1</v>
      </c>
      <c r="X20" s="199">
        <f t="shared" si="4"/>
        <v>35.199999999999996</v>
      </c>
      <c r="Y20" s="159">
        <f t="shared" si="5"/>
        <v>1639.1999999999998</v>
      </c>
      <c r="Z20" s="181"/>
      <c r="AA20" s="148">
        <f t="shared" si="6"/>
        <v>0</v>
      </c>
      <c r="AB20" s="149">
        <f t="shared" si="7"/>
        <v>0</v>
      </c>
      <c r="AC20" s="149">
        <f t="shared" si="8"/>
        <v>0</v>
      </c>
      <c r="AD20" s="203">
        <f t="shared" si="9"/>
        <v>0</v>
      </c>
      <c r="AE20" s="150">
        <f t="shared" si="10"/>
        <v>297.60000000000008</v>
      </c>
      <c r="AF20" s="182"/>
      <c r="AG20" s="139">
        <f t="shared" si="11"/>
        <v>11</v>
      </c>
      <c r="AH20" s="140">
        <f t="shared" si="12"/>
        <v>14</v>
      </c>
      <c r="AI20" s="141">
        <f t="shared" si="13"/>
        <v>338</v>
      </c>
      <c r="AJ20" s="166">
        <f t="shared" si="14"/>
        <v>26365</v>
      </c>
      <c r="AK20" s="167">
        <f t="shared" si="14"/>
        <v>13300</v>
      </c>
      <c r="AL20" s="168">
        <f t="shared" si="15"/>
        <v>3300</v>
      </c>
      <c r="AM20" s="237">
        <f t="shared" si="24"/>
        <v>7.6422446808510722E-2</v>
      </c>
      <c r="AN20" s="70" t="str">
        <f t="shared" si="25"/>
        <v>NOON</v>
      </c>
      <c r="AO20" s="241">
        <f t="shared" si="26"/>
        <v>42247.5</v>
      </c>
      <c r="AP20" s="45" t="s">
        <v>40</v>
      </c>
      <c r="AQ20" s="98">
        <v>79</v>
      </c>
      <c r="AR20" s="99">
        <v>308.61031550000001</v>
      </c>
      <c r="AS20" s="99">
        <v>12.858763145833334</v>
      </c>
      <c r="AT20" s="100">
        <v>296.2</v>
      </c>
      <c r="AU20" s="101">
        <v>12.341666666666667</v>
      </c>
      <c r="AV20" s="100">
        <v>296.2</v>
      </c>
      <c r="AW20" s="101">
        <v>12.341666666666667</v>
      </c>
      <c r="AX20" s="101">
        <v>4.021354723640151</v>
      </c>
      <c r="AY20" s="99">
        <v>4.021354723640151</v>
      </c>
      <c r="AZ20" s="102"/>
      <c r="BA20" s="102"/>
      <c r="BB20" s="103">
        <v>29.476800000000004</v>
      </c>
      <c r="BC20" s="104">
        <f>31.1+0.3</f>
        <v>31.400000000000002</v>
      </c>
      <c r="BD20" s="98">
        <v>0</v>
      </c>
      <c r="BE20" s="105">
        <v>3.9284000000000017</v>
      </c>
      <c r="BF20" s="104">
        <v>2.8</v>
      </c>
      <c r="BG20" s="115">
        <v>0</v>
      </c>
      <c r="BH20" s="104">
        <v>0</v>
      </c>
      <c r="BI20" s="98">
        <v>0</v>
      </c>
      <c r="BJ20" s="105">
        <v>1.0235000000000001</v>
      </c>
      <c r="BK20" s="104">
        <v>1</v>
      </c>
      <c r="BL20" s="104">
        <v>0</v>
      </c>
      <c r="BM20" s="107"/>
      <c r="BN20" s="108">
        <f>34.9+0.3</f>
        <v>35.199999999999996</v>
      </c>
      <c r="BO20" s="108">
        <v>0</v>
      </c>
      <c r="BP20" s="109">
        <v>0</v>
      </c>
      <c r="BQ20" s="110"/>
      <c r="BR20" s="108">
        <v>1639.1999999999998</v>
      </c>
      <c r="BS20" s="109">
        <v>0</v>
      </c>
      <c r="BT20" s="109">
        <v>297.60000000000008</v>
      </c>
      <c r="BU20" s="107"/>
      <c r="BV20" s="111">
        <v>13</v>
      </c>
      <c r="BW20" s="98">
        <v>14</v>
      </c>
      <c r="BX20" s="113"/>
      <c r="BY20" s="113">
        <v>206</v>
      </c>
      <c r="BZ20" s="114">
        <v>206</v>
      </c>
      <c r="CA20" s="114">
        <v>84</v>
      </c>
      <c r="CB20" s="114">
        <v>48</v>
      </c>
      <c r="CC20" s="99">
        <v>338</v>
      </c>
      <c r="CD20" s="115">
        <v>11</v>
      </c>
      <c r="CE20" s="116">
        <v>11</v>
      </c>
      <c r="CF20" s="117">
        <v>0</v>
      </c>
      <c r="CG20" s="118" t="s">
        <v>39</v>
      </c>
      <c r="CH20" s="117">
        <v>0</v>
      </c>
      <c r="CI20" s="118" t="s">
        <v>39</v>
      </c>
      <c r="CJ20" s="117">
        <v>0</v>
      </c>
      <c r="CK20" s="118" t="s">
        <v>39</v>
      </c>
      <c r="CL20" s="119"/>
      <c r="CM20" s="120">
        <v>318</v>
      </c>
      <c r="CN20" s="121">
        <v>318</v>
      </c>
      <c r="CO20" s="120">
        <v>0</v>
      </c>
      <c r="CP20" s="121">
        <v>26365</v>
      </c>
      <c r="CQ20" s="121">
        <v>13300</v>
      </c>
      <c r="CR20" s="100">
        <v>100</v>
      </c>
      <c r="CS20" s="121">
        <v>3300</v>
      </c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11</v>
      </c>
      <c r="B21" s="442">
        <v>42248.5</v>
      </c>
      <c r="C21" s="453"/>
      <c r="D21" s="84"/>
      <c r="E21" s="23">
        <v>25</v>
      </c>
      <c r="F21" s="15">
        <v>818.5</v>
      </c>
      <c r="G21" s="213"/>
      <c r="H21" s="27">
        <f t="shared" si="16"/>
        <v>305.5</v>
      </c>
      <c r="I21" s="216">
        <f t="shared" si="17"/>
        <v>12.22</v>
      </c>
      <c r="J21" s="29" t="str">
        <f ca="1">IF($J$5&gt;=B21,"N/A",SUM(INDIRECT(ADDRESS(6+(MATCH($J$5,$B$6:$B$59,0)),8)):H21))</f>
        <v>N/A</v>
      </c>
      <c r="K21" s="10">
        <v>310</v>
      </c>
      <c r="L21" s="88"/>
      <c r="M21" s="4">
        <f t="shared" si="18"/>
        <v>304</v>
      </c>
      <c r="N21" s="220">
        <f t="shared" si="0"/>
        <v>12.16</v>
      </c>
      <c r="O21" s="30" t="str">
        <f ca="1">IF($O$5&gt;=B21,"N/A",SUM(INDIRECT(ADDRESS(6+(MATCH($O$5,$B$6:$B$59,0)),13)):M21))</f>
        <v>N/A</v>
      </c>
      <c r="P21" s="175">
        <f t="shared" si="19"/>
        <v>81.099999999999994</v>
      </c>
      <c r="Q21" s="175">
        <f t="shared" si="20"/>
        <v>7.8704446541738173</v>
      </c>
      <c r="R21" s="175">
        <f t="shared" si="21"/>
        <v>329.97011530000003</v>
      </c>
      <c r="S21" s="70" t="str">
        <f t="shared" si="22"/>
        <v>NOON</v>
      </c>
      <c r="T21" s="241">
        <f t="shared" si="23"/>
        <v>42248.5</v>
      </c>
      <c r="U21" s="157">
        <f t="shared" si="1"/>
        <v>34.5</v>
      </c>
      <c r="V21" s="158">
        <f t="shared" si="2"/>
        <v>3</v>
      </c>
      <c r="W21" s="158">
        <f t="shared" si="3"/>
        <v>0</v>
      </c>
      <c r="X21" s="199">
        <f t="shared" si="4"/>
        <v>37.5</v>
      </c>
      <c r="Y21" s="159">
        <f t="shared" si="5"/>
        <v>1601.6999999999998</v>
      </c>
      <c r="Z21" s="181"/>
      <c r="AA21" s="148">
        <f t="shared" si="6"/>
        <v>0</v>
      </c>
      <c r="AB21" s="149">
        <f t="shared" si="7"/>
        <v>0</v>
      </c>
      <c r="AC21" s="149">
        <f t="shared" si="8"/>
        <v>0</v>
      </c>
      <c r="AD21" s="203">
        <f t="shared" si="9"/>
        <v>0</v>
      </c>
      <c r="AE21" s="150">
        <f t="shared" si="10"/>
        <v>297.60000000000008</v>
      </c>
      <c r="AF21" s="182"/>
      <c r="AG21" s="139">
        <f t="shared" si="11"/>
        <v>11</v>
      </c>
      <c r="AH21" s="140">
        <f t="shared" si="12"/>
        <v>13</v>
      </c>
      <c r="AI21" s="141">
        <f t="shared" si="13"/>
        <v>338</v>
      </c>
      <c r="AJ21" s="166">
        <f t="shared" si="14"/>
        <v>26026</v>
      </c>
      <c r="AK21" s="167">
        <f t="shared" si="14"/>
        <v>12800</v>
      </c>
      <c r="AL21" s="168">
        <f t="shared" si="15"/>
        <v>3250</v>
      </c>
      <c r="AM21" s="237">
        <f t="shared" ref="AM21:AM59" si="27">((R21-H21)/R21)</f>
        <v>7.4158580324016482E-2</v>
      </c>
      <c r="AN21" s="70" t="str">
        <f t="shared" si="25"/>
        <v>NOON</v>
      </c>
      <c r="AO21" s="241">
        <f t="shared" si="26"/>
        <v>42248.5</v>
      </c>
      <c r="AP21" s="45" t="s">
        <v>40</v>
      </c>
      <c r="AQ21" s="98">
        <v>81.099999999999994</v>
      </c>
      <c r="AR21" s="99">
        <v>329.97011530000003</v>
      </c>
      <c r="AS21" s="99">
        <v>13.198804612000002</v>
      </c>
      <c r="AT21" s="100">
        <v>304</v>
      </c>
      <c r="AU21" s="101">
        <v>12.16</v>
      </c>
      <c r="AV21" s="100">
        <v>304</v>
      </c>
      <c r="AW21" s="101">
        <v>12.16</v>
      </c>
      <c r="AX21" s="101">
        <v>7.8704446541738173</v>
      </c>
      <c r="AY21" s="99">
        <v>7.8704446541738173</v>
      </c>
      <c r="AZ21" s="102"/>
      <c r="BA21" s="102"/>
      <c r="BB21" s="103">
        <v>33.120000000000005</v>
      </c>
      <c r="BC21" s="104">
        <v>34.5</v>
      </c>
      <c r="BD21" s="98">
        <v>0</v>
      </c>
      <c r="BE21" s="105">
        <v>4.0203999999999978</v>
      </c>
      <c r="BF21" s="104">
        <v>3</v>
      </c>
      <c r="BG21" s="115">
        <v>0</v>
      </c>
      <c r="BH21" s="104">
        <v>0</v>
      </c>
      <c r="BI21" s="98">
        <v>0</v>
      </c>
      <c r="BJ21" s="105">
        <v>0</v>
      </c>
      <c r="BK21" s="104">
        <v>0</v>
      </c>
      <c r="BL21" s="104">
        <v>0</v>
      </c>
      <c r="BM21" s="107"/>
      <c r="BN21" s="108">
        <v>37.5</v>
      </c>
      <c r="BO21" s="108">
        <v>0</v>
      </c>
      <c r="BP21" s="109">
        <v>0</v>
      </c>
      <c r="BQ21" s="110"/>
      <c r="BR21" s="108">
        <v>1601.6999999999998</v>
      </c>
      <c r="BS21" s="109">
        <v>0</v>
      </c>
      <c r="BT21" s="109">
        <v>297.60000000000008</v>
      </c>
      <c r="BU21" s="107"/>
      <c r="BV21" s="111">
        <v>13</v>
      </c>
      <c r="BW21" s="98">
        <v>13</v>
      </c>
      <c r="BX21" s="113"/>
      <c r="BY21" s="113">
        <v>194</v>
      </c>
      <c r="BZ21" s="114">
        <v>194</v>
      </c>
      <c r="CA21" s="114">
        <v>84</v>
      </c>
      <c r="CB21" s="114">
        <v>60</v>
      </c>
      <c r="CC21" s="99">
        <v>338</v>
      </c>
      <c r="CD21" s="115">
        <v>13</v>
      </c>
      <c r="CE21" s="116">
        <v>11</v>
      </c>
      <c r="CF21" s="117">
        <v>0</v>
      </c>
      <c r="CG21" s="118" t="s">
        <v>39</v>
      </c>
      <c r="CH21" s="117">
        <v>0</v>
      </c>
      <c r="CI21" s="118" t="s">
        <v>39</v>
      </c>
      <c r="CJ21" s="117">
        <v>0</v>
      </c>
      <c r="CK21" s="118" t="s">
        <v>39</v>
      </c>
      <c r="CL21" s="119"/>
      <c r="CM21" s="120">
        <v>339</v>
      </c>
      <c r="CN21" s="121">
        <v>339</v>
      </c>
      <c r="CO21" s="120">
        <v>0</v>
      </c>
      <c r="CP21" s="121">
        <v>26026</v>
      </c>
      <c r="CQ21" s="121">
        <v>12800</v>
      </c>
      <c r="CR21" s="100">
        <v>500</v>
      </c>
      <c r="CS21" s="121">
        <v>3250</v>
      </c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11</v>
      </c>
      <c r="B22" s="442">
        <v>42249.5</v>
      </c>
      <c r="C22" s="453"/>
      <c r="D22" s="84"/>
      <c r="E22" s="23">
        <v>24</v>
      </c>
      <c r="F22" s="15">
        <v>1096.2</v>
      </c>
      <c r="G22" s="213"/>
      <c r="H22" s="27">
        <f t="shared" si="16"/>
        <v>277.70000000000005</v>
      </c>
      <c r="I22" s="216">
        <f t="shared" si="17"/>
        <v>11.570833333333335</v>
      </c>
      <c r="J22" s="29" t="str">
        <f ca="1">IF($J$5&gt;=B22,"N/A",SUM(INDIRECT(ADDRESS(6+(MATCH($J$5,$B$6:$B$59,0)),8)):H22))</f>
        <v>N/A</v>
      </c>
      <c r="K22" s="10">
        <v>28.1</v>
      </c>
      <c r="L22" s="88"/>
      <c r="M22" s="4">
        <f t="shared" si="18"/>
        <v>281.89999999999998</v>
      </c>
      <c r="N22" s="220">
        <f t="shared" si="0"/>
        <v>11.745833333333332</v>
      </c>
      <c r="O22" s="30" t="str">
        <f ca="1">IF($O$5&gt;=B22,"N/A",SUM(INDIRECT(ADDRESS(6+(MATCH($O$5,$B$6:$B$59,0)),13)):M22))</f>
        <v>N/A</v>
      </c>
      <c r="P22" s="175">
        <f t="shared" si="19"/>
        <v>76.8</v>
      </c>
      <c r="Q22" s="175">
        <f t="shared" si="20"/>
        <v>6.1</v>
      </c>
      <c r="R22" s="175">
        <f t="shared" si="21"/>
        <v>300.09515020000003</v>
      </c>
      <c r="S22" s="70" t="str">
        <f t="shared" si="22"/>
        <v>NOON</v>
      </c>
      <c r="T22" s="241">
        <f t="shared" si="23"/>
        <v>42249.5</v>
      </c>
      <c r="U22" s="157">
        <f t="shared" si="1"/>
        <v>29.6</v>
      </c>
      <c r="V22" s="158">
        <f t="shared" si="2"/>
        <v>2.8</v>
      </c>
      <c r="W22" s="158">
        <f t="shared" si="3"/>
        <v>0</v>
      </c>
      <c r="X22" s="199">
        <f t="shared" si="4"/>
        <v>32.4</v>
      </c>
      <c r="Y22" s="159">
        <f t="shared" si="5"/>
        <v>1569.2999999999997</v>
      </c>
      <c r="Z22" s="181"/>
      <c r="AA22" s="148">
        <f t="shared" si="6"/>
        <v>0</v>
      </c>
      <c r="AB22" s="149">
        <f t="shared" si="7"/>
        <v>0</v>
      </c>
      <c r="AC22" s="149">
        <f t="shared" si="8"/>
        <v>0</v>
      </c>
      <c r="AD22" s="203">
        <f t="shared" si="9"/>
        <v>0</v>
      </c>
      <c r="AE22" s="150">
        <f t="shared" si="10"/>
        <v>297.60000000000008</v>
      </c>
      <c r="AF22" s="182"/>
      <c r="AG22" s="139">
        <f t="shared" si="11"/>
        <v>10</v>
      </c>
      <c r="AH22" s="140">
        <f t="shared" si="12"/>
        <v>13</v>
      </c>
      <c r="AI22" s="141">
        <f t="shared" si="13"/>
        <v>341</v>
      </c>
      <c r="AJ22" s="166">
        <f t="shared" si="14"/>
        <v>25714</v>
      </c>
      <c r="AK22" s="167">
        <f t="shared" si="14"/>
        <v>12900</v>
      </c>
      <c r="AL22" s="168">
        <f t="shared" si="15"/>
        <v>3250</v>
      </c>
      <c r="AM22" s="237">
        <f t="shared" si="27"/>
        <v>7.4626831473533051E-2</v>
      </c>
      <c r="AN22" s="70" t="str">
        <f t="shared" si="25"/>
        <v>NOON</v>
      </c>
      <c r="AO22" s="241">
        <f t="shared" si="26"/>
        <v>42249.5</v>
      </c>
      <c r="AP22" s="45" t="s">
        <v>40</v>
      </c>
      <c r="AQ22" s="98">
        <v>76.8</v>
      </c>
      <c r="AR22" s="99">
        <v>300.09515020000003</v>
      </c>
      <c r="AS22" s="99">
        <v>12.503964591666668</v>
      </c>
      <c r="AT22" s="100" t="s">
        <v>39</v>
      </c>
      <c r="AU22" s="101" t="e">
        <v>#VALUE!</v>
      </c>
      <c r="AV22" s="100" t="s">
        <v>39</v>
      </c>
      <c r="AW22" s="101" t="e">
        <v>#VALUE!</v>
      </c>
      <c r="AX22" s="101" t="e">
        <v>#VALUE!</v>
      </c>
      <c r="AY22" s="99">
        <v>6.1</v>
      </c>
      <c r="AZ22" s="102"/>
      <c r="BA22" s="102"/>
      <c r="BB22" s="103">
        <v>28.142799999999998</v>
      </c>
      <c r="BC22" s="104">
        <v>29.6</v>
      </c>
      <c r="BD22" s="98">
        <v>0</v>
      </c>
      <c r="BE22" s="105">
        <v>3.8272000000000008</v>
      </c>
      <c r="BF22" s="104">
        <v>2.8</v>
      </c>
      <c r="BG22" s="115">
        <v>0</v>
      </c>
      <c r="BH22" s="104">
        <v>0</v>
      </c>
      <c r="BI22" s="98">
        <v>0</v>
      </c>
      <c r="BJ22" s="105">
        <v>0</v>
      </c>
      <c r="BK22" s="104">
        <v>0</v>
      </c>
      <c r="BL22" s="104">
        <v>0</v>
      </c>
      <c r="BM22" s="107"/>
      <c r="BN22" s="108">
        <v>32.4</v>
      </c>
      <c r="BO22" s="108">
        <v>0</v>
      </c>
      <c r="BP22" s="109">
        <v>0</v>
      </c>
      <c r="BQ22" s="110"/>
      <c r="BR22" s="108">
        <v>1569.2999999999997</v>
      </c>
      <c r="BS22" s="109">
        <v>0</v>
      </c>
      <c r="BT22" s="109">
        <v>297.60000000000008</v>
      </c>
      <c r="BU22" s="107"/>
      <c r="BV22" s="111">
        <v>12</v>
      </c>
      <c r="BW22" s="98">
        <v>13</v>
      </c>
      <c r="BX22" s="113"/>
      <c r="BY22" s="113">
        <v>196</v>
      </c>
      <c r="BZ22" s="114">
        <v>196</v>
      </c>
      <c r="CA22" s="114">
        <v>84</v>
      </c>
      <c r="CB22" s="114">
        <v>61</v>
      </c>
      <c r="CC22" s="99">
        <v>341</v>
      </c>
      <c r="CD22" s="115">
        <v>10</v>
      </c>
      <c r="CE22" s="116">
        <v>10</v>
      </c>
      <c r="CF22" s="117">
        <v>0</v>
      </c>
      <c r="CG22" s="118" t="s">
        <v>39</v>
      </c>
      <c r="CH22" s="117">
        <v>0</v>
      </c>
      <c r="CI22" s="118" t="s">
        <v>39</v>
      </c>
      <c r="CJ22" s="117">
        <v>0</v>
      </c>
      <c r="CK22" s="118" t="s">
        <v>39</v>
      </c>
      <c r="CL22" s="119"/>
      <c r="CM22" s="120">
        <v>312</v>
      </c>
      <c r="CN22" s="121">
        <v>312</v>
      </c>
      <c r="CO22" s="120">
        <v>0</v>
      </c>
      <c r="CP22" s="121">
        <v>25714</v>
      </c>
      <c r="CQ22" s="121">
        <v>12900</v>
      </c>
      <c r="CR22" s="100">
        <v>200</v>
      </c>
      <c r="CS22" s="121">
        <v>3250</v>
      </c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 t="s">
        <v>97</v>
      </c>
      <c r="B23" s="442">
        <v>42249.583333333336</v>
      </c>
      <c r="C23" s="453"/>
      <c r="D23" s="84"/>
      <c r="E23" s="23">
        <v>2</v>
      </c>
      <c r="F23" s="15">
        <v>1114.7</v>
      </c>
      <c r="G23" s="213"/>
      <c r="H23" s="27">
        <f t="shared" si="16"/>
        <v>18.5</v>
      </c>
      <c r="I23" s="216">
        <f t="shared" si="17"/>
        <v>9.25</v>
      </c>
      <c r="J23" s="29" t="str">
        <f ca="1">IF($J$5&gt;=B23,"N/A",SUM(INDIRECT(ADDRESS(6+(MATCH($J$5,$B$6:$B$59,0)),8)):H23))</f>
        <v>N/A</v>
      </c>
      <c r="K23" s="10">
        <v>10</v>
      </c>
      <c r="L23" s="88"/>
      <c r="M23" s="4">
        <f t="shared" si="18"/>
        <v>18.100000000000001</v>
      </c>
      <c r="N23" s="220">
        <f t="shared" si="0"/>
        <v>9.0500000000000007</v>
      </c>
      <c r="O23" s="30" t="str">
        <f ca="1">IF($O$5&gt;=B23,"N/A",SUM(INDIRECT(ADDRESS(6+(MATCH($O$5,$B$6:$B$59,0)),13)):M23))</f>
        <v>N/A</v>
      </c>
      <c r="P23" s="175">
        <f t="shared" si="19"/>
        <v>67.400000000000006</v>
      </c>
      <c r="Q23" s="175">
        <f t="shared" si="20"/>
        <v>17.452442265497012</v>
      </c>
      <c r="R23" s="175">
        <f t="shared" si="21"/>
        <v>21.9267541</v>
      </c>
      <c r="S23" s="70" t="str">
        <f t="shared" si="22"/>
        <v>EOSP</v>
      </c>
      <c r="T23" s="241">
        <f t="shared" si="23"/>
        <v>42249.583333333336</v>
      </c>
      <c r="U23" s="157">
        <f t="shared" si="1"/>
        <v>1.6</v>
      </c>
      <c r="V23" s="158">
        <f t="shared" si="2"/>
        <v>0.4</v>
      </c>
      <c r="W23" s="158">
        <f t="shared" si="3"/>
        <v>0.1</v>
      </c>
      <c r="X23" s="199">
        <f t="shared" si="4"/>
        <v>2.1</v>
      </c>
      <c r="Y23" s="159">
        <f t="shared" si="5"/>
        <v>1567.1999999999998</v>
      </c>
      <c r="Z23" s="181"/>
      <c r="AA23" s="148">
        <f t="shared" si="6"/>
        <v>0</v>
      </c>
      <c r="AB23" s="149">
        <f t="shared" si="7"/>
        <v>0</v>
      </c>
      <c r="AC23" s="149">
        <f t="shared" si="8"/>
        <v>0</v>
      </c>
      <c r="AD23" s="203">
        <f t="shared" si="9"/>
        <v>0</v>
      </c>
      <c r="AE23" s="150">
        <f t="shared" si="10"/>
        <v>297.60000000000008</v>
      </c>
      <c r="AF23" s="182"/>
      <c r="AG23" s="139">
        <f t="shared" si="11"/>
        <v>1</v>
      </c>
      <c r="AH23" s="140">
        <f t="shared" si="12"/>
        <v>0</v>
      </c>
      <c r="AI23" s="141">
        <f t="shared" si="13"/>
        <v>340</v>
      </c>
      <c r="AJ23" s="166">
        <f t="shared" si="14"/>
        <v>25675</v>
      </c>
      <c r="AK23" s="167">
        <f t="shared" si="14"/>
        <v>12800</v>
      </c>
      <c r="AL23" s="168">
        <f t="shared" si="15"/>
        <v>3200</v>
      </c>
      <c r="AM23" s="237">
        <f t="shared" si="27"/>
        <v>0.1562818684594999</v>
      </c>
      <c r="AN23" s="70" t="str">
        <f t="shared" si="25"/>
        <v>EOSP</v>
      </c>
      <c r="AO23" s="241">
        <f t="shared" si="26"/>
        <v>42249.583333333336</v>
      </c>
      <c r="AP23" s="45" t="s">
        <v>40</v>
      </c>
      <c r="AQ23" s="98">
        <v>67.400000000000006</v>
      </c>
      <c r="AR23" s="99">
        <v>21.9267541</v>
      </c>
      <c r="AS23" s="99">
        <v>10.96337705</v>
      </c>
      <c r="AT23" s="100">
        <v>18.100000000000001</v>
      </c>
      <c r="AU23" s="101">
        <v>9.0500000000000007</v>
      </c>
      <c r="AV23" s="100">
        <v>18.100000000000001</v>
      </c>
      <c r="AW23" s="101">
        <v>9.0500000000000007</v>
      </c>
      <c r="AX23" s="101">
        <v>17.452442265497012</v>
      </c>
      <c r="AY23" s="99">
        <v>17.452442265497012</v>
      </c>
      <c r="AZ23" s="102"/>
      <c r="BA23" s="102"/>
      <c r="BB23" s="103">
        <v>1.61</v>
      </c>
      <c r="BC23" s="104">
        <v>1.6</v>
      </c>
      <c r="BD23" s="98">
        <v>0</v>
      </c>
      <c r="BE23" s="105">
        <v>0.43240000000000012</v>
      </c>
      <c r="BF23" s="104">
        <v>0.4</v>
      </c>
      <c r="BG23" s="115">
        <v>0</v>
      </c>
      <c r="BH23" s="104">
        <v>0</v>
      </c>
      <c r="BI23" s="98">
        <v>0</v>
      </c>
      <c r="BJ23" s="105">
        <v>0.1424</v>
      </c>
      <c r="BK23" s="104">
        <v>0.1</v>
      </c>
      <c r="BL23" s="104">
        <v>0</v>
      </c>
      <c r="BM23" s="107"/>
      <c r="BN23" s="108">
        <v>2.1</v>
      </c>
      <c r="BO23" s="108">
        <v>0</v>
      </c>
      <c r="BP23" s="109">
        <v>0</v>
      </c>
      <c r="BQ23" s="110"/>
      <c r="BR23" s="108">
        <v>1567.1999999999998</v>
      </c>
      <c r="BS23" s="109">
        <v>0</v>
      </c>
      <c r="BT23" s="109">
        <v>297.60000000000008</v>
      </c>
      <c r="BU23" s="107"/>
      <c r="BV23" s="111">
        <v>0</v>
      </c>
      <c r="BW23" s="98">
        <v>0</v>
      </c>
      <c r="BX23" s="113"/>
      <c r="BY23" s="113">
        <v>195</v>
      </c>
      <c r="BZ23" s="114">
        <v>195</v>
      </c>
      <c r="CA23" s="114">
        <v>84</v>
      </c>
      <c r="CB23" s="114">
        <v>61</v>
      </c>
      <c r="CC23" s="99">
        <v>340</v>
      </c>
      <c r="CD23" s="115">
        <v>1</v>
      </c>
      <c r="CE23" s="116">
        <v>1</v>
      </c>
      <c r="CF23" s="117">
        <v>0</v>
      </c>
      <c r="CG23" s="118" t="s">
        <v>39</v>
      </c>
      <c r="CH23" s="117">
        <v>0</v>
      </c>
      <c r="CI23" s="118" t="s">
        <v>39</v>
      </c>
      <c r="CJ23" s="117">
        <v>0</v>
      </c>
      <c r="CK23" s="118" t="s">
        <v>39</v>
      </c>
      <c r="CL23" s="119"/>
      <c r="CM23" s="120">
        <v>39</v>
      </c>
      <c r="CN23" s="121">
        <v>39</v>
      </c>
      <c r="CO23" s="120">
        <v>0</v>
      </c>
      <c r="CP23" s="121">
        <v>25675</v>
      </c>
      <c r="CQ23" s="121">
        <v>12800</v>
      </c>
      <c r="CR23" s="100">
        <v>100</v>
      </c>
      <c r="CS23" s="121">
        <v>3200</v>
      </c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 t="s">
        <v>10</v>
      </c>
      <c r="B24" s="442">
        <v>42249.675000000003</v>
      </c>
      <c r="C24" s="453"/>
      <c r="D24" s="84"/>
      <c r="E24" s="23">
        <v>2.2000000000000002</v>
      </c>
      <c r="F24" s="15">
        <v>1125.4000000000001</v>
      </c>
      <c r="G24" s="213"/>
      <c r="H24" s="27">
        <f t="shared" si="16"/>
        <v>10.700000000000045</v>
      </c>
      <c r="I24" s="216">
        <f t="shared" si="17"/>
        <v>4.8636363636363837</v>
      </c>
      <c r="J24" s="29" t="str">
        <f ca="1">IF($J$5&gt;=B24,"N/A",SUM(INDIRECT(ADDRESS(6+(MATCH($J$5,$B$6:$B$59,0)),8)):H24))</f>
        <v>N/A</v>
      </c>
      <c r="K24" s="10">
        <v>0.8</v>
      </c>
      <c r="L24" s="88"/>
      <c r="M24" s="4">
        <f t="shared" si="18"/>
        <v>9.1999999999999993</v>
      </c>
      <c r="N24" s="220">
        <f t="shared" si="0"/>
        <v>4.1818181818181808</v>
      </c>
      <c r="O24" s="30" t="str">
        <f ca="1">IF($O$5&gt;=B24,"N/A",SUM(INDIRECT(ADDRESS(6+(MATCH($O$5,$B$6:$B$59,0)),13)):M24))</f>
        <v>N/A</v>
      </c>
      <c r="P24" s="175">
        <f t="shared" si="19"/>
        <v>34</v>
      </c>
      <c r="Q24" s="175">
        <f t="shared" si="20"/>
        <v>24.516915025023756</v>
      </c>
      <c r="R24" s="175">
        <f t="shared" si="21"/>
        <v>12.1881611</v>
      </c>
      <c r="S24" s="70" t="str">
        <f t="shared" si="22"/>
        <v>FWE</v>
      </c>
      <c r="T24" s="241">
        <f t="shared" si="23"/>
        <v>42249.675000000003</v>
      </c>
      <c r="U24" s="157">
        <f t="shared" si="1"/>
        <v>0.5</v>
      </c>
      <c r="V24" s="158">
        <f t="shared" si="2"/>
        <v>0.4</v>
      </c>
      <c r="W24" s="158">
        <f t="shared" si="3"/>
        <v>0.2</v>
      </c>
      <c r="X24" s="199">
        <f t="shared" si="4"/>
        <v>1.1000000000000001</v>
      </c>
      <c r="Y24" s="159">
        <f t="shared" si="5"/>
        <v>1566.1</v>
      </c>
      <c r="Z24" s="181"/>
      <c r="AA24" s="148">
        <f t="shared" si="6"/>
        <v>0</v>
      </c>
      <c r="AB24" s="149">
        <f t="shared" si="7"/>
        <v>0</v>
      </c>
      <c r="AC24" s="149">
        <f t="shared" si="8"/>
        <v>0</v>
      </c>
      <c r="AD24" s="203">
        <f t="shared" si="9"/>
        <v>0</v>
      </c>
      <c r="AE24" s="150">
        <f t="shared" si="10"/>
        <v>297.60000000000008</v>
      </c>
      <c r="AF24" s="182"/>
      <c r="AG24" s="139">
        <f t="shared" si="11"/>
        <v>0</v>
      </c>
      <c r="AH24" s="140">
        <f t="shared" si="12"/>
        <v>0</v>
      </c>
      <c r="AI24" s="141">
        <f t="shared" si="13"/>
        <v>340</v>
      </c>
      <c r="AJ24" s="166">
        <f t="shared" si="14"/>
        <v>25654</v>
      </c>
      <c r="AK24" s="167">
        <f t="shared" si="14"/>
        <v>12800</v>
      </c>
      <c r="AL24" s="168">
        <f t="shared" si="15"/>
        <v>3200</v>
      </c>
      <c r="AM24" s="237">
        <f t="shared" si="27"/>
        <v>0.12209890300842469</v>
      </c>
      <c r="AN24" s="70" t="str">
        <f t="shared" si="25"/>
        <v>FWE</v>
      </c>
      <c r="AO24" s="241">
        <f t="shared" si="26"/>
        <v>42249.675000000003</v>
      </c>
      <c r="AP24" s="45" t="s">
        <v>40</v>
      </c>
      <c r="AQ24" s="98">
        <v>34</v>
      </c>
      <c r="AR24" s="99">
        <v>12.1881611</v>
      </c>
      <c r="AS24" s="99">
        <v>5.5400732272727273</v>
      </c>
      <c r="AT24" s="100">
        <v>9.1999999999999993</v>
      </c>
      <c r="AU24" s="101">
        <v>4.1818181818181808</v>
      </c>
      <c r="AV24" s="100">
        <v>9.1999999999999993</v>
      </c>
      <c r="AW24" s="101">
        <v>4.1818181818181808</v>
      </c>
      <c r="AX24" s="101">
        <v>24.516915025023756</v>
      </c>
      <c r="AY24" s="99">
        <v>24.516915025023756</v>
      </c>
      <c r="AZ24" s="102"/>
      <c r="BA24" s="102"/>
      <c r="BB24" s="103">
        <v>0.54280000000000017</v>
      </c>
      <c r="BC24" s="104">
        <v>0.5</v>
      </c>
      <c r="BD24" s="98">
        <v>0</v>
      </c>
      <c r="BE24" s="105">
        <v>0.44159999999999988</v>
      </c>
      <c r="BF24" s="104">
        <v>0.4</v>
      </c>
      <c r="BG24" s="115">
        <v>0</v>
      </c>
      <c r="BH24" s="104">
        <v>0</v>
      </c>
      <c r="BI24" s="98">
        <v>0</v>
      </c>
      <c r="BJ24" s="105">
        <v>0.2492</v>
      </c>
      <c r="BK24" s="104">
        <v>0.2</v>
      </c>
      <c r="BL24" s="104">
        <v>0</v>
      </c>
      <c r="BM24" s="107"/>
      <c r="BN24" s="108">
        <v>1.1000000000000001</v>
      </c>
      <c r="BO24" s="108">
        <v>0</v>
      </c>
      <c r="BP24" s="109">
        <v>0</v>
      </c>
      <c r="BQ24" s="110"/>
      <c r="BR24" s="108">
        <v>1566.1</v>
      </c>
      <c r="BS24" s="109">
        <v>0</v>
      </c>
      <c r="BT24" s="109">
        <v>297.60000000000008</v>
      </c>
      <c r="BU24" s="107"/>
      <c r="BV24" s="111">
        <v>0</v>
      </c>
      <c r="BW24" s="98">
        <v>0</v>
      </c>
      <c r="BX24" s="113"/>
      <c r="BY24" s="113">
        <v>195</v>
      </c>
      <c r="BZ24" s="114">
        <v>195</v>
      </c>
      <c r="CA24" s="114">
        <v>84</v>
      </c>
      <c r="CB24" s="114">
        <v>61</v>
      </c>
      <c r="CC24" s="99">
        <v>340</v>
      </c>
      <c r="CD24" s="115">
        <v>0</v>
      </c>
      <c r="CE24" s="116">
        <v>0</v>
      </c>
      <c r="CF24" s="117">
        <v>0</v>
      </c>
      <c r="CG24" s="118" t="s">
        <v>39</v>
      </c>
      <c r="CH24" s="117">
        <v>0</v>
      </c>
      <c r="CI24" s="118" t="s">
        <v>39</v>
      </c>
      <c r="CJ24" s="117">
        <v>0</v>
      </c>
      <c r="CK24" s="118" t="s">
        <v>39</v>
      </c>
      <c r="CL24" s="119"/>
      <c r="CM24" s="120">
        <v>21</v>
      </c>
      <c r="CN24" s="121">
        <v>21</v>
      </c>
      <c r="CO24" s="120">
        <v>0</v>
      </c>
      <c r="CP24" s="121">
        <v>25654</v>
      </c>
      <c r="CQ24" s="121">
        <v>12800</v>
      </c>
      <c r="CR24" s="100"/>
      <c r="CS24" s="121">
        <v>3200</v>
      </c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 t="s">
        <v>103</v>
      </c>
      <c r="B25" s="442">
        <v>42250.5</v>
      </c>
      <c r="C25" s="453"/>
      <c r="D25" s="84"/>
      <c r="E25" s="23">
        <v>1.8</v>
      </c>
      <c r="F25" s="15">
        <v>1135</v>
      </c>
      <c r="G25" s="213"/>
      <c r="H25" s="27">
        <f t="shared" si="16"/>
        <v>9.5999999999999091</v>
      </c>
      <c r="I25" s="216">
        <f t="shared" si="17"/>
        <v>5.3333333333332824</v>
      </c>
      <c r="J25" s="29" t="str">
        <f ca="1">IF($J$5&gt;=B25,"N/A",SUM(INDIRECT(ADDRESS(6+(MATCH($J$5,$B$6:$B$59,0)),8)):H25))</f>
        <v>N/A</v>
      </c>
      <c r="K25" s="10">
        <v>0</v>
      </c>
      <c r="L25" s="88">
        <v>5.5</v>
      </c>
      <c r="M25" s="4">
        <f t="shared" si="18"/>
        <v>6.3</v>
      </c>
      <c r="N25" s="220">
        <f t="shared" si="0"/>
        <v>3.5</v>
      </c>
      <c r="O25" s="30" t="str">
        <f ca="1">IF($O$5&gt;=B25,"N/A",SUM(INDIRECT(ADDRESS(6+(MATCH($O$5,$B$6:$B$59,0)),13)):M25))</f>
        <v>N/A</v>
      </c>
      <c r="P25" s="175">
        <f t="shared" si="19"/>
        <v>33</v>
      </c>
      <c r="Q25" s="175">
        <f t="shared" si="20"/>
        <v>40.769971752071342</v>
      </c>
      <c r="R25" s="175">
        <f t="shared" si="21"/>
        <v>10.6364967</v>
      </c>
      <c r="S25" s="70" t="str">
        <f t="shared" si="22"/>
        <v>PNOON</v>
      </c>
      <c r="T25" s="241">
        <f t="shared" si="23"/>
        <v>42250.5</v>
      </c>
      <c r="U25" s="157">
        <f t="shared" si="1"/>
        <v>1</v>
      </c>
      <c r="V25" s="158">
        <f t="shared" si="2"/>
        <v>2.6</v>
      </c>
      <c r="W25" s="158">
        <f t="shared" si="3"/>
        <v>2.8</v>
      </c>
      <c r="X25" s="199">
        <f t="shared" si="4"/>
        <v>6.4</v>
      </c>
      <c r="Y25" s="159">
        <f t="shared" si="5"/>
        <v>1559.6999999999998</v>
      </c>
      <c r="Z25" s="181"/>
      <c r="AA25" s="148">
        <f t="shared" si="6"/>
        <v>0</v>
      </c>
      <c r="AB25" s="149">
        <f t="shared" si="7"/>
        <v>0</v>
      </c>
      <c r="AC25" s="149">
        <f t="shared" si="8"/>
        <v>0</v>
      </c>
      <c r="AD25" s="203">
        <f t="shared" si="9"/>
        <v>0</v>
      </c>
      <c r="AE25" s="150">
        <f t="shared" si="10"/>
        <v>297.60000000000008</v>
      </c>
      <c r="AF25" s="182"/>
      <c r="AG25" s="139">
        <f t="shared" si="11"/>
        <v>9</v>
      </c>
      <c r="AH25" s="140">
        <f t="shared" si="12"/>
        <v>0</v>
      </c>
      <c r="AI25" s="141">
        <f t="shared" si="13"/>
        <v>331</v>
      </c>
      <c r="AJ25" s="166">
        <f t="shared" si="14"/>
        <v>25635</v>
      </c>
      <c r="AK25" s="167">
        <f t="shared" si="14"/>
        <v>12700</v>
      </c>
      <c r="AL25" s="168">
        <f t="shared" si="15"/>
        <v>3150</v>
      </c>
      <c r="AM25" s="237">
        <f t="shared" si="27"/>
        <v>9.744718860300039E-2</v>
      </c>
      <c r="AN25" s="70" t="str">
        <f t="shared" si="25"/>
        <v>PNOON</v>
      </c>
      <c r="AO25" s="241">
        <f t="shared" si="26"/>
        <v>42250.5</v>
      </c>
      <c r="AP25" s="45" t="s">
        <v>40</v>
      </c>
      <c r="AQ25" s="98">
        <v>33</v>
      </c>
      <c r="AR25" s="99">
        <v>10.6364967</v>
      </c>
      <c r="AS25" s="99">
        <v>5.3182483500000002</v>
      </c>
      <c r="AT25" s="100">
        <v>6.3</v>
      </c>
      <c r="AU25" s="101">
        <v>3.15</v>
      </c>
      <c r="AV25" s="100">
        <v>6.3</v>
      </c>
      <c r="AW25" s="101">
        <v>3.15</v>
      </c>
      <c r="AX25" s="101">
        <v>40.769971752071342</v>
      </c>
      <c r="AY25" s="99">
        <v>40.769971752071342</v>
      </c>
      <c r="AZ25" s="102"/>
      <c r="BA25" s="102"/>
      <c r="BB25" s="103">
        <v>5.5200000000000138E-2</v>
      </c>
      <c r="BC25" s="104">
        <v>1</v>
      </c>
      <c r="BD25" s="98">
        <v>0</v>
      </c>
      <c r="BE25" s="105">
        <v>2.4103999999999997</v>
      </c>
      <c r="BF25" s="104">
        <v>2.6</v>
      </c>
      <c r="BG25" s="115">
        <v>0</v>
      </c>
      <c r="BH25" s="104">
        <v>0</v>
      </c>
      <c r="BI25" s="98">
        <v>0</v>
      </c>
      <c r="BJ25" s="105">
        <v>2.1004</v>
      </c>
      <c r="BK25" s="104">
        <v>2.8</v>
      </c>
      <c r="BL25" s="104">
        <v>0</v>
      </c>
      <c r="BM25" s="107"/>
      <c r="BN25" s="108">
        <v>6.4</v>
      </c>
      <c r="BO25" s="108">
        <v>0</v>
      </c>
      <c r="BP25" s="109">
        <v>0</v>
      </c>
      <c r="BQ25" s="110"/>
      <c r="BR25" s="108">
        <v>1559.6999999999998</v>
      </c>
      <c r="BS25" s="109">
        <v>0</v>
      </c>
      <c r="BT25" s="109">
        <v>297.60000000000008</v>
      </c>
      <c r="BU25" s="107"/>
      <c r="BV25" s="111">
        <v>0</v>
      </c>
      <c r="BW25" s="98">
        <v>0</v>
      </c>
      <c r="BX25" s="113"/>
      <c r="BY25" s="113">
        <v>186</v>
      </c>
      <c r="BZ25" s="114">
        <v>186</v>
      </c>
      <c r="CA25" s="114">
        <v>84</v>
      </c>
      <c r="CB25" s="114">
        <v>61</v>
      </c>
      <c r="CC25" s="99">
        <v>331</v>
      </c>
      <c r="CD25" s="115">
        <v>9</v>
      </c>
      <c r="CE25" s="116">
        <v>9</v>
      </c>
      <c r="CF25" s="117">
        <v>0</v>
      </c>
      <c r="CG25" s="118" t="s">
        <v>39</v>
      </c>
      <c r="CH25" s="117">
        <v>0</v>
      </c>
      <c r="CI25" s="118" t="s">
        <v>39</v>
      </c>
      <c r="CJ25" s="117">
        <v>0</v>
      </c>
      <c r="CK25" s="118" t="s">
        <v>39</v>
      </c>
      <c r="CL25" s="119"/>
      <c r="CM25" s="120">
        <v>19</v>
      </c>
      <c r="CN25" s="121">
        <v>19</v>
      </c>
      <c r="CO25" s="120">
        <v>0</v>
      </c>
      <c r="CP25" s="121">
        <v>25635</v>
      </c>
      <c r="CQ25" s="121">
        <v>12700</v>
      </c>
      <c r="CR25" s="100">
        <v>100</v>
      </c>
      <c r="CS25" s="121">
        <v>3150</v>
      </c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 t="s">
        <v>103</v>
      </c>
      <c r="B26" s="442">
        <v>42251.5</v>
      </c>
      <c r="C26" s="453"/>
      <c r="D26" s="84"/>
      <c r="E26" s="23">
        <v>0</v>
      </c>
      <c r="F26" s="15">
        <v>0</v>
      </c>
      <c r="G26" s="213"/>
      <c r="H26" s="27" t="str">
        <f t="shared" si="16"/>
        <v/>
      </c>
      <c r="I26" s="216" t="str">
        <f t="shared" si="17"/>
        <v/>
      </c>
      <c r="J26" s="29" t="str">
        <f ca="1">IF($J$5&gt;=B26,"N/A",SUM(INDIRECT(ADDRESS(6+(MATCH($J$5,$B$6:$B$59,0)),8)):H26))</f>
        <v>N/A</v>
      </c>
      <c r="K26" s="10">
        <v>0</v>
      </c>
      <c r="L26" s="88"/>
      <c r="M26" s="4">
        <f t="shared" si="18"/>
        <v>0</v>
      </c>
      <c r="N26" s="220" t="str">
        <f t="shared" si="0"/>
        <v/>
      </c>
      <c r="O26" s="30" t="str">
        <f ca="1">IF($O$5&gt;=B26,"N/A",SUM(INDIRECT(ADDRESS(6+(MATCH($O$5,$B$6:$B$59,0)),13)):M26))</f>
        <v>N/A</v>
      </c>
      <c r="P26" s="175" t="str">
        <f t="shared" si="19"/>
        <v/>
      </c>
      <c r="Q26" s="175" t="e">
        <f t="shared" si="20"/>
        <v>#VALUE!</v>
      </c>
      <c r="R26" s="175">
        <f t="shared" si="21"/>
        <v>0</v>
      </c>
      <c r="S26" s="70" t="str">
        <f t="shared" si="22"/>
        <v>PNOON</v>
      </c>
      <c r="T26" s="241">
        <f t="shared" si="23"/>
        <v>42251.5</v>
      </c>
      <c r="U26" s="157">
        <f t="shared" si="1"/>
        <v>0</v>
      </c>
      <c r="V26" s="158">
        <f t="shared" si="2"/>
        <v>4</v>
      </c>
      <c r="W26" s="158">
        <f t="shared" si="3"/>
        <v>32.5</v>
      </c>
      <c r="X26" s="199">
        <f t="shared" si="4"/>
        <v>36.5</v>
      </c>
      <c r="Y26" s="159">
        <f t="shared" si="5"/>
        <v>1523.1999999999998</v>
      </c>
      <c r="Z26" s="181"/>
      <c r="AA26" s="148">
        <f t="shared" si="6"/>
        <v>0</v>
      </c>
      <c r="AB26" s="149">
        <f t="shared" si="7"/>
        <v>0</v>
      </c>
      <c r="AC26" s="149">
        <f t="shared" si="8"/>
        <v>0</v>
      </c>
      <c r="AD26" s="203">
        <f t="shared" si="9"/>
        <v>0</v>
      </c>
      <c r="AE26" s="150">
        <f t="shared" si="10"/>
        <v>297.60000000000008</v>
      </c>
      <c r="AF26" s="182"/>
      <c r="AG26" s="139">
        <f t="shared" si="11"/>
        <v>11</v>
      </c>
      <c r="AH26" s="140">
        <f t="shared" si="12"/>
        <v>0</v>
      </c>
      <c r="AI26" s="141">
        <f t="shared" si="13"/>
        <v>330</v>
      </c>
      <c r="AJ26" s="166">
        <f t="shared" si="14"/>
        <v>25635</v>
      </c>
      <c r="AK26" s="167">
        <f t="shared" si="14"/>
        <v>12700</v>
      </c>
      <c r="AL26" s="168">
        <f t="shared" si="15"/>
        <v>3150</v>
      </c>
      <c r="AM26" s="237" t="e">
        <f t="shared" si="27"/>
        <v>#VALUE!</v>
      </c>
      <c r="AN26" s="70" t="str">
        <f t="shared" si="25"/>
        <v>PNOON</v>
      </c>
      <c r="AO26" s="241">
        <f t="shared" si="26"/>
        <v>42251.5</v>
      </c>
      <c r="AP26" s="45" t="s">
        <v>40</v>
      </c>
      <c r="AQ26" s="98"/>
      <c r="AR26" s="99">
        <v>0</v>
      </c>
      <c r="AS26" s="99">
        <v>0</v>
      </c>
      <c r="AT26" s="100" t="s">
        <v>39</v>
      </c>
      <c r="AU26" s="101" t="e">
        <v>#VALUE!</v>
      </c>
      <c r="AV26" s="100" t="s">
        <v>39</v>
      </c>
      <c r="AW26" s="101" t="e">
        <v>#VALUE!</v>
      </c>
      <c r="AX26" s="101" t="e">
        <v>#VALUE!</v>
      </c>
      <c r="AY26" s="99" t="e">
        <v>#VALUE!</v>
      </c>
      <c r="AZ26" s="102"/>
      <c r="BA26" s="102"/>
      <c r="BB26" s="103">
        <v>-0.13800000000000012</v>
      </c>
      <c r="BC26" s="104">
        <v>0</v>
      </c>
      <c r="BD26" s="98">
        <v>0</v>
      </c>
      <c r="BE26" s="105">
        <v>0.72680000000000022</v>
      </c>
      <c r="BF26" s="104">
        <v>4</v>
      </c>
      <c r="BG26" s="115">
        <v>0</v>
      </c>
      <c r="BH26" s="104">
        <v>0</v>
      </c>
      <c r="BI26" s="98">
        <v>0</v>
      </c>
      <c r="BJ26" s="105">
        <v>0.623</v>
      </c>
      <c r="BK26" s="104">
        <v>32.5</v>
      </c>
      <c r="BL26" s="104">
        <v>0</v>
      </c>
      <c r="BM26" s="107"/>
      <c r="BN26" s="108">
        <v>36.5</v>
      </c>
      <c r="BO26" s="108">
        <v>0</v>
      </c>
      <c r="BP26" s="109">
        <v>0</v>
      </c>
      <c r="BQ26" s="110"/>
      <c r="BR26" s="108">
        <v>1523.1999999999998</v>
      </c>
      <c r="BS26" s="109">
        <v>0</v>
      </c>
      <c r="BT26" s="109">
        <v>297.60000000000008</v>
      </c>
      <c r="BU26" s="107"/>
      <c r="BV26" s="111">
        <v>0</v>
      </c>
      <c r="BW26" s="98">
        <v>0</v>
      </c>
      <c r="BX26" s="113"/>
      <c r="BY26" s="113">
        <v>185</v>
      </c>
      <c r="BZ26" s="114">
        <v>185</v>
      </c>
      <c r="CA26" s="114">
        <v>84</v>
      </c>
      <c r="CB26" s="114">
        <v>61</v>
      </c>
      <c r="CC26" s="99">
        <v>330</v>
      </c>
      <c r="CD26" s="115">
        <v>1</v>
      </c>
      <c r="CE26" s="116">
        <v>11</v>
      </c>
      <c r="CF26" s="117">
        <v>0</v>
      </c>
      <c r="CG26" s="118" t="s">
        <v>39</v>
      </c>
      <c r="CH26" s="117">
        <v>0</v>
      </c>
      <c r="CI26" s="118" t="s">
        <v>39</v>
      </c>
      <c r="CJ26" s="117">
        <v>0</v>
      </c>
      <c r="CK26" s="118" t="s">
        <v>39</v>
      </c>
      <c r="CL26" s="119"/>
      <c r="CM26" s="120">
        <v>0</v>
      </c>
      <c r="CN26" s="121">
        <v>0</v>
      </c>
      <c r="CO26" s="120">
        <v>0</v>
      </c>
      <c r="CP26" s="121">
        <v>25635</v>
      </c>
      <c r="CQ26" s="121">
        <v>12700</v>
      </c>
      <c r="CR26" s="100"/>
      <c r="CS26" s="121">
        <v>3150</v>
      </c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 t="s">
        <v>103</v>
      </c>
      <c r="B27" s="442">
        <v>42252.5</v>
      </c>
      <c r="C27" s="453"/>
      <c r="D27" s="84"/>
      <c r="E27" s="23">
        <v>2.1</v>
      </c>
      <c r="F27" s="15">
        <v>13.3</v>
      </c>
      <c r="G27" s="213"/>
      <c r="H27" s="27">
        <f t="shared" si="16"/>
        <v>13.3</v>
      </c>
      <c r="I27" s="216">
        <f t="shared" si="17"/>
        <v>6.333333333333333</v>
      </c>
      <c r="J27" s="29" t="str">
        <f ca="1">IF($J$5&gt;=B27,"N/A",SUM(INDIRECT(ADDRESS(6+(MATCH($J$5,$B$6:$B$59,0)),8)):H27))</f>
        <v>N/A</v>
      </c>
      <c r="K27" s="10">
        <v>0</v>
      </c>
      <c r="L27" s="88">
        <v>12.6</v>
      </c>
      <c r="M27" s="4">
        <f t="shared" si="18"/>
        <v>12.6</v>
      </c>
      <c r="N27" s="220">
        <f t="shared" si="0"/>
        <v>6</v>
      </c>
      <c r="O27" s="30" t="str">
        <f ca="1">IF($O$5&gt;=B27,"N/A",SUM(INDIRECT(ADDRESS(6+(MATCH($O$5,$B$6:$B$59,0)),13)):M27))</f>
        <v>N/A</v>
      </c>
      <c r="P27" s="175" t="str">
        <f t="shared" si="19"/>
        <v/>
      </c>
      <c r="Q27" s="175" t="e">
        <f t="shared" si="20"/>
        <v>#VALUE!</v>
      </c>
      <c r="R27" s="175">
        <f t="shared" si="21"/>
        <v>0</v>
      </c>
      <c r="S27" s="70" t="str">
        <f t="shared" si="22"/>
        <v>PNOON</v>
      </c>
      <c r="T27" s="241">
        <f t="shared" si="23"/>
        <v>42252.5</v>
      </c>
      <c r="U27" s="157">
        <f t="shared" si="1"/>
        <v>1.5</v>
      </c>
      <c r="V27" s="158">
        <f t="shared" si="2"/>
        <v>3</v>
      </c>
      <c r="W27" s="158">
        <f t="shared" si="3"/>
        <v>18</v>
      </c>
      <c r="X27" s="199">
        <f t="shared" si="4"/>
        <v>22.5</v>
      </c>
      <c r="Y27" s="159">
        <f t="shared" si="5"/>
        <v>1500.6999999999998</v>
      </c>
      <c r="Z27" s="181"/>
      <c r="AA27" s="148">
        <f t="shared" si="6"/>
        <v>0</v>
      </c>
      <c r="AB27" s="149">
        <f t="shared" si="7"/>
        <v>0</v>
      </c>
      <c r="AC27" s="149">
        <f t="shared" si="8"/>
        <v>0</v>
      </c>
      <c r="AD27" s="203">
        <f t="shared" si="9"/>
        <v>0</v>
      </c>
      <c r="AE27" s="150">
        <f t="shared" si="10"/>
        <v>297.60000000000008</v>
      </c>
      <c r="AF27" s="182"/>
      <c r="AG27" s="139">
        <f t="shared" si="11"/>
        <v>10</v>
      </c>
      <c r="AH27" s="140">
        <f t="shared" si="12"/>
        <v>0</v>
      </c>
      <c r="AI27" s="141">
        <f t="shared" si="13"/>
        <v>308</v>
      </c>
      <c r="AJ27" s="166">
        <f t="shared" si="14"/>
        <v>25612</v>
      </c>
      <c r="AK27" s="167">
        <f t="shared" si="14"/>
        <v>12500</v>
      </c>
      <c r="AL27" s="168">
        <f t="shared" si="15"/>
        <v>3100</v>
      </c>
      <c r="AM27" s="237" t="e">
        <f t="shared" si="27"/>
        <v>#DIV/0!</v>
      </c>
      <c r="AN27" s="70" t="str">
        <f t="shared" si="25"/>
        <v>PNOON</v>
      </c>
      <c r="AO27" s="241">
        <f t="shared" si="26"/>
        <v>42252.5</v>
      </c>
      <c r="AP27" s="45" t="s">
        <v>40</v>
      </c>
      <c r="AQ27" s="98"/>
      <c r="AR27" s="99">
        <v>0</v>
      </c>
      <c r="AS27" s="99">
        <v>0</v>
      </c>
      <c r="AT27" s="100" t="s">
        <v>39</v>
      </c>
      <c r="AU27" s="101" t="e">
        <v>#VALUE!</v>
      </c>
      <c r="AV27" s="100" t="s">
        <v>39</v>
      </c>
      <c r="AW27" s="101" t="e">
        <v>#VALUE!</v>
      </c>
      <c r="AX27" s="101" t="e">
        <v>#VALUE!</v>
      </c>
      <c r="AY27" s="99" t="e">
        <v>#VALUE!</v>
      </c>
      <c r="AZ27" s="102"/>
      <c r="BA27" s="102"/>
      <c r="BB27" s="105">
        <v>-0.25760000000000094</v>
      </c>
      <c r="BC27" s="104">
        <v>1.5</v>
      </c>
      <c r="BD27" s="98">
        <v>0</v>
      </c>
      <c r="BE27" s="105">
        <v>5.023200000000001</v>
      </c>
      <c r="BF27" s="104">
        <v>3</v>
      </c>
      <c r="BG27" s="106">
        <v>0</v>
      </c>
      <c r="BH27" s="104">
        <v>0</v>
      </c>
      <c r="BI27" s="98">
        <v>0</v>
      </c>
      <c r="BJ27" s="105">
        <v>15.049899999999999</v>
      </c>
      <c r="BK27" s="104">
        <v>18</v>
      </c>
      <c r="BL27" s="104">
        <v>0</v>
      </c>
      <c r="BM27" s="107"/>
      <c r="BN27" s="108">
        <v>22.5</v>
      </c>
      <c r="BO27" s="108">
        <v>0</v>
      </c>
      <c r="BP27" s="109">
        <v>0</v>
      </c>
      <c r="BQ27" s="110"/>
      <c r="BR27" s="108">
        <v>1500.6999999999998</v>
      </c>
      <c r="BS27" s="109">
        <v>0</v>
      </c>
      <c r="BT27" s="109">
        <v>297.60000000000008</v>
      </c>
      <c r="BU27" s="107"/>
      <c r="BV27" s="111">
        <v>0</v>
      </c>
      <c r="BW27" s="98">
        <v>0</v>
      </c>
      <c r="BX27" s="113"/>
      <c r="BY27" s="113">
        <v>164</v>
      </c>
      <c r="BZ27" s="114">
        <v>164</v>
      </c>
      <c r="CA27" s="114">
        <v>84</v>
      </c>
      <c r="CB27" s="114">
        <v>60</v>
      </c>
      <c r="CC27" s="99">
        <v>308</v>
      </c>
      <c r="CD27" s="111">
        <v>10</v>
      </c>
      <c r="CE27" s="116">
        <v>10</v>
      </c>
      <c r="CF27" s="225">
        <v>0</v>
      </c>
      <c r="CG27" s="226" t="s">
        <v>39</v>
      </c>
      <c r="CH27" s="225">
        <v>0</v>
      </c>
      <c r="CI27" s="226" t="s">
        <v>39</v>
      </c>
      <c r="CJ27" s="225">
        <v>0</v>
      </c>
      <c r="CK27" s="226" t="s">
        <v>39</v>
      </c>
      <c r="CL27" s="227"/>
      <c r="CM27" s="228">
        <v>23</v>
      </c>
      <c r="CN27" s="229">
        <v>23</v>
      </c>
      <c r="CO27" s="228">
        <v>0</v>
      </c>
      <c r="CP27" s="121">
        <v>25612</v>
      </c>
      <c r="CQ27" s="121">
        <v>12500</v>
      </c>
      <c r="CR27" s="100">
        <v>100</v>
      </c>
      <c r="CS27" s="121">
        <v>3100</v>
      </c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 t="s">
        <v>9</v>
      </c>
      <c r="B28" s="442">
        <v>42252.645833333336</v>
      </c>
      <c r="C28" s="453"/>
      <c r="D28" s="84"/>
      <c r="E28" s="23">
        <v>0</v>
      </c>
      <c r="F28" s="15">
        <v>13.3</v>
      </c>
      <c r="G28" s="213"/>
      <c r="H28" s="27">
        <f t="shared" si="16"/>
        <v>0</v>
      </c>
      <c r="I28" s="216" t="str">
        <f t="shared" si="17"/>
        <v/>
      </c>
      <c r="J28" s="29" t="str">
        <f ca="1">IF($J$5&gt;=B28,"N/A",SUM(INDIRECT(ADDRESS(6+(MATCH($J$5,$B$6:$B$59,0)),8)):H28))</f>
        <v>N/A</v>
      </c>
      <c r="K28" s="10"/>
      <c r="L28" s="88"/>
      <c r="M28" s="4" t="str">
        <f t="shared" si="18"/>
        <v/>
      </c>
      <c r="N28" s="220" t="str">
        <f t="shared" si="0"/>
        <v/>
      </c>
      <c r="O28" s="30" t="str">
        <f ca="1">IF($O$5&gt;=B28,"N/A",SUM(INDIRECT(ADDRESS(6+(MATCH($O$5,$B$6:$B$59,0)),13)):M28))</f>
        <v>N/A</v>
      </c>
      <c r="P28" s="175" t="str">
        <f t="shared" si="19"/>
        <v/>
      </c>
      <c r="Q28" s="175" t="e">
        <f t="shared" si="20"/>
        <v>#VALUE!</v>
      </c>
      <c r="R28" s="175">
        <f t="shared" si="21"/>
        <v>0</v>
      </c>
      <c r="S28" s="70" t="str">
        <f t="shared" si="22"/>
        <v>SBE</v>
      </c>
      <c r="T28" s="241">
        <f t="shared" si="23"/>
        <v>42252.645833333336</v>
      </c>
      <c r="U28" s="157">
        <f t="shared" si="1"/>
        <v>0</v>
      </c>
      <c r="V28" s="158">
        <f t="shared" si="2"/>
        <v>0.5</v>
      </c>
      <c r="W28" s="158">
        <f t="shared" si="3"/>
        <v>0.5</v>
      </c>
      <c r="X28" s="199">
        <f t="shared" si="4"/>
        <v>1</v>
      </c>
      <c r="Y28" s="159">
        <f t="shared" si="5"/>
        <v>1499.6999999999998</v>
      </c>
      <c r="Z28" s="181"/>
      <c r="AA28" s="148">
        <f t="shared" si="6"/>
        <v>0</v>
      </c>
      <c r="AB28" s="149">
        <f t="shared" si="7"/>
        <v>0</v>
      </c>
      <c r="AC28" s="149">
        <f t="shared" si="8"/>
        <v>0</v>
      </c>
      <c r="AD28" s="203">
        <f t="shared" si="9"/>
        <v>0</v>
      </c>
      <c r="AE28" s="150">
        <f t="shared" si="10"/>
        <v>297.60000000000008</v>
      </c>
      <c r="AF28" s="182"/>
      <c r="AG28" s="139">
        <f t="shared" si="11"/>
        <v>4</v>
      </c>
      <c r="AH28" s="140">
        <f t="shared" si="12"/>
        <v>0</v>
      </c>
      <c r="AI28" s="141">
        <f t="shared" si="13"/>
        <v>304</v>
      </c>
      <c r="AJ28" s="166">
        <f t="shared" si="14"/>
        <v>25612</v>
      </c>
      <c r="AK28" s="167">
        <f t="shared" si="14"/>
        <v>12500</v>
      </c>
      <c r="AL28" s="168">
        <f t="shared" si="15"/>
        <v>3100</v>
      </c>
      <c r="AM28" s="237" t="e">
        <f t="shared" si="27"/>
        <v>#DIV/0!</v>
      </c>
      <c r="AN28" s="70" t="str">
        <f t="shared" si="25"/>
        <v>SBE</v>
      </c>
      <c r="AO28" s="241">
        <f t="shared" si="26"/>
        <v>42252.645833333336</v>
      </c>
      <c r="AP28" s="45" t="s">
        <v>40</v>
      </c>
      <c r="AQ28" s="98"/>
      <c r="AR28" s="99">
        <v>0</v>
      </c>
      <c r="AS28" s="99">
        <v>0</v>
      </c>
      <c r="AT28" s="100" t="s">
        <v>39</v>
      </c>
      <c r="AU28" s="101" t="e">
        <v>#VALUE!</v>
      </c>
      <c r="AV28" s="100" t="s">
        <v>39</v>
      </c>
      <c r="AW28" s="101" t="e">
        <v>#VALUE!</v>
      </c>
      <c r="AX28" s="101" t="e">
        <v>#VALUE!</v>
      </c>
      <c r="AY28" s="99" t="e">
        <v>#VALUE!</v>
      </c>
      <c r="AZ28" s="102"/>
      <c r="BA28" s="102"/>
      <c r="BB28" s="103">
        <v>-0.13799999999999979</v>
      </c>
      <c r="BC28" s="104">
        <v>0</v>
      </c>
      <c r="BD28" s="98">
        <v>0</v>
      </c>
      <c r="BE28" s="105">
        <v>0.67159999999999986</v>
      </c>
      <c r="BF28" s="104">
        <v>0.5</v>
      </c>
      <c r="BG28" s="115">
        <v>0</v>
      </c>
      <c r="BH28" s="104">
        <v>0</v>
      </c>
      <c r="BI28" s="98">
        <v>0</v>
      </c>
      <c r="BJ28" s="105">
        <v>0.43610000000000004</v>
      </c>
      <c r="BK28" s="104">
        <v>0.5</v>
      </c>
      <c r="BL28" s="104">
        <v>0</v>
      </c>
      <c r="BM28" s="107"/>
      <c r="BN28" s="108">
        <v>1</v>
      </c>
      <c r="BO28" s="108">
        <v>0</v>
      </c>
      <c r="BP28" s="109">
        <v>0</v>
      </c>
      <c r="BQ28" s="110"/>
      <c r="BR28" s="108">
        <v>1499.6999999999998</v>
      </c>
      <c r="BS28" s="109">
        <v>0</v>
      </c>
      <c r="BT28" s="109">
        <v>297.60000000000008</v>
      </c>
      <c r="BU28" s="107"/>
      <c r="BV28" s="111">
        <v>0</v>
      </c>
      <c r="BW28" s="98">
        <v>0</v>
      </c>
      <c r="BX28" s="113"/>
      <c r="BY28" s="113">
        <v>160</v>
      </c>
      <c r="BZ28" s="114">
        <v>160</v>
      </c>
      <c r="CA28" s="114">
        <v>84</v>
      </c>
      <c r="CB28" s="114">
        <v>60</v>
      </c>
      <c r="CC28" s="99">
        <v>304</v>
      </c>
      <c r="CD28" s="115">
        <v>4</v>
      </c>
      <c r="CE28" s="116">
        <v>4</v>
      </c>
      <c r="CF28" s="117">
        <v>0</v>
      </c>
      <c r="CG28" s="118" t="s">
        <v>39</v>
      </c>
      <c r="CH28" s="117">
        <v>0</v>
      </c>
      <c r="CI28" s="118" t="s">
        <v>39</v>
      </c>
      <c r="CJ28" s="117">
        <v>0</v>
      </c>
      <c r="CK28" s="118" t="s">
        <v>39</v>
      </c>
      <c r="CL28" s="119"/>
      <c r="CM28" s="120">
        <v>0</v>
      </c>
      <c r="CN28" s="121">
        <v>0</v>
      </c>
      <c r="CO28" s="120">
        <v>0</v>
      </c>
      <c r="CP28" s="121">
        <v>25612</v>
      </c>
      <c r="CQ28" s="121">
        <v>12500</v>
      </c>
      <c r="CR28" s="100"/>
      <c r="CS28" s="121">
        <v>3100</v>
      </c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 t="s">
        <v>27</v>
      </c>
      <c r="B29" s="442">
        <v>42252.666666666664</v>
      </c>
      <c r="C29" s="453"/>
      <c r="D29" s="84" t="s">
        <v>128</v>
      </c>
      <c r="E29" s="23">
        <v>0.3</v>
      </c>
      <c r="F29" s="15">
        <v>16.600000000000001</v>
      </c>
      <c r="G29" s="213"/>
      <c r="H29" s="27">
        <f t="shared" si="16"/>
        <v>3.3000000000000007</v>
      </c>
      <c r="I29" s="216">
        <f t="shared" si="17"/>
        <v>11.000000000000004</v>
      </c>
      <c r="J29" s="29" t="str">
        <f ca="1">IF($J$5&gt;=B29,"N/A",SUM(INDIRECT(ADDRESS(6+(MATCH($J$5,$B$6:$B$59,0)),8)):H29))</f>
        <v>N/A</v>
      </c>
      <c r="K29" s="10">
        <v>1194.4000000000001</v>
      </c>
      <c r="L29" s="88">
        <f>1194.4+1.5</f>
        <v>1195.9000000000001</v>
      </c>
      <c r="M29" s="4">
        <f t="shared" si="18"/>
        <v>1.5</v>
      </c>
      <c r="N29" s="220">
        <f t="shared" si="0"/>
        <v>5</v>
      </c>
      <c r="O29" s="30" t="str">
        <f ca="1">IF($O$5&gt;=B29,"N/A",SUM(INDIRECT(ADDRESS(6+(MATCH($O$5,$B$6:$B$59,0)),13)):M29))</f>
        <v>N/A</v>
      </c>
      <c r="P29" s="175">
        <f t="shared" si="19"/>
        <v>28</v>
      </c>
      <c r="Q29" s="175">
        <f t="shared" si="20"/>
        <v>33.37896134247611</v>
      </c>
      <c r="R29" s="175">
        <f t="shared" si="21"/>
        <v>2.251541</v>
      </c>
      <c r="S29" s="70" t="str">
        <f t="shared" si="22"/>
        <v>BOSP</v>
      </c>
      <c r="T29" s="241">
        <f t="shared" si="23"/>
        <v>42252.666666666664</v>
      </c>
      <c r="U29" s="157">
        <f t="shared" si="1"/>
        <v>0.1</v>
      </c>
      <c r="V29" s="158">
        <f t="shared" si="2"/>
        <v>0.1</v>
      </c>
      <c r="W29" s="158">
        <f t="shared" si="3"/>
        <v>0.1</v>
      </c>
      <c r="X29" s="199">
        <f t="shared" si="4"/>
        <v>0.30000000000000004</v>
      </c>
      <c r="Y29" s="159">
        <f t="shared" si="5"/>
        <v>1499.3999999999999</v>
      </c>
      <c r="Z29" s="181"/>
      <c r="AA29" s="148">
        <f t="shared" si="6"/>
        <v>0</v>
      </c>
      <c r="AB29" s="149">
        <f t="shared" si="7"/>
        <v>0</v>
      </c>
      <c r="AC29" s="149">
        <f t="shared" si="8"/>
        <v>0</v>
      </c>
      <c r="AD29" s="203">
        <f t="shared" si="9"/>
        <v>0</v>
      </c>
      <c r="AE29" s="150">
        <f t="shared" si="10"/>
        <v>297.60000000000008</v>
      </c>
      <c r="AF29" s="182"/>
      <c r="AG29" s="139">
        <f t="shared" si="11"/>
        <v>0</v>
      </c>
      <c r="AH29" s="140">
        <f t="shared" si="12"/>
        <v>0</v>
      </c>
      <c r="AI29" s="141">
        <f t="shared" si="13"/>
        <v>304</v>
      </c>
      <c r="AJ29" s="166">
        <f t="shared" si="14"/>
        <v>25609</v>
      </c>
      <c r="AK29" s="167">
        <f t="shared" si="14"/>
        <v>12500</v>
      </c>
      <c r="AL29" s="168">
        <f t="shared" si="15"/>
        <v>3100</v>
      </c>
      <c r="AM29" s="237">
        <f t="shared" si="27"/>
        <v>-0.46566285046552591</v>
      </c>
      <c r="AN29" s="70" t="str">
        <f t="shared" si="25"/>
        <v>BOSP</v>
      </c>
      <c r="AO29" s="241">
        <f t="shared" si="26"/>
        <v>42252.666666666664</v>
      </c>
      <c r="AP29" s="45" t="s">
        <v>40</v>
      </c>
      <c r="AQ29" s="98">
        <v>28</v>
      </c>
      <c r="AR29" s="99">
        <v>2.251541</v>
      </c>
      <c r="AS29" s="99">
        <v>4.503082</v>
      </c>
      <c r="AT29" s="100">
        <v>1.5</v>
      </c>
      <c r="AU29" s="101">
        <v>3</v>
      </c>
      <c r="AV29" s="100">
        <v>1.5</v>
      </c>
      <c r="AW29" s="101">
        <v>3</v>
      </c>
      <c r="AX29" s="101">
        <v>33.37896134247611</v>
      </c>
      <c r="AY29" s="99">
        <v>33.37896134247611</v>
      </c>
      <c r="AZ29" s="102"/>
      <c r="BA29" s="102"/>
      <c r="BB29" s="103">
        <v>8.2799999999999971E-2</v>
      </c>
      <c r="BC29" s="104">
        <v>0.1</v>
      </c>
      <c r="BD29" s="98">
        <v>0</v>
      </c>
      <c r="BE29" s="105">
        <v>0.11040000000000004</v>
      </c>
      <c r="BF29" s="104">
        <v>0.1</v>
      </c>
      <c r="BG29" s="115">
        <v>0</v>
      </c>
      <c r="BH29" s="104">
        <v>0</v>
      </c>
      <c r="BI29" s="98">
        <v>0</v>
      </c>
      <c r="BJ29" s="105">
        <v>7.1199999999999999E-2</v>
      </c>
      <c r="BK29" s="104">
        <v>0.1</v>
      </c>
      <c r="BL29" s="104">
        <v>0</v>
      </c>
      <c r="BM29" s="107"/>
      <c r="BN29" s="108">
        <v>0.30000000000000004</v>
      </c>
      <c r="BO29" s="108">
        <v>0</v>
      </c>
      <c r="BP29" s="109">
        <v>0</v>
      </c>
      <c r="BQ29" s="110"/>
      <c r="BR29" s="108">
        <v>1499.3999999999999</v>
      </c>
      <c r="BS29" s="109">
        <v>0</v>
      </c>
      <c r="BT29" s="109">
        <v>297.60000000000008</v>
      </c>
      <c r="BU29" s="107"/>
      <c r="BV29" s="111">
        <v>0</v>
      </c>
      <c r="BW29" s="98">
        <v>0</v>
      </c>
      <c r="BX29" s="113"/>
      <c r="BY29" s="113">
        <v>160</v>
      </c>
      <c r="BZ29" s="114">
        <v>160</v>
      </c>
      <c r="CA29" s="114">
        <v>84</v>
      </c>
      <c r="CB29" s="114">
        <v>60</v>
      </c>
      <c r="CC29" s="99">
        <v>304</v>
      </c>
      <c r="CD29" s="115">
        <v>0</v>
      </c>
      <c r="CE29" s="116">
        <v>0</v>
      </c>
      <c r="CF29" s="117">
        <v>0</v>
      </c>
      <c r="CG29" s="118" t="s">
        <v>39</v>
      </c>
      <c r="CH29" s="117">
        <v>0</v>
      </c>
      <c r="CI29" s="118" t="s">
        <v>39</v>
      </c>
      <c r="CJ29" s="117">
        <v>0</v>
      </c>
      <c r="CK29" s="118" t="s">
        <v>39</v>
      </c>
      <c r="CL29" s="119"/>
      <c r="CM29" s="120">
        <v>3</v>
      </c>
      <c r="CN29" s="121">
        <v>3</v>
      </c>
      <c r="CO29" s="120">
        <v>0</v>
      </c>
      <c r="CP29" s="121">
        <v>25609</v>
      </c>
      <c r="CQ29" s="121">
        <v>12500</v>
      </c>
      <c r="CR29" s="100"/>
      <c r="CS29" s="121">
        <v>3100</v>
      </c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 t="s">
        <v>11</v>
      </c>
      <c r="B30" s="442">
        <v>42253.5</v>
      </c>
      <c r="C30" s="453"/>
      <c r="D30" s="84"/>
      <c r="E30" s="23">
        <v>20</v>
      </c>
      <c r="F30" s="15">
        <v>243.1</v>
      </c>
      <c r="G30" s="213">
        <v>16.600000000000001</v>
      </c>
      <c r="H30" s="27">
        <f t="shared" si="16"/>
        <v>243.1</v>
      </c>
      <c r="I30" s="216">
        <f t="shared" si="17"/>
        <v>12.154999999999999</v>
      </c>
      <c r="J30" s="29" t="str">
        <f ca="1">IF($J$5&gt;=B30,"N/A",SUM(INDIRECT(ADDRESS(6+(MATCH($J$5,$B$6:$B$59,0)),8)):H30))</f>
        <v>N/A</v>
      </c>
      <c r="K30" s="10">
        <v>943.3</v>
      </c>
      <c r="L30" s="88"/>
      <c r="M30" s="4">
        <f t="shared" si="18"/>
        <v>251.10000000000014</v>
      </c>
      <c r="N30" s="220">
        <f t="shared" si="0"/>
        <v>12.555000000000007</v>
      </c>
      <c r="O30" s="30" t="str">
        <f ca="1">IF($O$5&gt;=B30,"N/A",SUM(INDIRECT(ADDRESS(6+(MATCH($O$5,$B$6:$B$59,0)),13)):M30))</f>
        <v>N/A</v>
      </c>
      <c r="P30" s="175">
        <f t="shared" si="19"/>
        <v>74</v>
      </c>
      <c r="Q30" s="175">
        <f t="shared" si="20"/>
        <v>-4.104117788193455</v>
      </c>
      <c r="R30" s="175">
        <f t="shared" si="21"/>
        <v>241.10477600000002</v>
      </c>
      <c r="S30" s="70" t="str">
        <f t="shared" si="22"/>
        <v>NOON</v>
      </c>
      <c r="T30" s="241">
        <f t="shared" si="23"/>
        <v>42253.5</v>
      </c>
      <c r="U30" s="157">
        <f t="shared" si="1"/>
        <v>21</v>
      </c>
      <c r="V30" s="158">
        <f t="shared" si="2"/>
        <v>2.5</v>
      </c>
      <c r="W30" s="158">
        <f t="shared" si="3"/>
        <v>0</v>
      </c>
      <c r="X30" s="199">
        <f t="shared" si="4"/>
        <v>23.5</v>
      </c>
      <c r="Y30" s="159">
        <f t="shared" si="5"/>
        <v>1475.8999999999999</v>
      </c>
      <c r="Z30" s="181"/>
      <c r="AA30" s="148">
        <f t="shared" si="6"/>
        <v>0</v>
      </c>
      <c r="AB30" s="149">
        <f t="shared" si="7"/>
        <v>0</v>
      </c>
      <c r="AC30" s="149">
        <f t="shared" si="8"/>
        <v>0</v>
      </c>
      <c r="AD30" s="203">
        <f t="shared" si="9"/>
        <v>0</v>
      </c>
      <c r="AE30" s="150">
        <f t="shared" si="10"/>
        <v>297.60000000000008</v>
      </c>
      <c r="AF30" s="182"/>
      <c r="AG30" s="139">
        <f t="shared" si="11"/>
        <v>13</v>
      </c>
      <c r="AH30" s="140">
        <f t="shared" si="12"/>
        <v>14</v>
      </c>
      <c r="AI30" s="141">
        <f t="shared" si="13"/>
        <v>291</v>
      </c>
      <c r="AJ30" s="166">
        <f t="shared" si="14"/>
        <v>25238</v>
      </c>
      <c r="AK30" s="167">
        <f t="shared" si="14"/>
        <v>12400</v>
      </c>
      <c r="AL30" s="168">
        <f t="shared" si="15"/>
        <v>3100</v>
      </c>
      <c r="AM30" s="237">
        <f t="shared" si="27"/>
        <v>-8.275340012343757E-3</v>
      </c>
      <c r="AN30" s="70" t="str">
        <f t="shared" si="25"/>
        <v>NOON</v>
      </c>
      <c r="AO30" s="241">
        <f t="shared" si="26"/>
        <v>42253.5</v>
      </c>
      <c r="AP30" s="45" t="s">
        <v>40</v>
      </c>
      <c r="AQ30" s="98">
        <v>74</v>
      </c>
      <c r="AR30" s="99">
        <v>241.10477600000002</v>
      </c>
      <c r="AS30" s="99">
        <v>12.055238800000001</v>
      </c>
      <c r="AT30" s="100">
        <v>251</v>
      </c>
      <c r="AU30" s="101">
        <v>12.55</v>
      </c>
      <c r="AV30" s="100">
        <v>251</v>
      </c>
      <c r="AW30" s="101">
        <v>12.55</v>
      </c>
      <c r="AX30" s="101">
        <v>-4.104117788193455</v>
      </c>
      <c r="AY30" s="99">
        <v>-4.104117788193455</v>
      </c>
      <c r="AZ30" s="102"/>
      <c r="BA30" s="102"/>
      <c r="BB30" s="103">
        <v>20.460799999999999</v>
      </c>
      <c r="BC30" s="104">
        <v>21</v>
      </c>
      <c r="BD30" s="98">
        <v>0</v>
      </c>
      <c r="BE30" s="105">
        <v>2.9532000000000007</v>
      </c>
      <c r="BF30" s="104">
        <v>2.5</v>
      </c>
      <c r="BG30" s="115">
        <v>0</v>
      </c>
      <c r="BH30" s="104">
        <v>0</v>
      </c>
      <c r="BI30" s="98">
        <v>0</v>
      </c>
      <c r="BJ30" s="105">
        <v>0</v>
      </c>
      <c r="BK30" s="104">
        <v>0</v>
      </c>
      <c r="BL30" s="104">
        <v>0</v>
      </c>
      <c r="BM30" s="107"/>
      <c r="BN30" s="108">
        <v>23.5</v>
      </c>
      <c r="BO30" s="108">
        <v>0</v>
      </c>
      <c r="BP30" s="109">
        <v>0</v>
      </c>
      <c r="BQ30" s="110"/>
      <c r="BR30" s="108">
        <v>1475.8999999999999</v>
      </c>
      <c r="BS30" s="109">
        <v>0</v>
      </c>
      <c r="BT30" s="109">
        <v>297.60000000000008</v>
      </c>
      <c r="BU30" s="107"/>
      <c r="BV30" s="111">
        <v>14</v>
      </c>
      <c r="BW30" s="98">
        <v>14</v>
      </c>
      <c r="BX30" s="113"/>
      <c r="BY30" s="113">
        <v>171</v>
      </c>
      <c r="BZ30" s="114">
        <v>171</v>
      </c>
      <c r="CA30" s="114">
        <v>84</v>
      </c>
      <c r="CB30" s="114">
        <v>36</v>
      </c>
      <c r="CC30" s="99">
        <v>291</v>
      </c>
      <c r="CD30" s="115">
        <v>27</v>
      </c>
      <c r="CE30" s="116">
        <v>13</v>
      </c>
      <c r="CF30" s="117">
        <v>0</v>
      </c>
      <c r="CG30" s="118" t="s">
        <v>39</v>
      </c>
      <c r="CH30" s="117">
        <v>0</v>
      </c>
      <c r="CI30" s="118" t="s">
        <v>39</v>
      </c>
      <c r="CJ30" s="117">
        <v>0</v>
      </c>
      <c r="CK30" s="118" t="s">
        <v>39</v>
      </c>
      <c r="CL30" s="119"/>
      <c r="CM30" s="120">
        <v>371</v>
      </c>
      <c r="CN30" s="121">
        <v>371</v>
      </c>
      <c r="CO30" s="120">
        <v>0</v>
      </c>
      <c r="CP30" s="121">
        <v>25238</v>
      </c>
      <c r="CQ30" s="121">
        <v>12400</v>
      </c>
      <c r="CR30" s="100">
        <v>100</v>
      </c>
      <c r="CS30" s="121">
        <v>3100</v>
      </c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 t="s">
        <v>11</v>
      </c>
      <c r="B31" s="442">
        <v>42254.5</v>
      </c>
      <c r="C31" s="453"/>
      <c r="D31" s="84"/>
      <c r="E31" s="23">
        <v>23</v>
      </c>
      <c r="F31" s="15">
        <v>502.5</v>
      </c>
      <c r="G31" s="213"/>
      <c r="H31" s="27">
        <f t="shared" si="16"/>
        <v>259.39999999999998</v>
      </c>
      <c r="I31" s="216">
        <f t="shared" si="17"/>
        <v>11.278260869565216</v>
      </c>
      <c r="J31" s="29" t="str">
        <f ca="1">IF($J$5&gt;=B31,"N/A",SUM(INDIRECT(ADDRESS(6+(MATCH($J$5,$B$6:$B$59,0)),8)):H31))</f>
        <v>N/A</v>
      </c>
      <c r="K31" s="10">
        <v>681.7</v>
      </c>
      <c r="L31" s="88"/>
      <c r="M31" s="4">
        <f t="shared" si="18"/>
        <v>261.59999999999991</v>
      </c>
      <c r="N31" s="220">
        <f t="shared" si="0"/>
        <v>11.373913043478257</v>
      </c>
      <c r="O31" s="30" t="str">
        <f ca="1">IF($O$5&gt;=B31,"N/A",SUM(INDIRECT(ADDRESS(6+(MATCH($O$5,$B$6:$B$59,0)),13)):M31))</f>
        <v>N/A</v>
      </c>
      <c r="P31" s="175">
        <f t="shared" si="19"/>
        <v>73.8</v>
      </c>
      <c r="Q31" s="175">
        <f t="shared" si="20"/>
        <v>5.3061343124549767</v>
      </c>
      <c r="R31" s="175">
        <f t="shared" si="21"/>
        <v>276.25865530000004</v>
      </c>
      <c r="S31" s="70" t="str">
        <f t="shared" si="22"/>
        <v>NOON</v>
      </c>
      <c r="T31" s="241">
        <f t="shared" si="23"/>
        <v>42254.5</v>
      </c>
      <c r="U31" s="157">
        <f t="shared" si="1"/>
        <v>24.4</v>
      </c>
      <c r="V31" s="158">
        <f t="shared" si="2"/>
        <v>2.8</v>
      </c>
      <c r="W31" s="158">
        <f t="shared" si="3"/>
        <v>0</v>
      </c>
      <c r="X31" s="199">
        <f t="shared" si="4"/>
        <v>27.2</v>
      </c>
      <c r="Y31" s="159">
        <f t="shared" si="5"/>
        <v>1448.6999999999998</v>
      </c>
      <c r="Z31" s="181"/>
      <c r="AA31" s="148">
        <f t="shared" si="6"/>
        <v>0</v>
      </c>
      <c r="AB31" s="149">
        <f t="shared" si="7"/>
        <v>0.2</v>
      </c>
      <c r="AC31" s="149">
        <f t="shared" si="8"/>
        <v>0</v>
      </c>
      <c r="AD31" s="203">
        <f t="shared" si="9"/>
        <v>0.2</v>
      </c>
      <c r="AE31" s="150">
        <f t="shared" si="10"/>
        <v>297.40000000000009</v>
      </c>
      <c r="AF31" s="182"/>
      <c r="AG31" s="139">
        <f t="shared" si="11"/>
        <v>5</v>
      </c>
      <c r="AH31" s="140">
        <f t="shared" si="12"/>
        <v>15</v>
      </c>
      <c r="AI31" s="141">
        <f t="shared" si="13"/>
        <v>301</v>
      </c>
      <c r="AJ31" s="166">
        <f t="shared" si="14"/>
        <v>24953</v>
      </c>
      <c r="AK31" s="167">
        <f t="shared" si="14"/>
        <v>12200</v>
      </c>
      <c r="AL31" s="168">
        <f t="shared" si="15"/>
        <v>3050</v>
      </c>
      <c r="AM31" s="237">
        <f t="shared" si="27"/>
        <v>6.102489452029148E-2</v>
      </c>
      <c r="AN31" s="70" t="str">
        <f t="shared" si="25"/>
        <v>NOON</v>
      </c>
      <c r="AO31" s="241">
        <f t="shared" si="26"/>
        <v>42254.5</v>
      </c>
      <c r="AP31" s="45" t="s">
        <v>40</v>
      </c>
      <c r="AQ31" s="98">
        <v>73.8</v>
      </c>
      <c r="AR31" s="99">
        <v>276.25865530000004</v>
      </c>
      <c r="AS31" s="99">
        <v>12.011245882608698</v>
      </c>
      <c r="AT31" s="100">
        <v>261.60000000000002</v>
      </c>
      <c r="AU31" s="101">
        <v>11.373913043478263</v>
      </c>
      <c r="AV31" s="100">
        <v>261.60000000000002</v>
      </c>
      <c r="AW31" s="101">
        <v>11.373913043478263</v>
      </c>
      <c r="AX31" s="101">
        <v>5.3061343124549767</v>
      </c>
      <c r="AY31" s="99">
        <v>5.3061343124549767</v>
      </c>
      <c r="AZ31" s="102"/>
      <c r="BA31" s="102"/>
      <c r="BB31" s="103">
        <v>23.984400000000001</v>
      </c>
      <c r="BC31" s="104">
        <v>24.4</v>
      </c>
      <c r="BD31" s="98">
        <v>0</v>
      </c>
      <c r="BE31" s="105">
        <v>3.5695999999999986</v>
      </c>
      <c r="BF31" s="104">
        <v>2.8</v>
      </c>
      <c r="BG31" s="115">
        <v>0</v>
      </c>
      <c r="BH31" s="104">
        <v>0</v>
      </c>
      <c r="BI31" s="98">
        <v>0.2</v>
      </c>
      <c r="BJ31" s="105">
        <v>0</v>
      </c>
      <c r="BK31" s="104">
        <v>0</v>
      </c>
      <c r="BL31" s="104">
        <v>0</v>
      </c>
      <c r="BM31" s="107"/>
      <c r="BN31" s="108">
        <v>27.2</v>
      </c>
      <c r="BO31" s="108">
        <v>0</v>
      </c>
      <c r="BP31" s="109">
        <v>0.2</v>
      </c>
      <c r="BQ31" s="110"/>
      <c r="BR31" s="108">
        <v>1448.6999999999998</v>
      </c>
      <c r="BS31" s="109">
        <v>0</v>
      </c>
      <c r="BT31" s="109">
        <v>297.40000000000009</v>
      </c>
      <c r="BU31" s="107"/>
      <c r="BV31" s="111">
        <v>15</v>
      </c>
      <c r="BW31" s="98">
        <v>15</v>
      </c>
      <c r="BX31" s="113"/>
      <c r="BY31" s="113">
        <v>188</v>
      </c>
      <c r="BZ31" s="114">
        <v>188</v>
      </c>
      <c r="CA31" s="114">
        <v>84</v>
      </c>
      <c r="CB31" s="114">
        <v>29</v>
      </c>
      <c r="CC31" s="99">
        <v>301</v>
      </c>
      <c r="CD31" s="115">
        <v>5</v>
      </c>
      <c r="CE31" s="116">
        <v>5</v>
      </c>
      <c r="CF31" s="117">
        <v>0</v>
      </c>
      <c r="CG31" s="118" t="s">
        <v>39</v>
      </c>
      <c r="CH31" s="117">
        <v>0</v>
      </c>
      <c r="CI31" s="118" t="s">
        <v>39</v>
      </c>
      <c r="CJ31" s="117">
        <v>0</v>
      </c>
      <c r="CK31" s="118" t="s">
        <v>39</v>
      </c>
      <c r="CL31" s="119"/>
      <c r="CM31" s="120">
        <v>285</v>
      </c>
      <c r="CN31" s="121">
        <v>285</v>
      </c>
      <c r="CO31" s="120">
        <v>0</v>
      </c>
      <c r="CP31" s="121">
        <v>24953</v>
      </c>
      <c r="CQ31" s="121">
        <v>12200</v>
      </c>
      <c r="CR31" s="100">
        <v>200</v>
      </c>
      <c r="CS31" s="121">
        <v>3050</v>
      </c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 t="s">
        <v>11</v>
      </c>
      <c r="B32" s="442">
        <v>42255.5</v>
      </c>
      <c r="C32" s="453"/>
      <c r="D32" s="84"/>
      <c r="E32" s="23">
        <v>24</v>
      </c>
      <c r="F32" s="15">
        <v>738.4</v>
      </c>
      <c r="G32" s="213"/>
      <c r="H32" s="27">
        <f t="shared" si="16"/>
        <v>235.89999999999998</v>
      </c>
      <c r="I32" s="216">
        <f t="shared" si="17"/>
        <v>9.8291666666666657</v>
      </c>
      <c r="J32" s="29" t="str">
        <f ca="1">IF($J$5&gt;=B32,"N/A",SUM(INDIRECT(ADDRESS(6+(MATCH($J$5,$B$6:$B$59,0)),8)):H32))</f>
        <v>N/A</v>
      </c>
      <c r="K32" s="10">
        <v>433</v>
      </c>
      <c r="L32" s="88"/>
      <c r="M32" s="4">
        <f t="shared" si="18"/>
        <v>248.70000000000005</v>
      </c>
      <c r="N32" s="220">
        <f t="shared" si="0"/>
        <v>10.362500000000002</v>
      </c>
      <c r="O32" s="30" t="str">
        <f ca="1">IF($O$5&gt;=B32,"N/A",SUM(INDIRECT(ADDRESS(6+(MATCH($O$5,$B$6:$B$59,0)),13)):M32))</f>
        <v>N/A</v>
      </c>
      <c r="P32" s="175">
        <f t="shared" si="19"/>
        <v>74.8</v>
      </c>
      <c r="Q32" s="175">
        <f t="shared" si="20"/>
        <v>14.855793177528026</v>
      </c>
      <c r="R32" s="175">
        <f t="shared" si="21"/>
        <v>292.09268520000001</v>
      </c>
      <c r="S32" s="70" t="str">
        <f t="shared" si="22"/>
        <v>NOON</v>
      </c>
      <c r="T32" s="241">
        <f t="shared" si="23"/>
        <v>42255.5</v>
      </c>
      <c r="U32" s="157">
        <f t="shared" si="1"/>
        <v>28.3</v>
      </c>
      <c r="V32" s="158">
        <f t="shared" si="2"/>
        <v>2.8</v>
      </c>
      <c r="W32" s="158">
        <f t="shared" si="3"/>
        <v>0</v>
      </c>
      <c r="X32" s="199">
        <f t="shared" si="4"/>
        <v>31.1</v>
      </c>
      <c r="Y32" s="159">
        <f t="shared" si="5"/>
        <v>1417.6</v>
      </c>
      <c r="Z32" s="181"/>
      <c r="AA32" s="148">
        <f t="shared" si="6"/>
        <v>0</v>
      </c>
      <c r="AB32" s="149">
        <f t="shared" si="7"/>
        <v>0</v>
      </c>
      <c r="AC32" s="149">
        <f t="shared" si="8"/>
        <v>0</v>
      </c>
      <c r="AD32" s="203">
        <f t="shared" si="9"/>
        <v>0</v>
      </c>
      <c r="AE32" s="150">
        <f t="shared" si="10"/>
        <v>297.40000000000009</v>
      </c>
      <c r="AF32" s="182"/>
      <c r="AG32" s="139">
        <f t="shared" si="11"/>
        <v>9</v>
      </c>
      <c r="AH32" s="140">
        <f t="shared" si="12"/>
        <v>15</v>
      </c>
      <c r="AI32" s="141">
        <f t="shared" si="13"/>
        <v>307</v>
      </c>
      <c r="AJ32" s="166">
        <f t="shared" si="14"/>
        <v>24652</v>
      </c>
      <c r="AK32" s="167">
        <f t="shared" si="14"/>
        <v>12000</v>
      </c>
      <c r="AL32" s="168">
        <f t="shared" si="15"/>
        <v>3000</v>
      </c>
      <c r="AM32" s="237">
        <f t="shared" si="27"/>
        <v>0.19237963854358112</v>
      </c>
      <c r="AN32" s="70" t="str">
        <f t="shared" si="25"/>
        <v>NOON</v>
      </c>
      <c r="AO32" s="241">
        <f t="shared" si="26"/>
        <v>42255.5</v>
      </c>
      <c r="AP32" s="45" t="s">
        <v>40</v>
      </c>
      <c r="AQ32" s="98">
        <v>74.8</v>
      </c>
      <c r="AR32" s="99">
        <v>292.09268520000001</v>
      </c>
      <c r="AS32" s="99">
        <v>12.17052855</v>
      </c>
      <c r="AT32" s="100">
        <v>248.7</v>
      </c>
      <c r="AU32" s="101">
        <v>10.362499999999999</v>
      </c>
      <c r="AV32" s="100">
        <v>248.7</v>
      </c>
      <c r="AW32" s="101">
        <v>10.362499999999999</v>
      </c>
      <c r="AX32" s="101">
        <v>14.855793177528026</v>
      </c>
      <c r="AY32" s="99">
        <v>14.855793177528026</v>
      </c>
      <c r="AZ32" s="102"/>
      <c r="BA32" s="102"/>
      <c r="BB32" s="103">
        <v>27.986399999999996</v>
      </c>
      <c r="BC32" s="104">
        <v>28.3</v>
      </c>
      <c r="BD32" s="98">
        <v>0</v>
      </c>
      <c r="BE32" s="105">
        <v>3.707600000000002</v>
      </c>
      <c r="BF32" s="104">
        <v>2.8</v>
      </c>
      <c r="BG32" s="115">
        <v>0</v>
      </c>
      <c r="BH32" s="104">
        <v>0</v>
      </c>
      <c r="BI32" s="98">
        <v>0</v>
      </c>
      <c r="BJ32" s="105">
        <v>0</v>
      </c>
      <c r="BK32" s="104">
        <v>0</v>
      </c>
      <c r="BL32" s="104">
        <v>0</v>
      </c>
      <c r="BM32" s="107"/>
      <c r="BN32" s="108">
        <v>31.1</v>
      </c>
      <c r="BO32" s="108">
        <v>0</v>
      </c>
      <c r="BP32" s="109">
        <v>0</v>
      </c>
      <c r="BQ32" s="110"/>
      <c r="BR32" s="108">
        <v>1417.6</v>
      </c>
      <c r="BS32" s="109">
        <v>0</v>
      </c>
      <c r="BT32" s="109">
        <v>297.40000000000009</v>
      </c>
      <c r="BU32" s="107"/>
      <c r="BV32" s="111">
        <v>15</v>
      </c>
      <c r="BW32" s="98">
        <v>15</v>
      </c>
      <c r="BX32" s="113"/>
      <c r="BY32" s="113">
        <v>188</v>
      </c>
      <c r="BZ32" s="114">
        <v>188</v>
      </c>
      <c r="CA32" s="114">
        <v>84</v>
      </c>
      <c r="CB32" s="114">
        <v>35</v>
      </c>
      <c r="CC32" s="99">
        <v>307</v>
      </c>
      <c r="CD32" s="115">
        <v>9</v>
      </c>
      <c r="CE32" s="116">
        <v>9</v>
      </c>
      <c r="CF32" s="117">
        <v>0</v>
      </c>
      <c r="CG32" s="118" t="s">
        <v>39</v>
      </c>
      <c r="CH32" s="117">
        <v>0</v>
      </c>
      <c r="CI32" s="118" t="s">
        <v>39</v>
      </c>
      <c r="CJ32" s="117">
        <v>0</v>
      </c>
      <c r="CK32" s="118" t="s">
        <v>39</v>
      </c>
      <c r="CL32" s="119"/>
      <c r="CM32" s="120">
        <v>301</v>
      </c>
      <c r="CN32" s="121">
        <v>301</v>
      </c>
      <c r="CO32" s="120">
        <v>0</v>
      </c>
      <c r="CP32" s="121">
        <v>24652</v>
      </c>
      <c r="CQ32" s="121">
        <v>12000</v>
      </c>
      <c r="CR32" s="100">
        <v>200</v>
      </c>
      <c r="CS32" s="121">
        <v>3000</v>
      </c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 t="s">
        <v>11</v>
      </c>
      <c r="B33" s="442">
        <v>42256.5</v>
      </c>
      <c r="C33" s="453"/>
      <c r="D33" s="84"/>
      <c r="E33" s="23">
        <v>23</v>
      </c>
      <c r="F33" s="15">
        <v>927.8</v>
      </c>
      <c r="G33" s="213"/>
      <c r="H33" s="27">
        <f t="shared" si="16"/>
        <v>189.39999999999998</v>
      </c>
      <c r="I33" s="216">
        <f t="shared" si="17"/>
        <v>8.2347826086956513</v>
      </c>
      <c r="J33" s="29" t="str">
        <f ca="1">IF($J$5&gt;=B33,"N/A",SUM(INDIRECT(ADDRESS(6+(MATCH($J$5,$B$6:$B$59,0)),8)):H33))</f>
        <v>N/A</v>
      </c>
      <c r="K33" s="10">
        <v>239.3</v>
      </c>
      <c r="L33" s="88"/>
      <c r="M33" s="4">
        <f t="shared" si="18"/>
        <v>193.7</v>
      </c>
      <c r="N33" s="220">
        <f t="shared" si="0"/>
        <v>8.4217391304347817</v>
      </c>
      <c r="O33" s="30" t="str">
        <f ca="1">IF($O$5&gt;=B33,"N/A",SUM(INDIRECT(ADDRESS(6+(MATCH($O$5,$B$6:$B$59,0)),13)):M33))</f>
        <v>N/A</v>
      </c>
      <c r="P33" s="175">
        <f t="shared" si="19"/>
        <v>63</v>
      </c>
      <c r="Q33" s="175">
        <f t="shared" si="20"/>
        <v>18.029074304452056</v>
      </c>
      <c r="R33" s="175">
        <f t="shared" si="21"/>
        <v>236.30329700000001</v>
      </c>
      <c r="S33" s="70" t="str">
        <f t="shared" si="22"/>
        <v>NOON</v>
      </c>
      <c r="T33" s="241">
        <f t="shared" si="23"/>
        <v>42256.5</v>
      </c>
      <c r="U33" s="157">
        <f t="shared" si="1"/>
        <v>19.600000000000001</v>
      </c>
      <c r="V33" s="158">
        <f t="shared" si="2"/>
        <v>3.6</v>
      </c>
      <c r="W33" s="158">
        <f t="shared" si="3"/>
        <v>1</v>
      </c>
      <c r="X33" s="199">
        <f t="shared" si="4"/>
        <v>24.200000000000003</v>
      </c>
      <c r="Y33" s="159">
        <f t="shared" si="5"/>
        <v>1393.3999999999999</v>
      </c>
      <c r="Z33" s="181"/>
      <c r="AA33" s="148">
        <f t="shared" si="6"/>
        <v>0</v>
      </c>
      <c r="AB33" s="149">
        <f t="shared" si="7"/>
        <v>0</v>
      </c>
      <c r="AC33" s="149">
        <f t="shared" si="8"/>
        <v>0</v>
      </c>
      <c r="AD33" s="203">
        <f t="shared" si="9"/>
        <v>0</v>
      </c>
      <c r="AE33" s="150">
        <f t="shared" si="10"/>
        <v>297.40000000000009</v>
      </c>
      <c r="AF33" s="182"/>
      <c r="AG33" s="139">
        <f t="shared" si="11"/>
        <v>6</v>
      </c>
      <c r="AH33" s="140">
        <f t="shared" si="12"/>
        <v>15</v>
      </c>
      <c r="AI33" s="141">
        <f t="shared" si="13"/>
        <v>316</v>
      </c>
      <c r="AJ33" s="166">
        <f t="shared" si="14"/>
        <v>24392</v>
      </c>
      <c r="AK33" s="167">
        <f t="shared" si="14"/>
        <v>11900</v>
      </c>
      <c r="AL33" s="168">
        <f t="shared" si="15"/>
        <v>3000</v>
      </c>
      <c r="AM33" s="237">
        <f t="shared" si="27"/>
        <v>0.19848769608999589</v>
      </c>
      <c r="AN33" s="70" t="str">
        <f t="shared" si="25"/>
        <v>NOON</v>
      </c>
      <c r="AO33" s="241">
        <f t="shared" si="26"/>
        <v>42256.5</v>
      </c>
      <c r="AP33" s="45" t="s">
        <v>40</v>
      </c>
      <c r="AQ33" s="98">
        <v>63</v>
      </c>
      <c r="AR33" s="99">
        <v>236.30329700000001</v>
      </c>
      <c r="AS33" s="99">
        <v>10.274056391304349</v>
      </c>
      <c r="AT33" s="100">
        <v>193.7</v>
      </c>
      <c r="AU33" s="101">
        <v>8.4217391304347817</v>
      </c>
      <c r="AV33" s="100">
        <v>193.7</v>
      </c>
      <c r="AW33" s="101">
        <v>8.4217391304347817</v>
      </c>
      <c r="AX33" s="101">
        <v>18.029074304452056</v>
      </c>
      <c r="AY33" s="99">
        <v>18.029074304452056</v>
      </c>
      <c r="AZ33" s="102"/>
      <c r="BA33" s="102"/>
      <c r="BB33" s="103">
        <v>18.639200000000002</v>
      </c>
      <c r="BC33" s="104">
        <v>19.600000000000001</v>
      </c>
      <c r="BD33" s="98">
        <v>0</v>
      </c>
      <c r="BE33" s="105">
        <v>4.9312000000000005</v>
      </c>
      <c r="BF33" s="104">
        <v>3.6</v>
      </c>
      <c r="BG33" s="115">
        <v>0</v>
      </c>
      <c r="BH33" s="104">
        <v>0</v>
      </c>
      <c r="BI33" s="98">
        <v>0</v>
      </c>
      <c r="BJ33" s="105">
        <v>1.0235000000000001</v>
      </c>
      <c r="BK33" s="104">
        <v>1</v>
      </c>
      <c r="BL33" s="104">
        <v>0</v>
      </c>
      <c r="BM33" s="107"/>
      <c r="BN33" s="108">
        <v>24.200000000000003</v>
      </c>
      <c r="BO33" s="108">
        <v>0</v>
      </c>
      <c r="BP33" s="109">
        <v>0</v>
      </c>
      <c r="BQ33" s="110"/>
      <c r="BR33" s="108">
        <v>1393.3999999999999</v>
      </c>
      <c r="BS33" s="109">
        <v>0</v>
      </c>
      <c r="BT33" s="109">
        <v>297.40000000000009</v>
      </c>
      <c r="BU33" s="107"/>
      <c r="BV33" s="111">
        <v>15</v>
      </c>
      <c r="BW33" s="98">
        <v>15</v>
      </c>
      <c r="BX33" s="113"/>
      <c r="BY33" s="113">
        <v>188</v>
      </c>
      <c r="BZ33" s="114">
        <v>188</v>
      </c>
      <c r="CA33" s="114">
        <v>84</v>
      </c>
      <c r="CB33" s="114">
        <v>44</v>
      </c>
      <c r="CC33" s="99">
        <v>316</v>
      </c>
      <c r="CD33" s="115">
        <v>6</v>
      </c>
      <c r="CE33" s="116">
        <v>6</v>
      </c>
      <c r="CF33" s="117">
        <v>0</v>
      </c>
      <c r="CG33" s="118" t="s">
        <v>39</v>
      </c>
      <c r="CH33" s="117">
        <v>0</v>
      </c>
      <c r="CI33" s="118" t="s">
        <v>39</v>
      </c>
      <c r="CJ33" s="117">
        <v>0</v>
      </c>
      <c r="CK33" s="118" t="s">
        <v>39</v>
      </c>
      <c r="CL33" s="119"/>
      <c r="CM33" s="120">
        <v>260</v>
      </c>
      <c r="CN33" s="121">
        <v>260</v>
      </c>
      <c r="CO33" s="120">
        <v>0</v>
      </c>
      <c r="CP33" s="121">
        <v>24392</v>
      </c>
      <c r="CQ33" s="121">
        <v>11900</v>
      </c>
      <c r="CR33" s="100">
        <v>100</v>
      </c>
      <c r="CS33" s="121">
        <v>3000</v>
      </c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 t="s">
        <v>11</v>
      </c>
      <c r="B34" s="442">
        <v>42257.5</v>
      </c>
      <c r="C34" s="443"/>
      <c r="D34" s="84"/>
      <c r="E34" s="23">
        <v>24</v>
      </c>
      <c r="F34" s="15">
        <f>1075.8+15</f>
        <v>1090.8</v>
      </c>
      <c r="G34" s="213"/>
      <c r="H34" s="27">
        <f t="shared" si="16"/>
        <v>163</v>
      </c>
      <c r="I34" s="216">
        <f t="shared" si="17"/>
        <v>6.791666666666667</v>
      </c>
      <c r="J34" s="29" t="str">
        <f ca="1">IF($J$5&gt;=B34,"N/A",SUM(INDIRECT(ADDRESS(6+(MATCH($J$5,$B$6:$B$59,0)),8)):H34))</f>
        <v>N/A</v>
      </c>
      <c r="K34" s="10">
        <f>89.6-15</f>
        <v>74.599999999999994</v>
      </c>
      <c r="L34" s="88"/>
      <c r="M34" s="4">
        <f t="shared" si="18"/>
        <v>164.70000000000002</v>
      </c>
      <c r="N34" s="220">
        <f t="shared" si="0"/>
        <v>6.8625000000000007</v>
      </c>
      <c r="O34" s="30" t="str">
        <f ca="1">IF($O$5&gt;=B34,"N/A",SUM(INDIRECT(ADDRESS(6+(MATCH($O$5,$B$6:$B$59,0)),13)):M34))</f>
        <v>N/A</v>
      </c>
      <c r="P34" s="175">
        <f t="shared" si="19"/>
        <v>70</v>
      </c>
      <c r="Q34" s="175">
        <f t="shared" si="20"/>
        <v>39.799999999999997</v>
      </c>
      <c r="R34" s="175">
        <f t="shared" si="21"/>
        <v>273.61377279999999</v>
      </c>
      <c r="S34" s="70" t="str">
        <f t="shared" si="22"/>
        <v>NOON</v>
      </c>
      <c r="T34" s="241">
        <f t="shared" si="23"/>
        <v>42257.5</v>
      </c>
      <c r="U34" s="157">
        <f t="shared" si="1"/>
        <v>27.5</v>
      </c>
      <c r="V34" s="158">
        <f t="shared" si="2"/>
        <v>3.3</v>
      </c>
      <c r="W34" s="158">
        <f t="shared" si="3"/>
        <v>0.3</v>
      </c>
      <c r="X34" s="199">
        <f t="shared" si="4"/>
        <v>31.1</v>
      </c>
      <c r="Y34" s="159">
        <f t="shared" si="5"/>
        <v>1362.3</v>
      </c>
      <c r="Z34" s="181"/>
      <c r="AA34" s="148">
        <f t="shared" si="6"/>
        <v>0</v>
      </c>
      <c r="AB34" s="149">
        <f t="shared" si="7"/>
        <v>0</v>
      </c>
      <c r="AC34" s="149">
        <f t="shared" si="8"/>
        <v>0</v>
      </c>
      <c r="AD34" s="203">
        <f t="shared" si="9"/>
        <v>0</v>
      </c>
      <c r="AE34" s="150">
        <f t="shared" si="10"/>
        <v>297.40000000000009</v>
      </c>
      <c r="AF34" s="182"/>
      <c r="AG34" s="139">
        <f t="shared" si="11"/>
        <v>7</v>
      </c>
      <c r="AH34" s="140">
        <f t="shared" si="12"/>
        <v>16</v>
      </c>
      <c r="AI34" s="141">
        <f t="shared" si="13"/>
        <v>325</v>
      </c>
      <c r="AJ34" s="166">
        <f t="shared" si="14"/>
        <v>24113</v>
      </c>
      <c r="AK34" s="167">
        <f t="shared" si="14"/>
        <v>11700</v>
      </c>
      <c r="AL34" s="168">
        <f t="shared" si="15"/>
        <v>2950</v>
      </c>
      <c r="AM34" s="237">
        <f t="shared" si="27"/>
        <v>0.40426975465468967</v>
      </c>
      <c r="AN34" s="70" t="str">
        <f t="shared" si="25"/>
        <v>NOON</v>
      </c>
      <c r="AO34" s="241">
        <f t="shared" si="26"/>
        <v>42257.5</v>
      </c>
      <c r="AP34" s="45" t="s">
        <v>40</v>
      </c>
      <c r="AQ34" s="98">
        <v>70</v>
      </c>
      <c r="AR34" s="99">
        <v>273.61377279999999</v>
      </c>
      <c r="AS34" s="99">
        <v>11.400573866666667</v>
      </c>
      <c r="AT34" s="100">
        <v>149.69999999999999</v>
      </c>
      <c r="AU34" s="101">
        <v>6.2374999999999998</v>
      </c>
      <c r="AV34" s="100">
        <v>149.69999999999999</v>
      </c>
      <c r="AW34" s="101">
        <v>6.2374999999999998</v>
      </c>
      <c r="AX34" s="101">
        <v>45.2878418845442</v>
      </c>
      <c r="AY34" s="99">
        <v>39.799999999999997</v>
      </c>
      <c r="AZ34" s="102"/>
      <c r="BA34" s="102"/>
      <c r="BB34" s="103">
        <v>26.302800000000001</v>
      </c>
      <c r="BC34" s="104">
        <v>27.5</v>
      </c>
      <c r="BD34" s="98">
        <v>0</v>
      </c>
      <c r="BE34" s="105">
        <v>4.7012000000000009</v>
      </c>
      <c r="BF34" s="104">
        <v>3.3</v>
      </c>
      <c r="BG34" s="115">
        <v>0</v>
      </c>
      <c r="BH34" s="104">
        <v>0</v>
      </c>
      <c r="BI34" s="98">
        <v>0</v>
      </c>
      <c r="BJ34" s="105">
        <v>0.2225</v>
      </c>
      <c r="BK34" s="104">
        <v>0.3</v>
      </c>
      <c r="BL34" s="104">
        <v>0</v>
      </c>
      <c r="BM34" s="107"/>
      <c r="BN34" s="108">
        <v>31.1</v>
      </c>
      <c r="BO34" s="108">
        <v>0</v>
      </c>
      <c r="BP34" s="109">
        <v>0</v>
      </c>
      <c r="BQ34" s="110"/>
      <c r="BR34" s="108">
        <v>1362.3</v>
      </c>
      <c r="BS34" s="109">
        <v>0</v>
      </c>
      <c r="BT34" s="109">
        <v>297.40000000000009</v>
      </c>
      <c r="BU34" s="107"/>
      <c r="BV34" s="111">
        <v>16</v>
      </c>
      <c r="BW34" s="98">
        <v>16</v>
      </c>
      <c r="BX34" s="113"/>
      <c r="BY34" s="113">
        <v>188</v>
      </c>
      <c r="BZ34" s="114">
        <v>188</v>
      </c>
      <c r="CA34" s="114">
        <v>83</v>
      </c>
      <c r="CB34" s="114">
        <v>54</v>
      </c>
      <c r="CC34" s="99">
        <v>325</v>
      </c>
      <c r="CD34" s="115">
        <v>7</v>
      </c>
      <c r="CE34" s="116">
        <v>7</v>
      </c>
      <c r="CF34" s="90">
        <v>0</v>
      </c>
      <c r="CG34" s="90" t="s">
        <v>39</v>
      </c>
      <c r="CH34" s="90">
        <v>0</v>
      </c>
      <c r="CI34" s="90" t="s">
        <v>39</v>
      </c>
      <c r="CJ34" s="90">
        <v>0</v>
      </c>
      <c r="CK34" s="90" t="s">
        <v>39</v>
      </c>
      <c r="CL34" s="90"/>
      <c r="CM34" s="90">
        <v>279</v>
      </c>
      <c r="CN34" s="90">
        <v>279</v>
      </c>
      <c r="CO34" s="90">
        <v>0</v>
      </c>
      <c r="CP34" s="121">
        <v>24113</v>
      </c>
      <c r="CQ34" s="121">
        <v>11700</v>
      </c>
      <c r="CR34" s="100">
        <v>200</v>
      </c>
      <c r="CS34" s="121">
        <v>2950</v>
      </c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 t="s">
        <v>97</v>
      </c>
      <c r="B35" s="442">
        <v>42258.020833333336</v>
      </c>
      <c r="C35" s="443"/>
      <c r="D35" s="84"/>
      <c r="E35" s="23">
        <v>12.5</v>
      </c>
      <c r="F35" s="15">
        <f>1136.3+20</f>
        <v>1156.3</v>
      </c>
      <c r="G35" s="213"/>
      <c r="H35" s="27">
        <f t="shared" si="16"/>
        <v>65.5</v>
      </c>
      <c r="I35" s="216">
        <f t="shared" si="17"/>
        <v>5.24</v>
      </c>
      <c r="J35" s="29" t="str">
        <f ca="1">IF($J$5&gt;=B35,"N/A",SUM(INDIRECT(ADDRESS(6+(MATCH($J$5,$B$6:$B$59,0)),8)):H35))</f>
        <v>N/A</v>
      </c>
      <c r="K35" s="10">
        <f>35.7-20</f>
        <v>15.700000000000003</v>
      </c>
      <c r="L35" s="88"/>
      <c r="M35" s="4">
        <f t="shared" si="18"/>
        <v>58.899999999999991</v>
      </c>
      <c r="N35" s="220">
        <f t="shared" si="0"/>
        <v>4.7119999999999997</v>
      </c>
      <c r="O35" s="30" t="str">
        <f ca="1">IF($O$5&gt;=B35,"N/A",SUM(INDIRECT(ADDRESS(6+(MATCH($O$5,$B$6:$B$59,0)),13)):M35))</f>
        <v>N/A</v>
      </c>
      <c r="P35" s="175">
        <f t="shared" si="19"/>
        <v>52.3</v>
      </c>
      <c r="Q35" s="175">
        <f t="shared" si="20"/>
        <v>44.658498294840015</v>
      </c>
      <c r="R35" s="175">
        <f t="shared" si="21"/>
        <v>106.43007180000001</v>
      </c>
      <c r="S35" s="70" t="str">
        <f t="shared" si="22"/>
        <v>EOSP</v>
      </c>
      <c r="T35" s="241">
        <f t="shared" si="23"/>
        <v>42258.020833333336</v>
      </c>
      <c r="U35" s="157">
        <f t="shared" si="1"/>
        <v>7.7</v>
      </c>
      <c r="V35" s="158">
        <f t="shared" si="2"/>
        <v>1.5</v>
      </c>
      <c r="W35" s="158">
        <f t="shared" si="3"/>
        <v>1.5</v>
      </c>
      <c r="X35" s="199">
        <f t="shared" si="4"/>
        <v>10.7</v>
      </c>
      <c r="Y35" s="159">
        <f t="shared" si="5"/>
        <v>1351.6</v>
      </c>
      <c r="Z35" s="181"/>
      <c r="AA35" s="148">
        <f t="shared" si="6"/>
        <v>0</v>
      </c>
      <c r="AB35" s="149">
        <f t="shared" si="7"/>
        <v>0</v>
      </c>
      <c r="AC35" s="149">
        <f t="shared" si="8"/>
        <v>0</v>
      </c>
      <c r="AD35" s="203">
        <f t="shared" si="9"/>
        <v>0</v>
      </c>
      <c r="AE35" s="150">
        <f t="shared" si="10"/>
        <v>297.40000000000009</v>
      </c>
      <c r="AF35" s="182"/>
      <c r="AG35" s="139">
        <f t="shared" si="11"/>
        <v>7</v>
      </c>
      <c r="AH35" s="140">
        <f t="shared" si="12"/>
        <v>9</v>
      </c>
      <c r="AI35" s="141">
        <f t="shared" si="13"/>
        <v>327</v>
      </c>
      <c r="AJ35" s="166">
        <f t="shared" si="14"/>
        <v>23980</v>
      </c>
      <c r="AK35" s="167">
        <f t="shared" si="14"/>
        <v>11500</v>
      </c>
      <c r="AL35" s="168">
        <f t="shared" si="15"/>
        <v>2950</v>
      </c>
      <c r="AM35" s="237">
        <f t="shared" si="27"/>
        <v>0.38457243434839067</v>
      </c>
      <c r="AN35" s="70" t="str">
        <f t="shared" si="25"/>
        <v>EOSP</v>
      </c>
      <c r="AO35" s="241">
        <f t="shared" si="26"/>
        <v>42258.020833333336</v>
      </c>
      <c r="AP35" s="45" t="s">
        <v>40</v>
      </c>
      <c r="AQ35" s="98">
        <v>52.3</v>
      </c>
      <c r="AR35" s="99">
        <v>106.43007180000001</v>
      </c>
      <c r="AS35" s="99">
        <v>8.5144057440000012</v>
      </c>
      <c r="AT35" s="100">
        <v>58.9</v>
      </c>
      <c r="AU35" s="101">
        <v>4.7119999999999997</v>
      </c>
      <c r="AV35" s="100">
        <v>58.9</v>
      </c>
      <c r="AW35" s="101">
        <v>4.7119999999999997</v>
      </c>
      <c r="AX35" s="101">
        <v>44.658498294840015</v>
      </c>
      <c r="AY35" s="99">
        <v>44.658498294840015</v>
      </c>
      <c r="AZ35" s="102"/>
      <c r="BA35" s="102"/>
      <c r="BB35" s="103">
        <v>7.4151999999999987</v>
      </c>
      <c r="BC35" s="104">
        <v>7.7</v>
      </c>
      <c r="BD35" s="98">
        <v>0</v>
      </c>
      <c r="BE35" s="105">
        <v>2.3092000000000006</v>
      </c>
      <c r="BF35" s="104">
        <v>1.5</v>
      </c>
      <c r="BG35" s="115">
        <v>0</v>
      </c>
      <c r="BH35" s="104">
        <v>0</v>
      </c>
      <c r="BI35" s="98">
        <v>0</v>
      </c>
      <c r="BJ35" s="105">
        <v>1.4062000000000001</v>
      </c>
      <c r="BK35" s="104">
        <v>1.5</v>
      </c>
      <c r="BL35" s="104">
        <v>0</v>
      </c>
      <c r="BM35" s="107"/>
      <c r="BN35" s="108">
        <v>10.7</v>
      </c>
      <c r="BO35" s="108">
        <v>0</v>
      </c>
      <c r="BP35" s="109">
        <v>0</v>
      </c>
      <c r="BQ35" s="110"/>
      <c r="BR35" s="108">
        <v>1351.6</v>
      </c>
      <c r="BS35" s="109">
        <v>0</v>
      </c>
      <c r="BT35" s="109">
        <v>297.40000000000009</v>
      </c>
      <c r="BU35" s="107"/>
      <c r="BV35" s="111">
        <v>9</v>
      </c>
      <c r="BW35" s="98">
        <v>9</v>
      </c>
      <c r="BX35" s="113"/>
      <c r="BY35" s="113">
        <v>188</v>
      </c>
      <c r="BZ35" s="114">
        <v>188</v>
      </c>
      <c r="CA35" s="114">
        <v>83</v>
      </c>
      <c r="CB35" s="114">
        <v>56</v>
      </c>
      <c r="CC35" s="99">
        <v>327</v>
      </c>
      <c r="CD35" s="115">
        <v>7</v>
      </c>
      <c r="CE35" s="116">
        <v>7</v>
      </c>
      <c r="CF35" s="90">
        <v>0</v>
      </c>
      <c r="CG35" s="90" t="s">
        <v>39</v>
      </c>
      <c r="CH35" s="90">
        <v>0</v>
      </c>
      <c r="CI35" s="90" t="s">
        <v>39</v>
      </c>
      <c r="CJ35" s="90">
        <v>0</v>
      </c>
      <c r="CK35" s="90" t="s">
        <v>39</v>
      </c>
      <c r="CL35" s="90"/>
      <c r="CM35" s="90">
        <v>113</v>
      </c>
      <c r="CN35" s="90">
        <v>133</v>
      </c>
      <c r="CO35" s="90">
        <v>20</v>
      </c>
      <c r="CP35" s="121">
        <v>23980</v>
      </c>
      <c r="CQ35" s="121">
        <v>11500</v>
      </c>
      <c r="CR35" s="100">
        <v>200</v>
      </c>
      <c r="CS35" s="121">
        <v>2950</v>
      </c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 t="s">
        <v>103</v>
      </c>
      <c r="B36" s="442">
        <v>42258.5</v>
      </c>
      <c r="C36" s="453"/>
      <c r="D36" s="84" t="s">
        <v>129</v>
      </c>
      <c r="E36" s="23">
        <v>11.5</v>
      </c>
      <c r="F36" s="15">
        <v>1185.9000000000001</v>
      </c>
      <c r="G36" s="213">
        <v>20</v>
      </c>
      <c r="H36" s="27">
        <f t="shared" si="16"/>
        <v>49.600000000000136</v>
      </c>
      <c r="I36" s="216">
        <f t="shared" si="17"/>
        <v>4.3130434782608811</v>
      </c>
      <c r="J36" s="29" t="str">
        <f ca="1">IF($J$5&gt;=B36,"N/A",SUM(INDIRECT(ADDRESS(6+(MATCH($J$5,$B$6:$B$59,0)),8)):H36))</f>
        <v>N/A</v>
      </c>
      <c r="K36" s="10">
        <v>15.7</v>
      </c>
      <c r="L36" s="88">
        <v>49.1</v>
      </c>
      <c r="M36" s="4">
        <f t="shared" si="18"/>
        <v>49.100000000000009</v>
      </c>
      <c r="N36" s="220">
        <f t="shared" si="0"/>
        <v>4.269565217391305</v>
      </c>
      <c r="O36" s="30" t="str">
        <f ca="1">IF($O$5&gt;=B36,"N/A",SUM(INDIRECT(ADDRESS(6+(MATCH($O$5,$B$6:$B$59,0)),13)):M36))</f>
        <v>N/A</v>
      </c>
      <c r="P36" s="175">
        <f t="shared" si="19"/>
        <v>31</v>
      </c>
      <c r="Q36" s="175">
        <f t="shared" si="20"/>
        <v>15.388706419531564</v>
      </c>
      <c r="R36" s="175">
        <f t="shared" si="21"/>
        <v>58.030078400000001</v>
      </c>
      <c r="S36" s="70" t="str">
        <f t="shared" si="22"/>
        <v>PNOON</v>
      </c>
      <c r="T36" s="241">
        <f t="shared" si="23"/>
        <v>42258.5</v>
      </c>
      <c r="U36" s="157">
        <f t="shared" si="1"/>
        <v>2</v>
      </c>
      <c r="V36" s="158">
        <f t="shared" si="2"/>
        <v>1.5</v>
      </c>
      <c r="W36" s="158">
        <f t="shared" si="3"/>
        <v>1.8</v>
      </c>
      <c r="X36" s="199">
        <f t="shared" si="4"/>
        <v>5.3</v>
      </c>
      <c r="Y36" s="159">
        <f t="shared" si="5"/>
        <v>1346.3</v>
      </c>
      <c r="Z36" s="181"/>
      <c r="AA36" s="148">
        <f t="shared" si="6"/>
        <v>0</v>
      </c>
      <c r="AB36" s="149">
        <f t="shared" si="7"/>
        <v>0</v>
      </c>
      <c r="AC36" s="149">
        <f t="shared" si="8"/>
        <v>0</v>
      </c>
      <c r="AD36" s="203">
        <f t="shared" si="9"/>
        <v>0</v>
      </c>
      <c r="AE36" s="150">
        <f t="shared" si="10"/>
        <v>297.40000000000009</v>
      </c>
      <c r="AF36" s="182"/>
      <c r="AG36" s="139">
        <f t="shared" si="11"/>
        <v>0</v>
      </c>
      <c r="AH36" s="140">
        <f t="shared" si="12"/>
        <v>7</v>
      </c>
      <c r="AI36" s="141">
        <f t="shared" si="13"/>
        <v>334</v>
      </c>
      <c r="AJ36" s="166">
        <f t="shared" si="14"/>
        <v>23921</v>
      </c>
      <c r="AK36" s="167">
        <f t="shared" si="14"/>
        <v>11500</v>
      </c>
      <c r="AL36" s="168">
        <f t="shared" si="15"/>
        <v>2950</v>
      </c>
      <c r="AM36" s="237">
        <f t="shared" si="27"/>
        <v>0.14527084285310674</v>
      </c>
      <c r="AN36" s="70" t="str">
        <f t="shared" si="25"/>
        <v>PNOON</v>
      </c>
      <c r="AO36" s="241">
        <f t="shared" si="26"/>
        <v>42258.5</v>
      </c>
      <c r="AP36" s="45" t="s">
        <v>40</v>
      </c>
      <c r="AQ36" s="98">
        <v>31</v>
      </c>
      <c r="AR36" s="99">
        <v>58.030078400000001</v>
      </c>
      <c r="AS36" s="99">
        <v>5.0460937739130438</v>
      </c>
      <c r="AT36" s="100">
        <v>49.1</v>
      </c>
      <c r="AU36" s="101">
        <v>4.2695652173913041</v>
      </c>
      <c r="AV36" s="100">
        <v>49.1</v>
      </c>
      <c r="AW36" s="101">
        <v>4.2695652173913041</v>
      </c>
      <c r="AX36" s="101">
        <v>15.388706419531564</v>
      </c>
      <c r="AY36" s="99">
        <v>15.388706419531564</v>
      </c>
      <c r="AZ36" s="102"/>
      <c r="BA36" s="102"/>
      <c r="BB36" s="103">
        <v>1.4628000000000008</v>
      </c>
      <c r="BC36" s="104">
        <v>2</v>
      </c>
      <c r="BD36" s="98">
        <v>0</v>
      </c>
      <c r="BE36" s="105">
        <v>1.9043999999999996</v>
      </c>
      <c r="BF36" s="104">
        <v>1.5</v>
      </c>
      <c r="BG36" s="115">
        <v>0</v>
      </c>
      <c r="BH36" s="104">
        <v>0</v>
      </c>
      <c r="BI36" s="98">
        <v>0</v>
      </c>
      <c r="BJ36" s="105">
        <v>1.8156000000000001</v>
      </c>
      <c r="BK36" s="104">
        <v>1.8</v>
      </c>
      <c r="BL36" s="104">
        <v>0</v>
      </c>
      <c r="BM36" s="107"/>
      <c r="BN36" s="108">
        <v>5.3</v>
      </c>
      <c r="BO36" s="108">
        <v>0</v>
      </c>
      <c r="BP36" s="109">
        <v>0</v>
      </c>
      <c r="BQ36" s="110"/>
      <c r="BR36" s="108">
        <v>1346.3</v>
      </c>
      <c r="BS36" s="109">
        <v>0</v>
      </c>
      <c r="BT36" s="109">
        <v>297.40000000000009</v>
      </c>
      <c r="BU36" s="107"/>
      <c r="BV36" s="111">
        <v>7</v>
      </c>
      <c r="BW36" s="98">
        <v>7</v>
      </c>
      <c r="BX36" s="113"/>
      <c r="BY36" s="113">
        <v>188</v>
      </c>
      <c r="BZ36" s="114">
        <v>188</v>
      </c>
      <c r="CA36" s="114">
        <v>83</v>
      </c>
      <c r="CB36" s="114">
        <v>63</v>
      </c>
      <c r="CC36" s="99">
        <v>334</v>
      </c>
      <c r="CD36" s="115">
        <v>0</v>
      </c>
      <c r="CE36" s="116">
        <v>0</v>
      </c>
      <c r="CF36" s="90">
        <v>0</v>
      </c>
      <c r="CG36" s="90" t="s">
        <v>39</v>
      </c>
      <c r="CH36" s="90">
        <v>0</v>
      </c>
      <c r="CI36" s="90" t="s">
        <v>39</v>
      </c>
      <c r="CJ36" s="90">
        <v>0</v>
      </c>
      <c r="CK36" s="90" t="s">
        <v>39</v>
      </c>
      <c r="CL36" s="90"/>
      <c r="CM36" s="90">
        <v>59</v>
      </c>
      <c r="CN36" s="90">
        <v>59</v>
      </c>
      <c r="CO36" s="90">
        <v>0</v>
      </c>
      <c r="CP36" s="121">
        <v>23921</v>
      </c>
      <c r="CQ36" s="121">
        <v>11500</v>
      </c>
      <c r="CR36" s="100"/>
      <c r="CS36" s="121">
        <v>2950</v>
      </c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x14ac:dyDescent="0.25">
      <c r="A37" s="83" t="s">
        <v>10</v>
      </c>
      <c r="B37" s="442">
        <v>42258.7</v>
      </c>
      <c r="C37" s="453"/>
      <c r="D37" s="84"/>
      <c r="E37" s="23">
        <v>4.8</v>
      </c>
      <c r="F37" s="15">
        <v>1214.5</v>
      </c>
      <c r="G37" s="213"/>
      <c r="H37" s="27">
        <f t="shared" si="16"/>
        <v>28.599999999999909</v>
      </c>
      <c r="I37" s="216">
        <f t="shared" si="17"/>
        <v>5.9583333333333144</v>
      </c>
      <c r="J37" s="29" t="str">
        <f ca="1">IF($J$5&gt;=B37,"N/A",SUM(INDIRECT(ADDRESS(6+(MATCH($J$5,$B$6:$B$59,0)),8)):H37))</f>
        <v>N/A</v>
      </c>
      <c r="K37" s="10">
        <v>15.7</v>
      </c>
      <c r="L37" s="88">
        <v>28.3</v>
      </c>
      <c r="M37" s="4">
        <f t="shared" si="18"/>
        <v>28.3</v>
      </c>
      <c r="N37" s="220">
        <f t="shared" si="0"/>
        <v>5.8958333333333339</v>
      </c>
      <c r="O37" s="30" t="str">
        <f ca="1">IF($O$5&gt;=B37,"N/A",SUM(INDIRECT(ADDRESS(6+(MATCH($O$5,$B$6:$B$59,0)),13)):M37))</f>
        <v>N/A</v>
      </c>
      <c r="P37" s="175">
        <f t="shared" si="19"/>
        <v>37</v>
      </c>
      <c r="Q37" s="175">
        <f t="shared" si="20"/>
        <v>6.5028632952991225</v>
      </c>
      <c r="R37" s="175">
        <f t="shared" si="21"/>
        <v>30.268306600000003</v>
      </c>
      <c r="S37" s="70" t="str">
        <f t="shared" si="22"/>
        <v>FWE</v>
      </c>
      <c r="T37" s="241">
        <f t="shared" si="23"/>
        <v>42258.7</v>
      </c>
      <c r="U37" s="157">
        <f t="shared" si="1"/>
        <v>2</v>
      </c>
      <c r="V37" s="158">
        <f t="shared" si="2"/>
        <v>0.8</v>
      </c>
      <c r="W37" s="158">
        <f t="shared" si="3"/>
        <v>0.3</v>
      </c>
      <c r="X37" s="199">
        <f t="shared" si="4"/>
        <v>3.0999999999999996</v>
      </c>
      <c r="Y37" s="159">
        <f t="shared" si="5"/>
        <v>1343.2</v>
      </c>
      <c r="Z37" s="181"/>
      <c r="AA37" s="148">
        <f t="shared" si="6"/>
        <v>0</v>
      </c>
      <c r="AB37" s="149">
        <f t="shared" si="7"/>
        <v>0</v>
      </c>
      <c r="AC37" s="149">
        <f t="shared" si="8"/>
        <v>0</v>
      </c>
      <c r="AD37" s="203">
        <f t="shared" si="9"/>
        <v>0</v>
      </c>
      <c r="AE37" s="150">
        <f t="shared" si="10"/>
        <v>297.40000000000009</v>
      </c>
      <c r="AF37" s="182"/>
      <c r="AG37" s="139">
        <f t="shared" si="11"/>
        <v>1</v>
      </c>
      <c r="AH37" s="140">
        <f t="shared" si="12"/>
        <v>2</v>
      </c>
      <c r="AI37" s="141">
        <f t="shared" si="13"/>
        <v>335</v>
      </c>
      <c r="AJ37" s="166">
        <f t="shared" si="14"/>
        <v>23883</v>
      </c>
      <c r="AK37" s="167">
        <f t="shared" si="14"/>
        <v>11500</v>
      </c>
      <c r="AL37" s="168">
        <f t="shared" si="15"/>
        <v>2950</v>
      </c>
      <c r="AM37" s="237">
        <f t="shared" si="27"/>
        <v>5.5117275705146102E-2</v>
      </c>
      <c r="AN37" s="70" t="str">
        <f t="shared" si="25"/>
        <v>FWE</v>
      </c>
      <c r="AO37" s="241">
        <f t="shared" si="26"/>
        <v>42258.7</v>
      </c>
      <c r="AP37" s="45" t="s">
        <v>40</v>
      </c>
      <c r="AQ37" s="98">
        <v>37</v>
      </c>
      <c r="AR37" s="99">
        <v>30.268306600000003</v>
      </c>
      <c r="AS37" s="99">
        <v>6.3058972083333344</v>
      </c>
      <c r="AT37" s="100">
        <v>28.3</v>
      </c>
      <c r="AU37" s="101">
        <v>5.8958333333333339</v>
      </c>
      <c r="AV37" s="100">
        <v>28.3</v>
      </c>
      <c r="AW37" s="101">
        <v>5.8958333333333339</v>
      </c>
      <c r="AX37" s="101">
        <v>6.5028632952991225</v>
      </c>
      <c r="AY37" s="99">
        <v>6.5028632952991225</v>
      </c>
      <c r="AZ37" s="102"/>
      <c r="BA37" s="102"/>
      <c r="BB37" s="103">
        <v>1.9963999999999997</v>
      </c>
      <c r="BC37" s="104">
        <v>2</v>
      </c>
      <c r="BD37" s="98">
        <v>0</v>
      </c>
      <c r="BE37" s="105">
        <v>0.89240000000000053</v>
      </c>
      <c r="BF37" s="104">
        <v>0.8</v>
      </c>
      <c r="BG37" s="115">
        <v>0</v>
      </c>
      <c r="BH37" s="104">
        <v>0</v>
      </c>
      <c r="BI37" s="98">
        <v>0</v>
      </c>
      <c r="BJ37" s="105">
        <v>0.3115</v>
      </c>
      <c r="BK37" s="104">
        <v>0.3</v>
      </c>
      <c r="BL37" s="104">
        <v>0</v>
      </c>
      <c r="BM37" s="107"/>
      <c r="BN37" s="108">
        <v>3.0999999999999996</v>
      </c>
      <c r="BO37" s="108">
        <v>0</v>
      </c>
      <c r="BP37" s="109">
        <v>0</v>
      </c>
      <c r="BQ37" s="110"/>
      <c r="BR37" s="108">
        <v>1343.2</v>
      </c>
      <c r="BS37" s="109">
        <v>0</v>
      </c>
      <c r="BT37" s="109">
        <v>297.40000000000009</v>
      </c>
      <c r="BU37" s="107"/>
      <c r="BV37" s="111">
        <v>2</v>
      </c>
      <c r="BW37" s="98">
        <v>2</v>
      </c>
      <c r="BX37" s="113"/>
      <c r="BY37" s="113">
        <v>188</v>
      </c>
      <c r="BZ37" s="114">
        <v>188</v>
      </c>
      <c r="CA37" s="114">
        <v>83</v>
      </c>
      <c r="CB37" s="114">
        <v>64</v>
      </c>
      <c r="CC37" s="99">
        <v>335</v>
      </c>
      <c r="CD37" s="115">
        <v>1</v>
      </c>
      <c r="CE37" s="116">
        <v>1</v>
      </c>
      <c r="CF37" s="90">
        <v>0</v>
      </c>
      <c r="CG37" s="90" t="s">
        <v>39</v>
      </c>
      <c r="CH37" s="90">
        <v>0</v>
      </c>
      <c r="CI37" s="90" t="s">
        <v>39</v>
      </c>
      <c r="CJ37" s="90">
        <v>0</v>
      </c>
      <c r="CK37" s="90" t="s">
        <v>39</v>
      </c>
      <c r="CL37" s="90"/>
      <c r="CM37" s="90">
        <v>38</v>
      </c>
      <c r="CN37" s="90">
        <v>38</v>
      </c>
      <c r="CO37" s="90">
        <v>0</v>
      </c>
      <c r="CP37" s="121">
        <v>23883</v>
      </c>
      <c r="CQ37" s="121">
        <v>11500</v>
      </c>
      <c r="CR37" s="100"/>
      <c r="CS37" s="121">
        <v>2950</v>
      </c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customHeight="1" x14ac:dyDescent="0.25">
      <c r="A38" s="83" t="s">
        <v>11</v>
      </c>
      <c r="B38" s="442">
        <v>42259.5</v>
      </c>
      <c r="C38" s="453"/>
      <c r="D38" s="84" t="s">
        <v>130</v>
      </c>
      <c r="E38" s="23">
        <v>24</v>
      </c>
      <c r="F38" s="15">
        <v>0</v>
      </c>
      <c r="G38" s="213"/>
      <c r="H38" s="27" t="str">
        <f t="shared" si="16"/>
        <v/>
      </c>
      <c r="I38" s="216" t="e">
        <f t="shared" si="17"/>
        <v>#VALUE!</v>
      </c>
      <c r="J38" s="29" t="str">
        <f ca="1">IF($J$5&gt;=B38,"N/A",SUM(INDIRECT(ADDRESS(6+(MATCH($J$5,$B$6:$B$59,0)),8)):H38))</f>
        <v>N/A</v>
      </c>
      <c r="K38" s="10">
        <v>0</v>
      </c>
      <c r="L38" s="88"/>
      <c r="M38" s="4">
        <f t="shared" si="18"/>
        <v>15.7</v>
      </c>
      <c r="N38" s="220">
        <f t="shared" si="0"/>
        <v>0.65416666666666667</v>
      </c>
      <c r="O38" s="30" t="str">
        <f ca="1">IF($O$5&gt;=B38,"N/A",SUM(INDIRECT(ADDRESS(6+(MATCH($O$5,$B$6:$B$59,0)),13)):M38))</f>
        <v>N/A</v>
      </c>
      <c r="P38" s="175" t="str">
        <f t="shared" si="19"/>
        <v/>
      </c>
      <c r="Q38" s="175" t="str">
        <f t="shared" si="20"/>
        <v/>
      </c>
      <c r="R38" s="175" t="str">
        <f t="shared" si="21"/>
        <v/>
      </c>
      <c r="S38" s="70" t="str">
        <f t="shared" si="22"/>
        <v>NOON</v>
      </c>
      <c r="T38" s="241">
        <f t="shared" si="23"/>
        <v>42259.5</v>
      </c>
      <c r="U38" s="157">
        <f t="shared" si="1"/>
        <v>0</v>
      </c>
      <c r="V38" s="158">
        <f t="shared" si="2"/>
        <v>3.3</v>
      </c>
      <c r="W38" s="158">
        <f t="shared" si="3"/>
        <v>2.2999999999999998</v>
      </c>
      <c r="X38" s="199">
        <f t="shared" si="4"/>
        <v>5.6</v>
      </c>
      <c r="Y38" s="159">
        <f t="shared" si="5"/>
        <v>1337.6000000000001</v>
      </c>
      <c r="Z38" s="181"/>
      <c r="AA38" s="148">
        <f t="shared" si="6"/>
        <v>0</v>
      </c>
      <c r="AB38" s="149">
        <f t="shared" si="7"/>
        <v>0</v>
      </c>
      <c r="AC38" s="149">
        <f t="shared" si="8"/>
        <v>0</v>
      </c>
      <c r="AD38" s="203">
        <f t="shared" si="9"/>
        <v>0</v>
      </c>
      <c r="AE38" s="150">
        <f t="shared" si="10"/>
        <v>297.40000000000009</v>
      </c>
      <c r="AF38" s="182"/>
      <c r="AG38" s="139">
        <f t="shared" si="11"/>
        <v>7</v>
      </c>
      <c r="AH38" s="140">
        <f t="shared" si="12"/>
        <v>0</v>
      </c>
      <c r="AI38" s="141">
        <f t="shared" si="13"/>
        <v>328</v>
      </c>
      <c r="AJ38" s="166">
        <f t="shared" si="14"/>
        <v>23883</v>
      </c>
      <c r="AK38" s="167">
        <f t="shared" si="14"/>
        <v>11300</v>
      </c>
      <c r="AL38" s="168">
        <f t="shared" si="15"/>
        <v>2900</v>
      </c>
      <c r="AM38" s="237" t="e">
        <f t="shared" si="27"/>
        <v>#VALUE!</v>
      </c>
      <c r="AN38" s="70" t="str">
        <f t="shared" si="25"/>
        <v>NOON</v>
      </c>
      <c r="AO38" s="241">
        <f t="shared" si="26"/>
        <v>42259.5</v>
      </c>
      <c r="AP38" s="45" t="s">
        <v>40</v>
      </c>
      <c r="AQ38" s="98"/>
      <c r="AR38" s="99" t="s">
        <v>39</v>
      </c>
      <c r="AS38" s="99" t="s">
        <v>39</v>
      </c>
      <c r="AT38" s="100" t="s">
        <v>39</v>
      </c>
      <c r="AU38" s="101" t="s">
        <v>39</v>
      </c>
      <c r="AV38" s="100" t="s">
        <v>39</v>
      </c>
      <c r="AW38" s="101" t="s">
        <v>39</v>
      </c>
      <c r="AX38" s="101" t="s">
        <v>39</v>
      </c>
      <c r="AY38" s="99" t="s">
        <v>39</v>
      </c>
      <c r="AZ38" s="102"/>
      <c r="BA38" s="102"/>
      <c r="BB38" s="103">
        <v>-0.40480000000000071</v>
      </c>
      <c r="BC38" s="104">
        <v>0</v>
      </c>
      <c r="BD38" s="98">
        <v>0</v>
      </c>
      <c r="BE38" s="105">
        <v>3.6892000000000009</v>
      </c>
      <c r="BF38" s="104">
        <v>3.3</v>
      </c>
      <c r="BG38" s="115">
        <v>0</v>
      </c>
      <c r="BH38" s="104">
        <v>0</v>
      </c>
      <c r="BI38" s="98">
        <v>0</v>
      </c>
      <c r="BJ38" s="105">
        <v>2.4741999999999997</v>
      </c>
      <c r="BK38" s="104">
        <v>2.2999999999999998</v>
      </c>
      <c r="BL38" s="104">
        <v>0</v>
      </c>
      <c r="BM38" s="107"/>
      <c r="BN38" s="108">
        <v>5.6</v>
      </c>
      <c r="BO38" s="108">
        <v>0</v>
      </c>
      <c r="BP38" s="109">
        <v>0</v>
      </c>
      <c r="BQ38" s="110"/>
      <c r="BR38" s="108">
        <v>1337.6000000000001</v>
      </c>
      <c r="BS38" s="109">
        <v>0</v>
      </c>
      <c r="BT38" s="109">
        <v>297.40000000000009</v>
      </c>
      <c r="BU38" s="107"/>
      <c r="BV38" s="111">
        <v>0</v>
      </c>
      <c r="BW38" s="98">
        <v>0</v>
      </c>
      <c r="BX38" s="113"/>
      <c r="BY38" s="113">
        <v>188</v>
      </c>
      <c r="BZ38" s="114">
        <v>188</v>
      </c>
      <c r="CA38" s="114">
        <v>83</v>
      </c>
      <c r="CB38" s="114">
        <v>57</v>
      </c>
      <c r="CC38" s="99">
        <v>328</v>
      </c>
      <c r="CD38" s="115">
        <v>7</v>
      </c>
      <c r="CE38" s="116">
        <v>7</v>
      </c>
      <c r="CF38" s="90">
        <v>0</v>
      </c>
      <c r="CG38" s="90" t="s">
        <v>39</v>
      </c>
      <c r="CH38" s="90">
        <v>0</v>
      </c>
      <c r="CI38" s="90" t="s">
        <v>39</v>
      </c>
      <c r="CJ38" s="90">
        <v>0</v>
      </c>
      <c r="CK38" s="90" t="s">
        <v>39</v>
      </c>
      <c r="CL38" s="90"/>
      <c r="CM38" s="90">
        <v>0</v>
      </c>
      <c r="CN38" s="90">
        <v>0</v>
      </c>
      <c r="CO38" s="90">
        <v>0</v>
      </c>
      <c r="CP38" s="121">
        <v>23883</v>
      </c>
      <c r="CQ38" s="121">
        <v>11300</v>
      </c>
      <c r="CR38" s="100">
        <v>200</v>
      </c>
      <c r="CS38" s="121">
        <v>2900</v>
      </c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customHeight="1" x14ac:dyDescent="0.25">
      <c r="A39" s="83" t="s">
        <v>9</v>
      </c>
      <c r="B39" s="442">
        <v>42260.120833333334</v>
      </c>
      <c r="C39" s="453"/>
      <c r="D39" s="84" t="s">
        <v>131</v>
      </c>
      <c r="E39" s="23">
        <v>1</v>
      </c>
      <c r="F39" s="15">
        <v>3.1</v>
      </c>
      <c r="G39" s="213"/>
      <c r="H39" s="27">
        <f t="shared" si="16"/>
        <v>3.1</v>
      </c>
      <c r="I39" s="216">
        <f t="shared" si="17"/>
        <v>3.1</v>
      </c>
      <c r="J39" s="29" t="str">
        <f ca="1">IF($J$5&gt;=B39,"N/A",SUM(INDIRECT(ADDRESS(6+(MATCH($J$5,$B$6:$B$59,0)),8)):H39))</f>
        <v>N/A</v>
      </c>
      <c r="K39" s="10">
        <v>0</v>
      </c>
      <c r="L39" s="88">
        <v>3</v>
      </c>
      <c r="M39" s="4">
        <f t="shared" si="18"/>
        <v>3</v>
      </c>
      <c r="N39" s="220">
        <f t="shared" si="0"/>
        <v>3</v>
      </c>
      <c r="O39" s="30" t="str">
        <f ca="1">IF($O$5&gt;=B39,"N/A",SUM(INDIRECT(ADDRESS(6+(MATCH($O$5,$B$6:$B$59,0)),13)):M39))</f>
        <v>N/A</v>
      </c>
      <c r="P39" s="175" t="str">
        <f t="shared" si="19"/>
        <v/>
      </c>
      <c r="Q39" s="175" t="e">
        <f t="shared" si="20"/>
        <v>#VALUE!</v>
      </c>
      <c r="R39" s="175">
        <f t="shared" si="21"/>
        <v>0</v>
      </c>
      <c r="S39" s="70" t="str">
        <f t="shared" si="22"/>
        <v>SBE</v>
      </c>
      <c r="T39" s="241">
        <f t="shared" si="23"/>
        <v>42260.120833333334</v>
      </c>
      <c r="U39" s="157">
        <f t="shared" si="1"/>
        <v>0.2</v>
      </c>
      <c r="V39" s="158">
        <f t="shared" si="2"/>
        <v>2.4</v>
      </c>
      <c r="W39" s="158">
        <f t="shared" si="3"/>
        <v>2.4</v>
      </c>
      <c r="X39" s="199">
        <f t="shared" si="4"/>
        <v>5</v>
      </c>
      <c r="Y39" s="159">
        <f t="shared" si="5"/>
        <v>1832.6</v>
      </c>
      <c r="Z39" s="181">
        <v>500</v>
      </c>
      <c r="AA39" s="148">
        <f t="shared" si="6"/>
        <v>0</v>
      </c>
      <c r="AB39" s="149">
        <f t="shared" si="7"/>
        <v>0</v>
      </c>
      <c r="AC39" s="149">
        <f t="shared" si="8"/>
        <v>0</v>
      </c>
      <c r="AD39" s="203">
        <f t="shared" si="9"/>
        <v>0</v>
      </c>
      <c r="AE39" s="150">
        <f t="shared" si="10"/>
        <v>297.40000000000009</v>
      </c>
      <c r="AF39" s="182"/>
      <c r="AG39" s="139">
        <f t="shared" si="11"/>
        <v>2</v>
      </c>
      <c r="AH39" s="140">
        <f t="shared" si="12"/>
        <v>0</v>
      </c>
      <c r="AI39" s="141">
        <f t="shared" si="13"/>
        <v>326</v>
      </c>
      <c r="AJ39" s="166">
        <f t="shared" si="14"/>
        <v>23875</v>
      </c>
      <c r="AK39" s="167">
        <f t="shared" si="14"/>
        <v>11300</v>
      </c>
      <c r="AL39" s="168">
        <f t="shared" si="15"/>
        <v>2900</v>
      </c>
      <c r="AM39" s="237" t="e">
        <f t="shared" si="27"/>
        <v>#DIV/0!</v>
      </c>
      <c r="AN39" s="70" t="str">
        <f t="shared" si="25"/>
        <v>SBE</v>
      </c>
      <c r="AO39" s="241">
        <f t="shared" si="26"/>
        <v>42260.120833333334</v>
      </c>
      <c r="AP39" s="45" t="s">
        <v>40</v>
      </c>
      <c r="AQ39" s="98"/>
      <c r="AR39" s="99">
        <v>0</v>
      </c>
      <c r="AS39" s="99">
        <v>0</v>
      </c>
      <c r="AT39" s="100" t="s">
        <v>39</v>
      </c>
      <c r="AU39" s="101" t="e">
        <v>#VALUE!</v>
      </c>
      <c r="AV39" s="100" t="s">
        <v>39</v>
      </c>
      <c r="AW39" s="101" t="e">
        <v>#VALUE!</v>
      </c>
      <c r="AX39" s="101" t="e">
        <v>#VALUE!</v>
      </c>
      <c r="AY39" s="99" t="e">
        <v>#VALUE!</v>
      </c>
      <c r="AZ39" s="102"/>
      <c r="BA39" s="102"/>
      <c r="BB39" s="103">
        <v>-7.3599999999998555E-2</v>
      </c>
      <c r="BC39" s="104">
        <v>0.2</v>
      </c>
      <c r="BD39" s="98">
        <v>0</v>
      </c>
      <c r="BE39" s="105">
        <v>2.5575999999999985</v>
      </c>
      <c r="BF39" s="104">
        <v>2.4</v>
      </c>
      <c r="BG39" s="115">
        <v>0</v>
      </c>
      <c r="BH39" s="104">
        <v>0</v>
      </c>
      <c r="BI39" s="98">
        <v>0</v>
      </c>
      <c r="BJ39" s="105">
        <v>2.3407</v>
      </c>
      <c r="BK39" s="104">
        <v>2.4</v>
      </c>
      <c r="BL39" s="104">
        <v>0</v>
      </c>
      <c r="BM39" s="107"/>
      <c r="BN39" s="108">
        <v>5</v>
      </c>
      <c r="BO39" s="108">
        <v>0</v>
      </c>
      <c r="BP39" s="109">
        <v>0</v>
      </c>
      <c r="BQ39" s="110"/>
      <c r="BR39" s="108">
        <v>1832.6</v>
      </c>
      <c r="BS39" s="109">
        <v>0</v>
      </c>
      <c r="BT39" s="109">
        <v>297.40000000000009</v>
      </c>
      <c r="BU39" s="107"/>
      <c r="BV39" s="111">
        <v>0</v>
      </c>
      <c r="BW39" s="98">
        <v>0</v>
      </c>
      <c r="BX39" s="113"/>
      <c r="BY39" s="113">
        <v>188</v>
      </c>
      <c r="BZ39" s="114">
        <v>188</v>
      </c>
      <c r="CA39" s="114">
        <v>83</v>
      </c>
      <c r="CB39" s="114">
        <v>55</v>
      </c>
      <c r="CC39" s="99">
        <v>326</v>
      </c>
      <c r="CD39" s="115">
        <v>2</v>
      </c>
      <c r="CE39" s="116">
        <v>2</v>
      </c>
      <c r="CF39" s="90">
        <v>0</v>
      </c>
      <c r="CG39" s="90" t="s">
        <v>39</v>
      </c>
      <c r="CH39" s="90">
        <v>0</v>
      </c>
      <c r="CI39" s="90" t="s">
        <v>39</v>
      </c>
      <c r="CJ39" s="90">
        <v>0</v>
      </c>
      <c r="CK39" s="90" t="s">
        <v>39</v>
      </c>
      <c r="CL39" s="90"/>
      <c r="CM39" s="90">
        <v>8</v>
      </c>
      <c r="CN39" s="90">
        <v>8</v>
      </c>
      <c r="CO39" s="90">
        <v>0</v>
      </c>
      <c r="CP39" s="121">
        <v>23875</v>
      </c>
      <c r="CQ39" s="121">
        <v>11300</v>
      </c>
      <c r="CR39" s="100"/>
      <c r="CS39" s="121">
        <v>2900</v>
      </c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customHeight="1" x14ac:dyDescent="0.25">
      <c r="A40" s="83" t="s">
        <v>27</v>
      </c>
      <c r="B40" s="442">
        <v>42260.166666666664</v>
      </c>
      <c r="C40" s="453"/>
      <c r="D40" s="84"/>
      <c r="E40" s="23">
        <v>0.8</v>
      </c>
      <c r="F40" s="15">
        <v>5.9</v>
      </c>
      <c r="G40" s="213">
        <v>3.1</v>
      </c>
      <c r="H40" s="27">
        <f t="shared" si="16"/>
        <v>5.9</v>
      </c>
      <c r="I40" s="216">
        <f t="shared" si="17"/>
        <v>7.375</v>
      </c>
      <c r="J40" s="29" t="str">
        <f ca="1">IF($J$5&gt;=B40,"N/A",SUM(INDIRECT(ADDRESS(6+(MATCH($J$5,$B$6:$B$59,0)),8)):H40))</f>
        <v>N/A</v>
      </c>
      <c r="K40" s="10">
        <v>1191</v>
      </c>
      <c r="L40" s="88">
        <v>1196</v>
      </c>
      <c r="M40" s="4">
        <f t="shared" si="18"/>
        <v>5</v>
      </c>
      <c r="N40" s="220">
        <f t="shared" si="0"/>
        <v>6.25</v>
      </c>
      <c r="O40" s="30" t="str">
        <f ca="1">IF($O$5&gt;=B40,"N/A",SUM(INDIRECT(ADDRESS(6+(MATCH($O$5,$B$6:$B$59,0)),13)):M40))</f>
        <v>N/A</v>
      </c>
      <c r="P40" s="175">
        <f t="shared" si="19"/>
        <v>39.4</v>
      </c>
      <c r="Q40" s="175">
        <f t="shared" si="20"/>
        <v>29.108381941352786</v>
      </c>
      <c r="R40" s="175">
        <f t="shared" si="21"/>
        <v>7.0530200000000001</v>
      </c>
      <c r="S40" s="70" t="str">
        <f t="shared" si="22"/>
        <v>BOSP</v>
      </c>
      <c r="T40" s="241">
        <f t="shared" si="23"/>
        <v>42260.166666666664</v>
      </c>
      <c r="U40" s="157">
        <f t="shared" si="1"/>
        <v>0.5</v>
      </c>
      <c r="V40" s="158">
        <f t="shared" si="2"/>
        <v>0.2</v>
      </c>
      <c r="W40" s="158">
        <f t="shared" si="3"/>
        <v>0.1</v>
      </c>
      <c r="X40" s="199">
        <f t="shared" si="4"/>
        <v>0.79999999999999993</v>
      </c>
      <c r="Y40" s="159">
        <f t="shared" si="5"/>
        <v>1831.8</v>
      </c>
      <c r="Z40" s="181"/>
      <c r="AA40" s="148">
        <f t="shared" si="6"/>
        <v>0</v>
      </c>
      <c r="AB40" s="149">
        <f t="shared" si="7"/>
        <v>0</v>
      </c>
      <c r="AC40" s="149">
        <f t="shared" si="8"/>
        <v>0</v>
      </c>
      <c r="AD40" s="203">
        <f t="shared" si="9"/>
        <v>0</v>
      </c>
      <c r="AE40" s="150">
        <f t="shared" si="10"/>
        <v>297.40000000000009</v>
      </c>
      <c r="AF40" s="182"/>
      <c r="AG40" s="139">
        <f t="shared" si="11"/>
        <v>0</v>
      </c>
      <c r="AH40" s="140">
        <f t="shared" si="12"/>
        <v>0</v>
      </c>
      <c r="AI40" s="141">
        <f t="shared" si="13"/>
        <v>326</v>
      </c>
      <c r="AJ40" s="166">
        <f t="shared" si="14"/>
        <v>23865</v>
      </c>
      <c r="AK40" s="167">
        <f t="shared" si="14"/>
        <v>11300</v>
      </c>
      <c r="AL40" s="168">
        <f t="shared" si="15"/>
        <v>2900</v>
      </c>
      <c r="AM40" s="237">
        <f t="shared" si="27"/>
        <v>0.1634789069079628</v>
      </c>
      <c r="AN40" s="70" t="str">
        <f t="shared" si="25"/>
        <v>BOSP</v>
      </c>
      <c r="AO40" s="241">
        <f t="shared" si="26"/>
        <v>42260.166666666664</v>
      </c>
      <c r="AP40" s="45" t="s">
        <v>40</v>
      </c>
      <c r="AQ40" s="98">
        <v>39.4</v>
      </c>
      <c r="AR40" s="99">
        <v>7.0530200000000001</v>
      </c>
      <c r="AS40" s="99">
        <v>6.4118363636363629</v>
      </c>
      <c r="AT40" s="100">
        <v>5</v>
      </c>
      <c r="AU40" s="101">
        <v>4.545454545454545</v>
      </c>
      <c r="AV40" s="100">
        <v>5</v>
      </c>
      <c r="AW40" s="101">
        <v>4.545454545454545</v>
      </c>
      <c r="AX40" s="101">
        <v>29.108381941352786</v>
      </c>
      <c r="AY40" s="99">
        <v>29.108381941352786</v>
      </c>
      <c r="AZ40" s="102"/>
      <c r="BA40" s="102"/>
      <c r="BB40" s="103">
        <v>0.46920000000000001</v>
      </c>
      <c r="BC40" s="104">
        <v>0.5</v>
      </c>
      <c r="BD40" s="98">
        <v>0</v>
      </c>
      <c r="BE40" s="105">
        <v>0.16560000000000002</v>
      </c>
      <c r="BF40" s="104">
        <v>0.2</v>
      </c>
      <c r="BG40" s="115">
        <v>0</v>
      </c>
      <c r="BH40" s="104">
        <v>0</v>
      </c>
      <c r="BI40" s="98">
        <v>0</v>
      </c>
      <c r="BJ40" s="105">
        <v>0.1246</v>
      </c>
      <c r="BK40" s="104">
        <v>0.1</v>
      </c>
      <c r="BL40" s="104">
        <v>0</v>
      </c>
      <c r="BM40" s="107"/>
      <c r="BN40" s="108">
        <v>0.79999999999999993</v>
      </c>
      <c r="BO40" s="108">
        <v>0</v>
      </c>
      <c r="BP40" s="109">
        <v>0</v>
      </c>
      <c r="BQ40" s="110"/>
      <c r="BR40" s="108">
        <v>1831.8</v>
      </c>
      <c r="BS40" s="109">
        <v>0</v>
      </c>
      <c r="BT40" s="109">
        <v>297.40000000000009</v>
      </c>
      <c r="BU40" s="107"/>
      <c r="BV40" s="111">
        <v>0</v>
      </c>
      <c r="BW40" s="98">
        <v>0</v>
      </c>
      <c r="BX40" s="113"/>
      <c r="BY40" s="113">
        <v>188</v>
      </c>
      <c r="BZ40" s="114">
        <v>188</v>
      </c>
      <c r="CA40" s="114">
        <v>83</v>
      </c>
      <c r="CB40" s="114">
        <v>55</v>
      </c>
      <c r="CC40" s="99">
        <v>326</v>
      </c>
      <c r="CD40" s="115">
        <v>0</v>
      </c>
      <c r="CE40" s="116">
        <v>0</v>
      </c>
      <c r="CF40" s="90">
        <v>0</v>
      </c>
      <c r="CG40" s="90" t="s">
        <v>39</v>
      </c>
      <c r="CH40" s="90">
        <v>0</v>
      </c>
      <c r="CI40" s="90" t="s">
        <v>39</v>
      </c>
      <c r="CJ40" s="90">
        <v>0</v>
      </c>
      <c r="CK40" s="90" t="s">
        <v>39</v>
      </c>
      <c r="CL40" s="90"/>
      <c r="CM40" s="90">
        <v>8</v>
      </c>
      <c r="CN40" s="90">
        <v>10</v>
      </c>
      <c r="CO40" s="90">
        <v>2</v>
      </c>
      <c r="CP40" s="121">
        <v>23865</v>
      </c>
      <c r="CQ40" s="121">
        <v>11300</v>
      </c>
      <c r="CR40" s="100"/>
      <c r="CS40" s="121">
        <v>2900</v>
      </c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customHeight="1" x14ac:dyDescent="0.25">
      <c r="A41" s="83" t="s">
        <v>11</v>
      </c>
      <c r="B41" s="442">
        <v>42260.5</v>
      </c>
      <c r="C41" s="453"/>
      <c r="D41" s="84"/>
      <c r="E41" s="23">
        <v>8</v>
      </c>
      <c r="F41" s="15">
        <v>98.1</v>
      </c>
      <c r="G41" s="213">
        <v>5.9</v>
      </c>
      <c r="H41" s="27">
        <f t="shared" si="16"/>
        <v>98.1</v>
      </c>
      <c r="I41" s="216">
        <f t="shared" si="17"/>
        <v>12.262499999999999</v>
      </c>
      <c r="J41" s="29">
        <f ca="1">IF($J$5&gt;=B41,"N/A",SUM(INDIRECT(ADDRESS(6+(MATCH($J$5,$B$6:$B$59,0)),8)):H41))</f>
        <v>98.1</v>
      </c>
      <c r="K41" s="10">
        <v>1098</v>
      </c>
      <c r="L41" s="88"/>
      <c r="M41" s="4">
        <f t="shared" si="18"/>
        <v>93</v>
      </c>
      <c r="N41" s="220">
        <f t="shared" si="0"/>
        <v>11.625</v>
      </c>
      <c r="O41" s="30">
        <f ca="1">IF($O$5&gt;=B41,"N/A",SUM(INDIRECT(ADDRESS(6+(MATCH($O$5,$B$6:$B$59,0)),13)):M41))</f>
        <v>93</v>
      </c>
      <c r="P41" s="175">
        <f t="shared" si="19"/>
        <v>78.8</v>
      </c>
      <c r="Q41" s="175">
        <f t="shared" si="20"/>
        <v>9.3277268099397155</v>
      </c>
      <c r="R41" s="175">
        <f t="shared" si="21"/>
        <v>102.567187</v>
      </c>
      <c r="S41" s="70" t="str">
        <f t="shared" si="22"/>
        <v>NOON</v>
      </c>
      <c r="T41" s="241">
        <f t="shared" si="23"/>
        <v>42260.5</v>
      </c>
      <c r="U41" s="157">
        <f t="shared" si="1"/>
        <v>10</v>
      </c>
      <c r="V41" s="158">
        <f t="shared" si="2"/>
        <v>0.8</v>
      </c>
      <c r="W41" s="158">
        <f t="shared" si="3"/>
        <v>0</v>
      </c>
      <c r="X41" s="199">
        <f t="shared" si="4"/>
        <v>10.8</v>
      </c>
      <c r="Y41" s="159">
        <f t="shared" si="5"/>
        <v>1821</v>
      </c>
      <c r="Z41" s="181"/>
      <c r="AA41" s="148">
        <f t="shared" si="6"/>
        <v>0</v>
      </c>
      <c r="AB41" s="149">
        <f t="shared" si="7"/>
        <v>0</v>
      </c>
      <c r="AC41" s="149">
        <f t="shared" si="8"/>
        <v>0</v>
      </c>
      <c r="AD41" s="203">
        <f t="shared" si="9"/>
        <v>0</v>
      </c>
      <c r="AE41" s="150">
        <f t="shared" si="10"/>
        <v>297.40000000000009</v>
      </c>
      <c r="AF41" s="182"/>
      <c r="AG41" s="139">
        <f t="shared" si="11"/>
        <v>2</v>
      </c>
      <c r="AH41" s="140">
        <f t="shared" si="12"/>
        <v>5</v>
      </c>
      <c r="AI41" s="141">
        <f t="shared" si="13"/>
        <v>329</v>
      </c>
      <c r="AJ41" s="166">
        <f t="shared" si="14"/>
        <v>23765</v>
      </c>
      <c r="AK41" s="167">
        <f t="shared" si="14"/>
        <v>11200</v>
      </c>
      <c r="AL41" s="168">
        <f t="shared" si="15"/>
        <v>2850</v>
      </c>
      <c r="AM41" s="237">
        <f t="shared" si="27"/>
        <v>4.3553763446783515E-2</v>
      </c>
      <c r="AN41" s="70" t="str">
        <f t="shared" si="25"/>
        <v>NOON</v>
      </c>
      <c r="AO41" s="241">
        <f t="shared" si="26"/>
        <v>42260.5</v>
      </c>
      <c r="AP41" s="45" t="s">
        <v>40</v>
      </c>
      <c r="AQ41" s="98">
        <v>78.8</v>
      </c>
      <c r="AR41" s="99">
        <v>102.567187</v>
      </c>
      <c r="AS41" s="99">
        <v>12.820898375000001</v>
      </c>
      <c r="AT41" s="100">
        <v>93</v>
      </c>
      <c r="AU41" s="101">
        <v>11.625</v>
      </c>
      <c r="AV41" s="100">
        <v>93</v>
      </c>
      <c r="AW41" s="101">
        <v>11.625</v>
      </c>
      <c r="AX41" s="101">
        <v>9.3277268099397155</v>
      </c>
      <c r="AY41" s="99">
        <v>9.3277268099397155</v>
      </c>
      <c r="AZ41" s="102"/>
      <c r="BA41" s="102"/>
      <c r="BB41" s="103">
        <v>9.7704000000000004</v>
      </c>
      <c r="BC41" s="104">
        <v>10</v>
      </c>
      <c r="BD41" s="98">
        <v>0</v>
      </c>
      <c r="BE41" s="105">
        <v>1.1683999999999997</v>
      </c>
      <c r="BF41" s="104">
        <v>0.8</v>
      </c>
      <c r="BG41" s="115">
        <v>0</v>
      </c>
      <c r="BH41" s="104">
        <v>0</v>
      </c>
      <c r="BI41" s="98">
        <v>0</v>
      </c>
      <c r="BJ41" s="105">
        <v>0.2225</v>
      </c>
      <c r="BK41" s="104">
        <v>0</v>
      </c>
      <c r="BL41" s="104">
        <v>0</v>
      </c>
      <c r="BM41" s="107"/>
      <c r="BN41" s="108">
        <v>10.8</v>
      </c>
      <c r="BO41" s="108">
        <v>0</v>
      </c>
      <c r="BP41" s="109">
        <v>0</v>
      </c>
      <c r="BQ41" s="110"/>
      <c r="BR41" s="108">
        <v>1821</v>
      </c>
      <c r="BS41" s="109">
        <v>0</v>
      </c>
      <c r="BT41" s="109">
        <v>297.40000000000009</v>
      </c>
      <c r="BU41" s="107"/>
      <c r="BV41" s="111">
        <v>5</v>
      </c>
      <c r="BW41" s="98">
        <v>5</v>
      </c>
      <c r="BX41" s="113"/>
      <c r="BY41" s="113">
        <v>188</v>
      </c>
      <c r="BZ41" s="114">
        <v>188</v>
      </c>
      <c r="CA41" s="114">
        <v>83</v>
      </c>
      <c r="CB41" s="114">
        <v>58</v>
      </c>
      <c r="CC41" s="99">
        <v>329</v>
      </c>
      <c r="CD41" s="115">
        <v>2</v>
      </c>
      <c r="CE41" s="116">
        <v>2</v>
      </c>
      <c r="CF41" s="90">
        <v>0</v>
      </c>
      <c r="CG41" s="90" t="s">
        <v>39</v>
      </c>
      <c r="CH41" s="90">
        <v>0</v>
      </c>
      <c r="CI41" s="90" t="s">
        <v>39</v>
      </c>
      <c r="CJ41" s="90">
        <v>0</v>
      </c>
      <c r="CK41" s="90" t="s">
        <v>39</v>
      </c>
      <c r="CL41" s="90"/>
      <c r="CM41" s="90">
        <v>101</v>
      </c>
      <c r="CN41" s="90">
        <v>100</v>
      </c>
      <c r="CO41" s="90">
        <v>-1</v>
      </c>
      <c r="CP41" s="121">
        <v>23765</v>
      </c>
      <c r="CQ41" s="121">
        <v>11200</v>
      </c>
      <c r="CR41" s="100">
        <v>100</v>
      </c>
      <c r="CS41" s="121">
        <v>2850</v>
      </c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customHeight="1" x14ac:dyDescent="0.25">
      <c r="A42" s="83" t="s">
        <v>11</v>
      </c>
      <c r="B42" s="442">
        <v>42261.5</v>
      </c>
      <c r="C42" s="453"/>
      <c r="D42" s="84"/>
      <c r="E42" s="23">
        <v>25</v>
      </c>
      <c r="F42" s="15">
        <v>400</v>
      </c>
      <c r="G42" s="213"/>
      <c r="H42" s="27">
        <f t="shared" si="16"/>
        <v>301.89999999999998</v>
      </c>
      <c r="I42" s="216">
        <f t="shared" si="17"/>
        <v>12.075999999999999</v>
      </c>
      <c r="J42" s="29">
        <f ca="1">IF($J$5&gt;=B42,"N/A",SUM(INDIRECT(ADDRESS(6+(MATCH($J$5,$B$6:$B$59,0)),8)):H42))</f>
        <v>400</v>
      </c>
      <c r="K42" s="10">
        <v>783.9</v>
      </c>
      <c r="L42" s="88"/>
      <c r="M42" s="4">
        <f t="shared" si="18"/>
        <v>314.10000000000002</v>
      </c>
      <c r="N42" s="220">
        <f t="shared" si="0"/>
        <v>12.564</v>
      </c>
      <c r="O42" s="30">
        <f ca="1">IF($O$5&gt;=B42,"N/A",SUM(INDIRECT(ADDRESS(6+(MATCH($O$5,$B$6:$B$59,0)),13)):M42))</f>
        <v>407.1</v>
      </c>
      <c r="P42" s="175">
        <f t="shared" si="19"/>
        <v>79.599999999999994</v>
      </c>
      <c r="Q42" s="175">
        <f t="shared" si="20"/>
        <v>2.9717202769098079</v>
      </c>
      <c r="R42" s="175">
        <f t="shared" si="21"/>
        <v>323.7200545</v>
      </c>
      <c r="S42" s="70" t="str">
        <f t="shared" si="22"/>
        <v>NOON</v>
      </c>
      <c r="T42" s="241">
        <f t="shared" si="23"/>
        <v>42261.5</v>
      </c>
      <c r="U42" s="157">
        <f t="shared" si="1"/>
        <v>31.5</v>
      </c>
      <c r="V42" s="158">
        <f t="shared" si="2"/>
        <v>2.5</v>
      </c>
      <c r="W42" s="158">
        <f t="shared" si="3"/>
        <v>0</v>
      </c>
      <c r="X42" s="199">
        <f t="shared" si="4"/>
        <v>34</v>
      </c>
      <c r="Y42" s="159">
        <f t="shared" si="5"/>
        <v>1787</v>
      </c>
      <c r="Z42" s="181"/>
      <c r="AA42" s="148">
        <f t="shared" si="6"/>
        <v>0</v>
      </c>
      <c r="AB42" s="149">
        <f t="shared" si="7"/>
        <v>0</v>
      </c>
      <c r="AC42" s="149">
        <f t="shared" si="8"/>
        <v>0</v>
      </c>
      <c r="AD42" s="203">
        <f t="shared" si="9"/>
        <v>0</v>
      </c>
      <c r="AE42" s="150">
        <f t="shared" si="10"/>
        <v>297.40000000000009</v>
      </c>
      <c r="AF42" s="182"/>
      <c r="AG42" s="139">
        <f t="shared" si="11"/>
        <v>8</v>
      </c>
      <c r="AH42" s="140">
        <f t="shared" si="12"/>
        <v>15</v>
      </c>
      <c r="AI42" s="141">
        <f t="shared" si="13"/>
        <v>336</v>
      </c>
      <c r="AJ42" s="166">
        <f t="shared" si="14"/>
        <v>23435</v>
      </c>
      <c r="AK42" s="167">
        <f t="shared" si="14"/>
        <v>11000</v>
      </c>
      <c r="AL42" s="168">
        <f t="shared" si="15"/>
        <v>2800</v>
      </c>
      <c r="AM42" s="237">
        <f t="shared" si="27"/>
        <v>6.7404086329165086E-2</v>
      </c>
      <c r="AN42" s="70" t="str">
        <f t="shared" si="25"/>
        <v>NOON</v>
      </c>
      <c r="AO42" s="241">
        <f t="shared" si="26"/>
        <v>42261.5</v>
      </c>
      <c r="AP42" s="45" t="s">
        <v>40</v>
      </c>
      <c r="AQ42" s="98">
        <v>79.599999999999994</v>
      </c>
      <c r="AR42" s="99">
        <v>323.7200545</v>
      </c>
      <c r="AS42" s="99">
        <v>12.948802179999999</v>
      </c>
      <c r="AT42" s="100">
        <v>314.10000000000002</v>
      </c>
      <c r="AU42" s="101">
        <v>12.564</v>
      </c>
      <c r="AV42" s="100">
        <v>314.10000000000002</v>
      </c>
      <c r="AW42" s="101">
        <v>12.564</v>
      </c>
      <c r="AX42" s="101">
        <v>2.9717202769098079</v>
      </c>
      <c r="AY42" s="99">
        <v>2.9717202769098079</v>
      </c>
      <c r="AZ42" s="102"/>
      <c r="BA42" s="102"/>
      <c r="BB42" s="103">
        <v>31.454799999999999</v>
      </c>
      <c r="BC42" s="104">
        <v>31.5</v>
      </c>
      <c r="BD42" s="98">
        <v>0</v>
      </c>
      <c r="BE42" s="105">
        <v>3.5972000000000008</v>
      </c>
      <c r="BF42" s="104">
        <v>2.5</v>
      </c>
      <c r="BG42" s="115">
        <v>0</v>
      </c>
      <c r="BH42" s="104">
        <v>0</v>
      </c>
      <c r="BI42" s="98">
        <v>0</v>
      </c>
      <c r="BJ42" s="105">
        <v>0</v>
      </c>
      <c r="BK42" s="104">
        <v>0</v>
      </c>
      <c r="BL42" s="104">
        <v>0</v>
      </c>
      <c r="BM42" s="107"/>
      <c r="BN42" s="108">
        <v>34</v>
      </c>
      <c r="BO42" s="108">
        <v>0</v>
      </c>
      <c r="BP42" s="109">
        <v>0</v>
      </c>
      <c r="BQ42" s="110"/>
      <c r="BR42" s="108">
        <v>1787</v>
      </c>
      <c r="BS42" s="109">
        <v>0</v>
      </c>
      <c r="BT42" s="109">
        <v>297.40000000000009</v>
      </c>
      <c r="BU42" s="107"/>
      <c r="BV42" s="111">
        <v>15</v>
      </c>
      <c r="BW42" s="98">
        <v>15</v>
      </c>
      <c r="BX42" s="113"/>
      <c r="BY42" s="113">
        <v>188</v>
      </c>
      <c r="BZ42" s="114">
        <v>188</v>
      </c>
      <c r="CA42" s="114">
        <v>83</v>
      </c>
      <c r="CB42" s="114">
        <v>65</v>
      </c>
      <c r="CC42" s="99">
        <v>336</v>
      </c>
      <c r="CD42" s="115">
        <v>8</v>
      </c>
      <c r="CE42" s="116">
        <v>8</v>
      </c>
      <c r="CF42" s="90">
        <v>0</v>
      </c>
      <c r="CG42" s="90" t="s">
        <v>39</v>
      </c>
      <c r="CH42" s="90">
        <v>0</v>
      </c>
      <c r="CI42" s="90" t="s">
        <v>39</v>
      </c>
      <c r="CJ42" s="90">
        <v>0</v>
      </c>
      <c r="CK42" s="90" t="s">
        <v>39</v>
      </c>
      <c r="CL42" s="90"/>
      <c r="CM42" s="90">
        <v>330</v>
      </c>
      <c r="CN42" s="90">
        <v>330</v>
      </c>
      <c r="CO42" s="90">
        <v>0</v>
      </c>
      <c r="CP42" s="121">
        <v>23435</v>
      </c>
      <c r="CQ42" s="121">
        <v>11000</v>
      </c>
      <c r="CR42" s="100">
        <v>200</v>
      </c>
      <c r="CS42" s="121">
        <v>2800</v>
      </c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customHeight="1" x14ac:dyDescent="0.25">
      <c r="A43" s="83" t="s">
        <v>11</v>
      </c>
      <c r="B43" s="442">
        <v>42262.5</v>
      </c>
      <c r="C43" s="453"/>
      <c r="D43" s="84"/>
      <c r="E43" s="23">
        <v>24</v>
      </c>
      <c r="F43" s="15">
        <v>687.6</v>
      </c>
      <c r="G43" s="213"/>
      <c r="H43" s="27">
        <f t="shared" si="16"/>
        <v>287.60000000000002</v>
      </c>
      <c r="I43" s="216">
        <f t="shared" si="17"/>
        <v>11.983333333333334</v>
      </c>
      <c r="J43" s="29">
        <f ca="1">IF($J$5&gt;=B43,"N/A",SUM(INDIRECT(ADDRESS(6+(MATCH($J$5,$B$6:$B$59,0)),8)):H43))</f>
        <v>687.6</v>
      </c>
      <c r="K43" s="10">
        <v>499.9</v>
      </c>
      <c r="L43" s="88"/>
      <c r="M43" s="4">
        <f t="shared" si="18"/>
        <v>284</v>
      </c>
      <c r="N43" s="220">
        <f t="shared" si="0"/>
        <v>11.833333333333334</v>
      </c>
      <c r="O43" s="30">
        <f ca="1">IF($O$5&gt;=B43,"N/A",SUM(INDIRECT(ADDRESS(6+(MATCH($O$5,$B$6:$B$59,0)),13)):M43))</f>
        <v>691.1</v>
      </c>
      <c r="P43" s="175">
        <f t="shared" si="19"/>
        <v>78.900000000000006</v>
      </c>
      <c r="Q43" s="175">
        <f t="shared" si="20"/>
        <v>7.8619844498528533</v>
      </c>
      <c r="R43" s="175">
        <f t="shared" si="21"/>
        <v>308.23325020000004</v>
      </c>
      <c r="S43" s="70" t="str">
        <f t="shared" si="22"/>
        <v>NOON</v>
      </c>
      <c r="T43" s="241">
        <f t="shared" si="23"/>
        <v>42262.5</v>
      </c>
      <c r="U43" s="157">
        <f t="shared" si="1"/>
        <v>29.6</v>
      </c>
      <c r="V43" s="158">
        <f t="shared" si="2"/>
        <v>2.6</v>
      </c>
      <c r="W43" s="158">
        <f t="shared" si="3"/>
        <v>0</v>
      </c>
      <c r="X43" s="199">
        <f t="shared" si="4"/>
        <v>32.200000000000003</v>
      </c>
      <c r="Y43" s="159">
        <f t="shared" si="5"/>
        <v>1754.8</v>
      </c>
      <c r="Z43" s="181"/>
      <c r="AA43" s="148">
        <f t="shared" si="6"/>
        <v>0</v>
      </c>
      <c r="AB43" s="149">
        <f t="shared" si="7"/>
        <v>0</v>
      </c>
      <c r="AC43" s="149">
        <f t="shared" si="8"/>
        <v>0</v>
      </c>
      <c r="AD43" s="203">
        <f t="shared" si="9"/>
        <v>0</v>
      </c>
      <c r="AE43" s="150">
        <f t="shared" si="10"/>
        <v>297.40000000000009</v>
      </c>
      <c r="AF43" s="182"/>
      <c r="AG43" s="139">
        <f t="shared" si="11"/>
        <v>6</v>
      </c>
      <c r="AH43" s="140">
        <f t="shared" si="12"/>
        <v>16</v>
      </c>
      <c r="AI43" s="141">
        <f t="shared" si="13"/>
        <v>345</v>
      </c>
      <c r="AJ43" s="166">
        <f t="shared" si="14"/>
        <v>23115</v>
      </c>
      <c r="AK43" s="167">
        <f t="shared" si="14"/>
        <v>10800</v>
      </c>
      <c r="AL43" s="168">
        <f t="shared" si="15"/>
        <v>2800</v>
      </c>
      <c r="AM43" s="237">
        <f t="shared" si="27"/>
        <v>6.694037773865065E-2</v>
      </c>
      <c r="AN43" s="70" t="str">
        <f t="shared" si="25"/>
        <v>NOON</v>
      </c>
      <c r="AO43" s="241">
        <f t="shared" si="26"/>
        <v>42262.5</v>
      </c>
      <c r="AP43" s="45" t="s">
        <v>40</v>
      </c>
      <c r="AQ43" s="98">
        <v>78.900000000000006</v>
      </c>
      <c r="AR43" s="99">
        <v>308.23325020000004</v>
      </c>
      <c r="AS43" s="99">
        <v>12.843052091666669</v>
      </c>
      <c r="AT43" s="100">
        <v>284</v>
      </c>
      <c r="AU43" s="101">
        <v>11.833333333333334</v>
      </c>
      <c r="AV43" s="100">
        <v>284</v>
      </c>
      <c r="AW43" s="101">
        <v>11.833333333333334</v>
      </c>
      <c r="AX43" s="101">
        <v>7.8619844498528533</v>
      </c>
      <c r="AY43" s="99">
        <v>7.8619844498528533</v>
      </c>
      <c r="AZ43" s="102"/>
      <c r="BA43" s="102"/>
      <c r="BB43" s="103">
        <v>29.633200000000002</v>
      </c>
      <c r="BC43" s="104">
        <v>29.6</v>
      </c>
      <c r="BD43" s="98">
        <v>0</v>
      </c>
      <c r="BE43" s="105">
        <v>3.781199999999997</v>
      </c>
      <c r="BF43" s="104">
        <v>2.6</v>
      </c>
      <c r="BG43" s="115">
        <v>0</v>
      </c>
      <c r="BH43" s="104">
        <v>0</v>
      </c>
      <c r="BI43" s="98">
        <v>0</v>
      </c>
      <c r="BJ43" s="105"/>
      <c r="BK43" s="104">
        <v>0</v>
      </c>
      <c r="BL43" s="104">
        <v>0</v>
      </c>
      <c r="BM43" s="107"/>
      <c r="BN43" s="108">
        <v>32.200000000000003</v>
      </c>
      <c r="BO43" s="108">
        <v>0</v>
      </c>
      <c r="BP43" s="109">
        <v>0</v>
      </c>
      <c r="BQ43" s="110"/>
      <c r="BR43" s="108">
        <v>1754.8</v>
      </c>
      <c r="BS43" s="109">
        <v>0</v>
      </c>
      <c r="BT43" s="109">
        <v>297.40000000000009</v>
      </c>
      <c r="BU43" s="107"/>
      <c r="BV43" s="111">
        <v>16</v>
      </c>
      <c r="BW43" s="98">
        <v>16</v>
      </c>
      <c r="BX43" s="113"/>
      <c r="BY43" s="113">
        <v>188</v>
      </c>
      <c r="BZ43" s="114">
        <v>188</v>
      </c>
      <c r="CA43" s="114">
        <v>82</v>
      </c>
      <c r="CB43" s="114">
        <v>75</v>
      </c>
      <c r="CC43" s="99">
        <v>345</v>
      </c>
      <c r="CD43" s="115">
        <v>7</v>
      </c>
      <c r="CE43" s="116">
        <v>6</v>
      </c>
      <c r="CF43" s="90">
        <v>0</v>
      </c>
      <c r="CG43" s="90" t="s">
        <v>39</v>
      </c>
      <c r="CH43" s="90">
        <v>0</v>
      </c>
      <c r="CI43" s="90" t="s">
        <v>39</v>
      </c>
      <c r="CJ43" s="90">
        <v>0</v>
      </c>
      <c r="CK43" s="90" t="s">
        <v>39</v>
      </c>
      <c r="CL43" s="90"/>
      <c r="CM43" s="90">
        <v>316</v>
      </c>
      <c r="CN43" s="90">
        <v>320</v>
      </c>
      <c r="CO43" s="90">
        <v>4</v>
      </c>
      <c r="CP43" s="121">
        <v>23115</v>
      </c>
      <c r="CQ43" s="121">
        <v>10800</v>
      </c>
      <c r="CR43" s="100">
        <v>200</v>
      </c>
      <c r="CS43" s="121">
        <v>2800</v>
      </c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customHeight="1" x14ac:dyDescent="0.25">
      <c r="A44" s="83" t="s">
        <v>11</v>
      </c>
      <c r="B44" s="442">
        <v>42263.5</v>
      </c>
      <c r="C44" s="453"/>
      <c r="D44" s="84"/>
      <c r="E44" s="23">
        <v>25</v>
      </c>
      <c r="F44" s="15">
        <v>980.4</v>
      </c>
      <c r="G44" s="213"/>
      <c r="H44" s="27">
        <f t="shared" si="16"/>
        <v>292.79999999999995</v>
      </c>
      <c r="I44" s="216">
        <f t="shared" si="17"/>
        <v>11.711999999999998</v>
      </c>
      <c r="J44" s="29">
        <f ca="1">IF($J$5&gt;=B44,"N/A",SUM(INDIRECT(ADDRESS(6+(MATCH($J$5,$B$6:$B$59,0)),8)):H44))</f>
        <v>980.4</v>
      </c>
      <c r="K44" s="10">
        <v>204.5</v>
      </c>
      <c r="L44" s="88"/>
      <c r="M44" s="4">
        <f t="shared" si="18"/>
        <v>295.39999999999998</v>
      </c>
      <c r="N44" s="220">
        <f t="shared" si="0"/>
        <v>11.815999999999999</v>
      </c>
      <c r="O44" s="30">
        <f ca="1">IF($O$5&gt;=B44,"N/A",SUM(INDIRECT(ADDRESS(6+(MATCH($O$5,$B$6:$B$59,0)),13)):M44))</f>
        <v>986.5</v>
      </c>
      <c r="P44" s="175">
        <f t="shared" si="19"/>
        <v>78.2</v>
      </c>
      <c r="Q44" s="175">
        <f t="shared" si="20"/>
        <v>7.1565136819933635</v>
      </c>
      <c r="R44" s="175">
        <f t="shared" si="21"/>
        <v>318.16987030000001</v>
      </c>
      <c r="S44" s="70" t="str">
        <f t="shared" si="22"/>
        <v>NOON</v>
      </c>
      <c r="T44" s="241">
        <f t="shared" si="23"/>
        <v>42263.5</v>
      </c>
      <c r="U44" s="157">
        <f t="shared" si="1"/>
        <v>30.8</v>
      </c>
      <c r="V44" s="158">
        <f t="shared" si="2"/>
        <v>2.7</v>
      </c>
      <c r="W44" s="158">
        <f t="shared" si="3"/>
        <v>0</v>
      </c>
      <c r="X44" s="199">
        <f t="shared" si="4"/>
        <v>33.5</v>
      </c>
      <c r="Y44" s="159">
        <f t="shared" si="5"/>
        <v>1721.3</v>
      </c>
      <c r="Z44" s="181"/>
      <c r="AA44" s="148">
        <f t="shared" si="6"/>
        <v>0</v>
      </c>
      <c r="AB44" s="149">
        <f t="shared" si="7"/>
        <v>0</v>
      </c>
      <c r="AC44" s="149">
        <f t="shared" si="8"/>
        <v>0</v>
      </c>
      <c r="AD44" s="203">
        <f t="shared" si="9"/>
        <v>0</v>
      </c>
      <c r="AE44" s="150">
        <f t="shared" si="10"/>
        <v>297.40000000000009</v>
      </c>
      <c r="AF44" s="182"/>
      <c r="AG44" s="139">
        <f t="shared" si="11"/>
        <v>9</v>
      </c>
      <c r="AH44" s="140">
        <f t="shared" si="12"/>
        <v>16</v>
      </c>
      <c r="AI44" s="141">
        <f t="shared" si="13"/>
        <v>352</v>
      </c>
      <c r="AJ44" s="166">
        <f t="shared" si="14"/>
        <v>22785</v>
      </c>
      <c r="AK44" s="167">
        <f t="shared" si="14"/>
        <v>10600</v>
      </c>
      <c r="AL44" s="168">
        <f t="shared" si="15"/>
        <v>2800</v>
      </c>
      <c r="AM44" s="237">
        <f t="shared" si="27"/>
        <v>7.9736872243996573E-2</v>
      </c>
      <c r="AN44" s="70" t="str">
        <f t="shared" si="25"/>
        <v>NOON</v>
      </c>
      <c r="AO44" s="241">
        <f t="shared" si="26"/>
        <v>42263.5</v>
      </c>
      <c r="AP44" s="45" t="s">
        <v>40</v>
      </c>
      <c r="AQ44" s="98">
        <v>78.2</v>
      </c>
      <c r="AR44" s="99">
        <v>318.16987030000001</v>
      </c>
      <c r="AS44" s="99">
        <v>12.726794812000001</v>
      </c>
      <c r="AT44" s="100">
        <v>295.39999999999998</v>
      </c>
      <c r="AU44" s="101">
        <v>11.815999999999999</v>
      </c>
      <c r="AV44" s="100">
        <v>295.39999999999998</v>
      </c>
      <c r="AW44" s="101">
        <v>11.815999999999999</v>
      </c>
      <c r="AX44" s="101">
        <v>7.1565136819933635</v>
      </c>
      <c r="AY44" s="99">
        <v>7.1565136819933635</v>
      </c>
      <c r="AZ44" s="102"/>
      <c r="BA44" s="102"/>
      <c r="BB44" s="103">
        <v>30.691199999999998</v>
      </c>
      <c r="BC44" s="104">
        <v>30.8</v>
      </c>
      <c r="BD44" s="98">
        <v>0</v>
      </c>
      <c r="BE44" s="105">
        <v>3.9007999999999994</v>
      </c>
      <c r="BF44" s="104">
        <v>2.7</v>
      </c>
      <c r="BG44" s="115">
        <v>0</v>
      </c>
      <c r="BH44" s="104">
        <v>0</v>
      </c>
      <c r="BI44" s="98">
        <v>0</v>
      </c>
      <c r="BJ44" s="105">
        <v>0</v>
      </c>
      <c r="BK44" s="104">
        <v>0</v>
      </c>
      <c r="BL44" s="104">
        <v>0</v>
      </c>
      <c r="BM44" s="107"/>
      <c r="BN44" s="108">
        <v>33.5</v>
      </c>
      <c r="BO44" s="108">
        <v>0</v>
      </c>
      <c r="BP44" s="109">
        <v>0</v>
      </c>
      <c r="BQ44" s="110"/>
      <c r="BR44" s="108">
        <v>1721.3</v>
      </c>
      <c r="BS44" s="109">
        <v>0</v>
      </c>
      <c r="BT44" s="109">
        <v>297.40000000000009</v>
      </c>
      <c r="BU44" s="107"/>
      <c r="BV44" s="111">
        <v>15</v>
      </c>
      <c r="BW44" s="98">
        <v>16</v>
      </c>
      <c r="BX44" s="113"/>
      <c r="BY44" s="113">
        <v>188</v>
      </c>
      <c r="BZ44" s="114">
        <v>188</v>
      </c>
      <c r="CA44" s="114">
        <v>82</v>
      </c>
      <c r="CB44" s="114">
        <v>82</v>
      </c>
      <c r="CC44" s="99">
        <v>352</v>
      </c>
      <c r="CD44" s="115">
        <v>9</v>
      </c>
      <c r="CE44" s="116">
        <v>9</v>
      </c>
      <c r="CF44" s="90">
        <v>0</v>
      </c>
      <c r="CG44" s="90" t="s">
        <v>39</v>
      </c>
      <c r="CH44" s="90">
        <v>0</v>
      </c>
      <c r="CI44" s="90" t="s">
        <v>39</v>
      </c>
      <c r="CJ44" s="90">
        <v>0</v>
      </c>
      <c r="CK44" s="90" t="s">
        <v>39</v>
      </c>
      <c r="CL44" s="90"/>
      <c r="CM44" s="90">
        <v>328</v>
      </c>
      <c r="CN44" s="90">
        <v>330</v>
      </c>
      <c r="CO44" s="90">
        <v>2</v>
      </c>
      <c r="CP44" s="121">
        <v>22785</v>
      </c>
      <c r="CQ44" s="121">
        <v>10600</v>
      </c>
      <c r="CR44" s="100">
        <v>200</v>
      </c>
      <c r="CS44" s="121">
        <v>2800</v>
      </c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customHeight="1" x14ac:dyDescent="0.25">
      <c r="A45" s="83" t="s">
        <v>97</v>
      </c>
      <c r="B45" s="442">
        <v>42264.3</v>
      </c>
      <c r="C45" s="453"/>
      <c r="D45" s="84" t="s">
        <v>132</v>
      </c>
      <c r="E45" s="23">
        <v>19.2</v>
      </c>
      <c r="F45" s="15">
        <v>1176</v>
      </c>
      <c r="G45" s="213"/>
      <c r="H45" s="27">
        <f t="shared" si="16"/>
        <v>195.60000000000002</v>
      </c>
      <c r="I45" s="216">
        <f t="shared" si="17"/>
        <v>10.187500000000002</v>
      </c>
      <c r="J45" s="29">
        <f ca="1">IF($J$5&gt;=B45,"N/A",SUM(INDIRECT(ADDRESS(6+(MATCH($J$5,$B$6:$B$59,0)),8)):H45))</f>
        <v>1176</v>
      </c>
      <c r="K45" s="10">
        <v>5.9</v>
      </c>
      <c r="L45" s="88"/>
      <c r="M45" s="4">
        <f t="shared" si="18"/>
        <v>198.6</v>
      </c>
      <c r="N45" s="220">
        <f t="shared" si="0"/>
        <v>10.34375</v>
      </c>
      <c r="O45" s="30">
        <f ca="1">IF($O$5&gt;=B45,"N/A",SUM(INDIRECT(ADDRESS(6+(MATCH($O$5,$B$6:$B$59,0)),13)):M45))</f>
        <v>1185.0999999999999</v>
      </c>
      <c r="P45" s="175">
        <f t="shared" si="19"/>
        <v>68.8</v>
      </c>
      <c r="Q45" s="175">
        <f t="shared" si="20"/>
        <v>7.6898350756195297</v>
      </c>
      <c r="R45" s="175">
        <f t="shared" si="21"/>
        <v>215.144237</v>
      </c>
      <c r="S45" s="70" t="str">
        <f t="shared" si="22"/>
        <v>EOSP</v>
      </c>
      <c r="T45" s="241">
        <f t="shared" si="23"/>
        <v>42264.3</v>
      </c>
      <c r="U45" s="157">
        <f t="shared" si="1"/>
        <v>16.7</v>
      </c>
      <c r="V45" s="158">
        <f t="shared" si="2"/>
        <v>2.2999999999999998</v>
      </c>
      <c r="W45" s="158">
        <f t="shared" si="3"/>
        <v>0</v>
      </c>
      <c r="X45" s="199">
        <f t="shared" si="4"/>
        <v>19</v>
      </c>
      <c r="Y45" s="159">
        <f t="shared" si="5"/>
        <v>1702.3</v>
      </c>
      <c r="Z45" s="181"/>
      <c r="AA45" s="148">
        <f t="shared" si="6"/>
        <v>0</v>
      </c>
      <c r="AB45" s="149">
        <f t="shared" si="7"/>
        <v>0</v>
      </c>
      <c r="AC45" s="149">
        <f t="shared" si="8"/>
        <v>0</v>
      </c>
      <c r="AD45" s="203">
        <f t="shared" si="9"/>
        <v>0</v>
      </c>
      <c r="AE45" s="150">
        <f t="shared" si="10"/>
        <v>297.40000000000009</v>
      </c>
      <c r="AF45" s="182"/>
      <c r="AG45" s="139">
        <f t="shared" si="11"/>
        <v>6</v>
      </c>
      <c r="AH45" s="140">
        <f t="shared" si="12"/>
        <v>11</v>
      </c>
      <c r="AI45" s="141">
        <f t="shared" si="13"/>
        <v>357</v>
      </c>
      <c r="AJ45" s="166">
        <f t="shared" si="14"/>
        <v>22555</v>
      </c>
      <c r="AK45" s="167">
        <f t="shared" si="14"/>
        <v>10500</v>
      </c>
      <c r="AL45" s="168">
        <f t="shared" si="15"/>
        <v>2800</v>
      </c>
      <c r="AM45" s="237">
        <f t="shared" si="27"/>
        <v>9.084248443057287E-2</v>
      </c>
      <c r="AN45" s="70" t="str">
        <f t="shared" si="25"/>
        <v>EOSP</v>
      </c>
      <c r="AO45" s="241">
        <f t="shared" si="26"/>
        <v>42264.3</v>
      </c>
      <c r="AP45" s="45" t="s">
        <v>40</v>
      </c>
      <c r="AQ45" s="98">
        <v>68.8</v>
      </c>
      <c r="AR45" s="99">
        <v>215.144237</v>
      </c>
      <c r="AS45" s="99">
        <v>11.205429010416667</v>
      </c>
      <c r="AT45" s="100">
        <v>198.6</v>
      </c>
      <c r="AU45" s="101">
        <v>10.34375</v>
      </c>
      <c r="AV45" s="100">
        <v>198.6</v>
      </c>
      <c r="AW45" s="101">
        <v>10.34375</v>
      </c>
      <c r="AX45" s="101">
        <v>7.6898350756195297</v>
      </c>
      <c r="AY45" s="99">
        <v>7.6898350756195297</v>
      </c>
      <c r="AZ45" s="102"/>
      <c r="BA45" s="102"/>
      <c r="BB45" s="103">
        <v>17.121199999999995</v>
      </c>
      <c r="BC45" s="104">
        <v>16.7</v>
      </c>
      <c r="BD45" s="98">
        <v>0</v>
      </c>
      <c r="BE45" s="105">
        <v>3.3856000000000024</v>
      </c>
      <c r="BF45" s="104">
        <v>2.2999999999999998</v>
      </c>
      <c r="BG45" s="115">
        <v>0</v>
      </c>
      <c r="BH45" s="104">
        <v>0</v>
      </c>
      <c r="BI45" s="98">
        <v>0</v>
      </c>
      <c r="BJ45" s="105">
        <v>0.18690000000000001</v>
      </c>
      <c r="BK45" s="104">
        <v>0</v>
      </c>
      <c r="BL45" s="104">
        <v>0</v>
      </c>
      <c r="BM45" s="107"/>
      <c r="BN45" s="108">
        <v>19</v>
      </c>
      <c r="BO45" s="108">
        <v>0</v>
      </c>
      <c r="BP45" s="109">
        <v>0</v>
      </c>
      <c r="BQ45" s="110"/>
      <c r="BR45" s="108">
        <v>1702.3</v>
      </c>
      <c r="BS45" s="109">
        <v>0</v>
      </c>
      <c r="BT45" s="109">
        <v>297.40000000000009</v>
      </c>
      <c r="BU45" s="107"/>
      <c r="BV45" s="111">
        <v>11</v>
      </c>
      <c r="BW45" s="98">
        <v>11</v>
      </c>
      <c r="BX45" s="113"/>
      <c r="BY45" s="113">
        <v>188</v>
      </c>
      <c r="BZ45" s="114">
        <v>188</v>
      </c>
      <c r="CA45" s="114">
        <v>82</v>
      </c>
      <c r="CB45" s="114">
        <v>87</v>
      </c>
      <c r="CC45" s="99">
        <v>357</v>
      </c>
      <c r="CD45" s="115">
        <v>6</v>
      </c>
      <c r="CE45" s="116">
        <v>6</v>
      </c>
      <c r="CF45" s="90">
        <v>0</v>
      </c>
      <c r="CG45" s="90" t="s">
        <v>39</v>
      </c>
      <c r="CH45" s="90">
        <v>0</v>
      </c>
      <c r="CI45" s="90" t="s">
        <v>39</v>
      </c>
      <c r="CJ45" s="90">
        <v>0</v>
      </c>
      <c r="CK45" s="90" t="s">
        <v>39</v>
      </c>
      <c r="CL45" s="90"/>
      <c r="CM45" s="90">
        <v>230</v>
      </c>
      <c r="CN45" s="90">
        <v>230</v>
      </c>
      <c r="CO45" s="90">
        <v>0</v>
      </c>
      <c r="CP45" s="121">
        <v>22555</v>
      </c>
      <c r="CQ45" s="121">
        <v>10500</v>
      </c>
      <c r="CR45" s="100">
        <v>100</v>
      </c>
      <c r="CS45" s="121">
        <v>2800</v>
      </c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customHeight="1" x14ac:dyDescent="0.25">
      <c r="A46" s="83" t="s">
        <v>133</v>
      </c>
      <c r="B46" s="442">
        <v>42264.479166666664</v>
      </c>
      <c r="C46" s="453"/>
      <c r="D46" s="84"/>
      <c r="E46" s="23">
        <v>3.1</v>
      </c>
      <c r="F46" s="15">
        <v>1188.8</v>
      </c>
      <c r="G46" s="213"/>
      <c r="H46" s="27">
        <f t="shared" si="16"/>
        <v>12.799999999999955</v>
      </c>
      <c r="I46" s="216">
        <f t="shared" si="17"/>
        <v>4.1290322580645009</v>
      </c>
      <c r="J46" s="29">
        <f ca="1">IF($J$5&gt;=B46,"N/A",SUM(INDIRECT(ADDRESS(6+(MATCH($J$5,$B$6:$B$59,0)),8)):H46))</f>
        <v>1188.8</v>
      </c>
      <c r="K46" s="10">
        <v>5.9</v>
      </c>
      <c r="L46" s="88">
        <v>12.1</v>
      </c>
      <c r="M46" s="4">
        <f t="shared" si="18"/>
        <v>12.1</v>
      </c>
      <c r="N46" s="220">
        <f t="shared" si="0"/>
        <v>3.9032258064516125</v>
      </c>
      <c r="O46" s="30">
        <f ca="1">IF($O$5&gt;=B46,"N/A",SUM(INDIRECT(ADDRESS(6+(MATCH($O$5,$B$6:$B$59,0)),13)):M46))</f>
        <v>1197.1999999999998</v>
      </c>
      <c r="P46" s="175">
        <f t="shared" si="19"/>
        <v>20</v>
      </c>
      <c r="Q46" s="175">
        <f t="shared" si="20"/>
        <v>9.2287218508326667</v>
      </c>
      <c r="R46" s="175">
        <f t="shared" si="21"/>
        <v>13.3302078</v>
      </c>
      <c r="S46" s="70" t="str">
        <f t="shared" si="22"/>
        <v>fwe</v>
      </c>
      <c r="T46" s="241">
        <f t="shared" si="23"/>
        <v>42264.479166666664</v>
      </c>
      <c r="U46" s="157">
        <f t="shared" si="1"/>
        <v>0.5</v>
      </c>
      <c r="V46" s="158">
        <f t="shared" si="2"/>
        <v>0.6</v>
      </c>
      <c r="W46" s="158">
        <f t="shared" si="3"/>
        <v>0.3</v>
      </c>
      <c r="X46" s="199">
        <f t="shared" si="4"/>
        <v>1.4000000000000001</v>
      </c>
      <c r="Y46" s="159">
        <f t="shared" si="5"/>
        <v>1700.8999999999999</v>
      </c>
      <c r="Z46" s="181"/>
      <c r="AA46" s="148">
        <f t="shared" si="6"/>
        <v>0</v>
      </c>
      <c r="AB46" s="149">
        <f t="shared" si="7"/>
        <v>0</v>
      </c>
      <c r="AC46" s="149">
        <f t="shared" si="8"/>
        <v>0</v>
      </c>
      <c r="AD46" s="203">
        <f t="shared" si="9"/>
        <v>0</v>
      </c>
      <c r="AE46" s="150">
        <f t="shared" si="10"/>
        <v>297.40000000000009</v>
      </c>
      <c r="AF46" s="182"/>
      <c r="AG46" s="139">
        <f t="shared" si="11"/>
        <v>2</v>
      </c>
      <c r="AH46" s="140">
        <f t="shared" si="12"/>
        <v>0</v>
      </c>
      <c r="AI46" s="141">
        <f t="shared" si="13"/>
        <v>355</v>
      </c>
      <c r="AJ46" s="166">
        <f t="shared" si="14"/>
        <v>22490</v>
      </c>
      <c r="AK46" s="167">
        <f t="shared" si="14"/>
        <v>10500</v>
      </c>
      <c r="AL46" s="168">
        <f t="shared" si="15"/>
        <v>2800</v>
      </c>
      <c r="AM46" s="237">
        <f t="shared" si="27"/>
        <v>3.9774908835258041E-2</v>
      </c>
      <c r="AN46" s="70" t="str">
        <f t="shared" si="25"/>
        <v>fwe</v>
      </c>
      <c r="AO46" s="241">
        <f t="shared" si="26"/>
        <v>42264.479166666664</v>
      </c>
      <c r="AP46" s="45" t="s">
        <v>40</v>
      </c>
      <c r="AQ46" s="98">
        <v>20</v>
      </c>
      <c r="AR46" s="99">
        <v>13.3302078</v>
      </c>
      <c r="AS46" s="99">
        <v>3.1000483255813953</v>
      </c>
      <c r="AT46" s="100">
        <v>12.1</v>
      </c>
      <c r="AU46" s="101">
        <v>2.8139534883720931</v>
      </c>
      <c r="AV46" s="100">
        <v>12.1</v>
      </c>
      <c r="AW46" s="101">
        <v>2.8139534883720931</v>
      </c>
      <c r="AX46" s="101">
        <v>9.2287218508326667</v>
      </c>
      <c r="AY46" s="99">
        <v>9.2287218508326667</v>
      </c>
      <c r="AZ46" s="102"/>
      <c r="BA46" s="102"/>
      <c r="BB46" s="103">
        <v>0.4231999999999998</v>
      </c>
      <c r="BC46" s="104">
        <v>0.5</v>
      </c>
      <c r="BD46" s="98">
        <v>0</v>
      </c>
      <c r="BE46" s="105">
        <v>0.74520000000000031</v>
      </c>
      <c r="BF46" s="104">
        <v>0.6</v>
      </c>
      <c r="BG46" s="115">
        <v>0</v>
      </c>
      <c r="BH46" s="104">
        <v>0</v>
      </c>
      <c r="BI46" s="98">
        <v>0</v>
      </c>
      <c r="BJ46" s="105">
        <v>0.3649</v>
      </c>
      <c r="BK46" s="104">
        <v>0.3</v>
      </c>
      <c r="BL46" s="104">
        <v>0</v>
      </c>
      <c r="BM46" s="107"/>
      <c r="BN46" s="108">
        <v>1.4000000000000001</v>
      </c>
      <c r="BO46" s="108">
        <v>0</v>
      </c>
      <c r="BP46" s="109">
        <v>0</v>
      </c>
      <c r="BQ46" s="110"/>
      <c r="BR46" s="108">
        <v>1700.8999999999999</v>
      </c>
      <c r="BS46" s="109">
        <v>0</v>
      </c>
      <c r="BT46" s="109">
        <v>297.40000000000009</v>
      </c>
      <c r="BU46" s="107"/>
      <c r="BV46" s="111">
        <v>0</v>
      </c>
      <c r="BW46" s="98">
        <v>0</v>
      </c>
      <c r="BX46" s="113"/>
      <c r="BY46" s="113">
        <v>188</v>
      </c>
      <c r="BZ46" s="114">
        <v>188</v>
      </c>
      <c r="CA46" s="114">
        <v>81</v>
      </c>
      <c r="CB46" s="114">
        <v>86</v>
      </c>
      <c r="CC46" s="99">
        <v>355</v>
      </c>
      <c r="CD46" s="115">
        <v>2</v>
      </c>
      <c r="CE46" s="116">
        <v>2</v>
      </c>
      <c r="CF46" s="90">
        <v>0</v>
      </c>
      <c r="CG46" s="90" t="s">
        <v>39</v>
      </c>
      <c r="CH46" s="90">
        <v>0</v>
      </c>
      <c r="CI46" s="90" t="s">
        <v>39</v>
      </c>
      <c r="CJ46" s="90">
        <v>0</v>
      </c>
      <c r="CK46" s="90" t="s">
        <v>39</v>
      </c>
      <c r="CL46" s="90"/>
      <c r="CM46" s="90">
        <v>65</v>
      </c>
      <c r="CN46" s="90">
        <v>65</v>
      </c>
      <c r="CO46" s="90">
        <v>0</v>
      </c>
      <c r="CP46" s="121">
        <v>22490</v>
      </c>
      <c r="CQ46" s="121">
        <v>10500</v>
      </c>
      <c r="CR46" s="100"/>
      <c r="CS46" s="121">
        <v>2800</v>
      </c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customHeight="1" x14ac:dyDescent="0.25">
      <c r="A47" s="83" t="s">
        <v>134</v>
      </c>
      <c r="B47" s="442">
        <v>42264.5</v>
      </c>
      <c r="C47" s="453"/>
      <c r="D47" s="84"/>
      <c r="E47" s="23"/>
      <c r="F47" s="15"/>
      <c r="G47" s="213"/>
      <c r="H47" s="27" t="str">
        <f t="shared" si="16"/>
        <v/>
      </c>
      <c r="I47" s="216" t="str">
        <f t="shared" si="17"/>
        <v/>
      </c>
      <c r="J47" s="29">
        <f ca="1">IF($J$5&gt;=B47,"N/A",SUM(INDIRECT(ADDRESS(6+(MATCH($J$5,$B$6:$B$59,0)),8)):H47))</f>
        <v>1188.8</v>
      </c>
      <c r="K47" s="10"/>
      <c r="L47" s="88"/>
      <c r="M47" s="4" t="str">
        <f t="shared" si="18"/>
        <v/>
      </c>
      <c r="N47" s="220" t="str">
        <f t="shared" si="0"/>
        <v/>
      </c>
      <c r="O47" s="30">
        <f ca="1">IF($O$5&gt;=B47,"N/A",SUM(INDIRECT(ADDRESS(6+(MATCH($O$5,$B$6:$B$59,0)),13)):M47))</f>
        <v>1197.1999999999998</v>
      </c>
      <c r="P47" s="175" t="str">
        <f t="shared" si="19"/>
        <v/>
      </c>
      <c r="Q47" s="175" t="e">
        <f t="shared" si="20"/>
        <v>#VALUE!</v>
      </c>
      <c r="R47" s="175">
        <f t="shared" si="21"/>
        <v>0</v>
      </c>
      <c r="S47" s="70" t="str">
        <f t="shared" si="22"/>
        <v>pnoon</v>
      </c>
      <c r="T47" s="241">
        <f t="shared" si="23"/>
        <v>42264.5</v>
      </c>
      <c r="U47" s="157" t="str">
        <f t="shared" si="1"/>
        <v/>
      </c>
      <c r="V47" s="158">
        <f t="shared" si="2"/>
        <v>0.2</v>
      </c>
      <c r="W47" s="158">
        <f t="shared" si="3"/>
        <v>0.2</v>
      </c>
      <c r="X47" s="199">
        <f t="shared" si="4"/>
        <v>0.4</v>
      </c>
      <c r="Y47" s="159">
        <f t="shared" si="5"/>
        <v>1700.4999999999998</v>
      </c>
      <c r="Z47" s="181"/>
      <c r="AA47" s="148" t="str">
        <f t="shared" si="6"/>
        <v/>
      </c>
      <c r="AB47" s="149">
        <f t="shared" si="7"/>
        <v>0</v>
      </c>
      <c r="AC47" s="149" t="str">
        <f t="shared" si="8"/>
        <v/>
      </c>
      <c r="AD47" s="203">
        <f t="shared" si="9"/>
        <v>0</v>
      </c>
      <c r="AE47" s="150">
        <f t="shared" si="10"/>
        <v>297.40000000000009</v>
      </c>
      <c r="AF47" s="182"/>
      <c r="AG47" s="139">
        <f t="shared" si="11"/>
        <v>0</v>
      </c>
      <c r="AH47" s="140">
        <f t="shared" si="12"/>
        <v>0</v>
      </c>
      <c r="AI47" s="141">
        <f t="shared" si="13"/>
        <v>355</v>
      </c>
      <c r="AJ47" s="166">
        <f t="shared" si="14"/>
        <v>22490</v>
      </c>
      <c r="AK47" s="167">
        <f t="shared" si="14"/>
        <v>10500</v>
      </c>
      <c r="AL47" s="168">
        <f t="shared" si="15"/>
        <v>2800</v>
      </c>
      <c r="AM47" s="237" t="e">
        <f t="shared" si="27"/>
        <v>#VALUE!</v>
      </c>
      <c r="AN47" s="70" t="str">
        <f t="shared" si="25"/>
        <v>pnoon</v>
      </c>
      <c r="AO47" s="241">
        <f t="shared" si="26"/>
        <v>42264.5</v>
      </c>
      <c r="AP47" s="45" t="s">
        <v>40</v>
      </c>
      <c r="AQ47" s="98"/>
      <c r="AR47" s="99">
        <v>0</v>
      </c>
      <c r="AS47" s="99">
        <v>0</v>
      </c>
      <c r="AT47" s="100" t="s">
        <v>39</v>
      </c>
      <c r="AU47" s="101" t="e">
        <v>#VALUE!</v>
      </c>
      <c r="AV47" s="100" t="s">
        <v>39</v>
      </c>
      <c r="AW47" s="101" t="e">
        <v>#VALUE!</v>
      </c>
      <c r="AX47" s="101" t="e">
        <v>#VALUE!</v>
      </c>
      <c r="AY47" s="99" t="e">
        <v>#VALUE!</v>
      </c>
      <c r="AZ47" s="102"/>
      <c r="BA47" s="102"/>
      <c r="BB47" s="103">
        <v>1.8400000000000083E-2</v>
      </c>
      <c r="BC47" s="104"/>
      <c r="BD47" s="98"/>
      <c r="BE47" s="105">
        <v>0.12879999999999994</v>
      </c>
      <c r="BF47" s="104">
        <v>0.2</v>
      </c>
      <c r="BG47" s="115">
        <v>0</v>
      </c>
      <c r="BH47" s="104"/>
      <c r="BI47" s="98"/>
      <c r="BJ47" s="105">
        <v>7.1199999999999999E-2</v>
      </c>
      <c r="BK47" s="104">
        <v>0.2</v>
      </c>
      <c r="BL47" s="104"/>
      <c r="BM47" s="107"/>
      <c r="BN47" s="108">
        <v>0.4</v>
      </c>
      <c r="BO47" s="108">
        <v>0</v>
      </c>
      <c r="BP47" s="109">
        <v>0</v>
      </c>
      <c r="BQ47" s="110"/>
      <c r="BR47" s="108">
        <v>1700.4999999999998</v>
      </c>
      <c r="BS47" s="109">
        <v>0</v>
      </c>
      <c r="BT47" s="109">
        <v>297.40000000000009</v>
      </c>
      <c r="BU47" s="107"/>
      <c r="BV47" s="111">
        <v>0</v>
      </c>
      <c r="BW47" s="98">
        <v>0</v>
      </c>
      <c r="BX47" s="113"/>
      <c r="BY47" s="113">
        <v>188</v>
      </c>
      <c r="BZ47" s="114">
        <v>188</v>
      </c>
      <c r="CA47" s="114">
        <v>81</v>
      </c>
      <c r="CB47" s="114">
        <v>86</v>
      </c>
      <c r="CC47" s="99">
        <v>355</v>
      </c>
      <c r="CD47" s="115">
        <v>0</v>
      </c>
      <c r="CE47" s="116">
        <v>0</v>
      </c>
      <c r="CF47" s="90">
        <v>0</v>
      </c>
      <c r="CG47" s="90" t="s">
        <v>39</v>
      </c>
      <c r="CH47" s="90">
        <v>0</v>
      </c>
      <c r="CI47" s="90" t="s">
        <v>39</v>
      </c>
      <c r="CJ47" s="90">
        <v>0</v>
      </c>
      <c r="CK47" s="90" t="s">
        <v>39</v>
      </c>
      <c r="CL47" s="90"/>
      <c r="CM47" s="90">
        <v>0</v>
      </c>
      <c r="CN47" s="90">
        <v>0</v>
      </c>
      <c r="CO47" s="90">
        <v>0</v>
      </c>
      <c r="CP47" s="121">
        <v>22490</v>
      </c>
      <c r="CQ47" s="121">
        <v>10500</v>
      </c>
      <c r="CR47" s="100"/>
      <c r="CS47" s="121">
        <v>2800</v>
      </c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customHeight="1" x14ac:dyDescent="0.25">
      <c r="A48" s="83"/>
      <c r="B48" s="442"/>
      <c r="C48" s="453"/>
      <c r="D48" s="84"/>
      <c r="E48" s="23"/>
      <c r="F48" s="15"/>
      <c r="G48" s="213"/>
      <c r="H48" s="27" t="str">
        <f t="shared" si="16"/>
        <v/>
      </c>
      <c r="I48" s="216" t="str">
        <f t="shared" si="17"/>
        <v/>
      </c>
      <c r="J48" s="29" t="str">
        <f ca="1">IF($J$5&gt;=B48,"N/A",SUM(INDIRECT(ADDRESS(6+(MATCH($J$5,$B$6:$B$59,0)),8)):H48))</f>
        <v>N/A</v>
      </c>
      <c r="K48" s="10"/>
      <c r="L48" s="88"/>
      <c r="M48" s="4" t="str">
        <f t="shared" si="18"/>
        <v/>
      </c>
      <c r="N48" s="220" t="str">
        <f t="shared" si="0"/>
        <v/>
      </c>
      <c r="O48" s="30" t="str">
        <f ca="1">IF($O$5&gt;=B48,"N/A",SUM(INDIRECT(ADDRESS(6+(MATCH($O$5,$B$6:$B$59,0)),13)):M48))</f>
        <v>N/A</v>
      </c>
      <c r="P48" s="175" t="str">
        <f t="shared" si="19"/>
        <v/>
      </c>
      <c r="Q48" s="175" t="str">
        <f t="shared" si="20"/>
        <v/>
      </c>
      <c r="R48" s="175" t="str">
        <f t="shared" si="21"/>
        <v/>
      </c>
      <c r="S48" s="70" t="str">
        <f t="shared" si="22"/>
        <v/>
      </c>
      <c r="T48" s="241" t="str">
        <f t="shared" si="23"/>
        <v/>
      </c>
      <c r="U48" s="157" t="str">
        <f t="shared" si="1"/>
        <v/>
      </c>
      <c r="V48" s="158" t="str">
        <f t="shared" si="2"/>
        <v/>
      </c>
      <c r="W48" s="158" t="str">
        <f t="shared" si="3"/>
        <v/>
      </c>
      <c r="X48" s="199" t="str">
        <f t="shared" si="4"/>
        <v/>
      </c>
      <c r="Y48" s="159" t="str">
        <f t="shared" si="5"/>
        <v/>
      </c>
      <c r="Z48" s="181"/>
      <c r="AA48" s="148" t="str">
        <f t="shared" si="6"/>
        <v/>
      </c>
      <c r="AB48" s="149">
        <f t="shared" si="7"/>
        <v>0</v>
      </c>
      <c r="AC48" s="149" t="str">
        <f t="shared" si="8"/>
        <v/>
      </c>
      <c r="AD48" s="203">
        <f t="shared" si="9"/>
        <v>0</v>
      </c>
      <c r="AE48" s="150" t="str">
        <f t="shared" si="10"/>
        <v/>
      </c>
      <c r="AF48" s="182"/>
      <c r="AG48" s="139" t="str">
        <f t="shared" si="11"/>
        <v/>
      </c>
      <c r="AH48" s="140" t="str">
        <f t="shared" si="12"/>
        <v/>
      </c>
      <c r="AI48" s="141" t="str">
        <f t="shared" si="13"/>
        <v/>
      </c>
      <c r="AJ48" s="166" t="str">
        <f t="shared" si="14"/>
        <v/>
      </c>
      <c r="AK48" s="167" t="str">
        <f t="shared" si="14"/>
        <v/>
      </c>
      <c r="AL48" s="168" t="str">
        <f t="shared" si="15"/>
        <v/>
      </c>
      <c r="AM48" s="237" t="e">
        <f t="shared" si="27"/>
        <v>#VALUE!</v>
      </c>
      <c r="AN48" s="70" t="str">
        <f t="shared" si="25"/>
        <v/>
      </c>
      <c r="AO48" s="241" t="str">
        <f t="shared" si="26"/>
        <v/>
      </c>
      <c r="AP48" s="45" t="s">
        <v>40</v>
      </c>
      <c r="AQ48" s="98"/>
      <c r="AR48" s="99"/>
      <c r="AS48" s="99"/>
      <c r="AT48" s="100"/>
      <c r="AU48" s="101"/>
      <c r="AV48" s="100"/>
      <c r="AW48" s="101"/>
      <c r="AX48" s="101"/>
      <c r="AY48" s="99"/>
      <c r="AZ48" s="102"/>
      <c r="BA48" s="102"/>
      <c r="BB48" s="103"/>
      <c r="BC48" s="104"/>
      <c r="BD48" s="98"/>
      <c r="BE48" s="105"/>
      <c r="BF48" s="104"/>
      <c r="BG48" s="115"/>
      <c r="BH48" s="104"/>
      <c r="BI48" s="98"/>
      <c r="BJ48" s="105"/>
      <c r="BK48" s="104"/>
      <c r="BL48" s="104"/>
      <c r="BM48" s="107"/>
      <c r="BN48" s="108"/>
      <c r="BO48" s="108"/>
      <c r="BP48" s="109"/>
      <c r="BQ48" s="110"/>
      <c r="BR48" s="108"/>
      <c r="BS48" s="109"/>
      <c r="BT48" s="109"/>
      <c r="BU48" s="107"/>
      <c r="BV48" s="111"/>
      <c r="BW48" s="98"/>
      <c r="BX48" s="113"/>
      <c r="BY48" s="113"/>
      <c r="BZ48" s="114"/>
      <c r="CA48" s="114"/>
      <c r="CB48" s="114"/>
      <c r="CC48" s="99"/>
      <c r="CD48" s="115"/>
      <c r="CE48" s="116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121"/>
      <c r="CQ48" s="121"/>
      <c r="CR48" s="100"/>
      <c r="CS48" s="121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customHeight="1" x14ac:dyDescent="0.25">
      <c r="A49" s="83"/>
      <c r="B49" s="442"/>
      <c r="C49" s="453"/>
      <c r="D49" s="84"/>
      <c r="E49" s="23"/>
      <c r="F49" s="15"/>
      <c r="G49" s="213"/>
      <c r="H49" s="27" t="str">
        <f t="shared" si="16"/>
        <v/>
      </c>
      <c r="I49" s="216" t="str">
        <f t="shared" si="17"/>
        <v/>
      </c>
      <c r="J49" s="29" t="str">
        <f ca="1">IF($J$5&gt;=B49,"N/A",SUM(INDIRECT(ADDRESS(6+(MATCH($J$5,$B$6:$B$59,0)),8)):H49))</f>
        <v>N/A</v>
      </c>
      <c r="K49" s="10"/>
      <c r="L49" s="88"/>
      <c r="M49" s="4" t="str">
        <f t="shared" si="18"/>
        <v/>
      </c>
      <c r="N49" s="220" t="str">
        <f t="shared" si="0"/>
        <v/>
      </c>
      <c r="O49" s="30" t="str">
        <f ca="1">IF($O$5&gt;=B49,"N/A",SUM(INDIRECT(ADDRESS(6+(MATCH($O$5,$B$6:$B$59,0)),13)):M49))</f>
        <v>N/A</v>
      </c>
      <c r="P49" s="175" t="str">
        <f t="shared" si="19"/>
        <v/>
      </c>
      <c r="Q49" s="175" t="str">
        <f t="shared" si="20"/>
        <v/>
      </c>
      <c r="R49" s="175" t="str">
        <f t="shared" si="21"/>
        <v/>
      </c>
      <c r="S49" s="70" t="str">
        <f t="shared" si="22"/>
        <v/>
      </c>
      <c r="T49" s="241" t="str">
        <f t="shared" si="23"/>
        <v/>
      </c>
      <c r="U49" s="157" t="str">
        <f t="shared" si="1"/>
        <v/>
      </c>
      <c r="V49" s="158" t="str">
        <f t="shared" si="2"/>
        <v/>
      </c>
      <c r="W49" s="158" t="str">
        <f t="shared" si="3"/>
        <v/>
      </c>
      <c r="X49" s="199" t="str">
        <f t="shared" si="4"/>
        <v/>
      </c>
      <c r="Y49" s="159" t="str">
        <f t="shared" si="5"/>
        <v/>
      </c>
      <c r="Z49" s="181"/>
      <c r="AA49" s="148" t="str">
        <f t="shared" si="6"/>
        <v/>
      </c>
      <c r="AB49" s="149">
        <f t="shared" si="7"/>
        <v>0</v>
      </c>
      <c r="AC49" s="149" t="str">
        <f t="shared" si="8"/>
        <v/>
      </c>
      <c r="AD49" s="203">
        <f t="shared" si="9"/>
        <v>0</v>
      </c>
      <c r="AE49" s="150" t="str">
        <f t="shared" si="10"/>
        <v/>
      </c>
      <c r="AF49" s="182"/>
      <c r="AG49" s="139" t="str">
        <f t="shared" si="11"/>
        <v/>
      </c>
      <c r="AH49" s="140" t="str">
        <f t="shared" si="12"/>
        <v/>
      </c>
      <c r="AI49" s="141" t="str">
        <f t="shared" si="13"/>
        <v/>
      </c>
      <c r="AJ49" s="166" t="str">
        <f t="shared" si="14"/>
        <v/>
      </c>
      <c r="AK49" s="167" t="str">
        <f t="shared" si="14"/>
        <v/>
      </c>
      <c r="AL49" s="168" t="str">
        <f t="shared" si="15"/>
        <v/>
      </c>
      <c r="AM49" s="237" t="e">
        <f t="shared" si="27"/>
        <v>#VALUE!</v>
      </c>
      <c r="AN49" s="70" t="str">
        <f t="shared" si="25"/>
        <v/>
      </c>
      <c r="AO49" s="241" t="str">
        <f t="shared" si="26"/>
        <v/>
      </c>
      <c r="AP49" s="45" t="s">
        <v>40</v>
      </c>
      <c r="AQ49" s="98"/>
      <c r="AR49" s="99"/>
      <c r="AS49" s="99"/>
      <c r="AT49" s="100"/>
      <c r="AU49" s="101"/>
      <c r="AV49" s="100"/>
      <c r="AW49" s="101"/>
      <c r="AX49" s="101"/>
      <c r="AY49" s="99"/>
      <c r="AZ49" s="102"/>
      <c r="BA49" s="102"/>
      <c r="BB49" s="103"/>
      <c r="BC49" s="104"/>
      <c r="BD49" s="98"/>
      <c r="BE49" s="105"/>
      <c r="BF49" s="104"/>
      <c r="BG49" s="115"/>
      <c r="BH49" s="104"/>
      <c r="BI49" s="98"/>
      <c r="BJ49" s="105"/>
      <c r="BK49" s="104"/>
      <c r="BL49" s="104"/>
      <c r="BM49" s="107"/>
      <c r="BN49" s="108"/>
      <c r="BO49" s="108"/>
      <c r="BP49" s="109"/>
      <c r="BQ49" s="110"/>
      <c r="BR49" s="108"/>
      <c r="BS49" s="109"/>
      <c r="BT49" s="109"/>
      <c r="BU49" s="107"/>
      <c r="BV49" s="111"/>
      <c r="BW49" s="98"/>
      <c r="BX49" s="113"/>
      <c r="BY49" s="113"/>
      <c r="BZ49" s="114"/>
      <c r="CA49" s="114"/>
      <c r="CB49" s="114"/>
      <c r="CC49" s="99"/>
      <c r="CD49" s="115"/>
      <c r="CE49" s="116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121"/>
      <c r="CQ49" s="121"/>
      <c r="CR49" s="100"/>
      <c r="CS49" s="121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customHeight="1" x14ac:dyDescent="0.25">
      <c r="A50" s="83"/>
      <c r="B50" s="442"/>
      <c r="C50" s="453"/>
      <c r="D50" s="84"/>
      <c r="E50" s="23"/>
      <c r="F50" s="15"/>
      <c r="G50" s="213"/>
      <c r="H50" s="27" t="str">
        <f t="shared" si="16"/>
        <v/>
      </c>
      <c r="I50" s="216" t="str">
        <f t="shared" si="17"/>
        <v/>
      </c>
      <c r="J50" s="29" t="str">
        <f ca="1">IF($J$5&gt;=B50,"N/A",SUM(INDIRECT(ADDRESS(6+(MATCH($J$5,$B$6:$B$59,0)),8)):H50))</f>
        <v>N/A</v>
      </c>
      <c r="K50" s="10"/>
      <c r="L50" s="88"/>
      <c r="M50" s="4" t="str">
        <f t="shared" si="18"/>
        <v/>
      </c>
      <c r="N50" s="220" t="str">
        <f t="shared" si="0"/>
        <v/>
      </c>
      <c r="O50" s="30" t="str">
        <f ca="1">IF($O$5&gt;=B50,"N/A",SUM(INDIRECT(ADDRESS(6+(MATCH($O$5,$B$6:$B$59,0)),13)):M50))</f>
        <v>N/A</v>
      </c>
      <c r="P50" s="175" t="str">
        <f t="shared" si="19"/>
        <v/>
      </c>
      <c r="Q50" s="175" t="str">
        <f t="shared" si="20"/>
        <v/>
      </c>
      <c r="R50" s="175" t="str">
        <f t="shared" si="21"/>
        <v/>
      </c>
      <c r="S50" s="70" t="str">
        <f t="shared" si="22"/>
        <v/>
      </c>
      <c r="T50" s="241" t="str">
        <f t="shared" si="23"/>
        <v/>
      </c>
      <c r="U50" s="157" t="str">
        <f t="shared" si="1"/>
        <v/>
      </c>
      <c r="V50" s="158" t="str">
        <f t="shared" si="2"/>
        <v/>
      </c>
      <c r="W50" s="158" t="str">
        <f t="shared" si="3"/>
        <v/>
      </c>
      <c r="X50" s="199" t="str">
        <f t="shared" si="4"/>
        <v/>
      </c>
      <c r="Y50" s="159" t="str">
        <f t="shared" si="5"/>
        <v/>
      </c>
      <c r="Z50" s="181"/>
      <c r="AA50" s="148" t="str">
        <f t="shared" si="6"/>
        <v/>
      </c>
      <c r="AB50" s="149">
        <f t="shared" si="7"/>
        <v>0</v>
      </c>
      <c r="AC50" s="149" t="str">
        <f t="shared" si="8"/>
        <v/>
      </c>
      <c r="AD50" s="203">
        <f t="shared" si="9"/>
        <v>0</v>
      </c>
      <c r="AE50" s="150" t="str">
        <f t="shared" si="10"/>
        <v/>
      </c>
      <c r="AF50" s="182"/>
      <c r="AG50" s="139" t="str">
        <f t="shared" si="11"/>
        <v/>
      </c>
      <c r="AH50" s="140" t="str">
        <f t="shared" si="12"/>
        <v/>
      </c>
      <c r="AI50" s="141" t="str">
        <f t="shared" si="13"/>
        <v/>
      </c>
      <c r="AJ50" s="166" t="str">
        <f t="shared" si="14"/>
        <v/>
      </c>
      <c r="AK50" s="167" t="str">
        <f t="shared" si="14"/>
        <v/>
      </c>
      <c r="AL50" s="168" t="str">
        <f t="shared" si="15"/>
        <v/>
      </c>
      <c r="AM50" s="237" t="e">
        <f t="shared" si="27"/>
        <v>#VALUE!</v>
      </c>
      <c r="AN50" s="70" t="str">
        <f t="shared" si="25"/>
        <v/>
      </c>
      <c r="AO50" s="241" t="str">
        <f t="shared" si="26"/>
        <v/>
      </c>
      <c r="AP50" s="45" t="s">
        <v>40</v>
      </c>
      <c r="AQ50" s="98"/>
      <c r="AR50" s="99"/>
      <c r="AS50" s="99"/>
      <c r="AT50" s="100"/>
      <c r="AU50" s="101"/>
      <c r="AV50" s="100"/>
      <c r="AW50" s="101"/>
      <c r="AX50" s="101"/>
      <c r="AY50" s="99"/>
      <c r="AZ50" s="102"/>
      <c r="BA50" s="102"/>
      <c r="BB50" s="103"/>
      <c r="BC50" s="104"/>
      <c r="BD50" s="98"/>
      <c r="BE50" s="105"/>
      <c r="BF50" s="104"/>
      <c r="BG50" s="115"/>
      <c r="BH50" s="104"/>
      <c r="BI50" s="98"/>
      <c r="BJ50" s="105"/>
      <c r="BK50" s="104"/>
      <c r="BL50" s="104"/>
      <c r="BM50" s="107"/>
      <c r="BN50" s="108"/>
      <c r="BO50" s="108"/>
      <c r="BP50" s="109"/>
      <c r="BQ50" s="110"/>
      <c r="BR50" s="108"/>
      <c r="BS50" s="109"/>
      <c r="BT50" s="109"/>
      <c r="BU50" s="107"/>
      <c r="BV50" s="111"/>
      <c r="BW50" s="98"/>
      <c r="BX50" s="113"/>
      <c r="BY50" s="113"/>
      <c r="BZ50" s="114"/>
      <c r="CA50" s="114"/>
      <c r="CB50" s="114"/>
      <c r="CC50" s="99"/>
      <c r="CD50" s="115"/>
      <c r="CE50" s="116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121"/>
      <c r="CQ50" s="121"/>
      <c r="CR50" s="100"/>
      <c r="CS50" s="121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customHeight="1" x14ac:dyDescent="0.25">
      <c r="A51" s="83"/>
      <c r="B51" s="442"/>
      <c r="C51" s="453"/>
      <c r="D51" s="84"/>
      <c r="E51" s="23"/>
      <c r="F51" s="15"/>
      <c r="G51" s="213"/>
      <c r="H51" s="27" t="str">
        <f t="shared" si="16"/>
        <v/>
      </c>
      <c r="I51" s="216" t="str">
        <f t="shared" si="17"/>
        <v/>
      </c>
      <c r="J51" s="29" t="str">
        <f ca="1">IF($J$5&gt;=B51,"N/A",SUM(INDIRECT(ADDRESS(6+(MATCH($J$5,$B$6:$B$59,0)),8)):H51))</f>
        <v>N/A</v>
      </c>
      <c r="K51" s="10"/>
      <c r="L51" s="88"/>
      <c r="M51" s="4" t="str">
        <f t="shared" si="18"/>
        <v/>
      </c>
      <c r="N51" s="220" t="str">
        <f t="shared" si="0"/>
        <v/>
      </c>
      <c r="O51" s="30" t="str">
        <f ca="1">IF($O$5&gt;=B51,"N/A",SUM(INDIRECT(ADDRESS(6+(MATCH($O$5,$B$6:$B$59,0)),13)):M51))</f>
        <v>N/A</v>
      </c>
      <c r="P51" s="175" t="str">
        <f t="shared" si="19"/>
        <v/>
      </c>
      <c r="Q51" s="175" t="str">
        <f t="shared" si="20"/>
        <v/>
      </c>
      <c r="R51" s="175" t="str">
        <f t="shared" si="21"/>
        <v/>
      </c>
      <c r="S51" s="70" t="str">
        <f t="shared" si="22"/>
        <v/>
      </c>
      <c r="T51" s="241" t="str">
        <f t="shared" si="23"/>
        <v/>
      </c>
      <c r="U51" s="157" t="str">
        <f t="shared" si="1"/>
        <v/>
      </c>
      <c r="V51" s="158" t="str">
        <f t="shared" si="2"/>
        <v/>
      </c>
      <c r="W51" s="158" t="str">
        <f t="shared" si="3"/>
        <v/>
      </c>
      <c r="X51" s="199" t="str">
        <f t="shared" si="4"/>
        <v/>
      </c>
      <c r="Y51" s="159" t="str">
        <f t="shared" si="5"/>
        <v/>
      </c>
      <c r="Z51" s="181"/>
      <c r="AA51" s="148" t="str">
        <f t="shared" si="6"/>
        <v/>
      </c>
      <c r="AB51" s="149">
        <f t="shared" si="7"/>
        <v>0</v>
      </c>
      <c r="AC51" s="149" t="str">
        <f t="shared" si="8"/>
        <v/>
      </c>
      <c r="AD51" s="203">
        <f t="shared" si="9"/>
        <v>0</v>
      </c>
      <c r="AE51" s="150" t="str">
        <f t="shared" si="10"/>
        <v/>
      </c>
      <c r="AF51" s="182"/>
      <c r="AG51" s="139" t="str">
        <f t="shared" si="11"/>
        <v/>
      </c>
      <c r="AH51" s="140" t="str">
        <f t="shared" si="12"/>
        <v/>
      </c>
      <c r="AI51" s="141" t="str">
        <f t="shared" si="13"/>
        <v/>
      </c>
      <c r="AJ51" s="166" t="str">
        <f t="shared" si="14"/>
        <v/>
      </c>
      <c r="AK51" s="167" t="str">
        <f t="shared" si="14"/>
        <v/>
      </c>
      <c r="AL51" s="168" t="str">
        <f t="shared" si="15"/>
        <v/>
      </c>
      <c r="AM51" s="237" t="e">
        <f t="shared" si="27"/>
        <v>#VALUE!</v>
      </c>
      <c r="AN51" s="70" t="str">
        <f t="shared" si="25"/>
        <v/>
      </c>
      <c r="AO51" s="241" t="str">
        <f t="shared" si="26"/>
        <v/>
      </c>
      <c r="AP51" s="45" t="s">
        <v>40</v>
      </c>
      <c r="AQ51" s="98"/>
      <c r="AR51" s="99"/>
      <c r="AS51" s="99"/>
      <c r="AT51" s="100"/>
      <c r="AU51" s="101"/>
      <c r="AV51" s="100"/>
      <c r="AW51" s="101"/>
      <c r="AX51" s="101"/>
      <c r="AY51" s="99"/>
      <c r="AZ51" s="102"/>
      <c r="BA51" s="102"/>
      <c r="BB51" s="103"/>
      <c r="BC51" s="104"/>
      <c r="BD51" s="98"/>
      <c r="BE51" s="105"/>
      <c r="BF51" s="104"/>
      <c r="BG51" s="115"/>
      <c r="BH51" s="104"/>
      <c r="BI51" s="98"/>
      <c r="BJ51" s="105"/>
      <c r="BK51" s="104"/>
      <c r="BL51" s="104"/>
      <c r="BM51" s="107"/>
      <c r="BN51" s="108"/>
      <c r="BO51" s="108"/>
      <c r="BP51" s="109"/>
      <c r="BQ51" s="110"/>
      <c r="BR51" s="108"/>
      <c r="BS51" s="109"/>
      <c r="BT51" s="109"/>
      <c r="BU51" s="107"/>
      <c r="BV51" s="111"/>
      <c r="BW51" s="98"/>
      <c r="BX51" s="113"/>
      <c r="BY51" s="113"/>
      <c r="BZ51" s="114"/>
      <c r="CA51" s="114"/>
      <c r="CB51" s="114"/>
      <c r="CC51" s="99"/>
      <c r="CD51" s="115"/>
      <c r="CE51" s="116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121"/>
      <c r="CQ51" s="121"/>
      <c r="CR51" s="100"/>
      <c r="CS51" s="121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customHeight="1" x14ac:dyDescent="0.25">
      <c r="A52" s="83"/>
      <c r="B52" s="442"/>
      <c r="C52" s="453"/>
      <c r="D52" s="84"/>
      <c r="E52" s="23"/>
      <c r="F52" s="15"/>
      <c r="G52" s="213"/>
      <c r="H52" s="27" t="str">
        <f t="shared" si="16"/>
        <v/>
      </c>
      <c r="I52" s="216" t="str">
        <f t="shared" si="17"/>
        <v/>
      </c>
      <c r="J52" s="29" t="str">
        <f ca="1">IF($J$5&gt;=B52,"N/A",SUM(INDIRECT(ADDRESS(6+(MATCH($J$5,$B$6:$B$59,0)),8)):H52))</f>
        <v>N/A</v>
      </c>
      <c r="K52" s="10"/>
      <c r="L52" s="88"/>
      <c r="M52" s="4" t="str">
        <f t="shared" si="18"/>
        <v/>
      </c>
      <c r="N52" s="220" t="str">
        <f t="shared" si="0"/>
        <v/>
      </c>
      <c r="O52" s="30" t="str">
        <f ca="1">IF($O$5&gt;=B52,"N/A",SUM(INDIRECT(ADDRESS(6+(MATCH($O$5,$B$6:$B$59,0)),13)):M52))</f>
        <v>N/A</v>
      </c>
      <c r="P52" s="175" t="str">
        <f t="shared" si="19"/>
        <v/>
      </c>
      <c r="Q52" s="175" t="str">
        <f t="shared" si="20"/>
        <v/>
      </c>
      <c r="R52" s="175" t="str">
        <f t="shared" si="21"/>
        <v/>
      </c>
      <c r="S52" s="70" t="str">
        <f t="shared" si="22"/>
        <v/>
      </c>
      <c r="T52" s="241" t="str">
        <f t="shared" si="23"/>
        <v/>
      </c>
      <c r="U52" s="157" t="str">
        <f t="shared" si="1"/>
        <v/>
      </c>
      <c r="V52" s="158" t="str">
        <f t="shared" si="2"/>
        <v/>
      </c>
      <c r="W52" s="158" t="str">
        <f t="shared" si="3"/>
        <v/>
      </c>
      <c r="X52" s="199" t="str">
        <f t="shared" si="4"/>
        <v/>
      </c>
      <c r="Y52" s="159" t="str">
        <f t="shared" si="5"/>
        <v/>
      </c>
      <c r="Z52" s="181"/>
      <c r="AA52" s="148" t="str">
        <f t="shared" si="6"/>
        <v/>
      </c>
      <c r="AB52" s="149">
        <f t="shared" si="7"/>
        <v>0</v>
      </c>
      <c r="AC52" s="149" t="str">
        <f t="shared" si="8"/>
        <v/>
      </c>
      <c r="AD52" s="203">
        <f t="shared" si="9"/>
        <v>0</v>
      </c>
      <c r="AE52" s="150" t="str">
        <f t="shared" si="10"/>
        <v/>
      </c>
      <c r="AF52" s="182"/>
      <c r="AG52" s="139" t="str">
        <f t="shared" si="11"/>
        <v/>
      </c>
      <c r="AH52" s="140" t="str">
        <f t="shared" si="12"/>
        <v/>
      </c>
      <c r="AI52" s="141" t="str">
        <f t="shared" si="13"/>
        <v/>
      </c>
      <c r="AJ52" s="166" t="str">
        <f t="shared" si="14"/>
        <v/>
      </c>
      <c r="AK52" s="167" t="str">
        <f t="shared" si="14"/>
        <v/>
      </c>
      <c r="AL52" s="168" t="str">
        <f t="shared" si="15"/>
        <v/>
      </c>
      <c r="AM52" s="237" t="e">
        <f t="shared" si="27"/>
        <v>#VALUE!</v>
      </c>
      <c r="AN52" s="70" t="str">
        <f t="shared" si="25"/>
        <v/>
      </c>
      <c r="AO52" s="241" t="str">
        <f t="shared" si="26"/>
        <v/>
      </c>
      <c r="AP52" s="45" t="s">
        <v>40</v>
      </c>
      <c r="AQ52" s="98"/>
      <c r="AR52" s="99"/>
      <c r="AS52" s="99"/>
      <c r="AT52" s="100"/>
      <c r="AU52" s="101"/>
      <c r="AV52" s="100"/>
      <c r="AW52" s="101"/>
      <c r="AX52" s="101"/>
      <c r="AY52" s="99"/>
      <c r="AZ52" s="102"/>
      <c r="BA52" s="102"/>
      <c r="BB52" s="103"/>
      <c r="BC52" s="104"/>
      <c r="BD52" s="98"/>
      <c r="BE52" s="105"/>
      <c r="BF52" s="104"/>
      <c r="BG52" s="115"/>
      <c r="BH52" s="104"/>
      <c r="BI52" s="98"/>
      <c r="BJ52" s="105"/>
      <c r="BK52" s="104"/>
      <c r="BL52" s="104"/>
      <c r="BM52" s="107"/>
      <c r="BN52" s="108"/>
      <c r="BO52" s="108"/>
      <c r="BP52" s="109"/>
      <c r="BQ52" s="110"/>
      <c r="BR52" s="108"/>
      <c r="BS52" s="109"/>
      <c r="BT52" s="109"/>
      <c r="BU52" s="107"/>
      <c r="BV52" s="111"/>
      <c r="BW52" s="98"/>
      <c r="BX52" s="113"/>
      <c r="BY52" s="113"/>
      <c r="BZ52" s="114"/>
      <c r="CA52" s="114"/>
      <c r="CB52" s="114"/>
      <c r="CC52" s="99"/>
      <c r="CD52" s="115"/>
      <c r="CE52" s="116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121"/>
      <c r="CQ52" s="121"/>
      <c r="CR52" s="100"/>
      <c r="CS52" s="121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customHeight="1" x14ac:dyDescent="0.25">
      <c r="A53" s="83"/>
      <c r="B53" s="442"/>
      <c r="C53" s="453"/>
      <c r="D53" s="84"/>
      <c r="E53" s="23"/>
      <c r="F53" s="15"/>
      <c r="G53" s="213"/>
      <c r="H53" s="27" t="str">
        <f t="shared" si="16"/>
        <v/>
      </c>
      <c r="I53" s="216" t="str">
        <f t="shared" si="17"/>
        <v/>
      </c>
      <c r="J53" s="29" t="str">
        <f ca="1">IF($J$5&gt;=B53,"N/A",SUM(INDIRECT(ADDRESS(6+(MATCH($J$5,$B$6:$B$59,0)),8)):H53))</f>
        <v>N/A</v>
      </c>
      <c r="K53" s="10"/>
      <c r="L53" s="88"/>
      <c r="M53" s="4" t="str">
        <f t="shared" si="18"/>
        <v/>
      </c>
      <c r="N53" s="220" t="str">
        <f t="shared" si="0"/>
        <v/>
      </c>
      <c r="O53" s="30" t="str">
        <f ca="1">IF($O$5&gt;=B53,"N/A",SUM(INDIRECT(ADDRESS(6+(MATCH($O$5,$B$6:$B$59,0)),13)):M53))</f>
        <v>N/A</v>
      </c>
      <c r="P53" s="175" t="str">
        <f t="shared" si="19"/>
        <v/>
      </c>
      <c r="Q53" s="175" t="str">
        <f t="shared" si="20"/>
        <v/>
      </c>
      <c r="R53" s="175" t="str">
        <f t="shared" si="21"/>
        <v/>
      </c>
      <c r="S53" s="70" t="str">
        <f t="shared" si="22"/>
        <v/>
      </c>
      <c r="T53" s="241" t="str">
        <f t="shared" si="23"/>
        <v/>
      </c>
      <c r="U53" s="157" t="str">
        <f t="shared" si="1"/>
        <v/>
      </c>
      <c r="V53" s="158" t="str">
        <f t="shared" si="2"/>
        <v/>
      </c>
      <c r="W53" s="158" t="str">
        <f t="shared" si="3"/>
        <v/>
      </c>
      <c r="X53" s="199" t="str">
        <f t="shared" si="4"/>
        <v/>
      </c>
      <c r="Y53" s="159" t="str">
        <f t="shared" si="5"/>
        <v/>
      </c>
      <c r="Z53" s="181"/>
      <c r="AA53" s="148" t="str">
        <f t="shared" si="6"/>
        <v/>
      </c>
      <c r="AB53" s="149">
        <f t="shared" si="7"/>
        <v>0</v>
      </c>
      <c r="AC53" s="149" t="str">
        <f t="shared" si="8"/>
        <v/>
      </c>
      <c r="AD53" s="203">
        <f t="shared" si="9"/>
        <v>0</v>
      </c>
      <c r="AE53" s="150" t="str">
        <f t="shared" si="10"/>
        <v/>
      </c>
      <c r="AF53" s="182"/>
      <c r="AG53" s="139" t="str">
        <f t="shared" si="11"/>
        <v/>
      </c>
      <c r="AH53" s="140" t="str">
        <f t="shared" si="12"/>
        <v/>
      </c>
      <c r="AI53" s="141" t="str">
        <f t="shared" si="13"/>
        <v/>
      </c>
      <c r="AJ53" s="166" t="str">
        <f t="shared" si="14"/>
        <v/>
      </c>
      <c r="AK53" s="167" t="str">
        <f t="shared" si="14"/>
        <v/>
      </c>
      <c r="AL53" s="168" t="str">
        <f t="shared" si="15"/>
        <v/>
      </c>
      <c r="AM53" s="237" t="e">
        <f t="shared" si="27"/>
        <v>#VALUE!</v>
      </c>
      <c r="AN53" s="70" t="str">
        <f t="shared" si="25"/>
        <v/>
      </c>
      <c r="AO53" s="241" t="str">
        <f t="shared" si="26"/>
        <v/>
      </c>
      <c r="AP53" s="45" t="s">
        <v>40</v>
      </c>
      <c r="AQ53" s="98"/>
      <c r="AR53" s="99"/>
      <c r="AS53" s="99"/>
      <c r="AT53" s="100"/>
      <c r="AU53" s="101"/>
      <c r="AV53" s="100"/>
      <c r="AW53" s="101"/>
      <c r="AX53" s="101"/>
      <c r="AY53" s="99"/>
      <c r="AZ53" s="102"/>
      <c r="BA53" s="102"/>
      <c r="BB53" s="103"/>
      <c r="BC53" s="104"/>
      <c r="BD53" s="98"/>
      <c r="BE53" s="105"/>
      <c r="BF53" s="104"/>
      <c r="BG53" s="115"/>
      <c r="BH53" s="104"/>
      <c r="BI53" s="98"/>
      <c r="BJ53" s="105"/>
      <c r="BK53" s="104"/>
      <c r="BL53" s="104"/>
      <c r="BM53" s="107"/>
      <c r="BN53" s="108"/>
      <c r="BO53" s="108"/>
      <c r="BP53" s="109"/>
      <c r="BQ53" s="110"/>
      <c r="BR53" s="108"/>
      <c r="BS53" s="109"/>
      <c r="BT53" s="109"/>
      <c r="BU53" s="107"/>
      <c r="BV53" s="111"/>
      <c r="BW53" s="98"/>
      <c r="BX53" s="113"/>
      <c r="BY53" s="113"/>
      <c r="BZ53" s="114"/>
      <c r="CA53" s="114"/>
      <c r="CB53" s="114"/>
      <c r="CC53" s="99"/>
      <c r="CD53" s="115"/>
      <c r="CE53" s="116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121"/>
      <c r="CQ53" s="121"/>
      <c r="CR53" s="100"/>
      <c r="CS53" s="121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customHeight="1" x14ac:dyDescent="0.25">
      <c r="A54" s="83"/>
      <c r="B54" s="442"/>
      <c r="C54" s="453"/>
      <c r="D54" s="84"/>
      <c r="E54" s="23"/>
      <c r="F54" s="15"/>
      <c r="G54" s="213"/>
      <c r="H54" s="27" t="str">
        <f t="shared" si="16"/>
        <v/>
      </c>
      <c r="I54" s="216" t="str">
        <f t="shared" si="17"/>
        <v/>
      </c>
      <c r="J54" s="29" t="str">
        <f ca="1">IF($J$5&gt;=B54,"N/A",SUM(INDIRECT(ADDRESS(6+(MATCH($J$5,$B$6:$B$59,0)),8)):H54))</f>
        <v>N/A</v>
      </c>
      <c r="K54" s="10"/>
      <c r="L54" s="88"/>
      <c r="M54" s="4" t="str">
        <f t="shared" si="18"/>
        <v/>
      </c>
      <c r="N54" s="220" t="str">
        <f t="shared" si="0"/>
        <v/>
      </c>
      <c r="O54" s="30" t="str">
        <f ca="1">IF($O$5&gt;=B54,"N/A",SUM(INDIRECT(ADDRESS(6+(MATCH($O$5,$B$6:$B$59,0)),13)):M54))</f>
        <v>N/A</v>
      </c>
      <c r="P54" s="175" t="str">
        <f t="shared" si="19"/>
        <v/>
      </c>
      <c r="Q54" s="175" t="str">
        <f t="shared" si="20"/>
        <v/>
      </c>
      <c r="R54" s="175" t="str">
        <f t="shared" si="21"/>
        <v/>
      </c>
      <c r="S54" s="70" t="str">
        <f t="shared" si="22"/>
        <v/>
      </c>
      <c r="T54" s="241" t="str">
        <f t="shared" si="23"/>
        <v/>
      </c>
      <c r="U54" s="157" t="str">
        <f t="shared" si="1"/>
        <v/>
      </c>
      <c r="V54" s="158" t="str">
        <f t="shared" si="2"/>
        <v/>
      </c>
      <c r="W54" s="158" t="str">
        <f t="shared" si="3"/>
        <v/>
      </c>
      <c r="X54" s="199" t="str">
        <f t="shared" si="4"/>
        <v/>
      </c>
      <c r="Y54" s="159" t="str">
        <f t="shared" si="5"/>
        <v/>
      </c>
      <c r="Z54" s="181"/>
      <c r="AA54" s="148" t="str">
        <f t="shared" si="6"/>
        <v/>
      </c>
      <c r="AB54" s="149">
        <f t="shared" si="7"/>
        <v>0</v>
      </c>
      <c r="AC54" s="149" t="str">
        <f t="shared" si="8"/>
        <v/>
      </c>
      <c r="AD54" s="203">
        <f t="shared" si="9"/>
        <v>0</v>
      </c>
      <c r="AE54" s="150" t="str">
        <f t="shared" si="10"/>
        <v/>
      </c>
      <c r="AF54" s="182"/>
      <c r="AG54" s="139" t="str">
        <f t="shared" si="11"/>
        <v/>
      </c>
      <c r="AH54" s="140" t="str">
        <f t="shared" si="12"/>
        <v/>
      </c>
      <c r="AI54" s="141" t="str">
        <f t="shared" si="13"/>
        <v/>
      </c>
      <c r="AJ54" s="166" t="str">
        <f t="shared" si="14"/>
        <v/>
      </c>
      <c r="AK54" s="167" t="str">
        <f t="shared" si="14"/>
        <v/>
      </c>
      <c r="AL54" s="168" t="str">
        <f t="shared" si="15"/>
        <v/>
      </c>
      <c r="AM54" s="237" t="e">
        <f t="shared" si="27"/>
        <v>#VALUE!</v>
      </c>
      <c r="AN54" s="70" t="str">
        <f t="shared" si="25"/>
        <v/>
      </c>
      <c r="AO54" s="241" t="str">
        <f t="shared" si="26"/>
        <v/>
      </c>
      <c r="AP54" s="45" t="s">
        <v>40</v>
      </c>
      <c r="AQ54" s="98"/>
      <c r="AR54" s="99"/>
      <c r="AS54" s="99"/>
      <c r="AT54" s="100"/>
      <c r="AU54" s="101"/>
      <c r="AV54" s="100"/>
      <c r="AW54" s="101"/>
      <c r="AX54" s="101"/>
      <c r="AY54" s="99"/>
      <c r="AZ54" s="102"/>
      <c r="BA54" s="102"/>
      <c r="BB54" s="103"/>
      <c r="BC54" s="104"/>
      <c r="BD54" s="98"/>
      <c r="BE54" s="105"/>
      <c r="BF54" s="104"/>
      <c r="BG54" s="115"/>
      <c r="BH54" s="104"/>
      <c r="BI54" s="98"/>
      <c r="BJ54" s="105"/>
      <c r="BK54" s="104"/>
      <c r="BL54" s="104"/>
      <c r="BM54" s="107"/>
      <c r="BN54" s="108"/>
      <c r="BO54" s="108"/>
      <c r="BP54" s="109"/>
      <c r="BQ54" s="110"/>
      <c r="BR54" s="108"/>
      <c r="BS54" s="109"/>
      <c r="BT54" s="109"/>
      <c r="BU54" s="107"/>
      <c r="BV54" s="111"/>
      <c r="BW54" s="98"/>
      <c r="BX54" s="113"/>
      <c r="BY54" s="113"/>
      <c r="BZ54" s="114"/>
      <c r="CA54" s="114"/>
      <c r="CB54" s="114"/>
      <c r="CC54" s="99"/>
      <c r="CD54" s="115"/>
      <c r="CE54" s="116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121"/>
      <c r="CQ54" s="121"/>
      <c r="CR54" s="100"/>
      <c r="CS54" s="121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customHeight="1" x14ac:dyDescent="0.25">
      <c r="A55" s="83"/>
      <c r="B55" s="442"/>
      <c r="C55" s="453"/>
      <c r="D55" s="84"/>
      <c r="E55" s="23"/>
      <c r="F55" s="15"/>
      <c r="G55" s="213"/>
      <c r="H55" s="27" t="str">
        <f t="shared" si="16"/>
        <v/>
      </c>
      <c r="I55" s="216" t="str">
        <f t="shared" si="17"/>
        <v/>
      </c>
      <c r="J55" s="29" t="str">
        <f ca="1">IF($J$5&gt;=B55,"N/A",SUM(INDIRECT(ADDRESS(6+(MATCH($J$5,$B$6:$B$59,0)),8)):H55))</f>
        <v>N/A</v>
      </c>
      <c r="K55" s="10"/>
      <c r="L55" s="88"/>
      <c r="M55" s="4" t="str">
        <f t="shared" si="18"/>
        <v/>
      </c>
      <c r="N55" s="220" t="str">
        <f t="shared" si="0"/>
        <v/>
      </c>
      <c r="O55" s="30" t="str">
        <f ca="1">IF($O$5&gt;=B55,"N/A",SUM(INDIRECT(ADDRESS(6+(MATCH($O$5,$B$6:$B$59,0)),13)):M55))</f>
        <v>N/A</v>
      </c>
      <c r="P55" s="175" t="str">
        <f t="shared" si="19"/>
        <v/>
      </c>
      <c r="Q55" s="175" t="str">
        <f t="shared" si="20"/>
        <v/>
      </c>
      <c r="R55" s="175" t="str">
        <f t="shared" si="21"/>
        <v/>
      </c>
      <c r="S55" s="70" t="str">
        <f t="shared" si="22"/>
        <v/>
      </c>
      <c r="T55" s="241" t="str">
        <f t="shared" si="23"/>
        <v/>
      </c>
      <c r="U55" s="157" t="str">
        <f t="shared" si="1"/>
        <v/>
      </c>
      <c r="V55" s="158" t="str">
        <f t="shared" si="2"/>
        <v/>
      </c>
      <c r="W55" s="158" t="str">
        <f t="shared" si="3"/>
        <v/>
      </c>
      <c r="X55" s="199" t="str">
        <f t="shared" si="4"/>
        <v/>
      </c>
      <c r="Y55" s="159" t="str">
        <f t="shared" si="5"/>
        <v/>
      </c>
      <c r="Z55" s="181"/>
      <c r="AA55" s="148" t="str">
        <f t="shared" si="6"/>
        <v/>
      </c>
      <c r="AB55" s="149">
        <f t="shared" si="7"/>
        <v>0</v>
      </c>
      <c r="AC55" s="149" t="str">
        <f t="shared" si="8"/>
        <v/>
      </c>
      <c r="AD55" s="203">
        <f t="shared" si="9"/>
        <v>0</v>
      </c>
      <c r="AE55" s="150" t="str">
        <f t="shared" si="10"/>
        <v/>
      </c>
      <c r="AF55" s="182"/>
      <c r="AG55" s="139" t="str">
        <f t="shared" si="11"/>
        <v/>
      </c>
      <c r="AH55" s="140" t="str">
        <f t="shared" si="12"/>
        <v/>
      </c>
      <c r="AI55" s="141" t="str">
        <f t="shared" si="13"/>
        <v/>
      </c>
      <c r="AJ55" s="166" t="str">
        <f t="shared" si="14"/>
        <v/>
      </c>
      <c r="AK55" s="167" t="str">
        <f t="shared" si="14"/>
        <v/>
      </c>
      <c r="AL55" s="168" t="str">
        <f t="shared" si="15"/>
        <v/>
      </c>
      <c r="AM55" s="237" t="e">
        <f t="shared" si="27"/>
        <v>#VALUE!</v>
      </c>
      <c r="AN55" s="70" t="str">
        <f t="shared" si="25"/>
        <v/>
      </c>
      <c r="AO55" s="241" t="str">
        <f t="shared" si="26"/>
        <v/>
      </c>
      <c r="AP55" s="45" t="s">
        <v>40</v>
      </c>
      <c r="AQ55" s="98"/>
      <c r="AR55" s="99"/>
      <c r="AS55" s="99"/>
      <c r="AT55" s="100"/>
      <c r="AU55" s="101"/>
      <c r="AV55" s="100"/>
      <c r="AW55" s="101"/>
      <c r="AX55" s="101"/>
      <c r="AY55" s="99"/>
      <c r="AZ55" s="102"/>
      <c r="BA55" s="102"/>
      <c r="BB55" s="103"/>
      <c r="BC55" s="104"/>
      <c r="BD55" s="98"/>
      <c r="BE55" s="105"/>
      <c r="BF55" s="104"/>
      <c r="BG55" s="115"/>
      <c r="BH55" s="104"/>
      <c r="BI55" s="98"/>
      <c r="BJ55" s="105"/>
      <c r="BK55" s="104"/>
      <c r="BL55" s="104"/>
      <c r="BM55" s="107"/>
      <c r="BN55" s="108"/>
      <c r="BO55" s="108"/>
      <c r="BP55" s="109"/>
      <c r="BQ55" s="110"/>
      <c r="BR55" s="108"/>
      <c r="BS55" s="109"/>
      <c r="BT55" s="109"/>
      <c r="BU55" s="107"/>
      <c r="BV55" s="111"/>
      <c r="BW55" s="98"/>
      <c r="BX55" s="113"/>
      <c r="BY55" s="113"/>
      <c r="BZ55" s="114"/>
      <c r="CA55" s="114"/>
      <c r="CB55" s="114"/>
      <c r="CC55" s="99"/>
      <c r="CD55" s="115"/>
      <c r="CE55" s="116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121"/>
      <c r="CQ55" s="121"/>
      <c r="CR55" s="100"/>
      <c r="CS55" s="121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customHeight="1" x14ac:dyDescent="0.25">
      <c r="A56" s="83"/>
      <c r="B56" s="442"/>
      <c r="C56" s="453"/>
      <c r="D56" s="84"/>
      <c r="E56" s="23"/>
      <c r="F56" s="15"/>
      <c r="G56" s="213"/>
      <c r="H56" s="27" t="str">
        <f t="shared" si="16"/>
        <v/>
      </c>
      <c r="I56" s="216" t="str">
        <f t="shared" si="17"/>
        <v/>
      </c>
      <c r="J56" s="29" t="str">
        <f ca="1">IF($J$5&gt;=B56,"N/A",SUM(INDIRECT(ADDRESS(6+(MATCH($J$5,$B$6:$B$59,0)),8)):H56))</f>
        <v>N/A</v>
      </c>
      <c r="K56" s="10"/>
      <c r="L56" s="88"/>
      <c r="M56" s="4" t="str">
        <f t="shared" si="18"/>
        <v/>
      </c>
      <c r="N56" s="220" t="str">
        <f t="shared" si="0"/>
        <v/>
      </c>
      <c r="O56" s="30" t="str">
        <f ca="1">IF($O$5&gt;=B56,"N/A",SUM(INDIRECT(ADDRESS(6+(MATCH($O$5,$B$6:$B$59,0)),13)):M56))</f>
        <v>N/A</v>
      </c>
      <c r="P56" s="175" t="str">
        <f t="shared" si="19"/>
        <v/>
      </c>
      <c r="Q56" s="175" t="str">
        <f t="shared" si="20"/>
        <v/>
      </c>
      <c r="R56" s="175" t="str">
        <f t="shared" si="21"/>
        <v/>
      </c>
      <c r="S56" s="70" t="str">
        <f t="shared" si="22"/>
        <v/>
      </c>
      <c r="T56" s="241" t="str">
        <f t="shared" si="23"/>
        <v/>
      </c>
      <c r="U56" s="157" t="str">
        <f t="shared" si="1"/>
        <v/>
      </c>
      <c r="V56" s="158" t="str">
        <f t="shared" si="2"/>
        <v/>
      </c>
      <c r="W56" s="158" t="str">
        <f t="shared" si="3"/>
        <v/>
      </c>
      <c r="X56" s="199" t="str">
        <f t="shared" si="4"/>
        <v/>
      </c>
      <c r="Y56" s="159" t="str">
        <f t="shared" si="5"/>
        <v/>
      </c>
      <c r="Z56" s="181"/>
      <c r="AA56" s="148" t="str">
        <f t="shared" si="6"/>
        <v/>
      </c>
      <c r="AB56" s="149">
        <f t="shared" si="7"/>
        <v>0</v>
      </c>
      <c r="AC56" s="149" t="str">
        <f t="shared" si="8"/>
        <v/>
      </c>
      <c r="AD56" s="203">
        <f t="shared" si="9"/>
        <v>0</v>
      </c>
      <c r="AE56" s="150" t="str">
        <f t="shared" si="10"/>
        <v/>
      </c>
      <c r="AF56" s="182"/>
      <c r="AG56" s="139" t="str">
        <f t="shared" si="11"/>
        <v/>
      </c>
      <c r="AH56" s="140" t="str">
        <f t="shared" si="12"/>
        <v/>
      </c>
      <c r="AI56" s="141" t="str">
        <f t="shared" si="13"/>
        <v/>
      </c>
      <c r="AJ56" s="166" t="str">
        <f t="shared" si="14"/>
        <v/>
      </c>
      <c r="AK56" s="167" t="str">
        <f t="shared" si="14"/>
        <v/>
      </c>
      <c r="AL56" s="168" t="str">
        <f t="shared" si="15"/>
        <v/>
      </c>
      <c r="AM56" s="237" t="e">
        <f t="shared" si="27"/>
        <v>#VALUE!</v>
      </c>
      <c r="AN56" s="70" t="str">
        <f t="shared" si="25"/>
        <v/>
      </c>
      <c r="AO56" s="241" t="str">
        <f t="shared" si="26"/>
        <v/>
      </c>
      <c r="AP56" s="45" t="s">
        <v>40</v>
      </c>
      <c r="AQ56" s="98"/>
      <c r="AR56" s="99"/>
      <c r="AS56" s="99"/>
      <c r="AT56" s="100"/>
      <c r="AU56" s="101"/>
      <c r="AV56" s="100"/>
      <c r="AW56" s="101"/>
      <c r="AX56" s="101"/>
      <c r="AY56" s="99"/>
      <c r="AZ56" s="102"/>
      <c r="BA56" s="102"/>
      <c r="BB56" s="103"/>
      <c r="BC56" s="104"/>
      <c r="BD56" s="98"/>
      <c r="BE56" s="105"/>
      <c r="BF56" s="104"/>
      <c r="BG56" s="115"/>
      <c r="BH56" s="104"/>
      <c r="BI56" s="98"/>
      <c r="BJ56" s="105"/>
      <c r="BK56" s="104"/>
      <c r="BL56" s="104"/>
      <c r="BM56" s="107"/>
      <c r="BN56" s="108"/>
      <c r="BO56" s="108"/>
      <c r="BP56" s="109"/>
      <c r="BQ56" s="110"/>
      <c r="BR56" s="108"/>
      <c r="BS56" s="109"/>
      <c r="BT56" s="109"/>
      <c r="BU56" s="107"/>
      <c r="BV56" s="111"/>
      <c r="BW56" s="98"/>
      <c r="BX56" s="113"/>
      <c r="BY56" s="113"/>
      <c r="BZ56" s="114"/>
      <c r="CA56" s="114"/>
      <c r="CB56" s="114"/>
      <c r="CC56" s="99"/>
      <c r="CD56" s="115"/>
      <c r="CE56" s="116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121"/>
      <c r="CQ56" s="121"/>
      <c r="CR56" s="100"/>
      <c r="CS56" s="121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customHeight="1" x14ac:dyDescent="0.25">
      <c r="A57" s="83"/>
      <c r="B57" s="442"/>
      <c r="C57" s="453"/>
      <c r="D57" s="84"/>
      <c r="E57" s="23"/>
      <c r="F57" s="15"/>
      <c r="G57" s="213"/>
      <c r="H57" s="27" t="str">
        <f t="shared" si="16"/>
        <v/>
      </c>
      <c r="I57" s="216" t="str">
        <f t="shared" si="17"/>
        <v/>
      </c>
      <c r="J57" s="29" t="str">
        <f ca="1">IF($J$5&gt;=B57,"N/A",SUM(INDIRECT(ADDRESS(6+(MATCH($J$5,$B$6:$B$59,0)),8)):H57))</f>
        <v>N/A</v>
      </c>
      <c r="K57" s="10"/>
      <c r="L57" s="88"/>
      <c r="M57" s="4" t="str">
        <f t="shared" si="18"/>
        <v/>
      </c>
      <c r="N57" s="220" t="str">
        <f t="shared" si="0"/>
        <v/>
      </c>
      <c r="O57" s="30" t="str">
        <f ca="1">IF($O$5&gt;=B57,"N/A",SUM(INDIRECT(ADDRESS(6+(MATCH($O$5,$B$6:$B$59,0)),13)):M57))</f>
        <v>N/A</v>
      </c>
      <c r="P57" s="175" t="str">
        <f t="shared" si="19"/>
        <v/>
      </c>
      <c r="Q57" s="175" t="str">
        <f t="shared" si="20"/>
        <v/>
      </c>
      <c r="R57" s="175" t="str">
        <f t="shared" si="21"/>
        <v/>
      </c>
      <c r="S57" s="70" t="str">
        <f t="shared" si="22"/>
        <v/>
      </c>
      <c r="T57" s="241" t="str">
        <f t="shared" si="23"/>
        <v/>
      </c>
      <c r="U57" s="157" t="str">
        <f t="shared" si="1"/>
        <v/>
      </c>
      <c r="V57" s="158" t="str">
        <f t="shared" si="2"/>
        <v/>
      </c>
      <c r="W57" s="158" t="str">
        <f t="shared" si="3"/>
        <v/>
      </c>
      <c r="X57" s="199" t="str">
        <f t="shared" si="4"/>
        <v/>
      </c>
      <c r="Y57" s="159" t="str">
        <f t="shared" si="5"/>
        <v/>
      </c>
      <c r="Z57" s="181"/>
      <c r="AA57" s="148" t="str">
        <f t="shared" si="6"/>
        <v/>
      </c>
      <c r="AB57" s="149">
        <f t="shared" si="7"/>
        <v>0</v>
      </c>
      <c r="AC57" s="149" t="str">
        <f t="shared" si="8"/>
        <v/>
      </c>
      <c r="AD57" s="203">
        <f t="shared" si="9"/>
        <v>0</v>
      </c>
      <c r="AE57" s="150" t="str">
        <f t="shared" si="10"/>
        <v/>
      </c>
      <c r="AF57" s="182"/>
      <c r="AG57" s="139" t="str">
        <f t="shared" si="11"/>
        <v/>
      </c>
      <c r="AH57" s="140" t="str">
        <f t="shared" si="12"/>
        <v/>
      </c>
      <c r="AI57" s="141" t="str">
        <f t="shared" si="13"/>
        <v/>
      </c>
      <c r="AJ57" s="166" t="str">
        <f t="shared" si="14"/>
        <v/>
      </c>
      <c r="AK57" s="167" t="str">
        <f t="shared" si="14"/>
        <v/>
      </c>
      <c r="AL57" s="168" t="str">
        <f t="shared" si="15"/>
        <v/>
      </c>
      <c r="AM57" s="237" t="e">
        <f t="shared" si="27"/>
        <v>#VALUE!</v>
      </c>
      <c r="AN57" s="70" t="str">
        <f t="shared" si="25"/>
        <v/>
      </c>
      <c r="AO57" s="241" t="str">
        <f t="shared" si="26"/>
        <v/>
      </c>
      <c r="AP57" s="45" t="s">
        <v>40</v>
      </c>
      <c r="AQ57" s="98"/>
      <c r="AR57" s="99"/>
      <c r="AS57" s="99"/>
      <c r="AT57" s="100"/>
      <c r="AU57" s="101"/>
      <c r="AV57" s="100"/>
      <c r="AW57" s="101"/>
      <c r="AX57" s="101"/>
      <c r="AY57" s="99"/>
      <c r="AZ57" s="102"/>
      <c r="BA57" s="102"/>
      <c r="BB57" s="103"/>
      <c r="BC57" s="104"/>
      <c r="BD57" s="98"/>
      <c r="BE57" s="105"/>
      <c r="BF57" s="104"/>
      <c r="BG57" s="115"/>
      <c r="BH57" s="104"/>
      <c r="BI57" s="98"/>
      <c r="BJ57" s="105"/>
      <c r="BK57" s="104"/>
      <c r="BL57" s="104"/>
      <c r="BM57" s="107"/>
      <c r="BN57" s="108"/>
      <c r="BO57" s="108"/>
      <c r="BP57" s="109"/>
      <c r="BQ57" s="110"/>
      <c r="BR57" s="108"/>
      <c r="BS57" s="109"/>
      <c r="BT57" s="109"/>
      <c r="BU57" s="107"/>
      <c r="BV57" s="111"/>
      <c r="BW57" s="98"/>
      <c r="BX57" s="113"/>
      <c r="BY57" s="113"/>
      <c r="BZ57" s="114"/>
      <c r="CA57" s="114"/>
      <c r="CB57" s="114"/>
      <c r="CC57" s="99"/>
      <c r="CD57" s="115"/>
      <c r="CE57" s="116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121"/>
      <c r="CQ57" s="121"/>
      <c r="CR57" s="100"/>
      <c r="CS57" s="121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customHeight="1" x14ac:dyDescent="0.25">
      <c r="A58" s="83"/>
      <c r="B58" s="442"/>
      <c r="C58" s="453"/>
      <c r="D58" s="84"/>
      <c r="E58" s="23"/>
      <c r="F58" s="15"/>
      <c r="G58" s="213"/>
      <c r="H58" s="27" t="str">
        <f t="shared" si="16"/>
        <v/>
      </c>
      <c r="I58" s="216" t="str">
        <f t="shared" si="17"/>
        <v/>
      </c>
      <c r="J58" s="29" t="str">
        <f ca="1">IF($J$5&gt;=B58,"N/A",SUM(INDIRECT(ADDRESS(6+(MATCH($J$5,$B$6:$B$59,0)),8)):H58))</f>
        <v>N/A</v>
      </c>
      <c r="K58" s="10"/>
      <c r="L58" s="88"/>
      <c r="M58" s="4" t="str">
        <f t="shared" si="18"/>
        <v/>
      </c>
      <c r="N58" s="220" t="str">
        <f t="shared" si="0"/>
        <v/>
      </c>
      <c r="O58" s="30" t="str">
        <f ca="1">IF($O$5&gt;=B58,"N/A",SUM(INDIRECT(ADDRESS(6+(MATCH($O$5,$B$6:$B$59,0)),13)):M58))</f>
        <v>N/A</v>
      </c>
      <c r="P58" s="175" t="str">
        <f t="shared" si="19"/>
        <v/>
      </c>
      <c r="Q58" s="175" t="str">
        <f t="shared" si="20"/>
        <v/>
      </c>
      <c r="R58" s="175" t="str">
        <f t="shared" si="21"/>
        <v/>
      </c>
      <c r="S58" s="70" t="str">
        <f t="shared" si="22"/>
        <v/>
      </c>
      <c r="T58" s="241" t="str">
        <f t="shared" si="23"/>
        <v/>
      </c>
      <c r="U58" s="157" t="str">
        <f t="shared" si="1"/>
        <v/>
      </c>
      <c r="V58" s="158" t="str">
        <f t="shared" si="2"/>
        <v/>
      </c>
      <c r="W58" s="158" t="str">
        <f t="shared" si="3"/>
        <v/>
      </c>
      <c r="X58" s="199" t="str">
        <f t="shared" si="4"/>
        <v/>
      </c>
      <c r="Y58" s="159" t="str">
        <f t="shared" si="5"/>
        <v/>
      </c>
      <c r="Z58" s="181"/>
      <c r="AA58" s="148" t="str">
        <f t="shared" si="6"/>
        <v/>
      </c>
      <c r="AB58" s="149">
        <f t="shared" si="7"/>
        <v>0</v>
      </c>
      <c r="AC58" s="149" t="str">
        <f t="shared" si="8"/>
        <v/>
      </c>
      <c r="AD58" s="203">
        <f t="shared" si="9"/>
        <v>0</v>
      </c>
      <c r="AE58" s="150" t="str">
        <f t="shared" si="10"/>
        <v/>
      </c>
      <c r="AF58" s="182"/>
      <c r="AG58" s="139" t="str">
        <f t="shared" si="11"/>
        <v/>
      </c>
      <c r="AH58" s="140" t="str">
        <f t="shared" si="12"/>
        <v/>
      </c>
      <c r="AI58" s="141" t="str">
        <f t="shared" si="13"/>
        <v/>
      </c>
      <c r="AJ58" s="166" t="str">
        <f t="shared" si="14"/>
        <v/>
      </c>
      <c r="AK58" s="167" t="str">
        <f t="shared" si="14"/>
        <v/>
      </c>
      <c r="AL58" s="168" t="str">
        <f t="shared" si="15"/>
        <v/>
      </c>
      <c r="AM58" s="237" t="e">
        <f t="shared" si="27"/>
        <v>#VALUE!</v>
      </c>
      <c r="AN58" s="70" t="str">
        <f t="shared" si="25"/>
        <v/>
      </c>
      <c r="AO58" s="241" t="str">
        <f t="shared" si="26"/>
        <v/>
      </c>
      <c r="AP58" s="45" t="s">
        <v>40</v>
      </c>
      <c r="AQ58" s="98"/>
      <c r="AR58" s="99"/>
      <c r="AS58" s="99"/>
      <c r="AT58" s="100"/>
      <c r="AU58" s="101"/>
      <c r="AV58" s="100"/>
      <c r="AW58" s="101"/>
      <c r="AX58" s="101"/>
      <c r="AY58" s="99"/>
      <c r="AZ58" s="102"/>
      <c r="BA58" s="102"/>
      <c r="BB58" s="103"/>
      <c r="BC58" s="104"/>
      <c r="BD58" s="98"/>
      <c r="BE58" s="105"/>
      <c r="BF58" s="104"/>
      <c r="BG58" s="115"/>
      <c r="BH58" s="104"/>
      <c r="BI58" s="98"/>
      <c r="BJ58" s="105"/>
      <c r="BK58" s="104"/>
      <c r="BL58" s="104"/>
      <c r="BM58" s="107"/>
      <c r="BN58" s="108"/>
      <c r="BO58" s="108"/>
      <c r="BP58" s="109"/>
      <c r="BQ58" s="110"/>
      <c r="BR58" s="108"/>
      <c r="BS58" s="109"/>
      <c r="BT58" s="109"/>
      <c r="BU58" s="107"/>
      <c r="BV58" s="111"/>
      <c r="BW58" s="98"/>
      <c r="BX58" s="113"/>
      <c r="BY58" s="113"/>
      <c r="BZ58" s="114"/>
      <c r="CA58" s="114"/>
      <c r="CB58" s="114"/>
      <c r="CC58" s="99"/>
      <c r="CD58" s="115"/>
      <c r="CE58" s="116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121"/>
      <c r="CQ58" s="121"/>
      <c r="CR58" s="100"/>
      <c r="CS58" s="121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customHeight="1" thickBot="1" x14ac:dyDescent="0.3">
      <c r="A59" s="267"/>
      <c r="B59" s="454"/>
      <c r="C59" s="455"/>
      <c r="D59" s="86"/>
      <c r="E59" s="24"/>
      <c r="F59" s="95"/>
      <c r="G59" s="214"/>
      <c r="H59" s="27" t="str">
        <f t="shared" si="16"/>
        <v/>
      </c>
      <c r="I59" s="217" t="str">
        <f t="shared" si="17"/>
        <v/>
      </c>
      <c r="J59" s="29" t="str">
        <f ca="1">IF($J$5&gt;=B59,"N/A",SUM(INDIRECT(ADDRESS(6+(MATCH($J$5,$B$6:$B$59,0)),8)):H59))</f>
        <v>N/A</v>
      </c>
      <c r="K59" s="10"/>
      <c r="L59" s="89"/>
      <c r="M59" s="4" t="str">
        <f t="shared" si="18"/>
        <v/>
      </c>
      <c r="N59" s="221" t="str">
        <f t="shared" si="0"/>
        <v/>
      </c>
      <c r="O59" s="30" t="str">
        <f ca="1">IF($O$5&gt;=B59,"N/A",SUM(INDIRECT(ADDRESS(6+(MATCH($O$5,$B$6:$B$59,0)),13)):M59))</f>
        <v>N/A</v>
      </c>
      <c r="P59" s="176" t="str">
        <f t="shared" si="19"/>
        <v/>
      </c>
      <c r="Q59" s="176" t="str">
        <f t="shared" si="20"/>
        <v/>
      </c>
      <c r="R59" s="176" t="str">
        <f t="shared" si="21"/>
        <v/>
      </c>
      <c r="S59" s="71" t="str">
        <f t="shared" si="22"/>
        <v/>
      </c>
      <c r="T59" s="242" t="str">
        <f t="shared" si="23"/>
        <v/>
      </c>
      <c r="U59" s="183" t="str">
        <f t="shared" si="1"/>
        <v/>
      </c>
      <c r="V59" s="184" t="str">
        <f t="shared" si="2"/>
        <v/>
      </c>
      <c r="W59" s="184" t="str">
        <f t="shared" si="3"/>
        <v/>
      </c>
      <c r="X59" s="200" t="str">
        <f t="shared" si="4"/>
        <v/>
      </c>
      <c r="Y59" s="185" t="str">
        <f t="shared" si="5"/>
        <v/>
      </c>
      <c r="Z59" s="186"/>
      <c r="AA59" s="187" t="str">
        <f t="shared" si="6"/>
        <v/>
      </c>
      <c r="AB59" s="188">
        <f t="shared" si="7"/>
        <v>0</v>
      </c>
      <c r="AC59" s="188" t="str">
        <f t="shared" si="8"/>
        <v/>
      </c>
      <c r="AD59" s="204">
        <f t="shared" si="9"/>
        <v>0</v>
      </c>
      <c r="AE59" s="189" t="str">
        <f t="shared" si="10"/>
        <v/>
      </c>
      <c r="AF59" s="190"/>
      <c r="AG59" s="191" t="str">
        <f t="shared" si="11"/>
        <v/>
      </c>
      <c r="AH59" s="192" t="str">
        <f t="shared" si="12"/>
        <v/>
      </c>
      <c r="AI59" s="193" t="str">
        <f t="shared" si="13"/>
        <v/>
      </c>
      <c r="AJ59" s="194" t="str">
        <f t="shared" si="14"/>
        <v/>
      </c>
      <c r="AK59" s="195" t="str">
        <f t="shared" si="14"/>
        <v/>
      </c>
      <c r="AL59" s="196" t="str">
        <f t="shared" si="15"/>
        <v/>
      </c>
      <c r="AM59" s="237" t="e">
        <f t="shared" si="27"/>
        <v>#VALUE!</v>
      </c>
      <c r="AN59" s="71" t="str">
        <f t="shared" si="25"/>
        <v/>
      </c>
      <c r="AO59" s="242" t="str">
        <f t="shared" si="26"/>
        <v/>
      </c>
      <c r="AP59" s="45" t="s">
        <v>40</v>
      </c>
      <c r="AQ59" s="98"/>
      <c r="AR59" s="99"/>
      <c r="AS59" s="99"/>
      <c r="AT59" s="100"/>
      <c r="AU59" s="101"/>
      <c r="AV59" s="100"/>
      <c r="AW59" s="101"/>
      <c r="AX59" s="101"/>
      <c r="AY59" s="99"/>
      <c r="AZ59" s="102"/>
      <c r="BA59" s="102"/>
      <c r="BB59" s="103"/>
      <c r="BC59" s="104"/>
      <c r="BD59" s="98"/>
      <c r="BE59" s="105"/>
      <c r="BF59" s="104"/>
      <c r="BG59" s="115"/>
      <c r="BH59" s="104"/>
      <c r="BI59" s="98"/>
      <c r="BJ59" s="105"/>
      <c r="BK59" s="104"/>
      <c r="BL59" s="104"/>
      <c r="BM59" s="107"/>
      <c r="BN59" s="108"/>
      <c r="BO59" s="108"/>
      <c r="BP59" s="109"/>
      <c r="BQ59" s="110"/>
      <c r="BR59" s="108"/>
      <c r="BS59" s="109"/>
      <c r="BT59" s="109"/>
      <c r="BU59" s="107"/>
      <c r="BV59" s="111"/>
      <c r="BW59" s="98"/>
      <c r="BX59" s="113"/>
      <c r="BY59" s="113"/>
      <c r="BZ59" s="114"/>
      <c r="CA59" s="114"/>
      <c r="CB59" s="114"/>
      <c r="CC59" s="99"/>
      <c r="CD59" s="115"/>
      <c r="CE59" s="116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121"/>
      <c r="CQ59" s="121"/>
      <c r="CR59" s="100"/>
      <c r="CS59" s="121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e">
        <f ca="1">INDIRECT(ADDRESS(5+$U$61,1))</f>
        <v>#N/A</v>
      </c>
      <c r="L61" s="462">
        <v>42202.5</v>
      </c>
      <c r="M61" s="462"/>
      <c r="N61" s="462"/>
      <c r="O61" s="211"/>
      <c r="P61" s="72"/>
      <c r="Q61" s="72"/>
      <c r="R61" s="72"/>
      <c r="S61" s="72"/>
      <c r="T61" s="206" t="e">
        <f>MATCH(B6,B6:B59,0)</f>
        <v>#N/A</v>
      </c>
      <c r="U61" s="206" t="e">
        <f>MATCH(L61,B6:B59,0)</f>
        <v>#N/A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 t="e">
        <f>MATCH(B6,B6:B59,0)</f>
        <v>#N/A</v>
      </c>
      <c r="C62" s="72" t="e">
        <f>MATCH(L61,B6:B59,0)</f>
        <v>#N/A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269"/>
      <c r="H63" s="33" t="s">
        <v>2</v>
      </c>
      <c r="I63" s="210" t="s">
        <v>4</v>
      </c>
      <c r="J63" s="77"/>
      <c r="K63" s="268"/>
      <c r="L63" s="78"/>
      <c r="M63" s="78" t="s">
        <v>28</v>
      </c>
      <c r="N63" s="210" t="s">
        <v>4</v>
      </c>
      <c r="O63" s="77"/>
      <c r="P63" s="274" t="s">
        <v>0</v>
      </c>
      <c r="Q63" s="273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 t="e">
        <f ca="1">SUM(E6:INDIRECT(ADDRESS(5+$C$62,5)))</f>
        <v>#N/A</v>
      </c>
      <c r="F64" s="13"/>
      <c r="G64" s="223"/>
      <c r="H64" s="16" t="e">
        <f ca="1">SUM(H6:INDIRECT(ADDRESS(5+$C$62,8)))</f>
        <v>#N/A</v>
      </c>
      <c r="I64" s="222" t="e">
        <f ca="1">H64/E64</f>
        <v>#N/A</v>
      </c>
      <c r="J64" s="17"/>
      <c r="K64" s="8"/>
      <c r="L64" s="171"/>
      <c r="M64" s="11" t="e">
        <f ca="1">SUM(M6:INDIRECT(ADDRESS(5+$C$62,13)))</f>
        <v>#N/A</v>
      </c>
      <c r="N64" s="12" t="e">
        <f ca="1">M64/E64</f>
        <v>#N/A</v>
      </c>
      <c r="O64" s="172"/>
      <c r="P64" s="173"/>
      <c r="Q64" s="173"/>
      <c r="R64" s="174" t="e">
        <f ca="1">SUM(R6:INDIRECT(ADDRESS(5+$C$62,18)))</f>
        <v>#N/A</v>
      </c>
      <c r="S64" s="458">
        <f>L61</f>
        <v>42202.5</v>
      </c>
      <c r="T64" s="459"/>
      <c r="U64" s="151" t="e">
        <f ca="1">SUM(U6:INDIRECT(ADDRESS(5+$C$62,21)))</f>
        <v>#N/A</v>
      </c>
      <c r="V64" s="152" t="e">
        <f ca="1">SUM(V6:INDIRECT(ADDRESS(5+$C$62,22)))</f>
        <v>#N/A</v>
      </c>
      <c r="W64" s="152" t="e">
        <f ca="1">SUM(W6:INDIRECT(ADDRESS(5+$C$62,23)))</f>
        <v>#N/A</v>
      </c>
      <c r="X64" s="197" t="e">
        <f ca="1">SUM(X6:INDIRECT(ADDRESS(5+$C$62,24)))</f>
        <v>#N/A</v>
      </c>
      <c r="Y64" s="153" t="e">
        <f ca="1">INDIRECT(ADDRESS(5+$C$62,25))</f>
        <v>#N/A</v>
      </c>
      <c r="Z64" s="169" t="e">
        <f ca="1">SUM(Z6:INDIRECT(ADDRESS(5+$C$62,26)))</f>
        <v>#N/A</v>
      </c>
      <c r="AA64" s="142" t="e">
        <f ca="1">SUM(AA6:INDIRECT(ADDRESS(5+$C$62,27)))</f>
        <v>#N/A</v>
      </c>
      <c r="AB64" s="143" t="e">
        <f ca="1">SUM(AB6:INDIRECT(ADDRESS(5+$C$62,28)))</f>
        <v>#N/A</v>
      </c>
      <c r="AC64" s="143" t="e">
        <f ca="1">SUM(AC6:INDIRECT(ADDRESS(5+$C$62,29)))</f>
        <v>#N/A</v>
      </c>
      <c r="AD64" s="201" t="e">
        <f ca="1">SUM(AD6:INDIRECT(ADDRESS(5+$C$62,30)))</f>
        <v>#N/A</v>
      </c>
      <c r="AE64" s="144" t="e">
        <f ca="1">INDIRECT(ADDRESS(5+$C$62,31))</f>
        <v>#N/A</v>
      </c>
      <c r="AF64" s="170" t="e">
        <f ca="1">SUM(AF6:INDIRECT(ADDRESS(5+$C$62,32)))</f>
        <v>#N/A</v>
      </c>
      <c r="AG64" s="133" t="e">
        <f ca="1">SUM(AG6:INDIRECT(ADDRESS(5+$C$62,33)))</f>
        <v>#N/A</v>
      </c>
      <c r="AH64" s="134" t="e">
        <f ca="1">SUM(AH6:INDIRECT(ADDRESS(5+$C$62,34)))</f>
        <v>#N/A</v>
      </c>
      <c r="AI64" s="135" t="e">
        <f ca="1">INDIRECT(ADDRESS(5+$C$62,35))</f>
        <v>#N/A</v>
      </c>
      <c r="AJ64" s="160" t="e">
        <f ca="1">INDIRECT(ADDRESS(5+$C$62,36))</f>
        <v>#N/A</v>
      </c>
      <c r="AK64" s="161" t="e">
        <f ca="1">INDIRECT(ADDRESS(5+$C$62,37))</f>
        <v>#N/A</v>
      </c>
      <c r="AL64" s="162" t="e">
        <f ca="1">INDIRECT(ADDRESS(5+$C$62,38))</f>
        <v>#N/A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BOSP</v>
      </c>
      <c r="F66" s="462">
        <v>42260.166666666664</v>
      </c>
      <c r="G66" s="462"/>
      <c r="H66" s="462"/>
      <c r="I66" s="75" t="s">
        <v>95</v>
      </c>
      <c r="J66" s="75"/>
      <c r="K66" s="74" t="str">
        <f ca="1">INDIRECT(ADDRESS(5+$U$66,1))</f>
        <v>EOSP</v>
      </c>
      <c r="L66" s="462">
        <v>42264.3</v>
      </c>
      <c r="M66" s="462"/>
      <c r="N66" s="462"/>
      <c r="O66" s="211"/>
      <c r="P66" s="72"/>
      <c r="Q66" s="72"/>
      <c r="R66" s="72"/>
      <c r="S66" s="94"/>
      <c r="T66" s="207">
        <f>MATCH(F66,B6:B59,0)</f>
        <v>35</v>
      </c>
      <c r="U66" s="206">
        <f>MATCH(L66,B6:B59,0)</f>
        <v>40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35</v>
      </c>
      <c r="C67" s="72">
        <f>MATCH(L66,B6:B59,0)</f>
        <v>40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42260.166666666664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269"/>
      <c r="H68" s="33" t="s">
        <v>2</v>
      </c>
      <c r="I68" s="210" t="s">
        <v>4</v>
      </c>
      <c r="J68" s="77"/>
      <c r="K68" s="268"/>
      <c r="L68" s="78"/>
      <c r="M68" s="78" t="s">
        <v>28</v>
      </c>
      <c r="N68" s="210" t="s">
        <v>4</v>
      </c>
      <c r="O68" s="77"/>
      <c r="P68" s="274" t="s">
        <v>0</v>
      </c>
      <c r="Q68" s="273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101.2</v>
      </c>
      <c r="F69" s="13"/>
      <c r="G69" s="223"/>
      <c r="H69" s="16">
        <f ca="1">SUM(INDIRECT(ADDRESS(6+$B$67,8)):INDIRECT(ADDRESS(5+$C$67,8)))</f>
        <v>1176</v>
      </c>
      <c r="I69" s="222">
        <f ca="1">H69/E69</f>
        <v>11.620553359683795</v>
      </c>
      <c r="J69" s="17"/>
      <c r="K69" s="8"/>
      <c r="L69" s="171"/>
      <c r="M69" s="11">
        <f ca="1">SUM(INDIRECT(ADDRESS(6+$B$67,13)):INDIRECT(ADDRESS(5+$C$67,13)))</f>
        <v>1185.0999999999999</v>
      </c>
      <c r="N69" s="12">
        <f ca="1">M69/E69</f>
        <v>11.710474308300395</v>
      </c>
      <c r="O69" s="172"/>
      <c r="P69" s="173"/>
      <c r="Q69" s="173"/>
      <c r="R69" s="174">
        <f ca="1">SUM(INDIRECT(ADDRESS(6+$B$67,18)):INDIRECT(ADDRESS(5+$C$67,18)))</f>
        <v>1267.834599</v>
      </c>
      <c r="S69" s="458">
        <f>L66</f>
        <v>42264.3</v>
      </c>
      <c r="T69" s="459"/>
      <c r="U69" s="151">
        <f ca="1">SUM(INDIRECT(ADDRESS(6+$B$67,21)):INDIRECT(ADDRESS(5+$C$67,21)))</f>
        <v>118.6</v>
      </c>
      <c r="V69" s="152">
        <f ca="1">SUM(INDIRECT(ADDRESS(6+$B$67,22)):INDIRECT(ADDRESS(5+$C$67,22)))</f>
        <v>10.900000000000002</v>
      </c>
      <c r="W69" s="152">
        <f ca="1">SUM(INDIRECT(ADDRESS(6+$B$67,23)):INDIRECT(ADDRESS(5+$C$67,23)))</f>
        <v>0</v>
      </c>
      <c r="X69" s="197">
        <f ca="1">SUM(INDIRECT(ADDRESS(6+$B$67,24)):INDIRECT(ADDRESS(5+$C$67,24)))</f>
        <v>129.5</v>
      </c>
      <c r="Y69" s="153">
        <f ca="1">INDIRECT(ADDRESS(5+$C$67,25))</f>
        <v>1702.3</v>
      </c>
      <c r="Z69" s="169">
        <f ca="1">SUM(INDIRECT(ADDRESS(6+$B$67,26)):INDIRECT(ADDRESS(5+$C$67,26)))</f>
        <v>0</v>
      </c>
      <c r="AA69" s="142">
        <f ca="1">SUM(INDIRECT(ADDRESS(6+$B$67,27)):INDIRECT(ADDRESS(5+$C$67,27)))</f>
        <v>0</v>
      </c>
      <c r="AB69" s="143">
        <f ca="1">SUM(INDIRECT(ADDRESS(6+$B$67,28)):INDIRECT(ADDRESS(5+$C$67,28)))</f>
        <v>0</v>
      </c>
      <c r="AC69" s="143">
        <f ca="1">SUM(INDIRECT(ADDRESS(6+$B$67,29)):INDIRECT(ADDRESS(5+$C$67,29)))</f>
        <v>0</v>
      </c>
      <c r="AD69" s="201">
        <f ca="1">SUM(INDIRECT(ADDRESS(6+$B$67,30)):INDIRECT(ADDRESS(5+$C$67,30)))</f>
        <v>0</v>
      </c>
      <c r="AE69" s="144">
        <f ca="1">INDIRECT(ADDRESS(5+$C$67,31))</f>
        <v>297.40000000000009</v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31</v>
      </c>
      <c r="AH69" s="134">
        <f ca="1">SUM(INDIRECT(ADDRESS(6+$B$67,34)):INDIRECT(ADDRESS(5+$C$67,34)))</f>
        <v>63</v>
      </c>
      <c r="AI69" s="135">
        <f ca="1">INDIRECT(ADDRESS(5+$C$67,35))</f>
        <v>357</v>
      </c>
      <c r="AJ69" s="160">
        <f ca="1">INDIRECT(ADDRESS(5+$C$67,36))</f>
        <v>22555</v>
      </c>
      <c r="AK69" s="161">
        <f ca="1">INDIRECT(ADDRESS(5+$C$67,37))</f>
        <v>10500</v>
      </c>
      <c r="AL69" s="162">
        <f ca="1">INDIRECT(ADDRESS(5+$C$67,38))</f>
        <v>2800</v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str">
        <f ca="1">INDIRECT(ADDRESS(5+$T$71,1))</f>
        <v>NOON</v>
      </c>
      <c r="F71" s="462">
        <v>42261.5</v>
      </c>
      <c r="G71" s="462"/>
      <c r="H71" s="462"/>
      <c r="I71" s="75" t="s">
        <v>95</v>
      </c>
      <c r="J71" s="75"/>
      <c r="K71" s="74" t="str">
        <f ca="1">INDIRECT(ADDRESS(5+$U$71,1))</f>
        <v>NOON</v>
      </c>
      <c r="L71" s="462">
        <v>42263.5</v>
      </c>
      <c r="M71" s="462"/>
      <c r="N71" s="462"/>
      <c r="O71" s="211"/>
      <c r="P71" s="72"/>
      <c r="Q71" s="72"/>
      <c r="R71" s="72"/>
      <c r="S71" s="94"/>
      <c r="T71" s="207">
        <f>MATCH(F71,B6:B59,0)</f>
        <v>37</v>
      </c>
      <c r="U71" s="206">
        <f>MATCH(L71,B6:B59,0)</f>
        <v>39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>
        <f>MATCH(F71,B6:B59,0)</f>
        <v>37</v>
      </c>
      <c r="C72" s="72">
        <f>MATCH(L71,B6:B59,0)</f>
        <v>39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42261.5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269"/>
      <c r="H73" s="33" t="s">
        <v>2</v>
      </c>
      <c r="I73" s="210" t="s">
        <v>4</v>
      </c>
      <c r="J73" s="77"/>
      <c r="K73" s="268"/>
      <c r="L73" s="78"/>
      <c r="M73" s="78" t="s">
        <v>28</v>
      </c>
      <c r="N73" s="210" t="s">
        <v>4</v>
      </c>
      <c r="O73" s="77"/>
      <c r="P73" s="274" t="s">
        <v>0</v>
      </c>
      <c r="Q73" s="273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>
        <f ca="1">SUM(INDIRECT(ADDRESS(6+$B$72,5)):INDIRECT(ADDRESS(5+$C$72,5)))</f>
        <v>49</v>
      </c>
      <c r="F74" s="13"/>
      <c r="G74" s="223"/>
      <c r="H74" s="16">
        <f ca="1">SUM(INDIRECT(ADDRESS(6+$B$72,8)):INDIRECT(ADDRESS(5+$C$72,8)))</f>
        <v>580.4</v>
      </c>
      <c r="I74" s="222">
        <f ca="1">H74/E74</f>
        <v>11.844897959183672</v>
      </c>
      <c r="J74" s="17"/>
      <c r="K74" s="8"/>
      <c r="L74" s="171"/>
      <c r="M74" s="11">
        <f ca="1">SUM(INDIRECT(ADDRESS(6+$B$72,13)):INDIRECT(ADDRESS(5+$C$72,13)))</f>
        <v>579.4</v>
      </c>
      <c r="N74" s="12">
        <f ca="1">M74/E74</f>
        <v>11.824489795918367</v>
      </c>
      <c r="O74" s="172"/>
      <c r="P74" s="173"/>
      <c r="Q74" s="173"/>
      <c r="R74" s="174">
        <f ca="1">SUM(INDIRECT(ADDRESS(6+$B$72,18)):INDIRECT(ADDRESS(5+$C$72,18)))</f>
        <v>626.40312050000011</v>
      </c>
      <c r="S74" s="458">
        <f>L71</f>
        <v>42263.5</v>
      </c>
      <c r="T74" s="459"/>
      <c r="U74" s="151">
        <f ca="1">SUM(INDIRECT(ADDRESS(6+$B$72,21)):INDIRECT(ADDRESS(5+$C$72,21)))</f>
        <v>60.400000000000006</v>
      </c>
      <c r="V74" s="152">
        <f ca="1">SUM(INDIRECT(ADDRESS(6+$B$72,22)):INDIRECT(ADDRESS(5+$C$72,22)))</f>
        <v>5.3000000000000007</v>
      </c>
      <c r="W74" s="152">
        <f ca="1">SUM(INDIRECT(ADDRESS(6+$B$72,23)):INDIRECT(ADDRESS(5+$C$72,23)))</f>
        <v>0</v>
      </c>
      <c r="X74" s="197">
        <f ca="1">SUM(INDIRECT(ADDRESS(6+$B$72,24)):INDIRECT(ADDRESS(5+$C$72,24)))</f>
        <v>65.7</v>
      </c>
      <c r="Y74" s="153">
        <f ca="1">INDIRECT(ADDRESS(5+$C$72,25))</f>
        <v>1721.3</v>
      </c>
      <c r="Z74" s="169">
        <f ca="1">SUM(INDIRECT(ADDRESS(6+$B$72,26)):INDIRECT(ADDRESS(5+$C$72,26)))</f>
        <v>0</v>
      </c>
      <c r="AA74" s="142">
        <f ca="1">SUM(INDIRECT(ADDRESS(6+$B$72,27)):INDIRECT(ADDRESS(5+$C$72,27)))</f>
        <v>0</v>
      </c>
      <c r="AB74" s="143">
        <f ca="1">SUM(INDIRECT(ADDRESS(6+$B$72,28)):INDIRECT(ADDRESS(5+$C$72,28)))</f>
        <v>0</v>
      </c>
      <c r="AC74" s="143">
        <f ca="1">SUM(INDIRECT(ADDRESS(6+$B$72,29)):INDIRECT(ADDRESS(5+$C$72,29)))</f>
        <v>0</v>
      </c>
      <c r="AD74" s="201">
        <f ca="1">SUM(INDIRECT(ADDRESS(6+$B$72,30)):INDIRECT(ADDRESS(5+$C$72,30)))</f>
        <v>0</v>
      </c>
      <c r="AE74" s="144">
        <f ca="1">INDIRECT(ADDRESS(5+$C$72,31))</f>
        <v>297.40000000000009</v>
      </c>
      <c r="AF74" s="170">
        <f ca="1">SUM(INDIRECT(ADDRESS(6+$B$72,32)):INDIRECT(ADDRESS(5+$C$72,32)))</f>
        <v>0</v>
      </c>
      <c r="AG74" s="133">
        <f ca="1">SUM(INDIRECT(ADDRESS(6+$B$72,33)):INDIRECT(ADDRESS(5+$C$72,33)))</f>
        <v>15</v>
      </c>
      <c r="AH74" s="134">
        <f ca="1">SUM(INDIRECT(ADDRESS(6+$B$72,34)):INDIRECT(ADDRESS(5+$C$72,34)))</f>
        <v>32</v>
      </c>
      <c r="AI74" s="135">
        <f ca="1">INDIRECT(ADDRESS(5+$C$72,35))</f>
        <v>352</v>
      </c>
      <c r="AJ74" s="160">
        <f ca="1">INDIRECT(ADDRESS(5+$C$72,36))</f>
        <v>22785</v>
      </c>
      <c r="AK74" s="161">
        <f ca="1">INDIRECT(ADDRESS(5+$C$72,37))</f>
        <v>10600</v>
      </c>
      <c r="AL74" s="162">
        <f ca="1">INDIRECT(ADDRESS(5+$C$72,38))</f>
        <v>2800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password="CC5D" sheet="1" objects="1" scenarios="1"/>
  <dataConsolidate/>
  <mergeCells count="141"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</mergeCells>
  <conditionalFormatting sqref="X6:X59">
    <cfRule type="cellIs" dxfId="121" priority="18" operator="notEqual">
      <formula>$U6+$V6+$W6</formula>
    </cfRule>
  </conditionalFormatting>
  <conditionalFormatting sqref="Y7:Y59">
    <cfRule type="cellIs" dxfId="120" priority="17" operator="notEqual">
      <formula>$Y6-$X7+$Z7</formula>
    </cfRule>
  </conditionalFormatting>
  <conditionalFormatting sqref="AD6:AD59">
    <cfRule type="cellIs" dxfId="119" priority="16" operator="notEqual">
      <formula>$AA6+$AB6+$AC6</formula>
    </cfRule>
  </conditionalFormatting>
  <conditionalFormatting sqref="AE7:AE59">
    <cfRule type="cellIs" dxfId="118" priority="15" operator="notEqual">
      <formula>$AE6-$AD7+$AF7</formula>
    </cfRule>
  </conditionalFormatting>
  <conditionalFormatting sqref="L66">
    <cfRule type="cellIs" dxfId="117" priority="14" operator="lessThan">
      <formula>$F$66</formula>
    </cfRule>
  </conditionalFormatting>
  <conditionalFormatting sqref="L71">
    <cfRule type="cellIs" dxfId="116" priority="13" operator="lessThan">
      <formula>$F$71</formula>
    </cfRule>
  </conditionalFormatting>
  <conditionalFormatting sqref="X64">
    <cfRule type="cellIs" dxfId="115" priority="12" operator="notEqual">
      <formula>$U64+$V64+$W64</formula>
    </cfRule>
  </conditionalFormatting>
  <conditionalFormatting sqref="Y64">
    <cfRule type="cellIs" dxfId="114" priority="11" operator="notEqual">
      <formula>$Y63-$X64+$Z64</formula>
    </cfRule>
  </conditionalFormatting>
  <conditionalFormatting sqref="AD64">
    <cfRule type="cellIs" dxfId="113" priority="10" operator="notEqual">
      <formula>$AA64+$AB64+$AC64</formula>
    </cfRule>
  </conditionalFormatting>
  <conditionalFormatting sqref="AE64">
    <cfRule type="cellIs" dxfId="112" priority="9" operator="notEqual">
      <formula>$AE63-$AD64+$AF64</formula>
    </cfRule>
  </conditionalFormatting>
  <conditionalFormatting sqref="X69">
    <cfRule type="cellIs" dxfId="111" priority="8" operator="notEqual">
      <formula>$U69+$V69+$W69</formula>
    </cfRule>
  </conditionalFormatting>
  <conditionalFormatting sqref="Y69">
    <cfRule type="cellIs" dxfId="110" priority="7" operator="notEqual">
      <formula>$Y68-$X69+$Z69</formula>
    </cfRule>
  </conditionalFormatting>
  <conditionalFormatting sqref="AD69">
    <cfRule type="cellIs" dxfId="109" priority="6" operator="notEqual">
      <formula>$AA69+$AB69+$AC69</formula>
    </cfRule>
  </conditionalFormatting>
  <conditionalFormatting sqref="AE69">
    <cfRule type="cellIs" dxfId="108" priority="5" operator="notEqual">
      <formula>$AE68-$AD69+$AF69</formula>
    </cfRule>
  </conditionalFormatting>
  <conditionalFormatting sqref="X74">
    <cfRule type="cellIs" dxfId="107" priority="4" operator="notEqual">
      <formula>$U74+$V74+$W74</formula>
    </cfRule>
  </conditionalFormatting>
  <conditionalFormatting sqref="Y74">
    <cfRule type="cellIs" dxfId="106" priority="3" operator="notEqual">
      <formula>$Y73-$X74+$Z74</formula>
    </cfRule>
  </conditionalFormatting>
  <conditionalFormatting sqref="AD74">
    <cfRule type="cellIs" dxfId="105" priority="2" operator="notEqual">
      <formula>$AA74+$AB74+$AC74</formula>
    </cfRule>
  </conditionalFormatting>
  <conditionalFormatting sqref="AE74">
    <cfRule type="cellIs" dxfId="104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73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54" activePane="bottomRight" state="frozen"/>
      <selection pane="topRight" activeCell="B1" sqref="B1"/>
      <selection pane="bottomLeft" activeCell="A6" sqref="A6"/>
      <selection pane="bottomRight" activeCell="BS15" sqref="BS15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>
        <v>0</v>
      </c>
      <c r="B4" s="415" t="s">
        <v>135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280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280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42454.541666666664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42454.541666666664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281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276" t="s">
        <v>136</v>
      </c>
      <c r="B6" s="437">
        <v>42450.458333333336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11.1</v>
      </c>
      <c r="L6" s="38" t="s">
        <v>3</v>
      </c>
      <c r="M6" s="38" t="s">
        <v>3</v>
      </c>
      <c r="N6" s="219" t="s">
        <v>3</v>
      </c>
      <c r="O6" s="37" t="s">
        <v>3</v>
      </c>
      <c r="P6" s="279" t="s">
        <v>3</v>
      </c>
      <c r="Q6" s="278" t="s">
        <v>3</v>
      </c>
      <c r="R6" s="26" t="s">
        <v>3</v>
      </c>
      <c r="S6" s="40" t="str">
        <f>$A6</f>
        <v>t/over</v>
      </c>
      <c r="T6" s="239">
        <f>$B6</f>
        <v>42450.458333333336</v>
      </c>
      <c r="U6" s="282"/>
      <c r="V6" s="283"/>
      <c r="W6" s="283"/>
      <c r="X6" s="198">
        <f>U6+V6+W6</f>
        <v>0</v>
      </c>
      <c r="Y6" s="153">
        <v>1216.75</v>
      </c>
      <c r="Z6" s="284"/>
      <c r="AA6" s="285"/>
      <c r="AB6" s="286"/>
      <c r="AC6" s="286"/>
      <c r="AD6" s="201">
        <f>AA6+AB6+AC6</f>
        <v>0</v>
      </c>
      <c r="AE6" s="144">
        <v>78.7</v>
      </c>
      <c r="AF6" s="287"/>
      <c r="AG6" s="288"/>
      <c r="AH6" s="289"/>
      <c r="AI6" s="135">
        <v>140</v>
      </c>
      <c r="AJ6" s="290">
        <v>58000</v>
      </c>
      <c r="AK6" s="161">
        <v>31900</v>
      </c>
      <c r="AL6" s="162">
        <v>9500</v>
      </c>
      <c r="AM6" s="237"/>
      <c r="AN6" s="69" t="str">
        <f>$A6</f>
        <v>t/over</v>
      </c>
      <c r="AO6" s="243">
        <f>$B6</f>
        <v>42450.458333333336</v>
      </c>
      <c r="AP6" s="45" t="s">
        <v>40</v>
      </c>
      <c r="AQ6" s="98"/>
      <c r="AR6" s="99"/>
      <c r="AS6" s="99"/>
      <c r="AT6" s="100"/>
      <c r="AU6" s="101"/>
      <c r="AV6" s="100"/>
      <c r="AW6" s="101"/>
      <c r="AX6" s="101"/>
      <c r="AY6" s="99"/>
      <c r="AZ6" s="102"/>
      <c r="BA6" s="102"/>
      <c r="BB6" s="103"/>
      <c r="BC6" s="104"/>
      <c r="BD6" s="98"/>
      <c r="BE6" s="105"/>
      <c r="BF6" s="104"/>
      <c r="BG6" s="106"/>
      <c r="BH6" s="104"/>
      <c r="BI6" s="98"/>
      <c r="BJ6" s="105"/>
      <c r="BK6" s="104"/>
      <c r="BL6" s="104"/>
      <c r="BM6" s="107"/>
      <c r="BN6" s="108"/>
      <c r="BO6" s="108"/>
      <c r="BP6" s="109"/>
      <c r="BQ6" s="110"/>
      <c r="BR6" s="108"/>
      <c r="BS6" s="109"/>
      <c r="BT6" s="109"/>
      <c r="BU6" s="107"/>
      <c r="BV6" s="111"/>
      <c r="BW6" s="98"/>
      <c r="BX6" s="112"/>
      <c r="BY6" s="113"/>
      <c r="BZ6" s="114"/>
      <c r="CA6" s="114"/>
      <c r="CB6" s="114"/>
      <c r="CC6" s="99"/>
      <c r="CD6" s="115"/>
      <c r="CE6" s="116"/>
      <c r="CF6" s="117"/>
      <c r="CG6" s="118"/>
      <c r="CH6" s="117"/>
      <c r="CI6" s="118"/>
      <c r="CJ6" s="117"/>
      <c r="CK6" s="118"/>
      <c r="CL6" s="119"/>
      <c r="CM6" s="120"/>
      <c r="CN6" s="121"/>
      <c r="CO6" s="120"/>
      <c r="CP6" s="121"/>
      <c r="CQ6" s="121"/>
      <c r="CR6" s="100"/>
      <c r="CS6" s="121"/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3" t="s">
        <v>103</v>
      </c>
      <c r="B7" s="442">
        <v>42450.5</v>
      </c>
      <c r="C7" s="443"/>
      <c r="D7" s="84"/>
      <c r="E7" s="23"/>
      <c r="F7" s="15"/>
      <c r="G7" s="213"/>
      <c r="H7" s="27" t="str">
        <f>IF(F7=0,"",F7-F6+G7)</f>
        <v/>
      </c>
      <c r="I7" s="216" t="str">
        <f>IF(E7=0,"",$H7/$E7)</f>
        <v/>
      </c>
      <c r="J7" s="29" t="str">
        <f ca="1">IF($J$5&gt;=B7,"N/A",SUM(INDIRECT(ADDRESS(6+(MATCH($J$5,$B$6:$B$59,0)),8)):H7))</f>
        <v>N/A</v>
      </c>
      <c r="K7" s="10">
        <v>11.1</v>
      </c>
      <c r="L7" s="87"/>
      <c r="M7" s="4">
        <f>IF(K7="","",K6-K7+L7)</f>
        <v>0</v>
      </c>
      <c r="N7" s="220" t="str">
        <f t="shared" ref="N7:N59" si="0">IF(E7=0,"",M7/E7)</f>
        <v/>
      </c>
      <c r="O7" s="30" t="str">
        <f ca="1">IF($O$5&gt;=B7,"N/A",SUM(INDIRECT(ADDRESS(6+(MATCH($O$5,$B$6:$B$59,0)),13)):M7))</f>
        <v>N/A</v>
      </c>
      <c r="P7" s="325"/>
      <c r="Q7" s="325"/>
      <c r="R7" s="325"/>
      <c r="S7" s="43" t="str">
        <f>IF($A7="","",$A7)</f>
        <v>PNOON</v>
      </c>
      <c r="T7" s="240">
        <f>IF($B7="","",$B7)</f>
        <v>42450.5</v>
      </c>
      <c r="U7" s="291"/>
      <c r="V7" s="292">
        <v>0.3</v>
      </c>
      <c r="W7" s="292">
        <v>0.15</v>
      </c>
      <c r="X7" s="198">
        <f>U7+V7+W7</f>
        <v>0.44999999999999996</v>
      </c>
      <c r="Y7" s="156">
        <f>Y6-X7+Z7</f>
        <v>1216.3</v>
      </c>
      <c r="Z7" s="320"/>
      <c r="AA7" s="321"/>
      <c r="AB7" s="322"/>
      <c r="AC7" s="322"/>
      <c r="AD7" s="323">
        <f t="shared" ref="AD7:AD59" si="1">AA7+AB7+AC7</f>
        <v>0</v>
      </c>
      <c r="AE7" s="147">
        <f>AE6-AD7+AF7</f>
        <v>78.7</v>
      </c>
      <c r="AF7" s="324"/>
      <c r="AG7" s="293"/>
      <c r="AH7" s="294">
        <v>200</v>
      </c>
      <c r="AI7" s="138">
        <f>AI6-AG7+AH7</f>
        <v>340</v>
      </c>
      <c r="AJ7" s="295">
        <v>58000</v>
      </c>
      <c r="AK7" s="314">
        <v>31900</v>
      </c>
      <c r="AL7" s="315">
        <v>9500</v>
      </c>
      <c r="AM7" s="237" t="e">
        <f>((R7-H7)/H7)</f>
        <v>#VALUE!</v>
      </c>
      <c r="AN7" s="70" t="str">
        <f>IF($A7="","",$A7)</f>
        <v>PNOON</v>
      </c>
      <c r="AO7" s="241">
        <f>IF($B7="","",$B7)</f>
        <v>42450.5</v>
      </c>
      <c r="AP7" s="441" t="s">
        <v>90</v>
      </c>
      <c r="AQ7" s="98"/>
      <c r="AR7" s="99"/>
      <c r="AS7" s="99"/>
      <c r="AT7" s="100"/>
      <c r="AU7" s="101"/>
      <c r="AV7" s="100"/>
      <c r="AW7" s="101"/>
      <c r="AX7" s="101"/>
      <c r="AY7" s="99"/>
      <c r="AZ7" s="102"/>
      <c r="BA7" s="102"/>
      <c r="BB7" s="105"/>
      <c r="BC7" s="104"/>
      <c r="BD7" s="98"/>
      <c r="BE7" s="105"/>
      <c r="BF7" s="104"/>
      <c r="BG7" s="106"/>
      <c r="BH7" s="104"/>
      <c r="BI7" s="98"/>
      <c r="BJ7" s="105"/>
      <c r="BK7" s="104"/>
      <c r="BL7" s="104"/>
      <c r="BM7" s="107"/>
      <c r="BN7" s="108"/>
      <c r="BO7" s="108"/>
      <c r="BP7" s="109"/>
      <c r="BQ7" s="110"/>
      <c r="BR7" s="108"/>
      <c r="BS7" s="109"/>
      <c r="BT7" s="109"/>
      <c r="BU7" s="107"/>
      <c r="BV7" s="111"/>
      <c r="BW7" s="98"/>
      <c r="BX7" s="113"/>
      <c r="BY7" s="113"/>
      <c r="BZ7" s="114"/>
      <c r="CA7" s="114"/>
      <c r="CB7" s="114"/>
      <c r="CC7" s="99"/>
      <c r="CD7" s="111"/>
      <c r="CE7" s="116"/>
      <c r="CF7" s="117"/>
      <c r="CG7" s="118"/>
      <c r="CH7" s="117"/>
      <c r="CI7" s="118"/>
      <c r="CJ7" s="117"/>
      <c r="CK7" s="118"/>
      <c r="CL7" s="119"/>
      <c r="CM7" s="122"/>
      <c r="CN7" s="121"/>
      <c r="CO7" s="120"/>
      <c r="CP7" s="121"/>
      <c r="CQ7" s="121"/>
      <c r="CR7" s="100"/>
      <c r="CS7" s="121"/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103</v>
      </c>
      <c r="B8" s="442">
        <v>42451.5</v>
      </c>
      <c r="C8" s="453"/>
      <c r="D8" s="84"/>
      <c r="E8" s="23"/>
      <c r="F8" s="15"/>
      <c r="G8" s="213"/>
      <c r="H8" s="27" t="str">
        <f t="shared" ref="H8:H59" si="2">IF(F8=0,"",F8-F7+G8)</f>
        <v/>
      </c>
      <c r="I8" s="216" t="str">
        <f t="shared" ref="I8:I59" si="3">IF(E8=0,"",$H8/$E8)</f>
        <v/>
      </c>
      <c r="J8" s="29" t="str">
        <f ca="1">IF($J$5&gt;=B8,"N/A",SUM(INDIRECT(ADDRESS(6+(MATCH($J$5,$B$6:$B$59,0)),8)):H8))</f>
        <v>N/A</v>
      </c>
      <c r="K8" s="10">
        <v>11.1</v>
      </c>
      <c r="L8" s="87"/>
      <c r="M8" s="4">
        <f t="shared" ref="M8:M59" si="4">IF(K8="","",K7-K8+L8)</f>
        <v>0</v>
      </c>
      <c r="N8" s="220" t="str">
        <f t="shared" si="0"/>
        <v/>
      </c>
      <c r="O8" s="30" t="str">
        <f ca="1">IF($O$5&gt;=B8,"N/A",SUM(INDIRECT(ADDRESS(6+(MATCH($O$5,$B$6:$B$59,0)),13)):M8))</f>
        <v>N/A</v>
      </c>
      <c r="P8" s="325"/>
      <c r="Q8" s="325"/>
      <c r="R8" s="325"/>
      <c r="S8" s="70" t="str">
        <f t="shared" ref="S8:S59" si="5">IF($A8="","",$A8)</f>
        <v>PNOON</v>
      </c>
      <c r="T8" s="241">
        <f t="shared" ref="T8:T59" si="6">IF($B8="","",$B8)</f>
        <v>42451.5</v>
      </c>
      <c r="U8" s="296"/>
      <c r="V8" s="297">
        <v>6</v>
      </c>
      <c r="W8" s="297">
        <v>3.5</v>
      </c>
      <c r="X8" s="199">
        <f t="shared" ref="X8:X59" si="7">U8+V8+W8</f>
        <v>9.5</v>
      </c>
      <c r="Y8" s="159">
        <f t="shared" ref="Y8:Y59" si="8">Y7-X8+Z8</f>
        <v>1206.8</v>
      </c>
      <c r="Z8" s="298"/>
      <c r="AA8" s="299"/>
      <c r="AB8" s="300"/>
      <c r="AC8" s="300"/>
      <c r="AD8" s="203">
        <f t="shared" si="1"/>
        <v>0</v>
      </c>
      <c r="AE8" s="150">
        <f t="shared" ref="AE8:AE59" si="9">AE7-AD8+AF8</f>
        <v>78.7</v>
      </c>
      <c r="AF8" s="301"/>
      <c r="AG8" s="302"/>
      <c r="AH8" s="303"/>
      <c r="AI8" s="141">
        <f>AI7-AG8+AH8</f>
        <v>340</v>
      </c>
      <c r="AJ8" s="304">
        <v>58000</v>
      </c>
      <c r="AK8" s="316">
        <v>31900</v>
      </c>
      <c r="AL8" s="317">
        <v>9500</v>
      </c>
      <c r="AM8" s="237" t="e">
        <f t="shared" ref="AM8:AM20" si="10">((R8-H8)/H8)</f>
        <v>#VALUE!</v>
      </c>
      <c r="AN8" s="70" t="str">
        <f t="shared" ref="AN8:AN59" si="11">IF($A8="","",$A8)</f>
        <v>PNOON</v>
      </c>
      <c r="AO8" s="241">
        <f t="shared" ref="AO8:AO59" si="12">IF($B8="","",$B8)</f>
        <v>42451.5</v>
      </c>
      <c r="AP8" s="441"/>
      <c r="AQ8" s="98"/>
      <c r="AR8" s="99"/>
      <c r="AS8" s="99"/>
      <c r="AT8" s="100"/>
      <c r="AU8" s="101"/>
      <c r="AV8" s="100"/>
      <c r="AW8" s="101"/>
      <c r="AX8" s="101"/>
      <c r="AY8" s="99"/>
      <c r="AZ8" s="102"/>
      <c r="BA8" s="102"/>
      <c r="BB8" s="105"/>
      <c r="BC8" s="104"/>
      <c r="BD8" s="98"/>
      <c r="BE8" s="105"/>
      <c r="BF8" s="104"/>
      <c r="BG8" s="106"/>
      <c r="BH8" s="104"/>
      <c r="BI8" s="98"/>
      <c r="BJ8" s="105"/>
      <c r="BK8" s="104"/>
      <c r="BL8" s="104"/>
      <c r="BM8" s="107"/>
      <c r="BN8" s="108"/>
      <c r="BO8" s="108"/>
      <c r="BP8" s="109"/>
      <c r="BQ8" s="110"/>
      <c r="BR8" s="108"/>
      <c r="BS8" s="109"/>
      <c r="BT8" s="109"/>
      <c r="BU8" s="107"/>
      <c r="BV8" s="111"/>
      <c r="BW8" s="98"/>
      <c r="BX8" s="113"/>
      <c r="BY8" s="113"/>
      <c r="BZ8" s="114"/>
      <c r="CA8" s="114"/>
      <c r="CB8" s="114"/>
      <c r="CC8" s="99"/>
      <c r="CD8" s="115"/>
      <c r="CE8" s="116"/>
      <c r="CF8" s="117"/>
      <c r="CG8" s="118"/>
      <c r="CH8" s="117"/>
      <c r="CI8" s="118"/>
      <c r="CJ8" s="117"/>
      <c r="CK8" s="118"/>
      <c r="CL8" s="119"/>
      <c r="CM8" s="122"/>
      <c r="CN8" s="121"/>
      <c r="CO8" s="120"/>
      <c r="CP8" s="121"/>
      <c r="CQ8" s="121"/>
      <c r="CR8" s="100"/>
      <c r="CS8" s="121"/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103</v>
      </c>
      <c r="B9" s="442">
        <v>42452.5</v>
      </c>
      <c r="C9" s="443"/>
      <c r="D9" s="84"/>
      <c r="E9" s="23"/>
      <c r="F9" s="15"/>
      <c r="G9" s="213"/>
      <c r="H9" s="27" t="str">
        <f t="shared" si="2"/>
        <v/>
      </c>
      <c r="I9" s="216" t="str">
        <f t="shared" si="3"/>
        <v/>
      </c>
      <c r="J9" s="29" t="str">
        <f ca="1">IF($J$5&gt;=B9,"N/A",SUM(INDIRECT(ADDRESS(6+(MATCH($J$5,$B$6:$B$59,0)),8)):H9))</f>
        <v>N/A</v>
      </c>
      <c r="K9" s="10">
        <v>11.1</v>
      </c>
      <c r="L9" s="87"/>
      <c r="M9" s="4">
        <f t="shared" si="4"/>
        <v>0</v>
      </c>
      <c r="N9" s="220" t="str">
        <f t="shared" si="0"/>
        <v/>
      </c>
      <c r="O9" s="30" t="str">
        <f ca="1">IF($O$5&gt;=B9,"N/A",SUM(INDIRECT(ADDRESS(6+(MATCH($O$5,$B$6:$B$59,0)),13)):M9))</f>
        <v>N/A</v>
      </c>
      <c r="P9" s="325"/>
      <c r="Q9" s="325"/>
      <c r="R9" s="325"/>
      <c r="S9" s="70" t="str">
        <f t="shared" si="5"/>
        <v>PNOON</v>
      </c>
      <c r="T9" s="241">
        <f t="shared" si="6"/>
        <v>42452.5</v>
      </c>
      <c r="U9" s="296"/>
      <c r="V9" s="297">
        <v>5.5</v>
      </c>
      <c r="W9" s="297">
        <v>3.5</v>
      </c>
      <c r="X9" s="199">
        <f t="shared" si="7"/>
        <v>9</v>
      </c>
      <c r="Y9" s="159">
        <f t="shared" si="8"/>
        <v>1197.8</v>
      </c>
      <c r="Z9" s="298"/>
      <c r="AA9" s="299"/>
      <c r="AB9" s="300"/>
      <c r="AC9" s="300"/>
      <c r="AD9" s="203">
        <f t="shared" si="1"/>
        <v>0</v>
      </c>
      <c r="AE9" s="150">
        <f t="shared" si="9"/>
        <v>78.7</v>
      </c>
      <c r="AF9" s="301"/>
      <c r="AG9" s="302"/>
      <c r="AH9" s="303"/>
      <c r="AI9" s="141">
        <f t="shared" ref="AI9:AI59" si="13">AI8-AG9+AH9</f>
        <v>340</v>
      </c>
      <c r="AJ9" s="304">
        <v>58000</v>
      </c>
      <c r="AK9" s="316">
        <v>31900</v>
      </c>
      <c r="AL9" s="317">
        <v>9500</v>
      </c>
      <c r="AM9" s="237" t="e">
        <f t="shared" si="10"/>
        <v>#VALUE!</v>
      </c>
      <c r="AN9" s="70" t="str">
        <f t="shared" si="11"/>
        <v>PNOON</v>
      </c>
      <c r="AO9" s="241">
        <f t="shared" si="12"/>
        <v>42452.5</v>
      </c>
      <c r="AP9" s="441"/>
      <c r="AQ9" s="98"/>
      <c r="AR9" s="99"/>
      <c r="AS9" s="99"/>
      <c r="AT9" s="100"/>
      <c r="AU9" s="101"/>
      <c r="AV9" s="100"/>
      <c r="AW9" s="101"/>
      <c r="AX9" s="101"/>
      <c r="AY9" s="99"/>
      <c r="AZ9" s="102"/>
      <c r="BA9" s="102"/>
      <c r="BB9" s="105"/>
      <c r="BC9" s="104"/>
      <c r="BD9" s="98"/>
      <c r="BE9" s="105"/>
      <c r="BF9" s="104"/>
      <c r="BG9" s="106"/>
      <c r="BH9" s="104"/>
      <c r="BI9" s="98"/>
      <c r="BJ9" s="105"/>
      <c r="BK9" s="104"/>
      <c r="BL9" s="104"/>
      <c r="BM9" s="107"/>
      <c r="BN9" s="108"/>
      <c r="BO9" s="108"/>
      <c r="BP9" s="109"/>
      <c r="BQ9" s="110"/>
      <c r="BR9" s="108"/>
      <c r="BS9" s="109"/>
      <c r="BT9" s="109"/>
      <c r="BU9" s="107"/>
      <c r="BV9" s="111"/>
      <c r="BW9" s="98"/>
      <c r="BX9" s="113"/>
      <c r="BY9" s="113"/>
      <c r="BZ9" s="114"/>
      <c r="CA9" s="114"/>
      <c r="CB9" s="114"/>
      <c r="CC9" s="99"/>
      <c r="CD9" s="111"/>
      <c r="CE9" s="116"/>
      <c r="CF9" s="117"/>
      <c r="CG9" s="118"/>
      <c r="CH9" s="117"/>
      <c r="CI9" s="118"/>
      <c r="CJ9" s="117"/>
      <c r="CK9" s="118"/>
      <c r="CL9" s="119"/>
      <c r="CM9" s="122"/>
      <c r="CN9" s="121"/>
      <c r="CO9" s="120"/>
      <c r="CP9" s="121"/>
      <c r="CQ9" s="121"/>
      <c r="CR9" s="100"/>
      <c r="CS9" s="121"/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103</v>
      </c>
      <c r="B10" s="442">
        <v>42453.5</v>
      </c>
      <c r="C10" s="443"/>
      <c r="D10" s="84"/>
      <c r="E10" s="23"/>
      <c r="F10" s="15"/>
      <c r="G10" s="213"/>
      <c r="H10" s="27" t="str">
        <f t="shared" si="2"/>
        <v/>
      </c>
      <c r="I10" s="216" t="str">
        <f t="shared" si="3"/>
        <v/>
      </c>
      <c r="J10" s="29" t="str">
        <f ca="1">IF($J$5&gt;=B10,"N/A",SUM(INDIRECT(ADDRESS(6+(MATCH($J$5,$B$6:$B$59,0)),8)):H10))</f>
        <v>N/A</v>
      </c>
      <c r="K10" s="10">
        <v>11.1</v>
      </c>
      <c r="L10" s="88"/>
      <c r="M10" s="4">
        <f t="shared" si="4"/>
        <v>0</v>
      </c>
      <c r="N10" s="220" t="str">
        <f t="shared" si="0"/>
        <v/>
      </c>
      <c r="O10" s="30" t="str">
        <f ca="1">IF($O$5&gt;=B10,"N/A",SUM(INDIRECT(ADDRESS(6+(MATCH($O$5,$B$6:$B$59,0)),13)):M10))</f>
        <v>N/A</v>
      </c>
      <c r="P10" s="325"/>
      <c r="Q10" s="325"/>
      <c r="R10" s="325"/>
      <c r="S10" s="70" t="str">
        <f t="shared" si="5"/>
        <v>PNOON</v>
      </c>
      <c r="T10" s="241">
        <f t="shared" si="6"/>
        <v>42453.5</v>
      </c>
      <c r="U10" s="296"/>
      <c r="V10" s="297">
        <v>5</v>
      </c>
      <c r="W10" s="297">
        <v>3.2</v>
      </c>
      <c r="X10" s="199">
        <f t="shared" si="7"/>
        <v>8.1999999999999993</v>
      </c>
      <c r="Y10" s="159">
        <f t="shared" si="8"/>
        <v>1189.5999999999999</v>
      </c>
      <c r="Z10" s="298"/>
      <c r="AA10" s="299"/>
      <c r="AB10" s="300"/>
      <c r="AC10" s="300"/>
      <c r="AD10" s="203">
        <f t="shared" si="1"/>
        <v>0</v>
      </c>
      <c r="AE10" s="150">
        <f t="shared" si="9"/>
        <v>78.7</v>
      </c>
      <c r="AF10" s="301"/>
      <c r="AG10" s="302"/>
      <c r="AH10" s="303"/>
      <c r="AI10" s="141">
        <f t="shared" si="13"/>
        <v>340</v>
      </c>
      <c r="AJ10" s="304">
        <v>58000</v>
      </c>
      <c r="AK10" s="316">
        <v>31900</v>
      </c>
      <c r="AL10" s="317">
        <v>9500</v>
      </c>
      <c r="AM10" s="237" t="e">
        <f t="shared" si="10"/>
        <v>#VALUE!</v>
      </c>
      <c r="AN10" s="70" t="str">
        <f t="shared" si="11"/>
        <v>PNOON</v>
      </c>
      <c r="AO10" s="241">
        <f t="shared" si="12"/>
        <v>42453.5</v>
      </c>
      <c r="AP10" s="441"/>
      <c r="AQ10" s="98"/>
      <c r="AR10" s="99"/>
      <c r="AS10" s="99"/>
      <c r="AT10" s="100"/>
      <c r="AU10" s="101"/>
      <c r="AV10" s="100"/>
      <c r="AW10" s="101"/>
      <c r="AX10" s="101"/>
      <c r="AY10" s="99"/>
      <c r="AZ10" s="102"/>
      <c r="BA10" s="102"/>
      <c r="BB10" s="103"/>
      <c r="BC10" s="104"/>
      <c r="BD10" s="98"/>
      <c r="BE10" s="105"/>
      <c r="BF10" s="104"/>
      <c r="BG10" s="115"/>
      <c r="BH10" s="104"/>
      <c r="BI10" s="98"/>
      <c r="BJ10" s="105"/>
      <c r="BK10" s="104"/>
      <c r="BL10" s="104"/>
      <c r="BM10" s="107"/>
      <c r="BN10" s="108"/>
      <c r="BO10" s="108"/>
      <c r="BP10" s="109"/>
      <c r="BQ10" s="110"/>
      <c r="BR10" s="108"/>
      <c r="BS10" s="109"/>
      <c r="BT10" s="109"/>
      <c r="BU10" s="107"/>
      <c r="BV10" s="111"/>
      <c r="BW10" s="98"/>
      <c r="BX10" s="113"/>
      <c r="BY10" s="113"/>
      <c r="BZ10" s="114"/>
      <c r="CA10" s="114"/>
      <c r="CB10" s="114"/>
      <c r="CC10" s="99"/>
      <c r="CD10" s="115"/>
      <c r="CE10" s="116"/>
      <c r="CF10" s="117"/>
      <c r="CG10" s="118"/>
      <c r="CH10" s="117"/>
      <c r="CI10" s="118"/>
      <c r="CJ10" s="117"/>
      <c r="CK10" s="118"/>
      <c r="CL10" s="119"/>
      <c r="CM10" s="120"/>
      <c r="CN10" s="121"/>
      <c r="CO10" s="120"/>
      <c r="CP10" s="121"/>
      <c r="CQ10" s="121"/>
      <c r="CR10" s="100"/>
      <c r="CS10" s="121"/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103</v>
      </c>
      <c r="B11" s="442">
        <v>42454.5</v>
      </c>
      <c r="C11" s="443"/>
      <c r="D11" s="84"/>
      <c r="E11" s="23"/>
      <c r="F11" s="15">
        <v>0</v>
      </c>
      <c r="G11" s="213"/>
      <c r="H11" s="27" t="str">
        <f t="shared" si="2"/>
        <v/>
      </c>
      <c r="I11" s="216" t="str">
        <f t="shared" si="3"/>
        <v/>
      </c>
      <c r="J11" s="29" t="str">
        <f ca="1">IF($J$5&gt;=B11,"N/A",SUM(INDIRECT(ADDRESS(6+(MATCH($J$5,$B$6:$B$59,0)),8)):H11))</f>
        <v>N/A</v>
      </c>
      <c r="K11" s="10">
        <v>11.1</v>
      </c>
      <c r="L11" s="88"/>
      <c r="M11" s="4">
        <f t="shared" si="4"/>
        <v>0</v>
      </c>
      <c r="N11" s="220" t="str">
        <f t="shared" si="0"/>
        <v/>
      </c>
      <c r="O11" s="30" t="str">
        <f ca="1">IF($O$5&gt;=B11,"N/A",SUM(INDIRECT(ADDRESS(6+(MATCH($O$5,$B$6:$B$59,0)),13)):M11))</f>
        <v>N/A</v>
      </c>
      <c r="P11" s="325"/>
      <c r="Q11" s="325"/>
      <c r="R11" s="325"/>
      <c r="S11" s="70" t="str">
        <f t="shared" si="5"/>
        <v>PNOON</v>
      </c>
      <c r="T11" s="241">
        <f t="shared" si="6"/>
        <v>42454.5</v>
      </c>
      <c r="U11" s="296"/>
      <c r="V11" s="297">
        <v>5</v>
      </c>
      <c r="W11" s="297">
        <v>3.2</v>
      </c>
      <c r="X11" s="199">
        <f t="shared" si="7"/>
        <v>8.1999999999999993</v>
      </c>
      <c r="Y11" s="159">
        <f t="shared" si="8"/>
        <v>1181.3999999999999</v>
      </c>
      <c r="Z11" s="298"/>
      <c r="AA11" s="299"/>
      <c r="AB11" s="300"/>
      <c r="AC11" s="300"/>
      <c r="AD11" s="203">
        <f t="shared" si="1"/>
        <v>0</v>
      </c>
      <c r="AE11" s="150">
        <f t="shared" si="9"/>
        <v>78.7</v>
      </c>
      <c r="AF11" s="301"/>
      <c r="AG11" s="302"/>
      <c r="AH11" s="303"/>
      <c r="AI11" s="141">
        <f t="shared" si="13"/>
        <v>340</v>
      </c>
      <c r="AJ11" s="304">
        <v>58000</v>
      </c>
      <c r="AK11" s="316">
        <v>31900</v>
      </c>
      <c r="AL11" s="317">
        <v>9500</v>
      </c>
      <c r="AM11" s="237" t="e">
        <f t="shared" si="10"/>
        <v>#VALUE!</v>
      </c>
      <c r="AN11" s="70" t="str">
        <f t="shared" si="11"/>
        <v>PNOON</v>
      </c>
      <c r="AO11" s="241">
        <f t="shared" si="12"/>
        <v>42454.5</v>
      </c>
      <c r="AP11" s="441"/>
      <c r="AQ11" s="98"/>
      <c r="AR11" s="99"/>
      <c r="AS11" s="99"/>
      <c r="AT11" s="100"/>
      <c r="AU11" s="101"/>
      <c r="AV11" s="100"/>
      <c r="AW11" s="101"/>
      <c r="AX11" s="101"/>
      <c r="AY11" s="99"/>
      <c r="AZ11" s="102"/>
      <c r="BA11" s="102"/>
      <c r="BB11" s="103"/>
      <c r="BC11" s="104"/>
      <c r="BD11" s="98"/>
      <c r="BE11" s="105"/>
      <c r="BF11" s="104"/>
      <c r="BG11" s="115"/>
      <c r="BH11" s="104"/>
      <c r="BI11" s="98"/>
      <c r="BJ11" s="105"/>
      <c r="BK11" s="104"/>
      <c r="BL11" s="104"/>
      <c r="BM11" s="107"/>
      <c r="BN11" s="108"/>
      <c r="BO11" s="108"/>
      <c r="BP11" s="109"/>
      <c r="BQ11" s="110"/>
      <c r="BR11" s="108"/>
      <c r="BS11" s="109"/>
      <c r="BT11" s="109"/>
      <c r="BU11" s="107"/>
      <c r="BV11" s="111"/>
      <c r="BW11" s="98"/>
      <c r="BX11" s="113"/>
      <c r="BY11" s="113"/>
      <c r="BZ11" s="114"/>
      <c r="CA11" s="114"/>
      <c r="CB11" s="114"/>
      <c r="CC11" s="99"/>
      <c r="CD11" s="115"/>
      <c r="CE11" s="116"/>
      <c r="CF11" s="117"/>
      <c r="CG11" s="118"/>
      <c r="CH11" s="117"/>
      <c r="CI11" s="118"/>
      <c r="CJ11" s="117"/>
      <c r="CK11" s="118"/>
      <c r="CL11" s="119"/>
      <c r="CM11" s="120"/>
      <c r="CN11" s="121"/>
      <c r="CO11" s="120"/>
      <c r="CP11" s="121"/>
      <c r="CQ11" s="121"/>
      <c r="CR11" s="100"/>
      <c r="CS11" s="121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9</v>
      </c>
      <c r="B12" s="442">
        <v>42454.541666666664</v>
      </c>
      <c r="C12" s="443"/>
      <c r="D12" s="84"/>
      <c r="E12" s="23"/>
      <c r="F12" s="15">
        <v>0</v>
      </c>
      <c r="G12" s="213"/>
      <c r="H12" s="27" t="str">
        <f t="shared" si="2"/>
        <v/>
      </c>
      <c r="I12" s="216" t="str">
        <f t="shared" si="3"/>
        <v/>
      </c>
      <c r="J12" s="29" t="str">
        <f ca="1">IF($J$5&gt;=B12,"N/A",SUM(INDIRECT(ADDRESS(6+(MATCH($J$5,$B$6:$B$59,0)),8)):H12))</f>
        <v>N/A</v>
      </c>
      <c r="K12" s="10">
        <v>11.1</v>
      </c>
      <c r="L12" s="88"/>
      <c r="M12" s="4">
        <f t="shared" si="4"/>
        <v>0</v>
      </c>
      <c r="N12" s="220" t="str">
        <f t="shared" si="0"/>
        <v/>
      </c>
      <c r="O12" s="30" t="str">
        <f ca="1">IF($O$5&gt;=B12,"N/A",SUM(INDIRECT(ADDRESS(6+(MATCH($O$5,$B$6:$B$59,0)),13)):M12))</f>
        <v>N/A</v>
      </c>
      <c r="P12" s="325"/>
      <c r="Q12" s="325"/>
      <c r="R12" s="325"/>
      <c r="S12" s="70" t="str">
        <f t="shared" si="5"/>
        <v>SBE</v>
      </c>
      <c r="T12" s="241">
        <f t="shared" si="6"/>
        <v>42454.541666666664</v>
      </c>
      <c r="U12" s="296"/>
      <c r="V12" s="297">
        <v>0.3</v>
      </c>
      <c r="W12" s="297">
        <v>0.2</v>
      </c>
      <c r="X12" s="199">
        <f t="shared" si="7"/>
        <v>0.5</v>
      </c>
      <c r="Y12" s="159">
        <f t="shared" si="8"/>
        <v>1180.8999999999999</v>
      </c>
      <c r="Z12" s="298"/>
      <c r="AA12" s="299"/>
      <c r="AB12" s="300"/>
      <c r="AC12" s="300"/>
      <c r="AD12" s="203">
        <f t="shared" si="1"/>
        <v>0</v>
      </c>
      <c r="AE12" s="150">
        <f t="shared" si="9"/>
        <v>78.7</v>
      </c>
      <c r="AF12" s="301"/>
      <c r="AG12" s="302"/>
      <c r="AH12" s="303"/>
      <c r="AI12" s="141">
        <f t="shared" si="13"/>
        <v>340</v>
      </c>
      <c r="AJ12" s="304">
        <v>58000</v>
      </c>
      <c r="AK12" s="316">
        <v>31900</v>
      </c>
      <c r="AL12" s="317">
        <v>9500</v>
      </c>
      <c r="AM12" s="237" t="e">
        <f t="shared" si="10"/>
        <v>#VALUE!</v>
      </c>
      <c r="AN12" s="70" t="str">
        <f t="shared" si="11"/>
        <v>SBE</v>
      </c>
      <c r="AO12" s="241">
        <f t="shared" si="12"/>
        <v>42454.541666666664</v>
      </c>
      <c r="AP12" s="45" t="s">
        <v>40</v>
      </c>
      <c r="AQ12" s="98"/>
      <c r="AR12" s="99"/>
      <c r="AS12" s="99"/>
      <c r="AT12" s="100"/>
      <c r="AU12" s="101"/>
      <c r="AV12" s="100"/>
      <c r="AW12" s="101"/>
      <c r="AX12" s="101"/>
      <c r="AY12" s="99"/>
      <c r="AZ12" s="102"/>
      <c r="BA12" s="102"/>
      <c r="BB12" s="103"/>
      <c r="BC12" s="104"/>
      <c r="BD12" s="98"/>
      <c r="BE12" s="105"/>
      <c r="BF12" s="104"/>
      <c r="BG12" s="115"/>
      <c r="BH12" s="104"/>
      <c r="BI12" s="98"/>
      <c r="BJ12" s="105"/>
      <c r="BK12" s="104"/>
      <c r="BL12" s="104"/>
      <c r="BM12" s="107"/>
      <c r="BN12" s="108"/>
      <c r="BO12" s="108"/>
      <c r="BP12" s="109"/>
      <c r="BQ12" s="110"/>
      <c r="BR12" s="108"/>
      <c r="BS12" s="109"/>
      <c r="BT12" s="109"/>
      <c r="BU12" s="107"/>
      <c r="BV12" s="111"/>
      <c r="BW12" s="98"/>
      <c r="BX12" s="113"/>
      <c r="BY12" s="113"/>
      <c r="BZ12" s="114"/>
      <c r="CA12" s="114"/>
      <c r="CB12" s="114"/>
      <c r="CC12" s="99"/>
      <c r="CD12" s="115"/>
      <c r="CE12" s="116"/>
      <c r="CF12" s="117"/>
      <c r="CG12" s="118"/>
      <c r="CH12" s="117"/>
      <c r="CI12" s="118"/>
      <c r="CJ12" s="117"/>
      <c r="CK12" s="118"/>
      <c r="CL12" s="119"/>
      <c r="CM12" s="120"/>
      <c r="CN12" s="121"/>
      <c r="CO12" s="120"/>
      <c r="CP12" s="121"/>
      <c r="CQ12" s="121"/>
      <c r="CR12" s="100"/>
      <c r="CS12" s="121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137</v>
      </c>
      <c r="B13" s="442">
        <v>42454.654166666667</v>
      </c>
      <c r="C13" s="443"/>
      <c r="D13" s="84"/>
      <c r="E13" s="23">
        <v>2.1</v>
      </c>
      <c r="F13" s="15"/>
      <c r="G13" s="213"/>
      <c r="H13" s="27" t="str">
        <f t="shared" si="2"/>
        <v/>
      </c>
      <c r="I13" s="216" t="e">
        <f t="shared" si="3"/>
        <v>#VALUE!</v>
      </c>
      <c r="J13" s="29">
        <f ca="1">IF($J$5&gt;=B13,"N/A",SUM(INDIRECT(ADDRESS(6+(MATCH($J$5,$B$6:$B$59,0)),8)):H13))</f>
        <v>0</v>
      </c>
      <c r="K13" s="10">
        <v>8.1</v>
      </c>
      <c r="L13" s="88"/>
      <c r="M13" s="4">
        <f t="shared" si="4"/>
        <v>3</v>
      </c>
      <c r="N13" s="220">
        <f t="shared" si="0"/>
        <v>1.4285714285714286</v>
      </c>
      <c r="O13" s="30">
        <f ca="1">IF($O$5&gt;=B13,"N/A",SUM(INDIRECT(ADDRESS(6+(MATCH($O$5,$B$6:$B$59,0)),13)):M13))</f>
        <v>3</v>
      </c>
      <c r="P13" s="325"/>
      <c r="Q13" s="325"/>
      <c r="R13" s="325"/>
      <c r="S13" s="70" t="str">
        <f t="shared" si="5"/>
        <v xml:space="preserve"> BOSP</v>
      </c>
      <c r="T13" s="241">
        <f t="shared" si="6"/>
        <v>42454.654166666667</v>
      </c>
      <c r="U13" s="296">
        <v>0</v>
      </c>
      <c r="V13" s="297">
        <v>1</v>
      </c>
      <c r="W13" s="297">
        <v>0.5</v>
      </c>
      <c r="X13" s="199">
        <f t="shared" si="7"/>
        <v>1.5</v>
      </c>
      <c r="Y13" s="159">
        <f t="shared" si="8"/>
        <v>1179.3999999999999</v>
      </c>
      <c r="Z13" s="298"/>
      <c r="AA13" s="299">
        <v>0.5</v>
      </c>
      <c r="AB13" s="300"/>
      <c r="AC13" s="300"/>
      <c r="AD13" s="203">
        <f t="shared" si="1"/>
        <v>0.5</v>
      </c>
      <c r="AE13" s="150">
        <f t="shared" si="9"/>
        <v>78.2</v>
      </c>
      <c r="AF13" s="301"/>
      <c r="AG13" s="302"/>
      <c r="AH13" s="303"/>
      <c r="AI13" s="141">
        <f t="shared" si="13"/>
        <v>340</v>
      </c>
      <c r="AJ13" s="304">
        <v>57990</v>
      </c>
      <c r="AK13" s="316">
        <v>31900</v>
      </c>
      <c r="AL13" s="317">
        <v>9480</v>
      </c>
      <c r="AM13" s="237" t="e">
        <f t="shared" si="10"/>
        <v>#VALUE!</v>
      </c>
      <c r="AN13" s="70" t="str">
        <f t="shared" si="11"/>
        <v xml:space="preserve"> BOSP</v>
      </c>
      <c r="AO13" s="241">
        <f t="shared" si="12"/>
        <v>42454.654166666667</v>
      </c>
      <c r="AP13" s="45" t="s">
        <v>40</v>
      </c>
      <c r="AQ13" s="98"/>
      <c r="AR13" s="99"/>
      <c r="AS13" s="99"/>
      <c r="AT13" s="100"/>
      <c r="AU13" s="101"/>
      <c r="AV13" s="100"/>
      <c r="AW13" s="101"/>
      <c r="AX13" s="101"/>
      <c r="AY13" s="99"/>
      <c r="AZ13" s="102"/>
      <c r="BA13" s="102"/>
      <c r="BB13" s="103"/>
      <c r="BC13" s="104"/>
      <c r="BD13" s="98"/>
      <c r="BE13" s="105"/>
      <c r="BF13" s="104"/>
      <c r="BG13" s="115"/>
      <c r="BH13" s="104"/>
      <c r="BI13" s="98"/>
      <c r="BJ13" s="105"/>
      <c r="BK13" s="104"/>
      <c r="BL13" s="104"/>
      <c r="BM13" s="107"/>
      <c r="BN13" s="108"/>
      <c r="BO13" s="108"/>
      <c r="BP13" s="109"/>
      <c r="BQ13" s="110"/>
      <c r="BR13" s="108"/>
      <c r="BS13" s="109"/>
      <c r="BT13" s="109"/>
      <c r="BU13" s="107"/>
      <c r="BV13" s="111"/>
      <c r="BW13" s="98"/>
      <c r="BX13" s="113"/>
      <c r="BY13" s="113"/>
      <c r="BZ13" s="114"/>
      <c r="CA13" s="114"/>
      <c r="CB13" s="114"/>
      <c r="CC13" s="99"/>
      <c r="CD13" s="115"/>
      <c r="CE13" s="116"/>
      <c r="CF13" s="117"/>
      <c r="CG13" s="118"/>
      <c r="CH13" s="117"/>
      <c r="CI13" s="118"/>
      <c r="CJ13" s="117"/>
      <c r="CK13" s="118"/>
      <c r="CL13" s="119"/>
      <c r="CM13" s="120"/>
      <c r="CN13" s="121"/>
      <c r="CO13" s="120"/>
      <c r="CP13" s="121"/>
      <c r="CQ13" s="121"/>
      <c r="CR13" s="100"/>
      <c r="CS13" s="121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97</v>
      </c>
      <c r="B14" s="442">
        <v>42454.6875</v>
      </c>
      <c r="C14" s="443"/>
      <c r="D14" s="84"/>
      <c r="E14" s="23">
        <v>0.8</v>
      </c>
      <c r="F14" s="15"/>
      <c r="G14" s="213"/>
      <c r="H14" s="27" t="str">
        <f t="shared" si="2"/>
        <v/>
      </c>
      <c r="I14" s="216" t="e">
        <f t="shared" si="3"/>
        <v>#VALUE!</v>
      </c>
      <c r="J14" s="29">
        <f ca="1">IF($J$5&gt;=B14,"N/A",SUM(INDIRECT(ADDRESS(6+(MATCH($J$5,$B$6:$B$59,0)),8)):H14))</f>
        <v>0</v>
      </c>
      <c r="K14" s="10">
        <v>0</v>
      </c>
      <c r="L14" s="88">
        <v>0</v>
      </c>
      <c r="M14" s="4">
        <f t="shared" si="4"/>
        <v>8.1</v>
      </c>
      <c r="N14" s="220">
        <f t="shared" si="0"/>
        <v>10.124999999999998</v>
      </c>
      <c r="O14" s="30">
        <f ca="1">IF($O$5&gt;=B14,"N/A",SUM(INDIRECT(ADDRESS(6+(MATCH($O$5,$B$6:$B$59,0)),13)):M14))</f>
        <v>11.1</v>
      </c>
      <c r="P14" s="325"/>
      <c r="Q14" s="325"/>
      <c r="R14" s="325"/>
      <c r="S14" s="70" t="str">
        <f t="shared" si="5"/>
        <v>EOSP</v>
      </c>
      <c r="T14" s="241">
        <f t="shared" si="6"/>
        <v>42454.6875</v>
      </c>
      <c r="U14" s="296"/>
      <c r="V14" s="297">
        <v>0.2</v>
      </c>
      <c r="W14" s="297">
        <v>0.1</v>
      </c>
      <c r="X14" s="199">
        <f t="shared" si="7"/>
        <v>0.30000000000000004</v>
      </c>
      <c r="Y14" s="159">
        <f t="shared" si="8"/>
        <v>1179.0999999999999</v>
      </c>
      <c r="Z14" s="298"/>
      <c r="AA14" s="299">
        <v>0.5</v>
      </c>
      <c r="AB14" s="300"/>
      <c r="AC14" s="300"/>
      <c r="AD14" s="203">
        <f t="shared" si="1"/>
        <v>0.5</v>
      </c>
      <c r="AE14" s="150">
        <f t="shared" si="9"/>
        <v>77.7</v>
      </c>
      <c r="AF14" s="301"/>
      <c r="AG14" s="302"/>
      <c r="AH14" s="303"/>
      <c r="AI14" s="141">
        <f t="shared" si="13"/>
        <v>340</v>
      </c>
      <c r="AJ14" s="304">
        <v>57980</v>
      </c>
      <c r="AK14" s="316">
        <v>31900</v>
      </c>
      <c r="AL14" s="317">
        <v>9480</v>
      </c>
      <c r="AM14" s="237" t="e">
        <f t="shared" si="10"/>
        <v>#VALUE!</v>
      </c>
      <c r="AN14" s="70" t="str">
        <f t="shared" si="11"/>
        <v>EOSP</v>
      </c>
      <c r="AO14" s="241">
        <f t="shared" si="12"/>
        <v>42454.6875</v>
      </c>
      <c r="AP14" s="45" t="s">
        <v>40</v>
      </c>
      <c r="AQ14" s="98"/>
      <c r="AR14" s="99"/>
      <c r="AS14" s="99"/>
      <c r="AT14" s="100"/>
      <c r="AU14" s="101"/>
      <c r="AV14" s="100"/>
      <c r="AW14" s="101"/>
      <c r="AX14" s="101"/>
      <c r="AY14" s="99"/>
      <c r="AZ14" s="102"/>
      <c r="BA14" s="102"/>
      <c r="BB14" s="103"/>
      <c r="BC14" s="104"/>
      <c r="BD14" s="98"/>
      <c r="BE14" s="105"/>
      <c r="BF14" s="104"/>
      <c r="BG14" s="115"/>
      <c r="BH14" s="104"/>
      <c r="BI14" s="98"/>
      <c r="BJ14" s="105"/>
      <c r="BK14" s="104"/>
      <c r="BL14" s="104"/>
      <c r="BM14" s="107"/>
      <c r="BN14" s="108"/>
      <c r="BO14" s="108"/>
      <c r="BP14" s="109"/>
      <c r="BQ14" s="110"/>
      <c r="BR14" s="108"/>
      <c r="BS14" s="109"/>
      <c r="BT14" s="109"/>
      <c r="BU14" s="107"/>
      <c r="BV14" s="111"/>
      <c r="BW14" s="98"/>
      <c r="BX14" s="113"/>
      <c r="BY14" s="113"/>
      <c r="BZ14" s="114"/>
      <c r="CA14" s="114"/>
      <c r="CB14" s="114"/>
      <c r="CC14" s="99"/>
      <c r="CD14" s="115"/>
      <c r="CE14" s="116"/>
      <c r="CF14" s="117"/>
      <c r="CG14" s="118"/>
      <c r="CH14" s="117"/>
      <c r="CI14" s="118"/>
      <c r="CJ14" s="117"/>
      <c r="CK14" s="118"/>
      <c r="CL14" s="119"/>
      <c r="CM14" s="120"/>
      <c r="CN14" s="121"/>
      <c r="CO14" s="120"/>
      <c r="CP14" s="121"/>
      <c r="CQ14" s="121"/>
      <c r="CR14" s="100"/>
      <c r="CS14" s="121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10</v>
      </c>
      <c r="B15" s="442">
        <v>42454.708333333336</v>
      </c>
      <c r="C15" s="453"/>
      <c r="D15" s="84"/>
      <c r="E15" s="23">
        <v>0.5</v>
      </c>
      <c r="F15" s="15"/>
      <c r="G15" s="213"/>
      <c r="H15" s="27" t="str">
        <f t="shared" si="2"/>
        <v/>
      </c>
      <c r="I15" s="216" t="e">
        <f t="shared" si="3"/>
        <v>#VALUE!</v>
      </c>
      <c r="J15" s="29">
        <f ca="1">IF($J$5&gt;=B15,"N/A",SUM(INDIRECT(ADDRESS(6+(MATCH($J$5,$B$6:$B$59,0)),8)):H15))</f>
        <v>0</v>
      </c>
      <c r="K15" s="10">
        <v>0</v>
      </c>
      <c r="L15" s="88">
        <v>1.1000000000000001</v>
      </c>
      <c r="M15" s="4">
        <f t="shared" si="4"/>
        <v>1.1000000000000001</v>
      </c>
      <c r="N15" s="220">
        <f t="shared" si="0"/>
        <v>2.2000000000000002</v>
      </c>
      <c r="O15" s="30">
        <f ca="1">IF($O$5&gt;=B15,"N/A",SUM(INDIRECT(ADDRESS(6+(MATCH($O$5,$B$6:$B$59,0)),13)):M15))</f>
        <v>12.2</v>
      </c>
      <c r="P15" s="325"/>
      <c r="Q15" s="325"/>
      <c r="R15" s="325"/>
      <c r="S15" s="70" t="str">
        <f t="shared" si="5"/>
        <v>FWE</v>
      </c>
      <c r="T15" s="241">
        <f t="shared" si="6"/>
        <v>42454.708333333336</v>
      </c>
      <c r="U15" s="296"/>
      <c r="V15" s="297">
        <v>0.1</v>
      </c>
      <c r="W15" s="297">
        <v>0.1</v>
      </c>
      <c r="X15" s="199">
        <f>U15+V15+W15</f>
        <v>0.2</v>
      </c>
      <c r="Y15" s="159">
        <f t="shared" si="8"/>
        <v>1178.8999999999999</v>
      </c>
      <c r="Z15" s="298"/>
      <c r="AA15" s="299">
        <v>0.03</v>
      </c>
      <c r="AB15" s="300"/>
      <c r="AC15" s="300"/>
      <c r="AD15" s="203">
        <f t="shared" si="1"/>
        <v>0.03</v>
      </c>
      <c r="AE15" s="150">
        <f t="shared" si="9"/>
        <v>77.67</v>
      </c>
      <c r="AF15" s="301"/>
      <c r="AG15" s="302"/>
      <c r="AH15" s="303"/>
      <c r="AI15" s="141">
        <f t="shared" si="13"/>
        <v>340</v>
      </c>
      <c r="AJ15" s="304">
        <v>57980</v>
      </c>
      <c r="AK15" s="316">
        <v>31900</v>
      </c>
      <c r="AL15" s="317">
        <v>9480</v>
      </c>
      <c r="AM15" s="237" t="e">
        <f t="shared" si="10"/>
        <v>#VALUE!</v>
      </c>
      <c r="AN15" s="70" t="str">
        <f t="shared" si="11"/>
        <v>FWE</v>
      </c>
      <c r="AO15" s="241">
        <f t="shared" si="12"/>
        <v>42454.708333333336</v>
      </c>
      <c r="AP15" s="45" t="s">
        <v>40</v>
      </c>
      <c r="AQ15" s="98"/>
      <c r="AR15" s="99"/>
      <c r="AS15" s="99"/>
      <c r="AT15" s="100"/>
      <c r="AU15" s="101"/>
      <c r="AV15" s="100"/>
      <c r="AW15" s="101"/>
      <c r="AX15" s="101"/>
      <c r="AY15" s="99"/>
      <c r="AZ15" s="102"/>
      <c r="BA15" s="102"/>
      <c r="BB15" s="103"/>
      <c r="BC15" s="104"/>
      <c r="BD15" s="98"/>
      <c r="BE15" s="105"/>
      <c r="BF15" s="104"/>
      <c r="BG15" s="115"/>
      <c r="BH15" s="104"/>
      <c r="BI15" s="98"/>
      <c r="BJ15" s="105"/>
      <c r="BK15" s="104"/>
      <c r="BL15" s="104"/>
      <c r="BM15" s="107"/>
      <c r="BN15" s="108"/>
      <c r="BO15" s="108"/>
      <c r="BP15" s="109"/>
      <c r="BQ15" s="110"/>
      <c r="BR15" s="108"/>
      <c r="BS15" s="109"/>
      <c r="BT15" s="109"/>
      <c r="BU15" s="107"/>
      <c r="BV15" s="111"/>
      <c r="BW15" s="98"/>
      <c r="BX15" s="113"/>
      <c r="BY15" s="113"/>
      <c r="BZ15" s="114"/>
      <c r="CA15" s="114"/>
      <c r="CB15" s="114"/>
      <c r="CC15" s="99"/>
      <c r="CD15" s="115"/>
      <c r="CE15" s="116"/>
      <c r="CF15" s="117"/>
      <c r="CG15" s="118"/>
      <c r="CH15" s="117"/>
      <c r="CI15" s="118"/>
      <c r="CJ15" s="117"/>
      <c r="CK15" s="118"/>
      <c r="CL15" s="119"/>
      <c r="CM15" s="120"/>
      <c r="CN15" s="121"/>
      <c r="CO15" s="120"/>
      <c r="CP15" s="121"/>
      <c r="CQ15" s="121"/>
      <c r="CR15" s="100"/>
      <c r="CS15" s="121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103</v>
      </c>
      <c r="B16" s="442">
        <v>42455.5</v>
      </c>
      <c r="C16" s="453"/>
      <c r="D16" s="84"/>
      <c r="E16" s="23"/>
      <c r="F16" s="15"/>
      <c r="G16" s="213"/>
      <c r="H16" s="27" t="str">
        <f t="shared" si="2"/>
        <v/>
      </c>
      <c r="I16" s="216" t="str">
        <f t="shared" si="3"/>
        <v/>
      </c>
      <c r="J16" s="29">
        <f ca="1">IF($J$5&gt;=B16,"N/A",SUM(INDIRECT(ADDRESS(6+(MATCH($J$5,$B$6:$B$59,0)),8)):H16))</f>
        <v>0</v>
      </c>
      <c r="K16" s="10"/>
      <c r="L16" s="88"/>
      <c r="M16" s="4" t="str">
        <f t="shared" si="4"/>
        <v/>
      </c>
      <c r="N16" s="220" t="str">
        <f t="shared" si="0"/>
        <v/>
      </c>
      <c r="O16" s="30">
        <f ca="1">IF($O$5&gt;=B16,"N/A",SUM(INDIRECT(ADDRESS(6+(MATCH($O$5,$B$6:$B$59,0)),13)):M16))</f>
        <v>12.2</v>
      </c>
      <c r="P16" s="325"/>
      <c r="Q16" s="325"/>
      <c r="R16" s="325"/>
      <c r="S16" s="70" t="str">
        <f t="shared" si="5"/>
        <v>PNOON</v>
      </c>
      <c r="T16" s="241">
        <f t="shared" si="6"/>
        <v>42455.5</v>
      </c>
      <c r="U16" s="296"/>
      <c r="V16" s="297">
        <v>3.2</v>
      </c>
      <c r="W16" s="297">
        <v>2.5</v>
      </c>
      <c r="X16" s="199">
        <f t="shared" si="7"/>
        <v>5.7</v>
      </c>
      <c r="Y16" s="159">
        <f t="shared" si="8"/>
        <v>1173.1999999999998</v>
      </c>
      <c r="Z16" s="298"/>
      <c r="AA16" s="299"/>
      <c r="AB16" s="300"/>
      <c r="AC16" s="300"/>
      <c r="AD16" s="203">
        <f t="shared" si="1"/>
        <v>0</v>
      </c>
      <c r="AE16" s="150">
        <f t="shared" si="9"/>
        <v>77.67</v>
      </c>
      <c r="AF16" s="301"/>
      <c r="AG16" s="302"/>
      <c r="AH16" s="303"/>
      <c r="AI16" s="141">
        <f t="shared" si="13"/>
        <v>340</v>
      </c>
      <c r="AJ16" s="304">
        <v>57980</v>
      </c>
      <c r="AK16" s="316">
        <v>31900</v>
      </c>
      <c r="AL16" s="317">
        <v>9460</v>
      </c>
      <c r="AM16" s="237" t="e">
        <f t="shared" si="10"/>
        <v>#VALUE!</v>
      </c>
      <c r="AN16" s="70" t="str">
        <f t="shared" si="11"/>
        <v>PNOON</v>
      </c>
      <c r="AO16" s="241">
        <f t="shared" si="12"/>
        <v>42455.5</v>
      </c>
      <c r="AP16" s="45" t="s">
        <v>40</v>
      </c>
      <c r="AQ16" s="98"/>
      <c r="AR16" s="99"/>
      <c r="AS16" s="99"/>
      <c r="AT16" s="100"/>
      <c r="AU16" s="101"/>
      <c r="AV16" s="100"/>
      <c r="AW16" s="101"/>
      <c r="AX16" s="101"/>
      <c r="AY16" s="99"/>
      <c r="AZ16" s="102"/>
      <c r="BA16" s="102"/>
      <c r="BB16" s="103"/>
      <c r="BC16" s="104"/>
      <c r="BD16" s="98"/>
      <c r="BE16" s="105"/>
      <c r="BF16" s="104"/>
      <c r="BG16" s="115"/>
      <c r="BH16" s="104"/>
      <c r="BI16" s="98"/>
      <c r="BJ16" s="105"/>
      <c r="BK16" s="104"/>
      <c r="BL16" s="104"/>
      <c r="BM16" s="107"/>
      <c r="BN16" s="108"/>
      <c r="BO16" s="108"/>
      <c r="BP16" s="109"/>
      <c r="BQ16" s="110"/>
      <c r="BR16" s="108"/>
      <c r="BS16" s="109"/>
      <c r="BT16" s="109"/>
      <c r="BU16" s="107"/>
      <c r="BV16" s="111"/>
      <c r="BW16" s="98"/>
      <c r="BX16" s="113"/>
      <c r="BY16" s="113"/>
      <c r="BZ16" s="114"/>
      <c r="CA16" s="114"/>
      <c r="CB16" s="114"/>
      <c r="CC16" s="99"/>
      <c r="CD16" s="115"/>
      <c r="CE16" s="116"/>
      <c r="CF16" s="117"/>
      <c r="CG16" s="118"/>
      <c r="CH16" s="117"/>
      <c r="CI16" s="118"/>
      <c r="CJ16" s="117"/>
      <c r="CK16" s="118"/>
      <c r="CL16" s="119"/>
      <c r="CM16" s="120"/>
      <c r="CN16" s="121"/>
      <c r="CO16" s="120"/>
      <c r="CP16" s="121"/>
      <c r="CQ16" s="121"/>
      <c r="CR16" s="100"/>
      <c r="CS16" s="121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103</v>
      </c>
      <c r="B17" s="442">
        <v>42456.5</v>
      </c>
      <c r="C17" s="453"/>
      <c r="D17" s="84"/>
      <c r="E17" s="23"/>
      <c r="F17" s="15"/>
      <c r="G17" s="213"/>
      <c r="H17" s="27" t="str">
        <f t="shared" si="2"/>
        <v/>
      </c>
      <c r="I17" s="216" t="str">
        <f t="shared" si="3"/>
        <v/>
      </c>
      <c r="J17" s="29">
        <f ca="1">IF($J$5&gt;=B17,"N/A",SUM(INDIRECT(ADDRESS(6+(MATCH($J$5,$B$6:$B$59,0)),8)):H17))</f>
        <v>0</v>
      </c>
      <c r="K17" s="10"/>
      <c r="L17" s="88"/>
      <c r="M17" s="4" t="str">
        <f t="shared" si="4"/>
        <v/>
      </c>
      <c r="N17" s="220" t="str">
        <f t="shared" si="0"/>
        <v/>
      </c>
      <c r="O17" s="30">
        <f ca="1">IF($O$5&gt;=B17,"N/A",SUM(INDIRECT(ADDRESS(6+(MATCH($O$5,$B$6:$B$59,0)),13)):M17))</f>
        <v>12.2</v>
      </c>
      <c r="P17" s="325"/>
      <c r="Q17" s="325"/>
      <c r="R17" s="325"/>
      <c r="S17" s="70" t="str">
        <f t="shared" si="5"/>
        <v>PNOON</v>
      </c>
      <c r="T17" s="241">
        <f t="shared" si="6"/>
        <v>42456.5</v>
      </c>
      <c r="U17" s="296"/>
      <c r="V17" s="297">
        <v>3.7</v>
      </c>
      <c r="W17" s="297">
        <v>2.9</v>
      </c>
      <c r="X17" s="199">
        <f t="shared" si="7"/>
        <v>6.6</v>
      </c>
      <c r="Y17" s="159">
        <f t="shared" si="8"/>
        <v>1166.5999999999999</v>
      </c>
      <c r="Z17" s="298"/>
      <c r="AA17" s="299"/>
      <c r="AB17" s="300"/>
      <c r="AC17" s="300"/>
      <c r="AD17" s="203">
        <f t="shared" si="1"/>
        <v>0</v>
      </c>
      <c r="AE17" s="150">
        <f t="shared" si="9"/>
        <v>77.67</v>
      </c>
      <c r="AF17" s="301"/>
      <c r="AG17" s="302">
        <v>10</v>
      </c>
      <c r="AH17" s="303"/>
      <c r="AI17" s="141">
        <f t="shared" si="13"/>
        <v>330</v>
      </c>
      <c r="AJ17" s="304">
        <v>57980</v>
      </c>
      <c r="AK17" s="316">
        <v>31900</v>
      </c>
      <c r="AL17" s="317">
        <v>9440</v>
      </c>
      <c r="AM17" s="237" t="e">
        <f t="shared" si="10"/>
        <v>#VALUE!</v>
      </c>
      <c r="AN17" s="70" t="str">
        <f t="shared" si="11"/>
        <v>PNOON</v>
      </c>
      <c r="AO17" s="241">
        <f t="shared" si="12"/>
        <v>42456.5</v>
      </c>
      <c r="AP17" s="45" t="s">
        <v>40</v>
      </c>
      <c r="AQ17" s="98"/>
      <c r="AR17" s="99"/>
      <c r="AS17" s="99"/>
      <c r="AT17" s="100"/>
      <c r="AU17" s="101"/>
      <c r="AV17" s="100"/>
      <c r="AW17" s="101"/>
      <c r="AX17" s="101"/>
      <c r="AY17" s="99"/>
      <c r="AZ17" s="102"/>
      <c r="BA17" s="102"/>
      <c r="BB17" s="103"/>
      <c r="BC17" s="104"/>
      <c r="BD17" s="98"/>
      <c r="BE17" s="105"/>
      <c r="BF17" s="104"/>
      <c r="BG17" s="115"/>
      <c r="BH17" s="104"/>
      <c r="BI17" s="98"/>
      <c r="BJ17" s="105"/>
      <c r="BK17" s="104"/>
      <c r="BL17" s="104"/>
      <c r="BM17" s="107"/>
      <c r="BN17" s="108"/>
      <c r="BO17" s="108"/>
      <c r="BP17" s="109"/>
      <c r="BQ17" s="110"/>
      <c r="BR17" s="108"/>
      <c r="BS17" s="109"/>
      <c r="BT17" s="109"/>
      <c r="BU17" s="107"/>
      <c r="BV17" s="111"/>
      <c r="BW17" s="98"/>
      <c r="BX17" s="113"/>
      <c r="BY17" s="113"/>
      <c r="BZ17" s="114"/>
      <c r="CA17" s="114"/>
      <c r="CB17" s="114"/>
      <c r="CC17" s="99"/>
      <c r="CD17" s="115"/>
      <c r="CE17" s="116"/>
      <c r="CF17" s="117"/>
      <c r="CG17" s="118"/>
      <c r="CH17" s="117"/>
      <c r="CI17" s="118"/>
      <c r="CJ17" s="117"/>
      <c r="CK17" s="118"/>
      <c r="CL17" s="119"/>
      <c r="CM17" s="120"/>
      <c r="CN17" s="121"/>
      <c r="CO17" s="120"/>
      <c r="CP17" s="121"/>
      <c r="CQ17" s="121"/>
      <c r="CR17" s="100"/>
      <c r="CS17" s="121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103</v>
      </c>
      <c r="B18" s="442">
        <v>42457.5</v>
      </c>
      <c r="C18" s="453"/>
      <c r="D18" s="84"/>
      <c r="E18" s="23"/>
      <c r="F18" s="15"/>
      <c r="G18" s="213"/>
      <c r="H18" s="27" t="str">
        <f t="shared" si="2"/>
        <v/>
      </c>
      <c r="I18" s="216" t="str">
        <f t="shared" si="3"/>
        <v/>
      </c>
      <c r="J18" s="29">
        <f ca="1">IF($J$5&gt;=B18,"N/A",SUM(INDIRECT(ADDRESS(6+(MATCH($J$5,$B$6:$B$59,0)),8)):H18))</f>
        <v>0</v>
      </c>
      <c r="K18" s="10"/>
      <c r="L18" s="88"/>
      <c r="M18" s="4" t="str">
        <f t="shared" si="4"/>
        <v/>
      </c>
      <c r="N18" s="220" t="str">
        <f t="shared" si="0"/>
        <v/>
      </c>
      <c r="O18" s="30">
        <f ca="1">IF($O$5&gt;=B18,"N/A",SUM(INDIRECT(ADDRESS(6+(MATCH($O$5,$B$6:$B$59,0)),13)):M18))</f>
        <v>12.2</v>
      </c>
      <c r="P18" s="325"/>
      <c r="Q18" s="325"/>
      <c r="R18" s="325"/>
      <c r="S18" s="70" t="str">
        <f t="shared" si="5"/>
        <v>PNOON</v>
      </c>
      <c r="T18" s="241">
        <f t="shared" si="6"/>
        <v>42457.5</v>
      </c>
      <c r="U18" s="296"/>
      <c r="V18" s="297">
        <v>3.6</v>
      </c>
      <c r="W18" s="297">
        <v>3</v>
      </c>
      <c r="X18" s="199">
        <f t="shared" si="7"/>
        <v>6.6</v>
      </c>
      <c r="Y18" s="159">
        <f t="shared" si="8"/>
        <v>1160</v>
      </c>
      <c r="Z18" s="298"/>
      <c r="AA18" s="299"/>
      <c r="AB18" s="300"/>
      <c r="AC18" s="300"/>
      <c r="AD18" s="203">
        <f t="shared" si="1"/>
        <v>0</v>
      </c>
      <c r="AE18" s="150">
        <f t="shared" si="9"/>
        <v>77.67</v>
      </c>
      <c r="AF18" s="301"/>
      <c r="AG18" s="302">
        <v>10</v>
      </c>
      <c r="AH18" s="303"/>
      <c r="AI18" s="141">
        <f t="shared" si="13"/>
        <v>320</v>
      </c>
      <c r="AJ18" s="304">
        <v>57980</v>
      </c>
      <c r="AK18" s="316">
        <v>31900</v>
      </c>
      <c r="AL18" s="317">
        <v>9420</v>
      </c>
      <c r="AM18" s="237" t="e">
        <f t="shared" si="10"/>
        <v>#VALUE!</v>
      </c>
      <c r="AN18" s="70" t="str">
        <f t="shared" si="11"/>
        <v>PNOON</v>
      </c>
      <c r="AO18" s="241">
        <f t="shared" si="12"/>
        <v>42457.5</v>
      </c>
      <c r="AP18" s="45" t="s">
        <v>40</v>
      </c>
      <c r="AQ18" s="98"/>
      <c r="AR18" s="99"/>
      <c r="AS18" s="99"/>
      <c r="AT18" s="100"/>
      <c r="AU18" s="101"/>
      <c r="AV18" s="100"/>
      <c r="AW18" s="101"/>
      <c r="AX18" s="101"/>
      <c r="AY18" s="99"/>
      <c r="AZ18" s="102"/>
      <c r="BA18" s="102"/>
      <c r="BB18" s="103"/>
      <c r="BC18" s="104"/>
      <c r="BD18" s="98"/>
      <c r="BE18" s="105"/>
      <c r="BF18" s="104"/>
      <c r="BG18" s="115"/>
      <c r="BH18" s="104"/>
      <c r="BI18" s="98"/>
      <c r="BJ18" s="105"/>
      <c r="BK18" s="104"/>
      <c r="BL18" s="104"/>
      <c r="BM18" s="107"/>
      <c r="BN18" s="108"/>
      <c r="BO18" s="108"/>
      <c r="BP18" s="109"/>
      <c r="BQ18" s="110"/>
      <c r="BR18" s="108"/>
      <c r="BS18" s="109"/>
      <c r="BT18" s="109"/>
      <c r="BU18" s="107"/>
      <c r="BV18" s="111"/>
      <c r="BW18" s="98"/>
      <c r="BX18" s="113"/>
      <c r="BY18" s="113"/>
      <c r="BZ18" s="114"/>
      <c r="CA18" s="114"/>
      <c r="CB18" s="114"/>
      <c r="CC18" s="99"/>
      <c r="CD18" s="115"/>
      <c r="CE18" s="116"/>
      <c r="CF18" s="117"/>
      <c r="CG18" s="118"/>
      <c r="CH18" s="117"/>
      <c r="CI18" s="118"/>
      <c r="CJ18" s="117"/>
      <c r="CK18" s="118"/>
      <c r="CL18" s="119"/>
      <c r="CM18" s="120"/>
      <c r="CN18" s="121"/>
      <c r="CO18" s="120"/>
      <c r="CP18" s="121"/>
      <c r="CQ18" s="121"/>
      <c r="CR18" s="100"/>
      <c r="CS18" s="121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103</v>
      </c>
      <c r="B19" s="442">
        <v>42458.5</v>
      </c>
      <c r="C19" s="453"/>
      <c r="D19" s="84"/>
      <c r="E19" s="23"/>
      <c r="F19" s="15"/>
      <c r="G19" s="213"/>
      <c r="H19" s="27" t="str">
        <f t="shared" si="2"/>
        <v/>
      </c>
      <c r="I19" s="216" t="str">
        <f t="shared" si="3"/>
        <v/>
      </c>
      <c r="J19" s="29">
        <f ca="1">IF($J$5&gt;=B19,"N/A",SUM(INDIRECT(ADDRESS(6+(MATCH($J$5,$B$6:$B$59,0)),8)):H19))</f>
        <v>0</v>
      </c>
      <c r="K19" s="10"/>
      <c r="L19" s="88"/>
      <c r="M19" s="4" t="str">
        <f t="shared" si="4"/>
        <v/>
      </c>
      <c r="N19" s="220" t="str">
        <f t="shared" si="0"/>
        <v/>
      </c>
      <c r="O19" s="30">
        <f ca="1">IF($O$5&gt;=B19,"N/A",SUM(INDIRECT(ADDRESS(6+(MATCH($O$5,$B$6:$B$59,0)),13)):M19))</f>
        <v>12.2</v>
      </c>
      <c r="P19" s="325"/>
      <c r="Q19" s="325"/>
      <c r="R19" s="325"/>
      <c r="S19" s="70" t="str">
        <f t="shared" si="5"/>
        <v>PNOON</v>
      </c>
      <c r="T19" s="241">
        <f t="shared" si="6"/>
        <v>42458.5</v>
      </c>
      <c r="U19" s="296"/>
      <c r="V19" s="297">
        <v>3.6</v>
      </c>
      <c r="W19" s="297">
        <v>3.1</v>
      </c>
      <c r="X19" s="199">
        <f t="shared" si="7"/>
        <v>6.7</v>
      </c>
      <c r="Y19" s="159">
        <f t="shared" si="8"/>
        <v>1153.3</v>
      </c>
      <c r="Z19" s="298"/>
      <c r="AA19" s="299"/>
      <c r="AB19" s="300"/>
      <c r="AC19" s="300"/>
      <c r="AD19" s="203">
        <f t="shared" si="1"/>
        <v>0</v>
      </c>
      <c r="AE19" s="150">
        <f t="shared" si="9"/>
        <v>77.67</v>
      </c>
      <c r="AF19" s="301"/>
      <c r="AG19" s="302">
        <v>6</v>
      </c>
      <c r="AH19" s="303"/>
      <c r="AI19" s="141">
        <f t="shared" si="13"/>
        <v>314</v>
      </c>
      <c r="AJ19" s="304">
        <v>57980</v>
      </c>
      <c r="AK19" s="316">
        <v>31900</v>
      </c>
      <c r="AL19" s="317">
        <v>9400</v>
      </c>
      <c r="AM19" s="237" t="e">
        <f t="shared" si="10"/>
        <v>#VALUE!</v>
      </c>
      <c r="AN19" s="70" t="str">
        <f t="shared" si="11"/>
        <v>PNOON</v>
      </c>
      <c r="AO19" s="241">
        <f t="shared" si="12"/>
        <v>42458.5</v>
      </c>
      <c r="AP19" s="45" t="s">
        <v>40</v>
      </c>
      <c r="AQ19" s="98"/>
      <c r="AR19" s="99"/>
      <c r="AS19" s="99"/>
      <c r="AT19" s="100"/>
      <c r="AU19" s="101"/>
      <c r="AV19" s="100"/>
      <c r="AW19" s="101"/>
      <c r="AX19" s="101"/>
      <c r="AY19" s="99"/>
      <c r="AZ19" s="102"/>
      <c r="BA19" s="102"/>
      <c r="BB19" s="103"/>
      <c r="BC19" s="104"/>
      <c r="BD19" s="98"/>
      <c r="BE19" s="105"/>
      <c r="BF19" s="104"/>
      <c r="BG19" s="115"/>
      <c r="BH19" s="104"/>
      <c r="BI19" s="98"/>
      <c r="BJ19" s="105"/>
      <c r="BK19" s="104"/>
      <c r="BL19" s="104"/>
      <c r="BM19" s="107"/>
      <c r="BN19" s="108"/>
      <c r="BO19" s="108"/>
      <c r="BP19" s="109"/>
      <c r="BQ19" s="110"/>
      <c r="BR19" s="108"/>
      <c r="BS19" s="109"/>
      <c r="BT19" s="109"/>
      <c r="BU19" s="107"/>
      <c r="BV19" s="111"/>
      <c r="BW19" s="98"/>
      <c r="BX19" s="113"/>
      <c r="BY19" s="113"/>
      <c r="BZ19" s="114"/>
      <c r="CA19" s="114"/>
      <c r="CB19" s="114"/>
      <c r="CC19" s="99"/>
      <c r="CD19" s="115"/>
      <c r="CE19" s="116"/>
      <c r="CF19" s="117"/>
      <c r="CG19" s="118"/>
      <c r="CH19" s="117"/>
      <c r="CI19" s="118"/>
      <c r="CJ19" s="117"/>
      <c r="CK19" s="118"/>
      <c r="CL19" s="119"/>
      <c r="CM19" s="120"/>
      <c r="CN19" s="121"/>
      <c r="CO19" s="120"/>
      <c r="CP19" s="121"/>
      <c r="CQ19" s="121"/>
      <c r="CR19" s="100"/>
      <c r="CS19" s="121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103</v>
      </c>
      <c r="B20" s="442">
        <v>42459.5</v>
      </c>
      <c r="C20" s="453"/>
      <c r="D20" s="84"/>
      <c r="E20" s="23"/>
      <c r="F20" s="15"/>
      <c r="G20" s="213"/>
      <c r="H20" s="27" t="str">
        <f t="shared" si="2"/>
        <v/>
      </c>
      <c r="I20" s="216" t="str">
        <f t="shared" si="3"/>
        <v/>
      </c>
      <c r="J20" s="29">
        <f ca="1">IF($J$5&gt;=B20,"N/A",SUM(INDIRECT(ADDRESS(6+(MATCH($J$5,$B$6:$B$59,0)),8)):H20))</f>
        <v>0</v>
      </c>
      <c r="K20" s="10"/>
      <c r="L20" s="88"/>
      <c r="M20" s="4" t="str">
        <f t="shared" si="4"/>
        <v/>
      </c>
      <c r="N20" s="220" t="str">
        <f t="shared" si="0"/>
        <v/>
      </c>
      <c r="O20" s="30">
        <f ca="1">IF($O$5&gt;=B20,"N/A",SUM(INDIRECT(ADDRESS(6+(MATCH($O$5,$B$6:$B$59,0)),13)):M20))</f>
        <v>12.2</v>
      </c>
      <c r="P20" s="325"/>
      <c r="Q20" s="325"/>
      <c r="R20" s="325"/>
      <c r="S20" s="70" t="str">
        <f t="shared" si="5"/>
        <v>PNOON</v>
      </c>
      <c r="T20" s="241">
        <f t="shared" si="6"/>
        <v>42459.5</v>
      </c>
      <c r="U20" s="296"/>
      <c r="V20" s="297">
        <v>3.6</v>
      </c>
      <c r="W20" s="297">
        <v>3.1</v>
      </c>
      <c r="X20" s="199">
        <f t="shared" si="7"/>
        <v>6.7</v>
      </c>
      <c r="Y20" s="159">
        <f t="shared" si="8"/>
        <v>1146.5999999999999</v>
      </c>
      <c r="Z20" s="298"/>
      <c r="AA20" s="299"/>
      <c r="AB20" s="300"/>
      <c r="AC20" s="300"/>
      <c r="AD20" s="203">
        <f t="shared" si="1"/>
        <v>0</v>
      </c>
      <c r="AE20" s="150">
        <f t="shared" si="9"/>
        <v>77.67</v>
      </c>
      <c r="AF20" s="301"/>
      <c r="AG20" s="302">
        <v>4</v>
      </c>
      <c r="AH20" s="303"/>
      <c r="AI20" s="141">
        <f t="shared" si="13"/>
        <v>310</v>
      </c>
      <c r="AJ20" s="304">
        <v>57980</v>
      </c>
      <c r="AK20" s="316">
        <v>31900</v>
      </c>
      <c r="AL20" s="317">
        <v>9380</v>
      </c>
      <c r="AM20" s="237" t="e">
        <f t="shared" si="10"/>
        <v>#VALUE!</v>
      </c>
      <c r="AN20" s="70" t="str">
        <f t="shared" si="11"/>
        <v>PNOON</v>
      </c>
      <c r="AO20" s="241">
        <f t="shared" si="12"/>
        <v>42459.5</v>
      </c>
      <c r="AP20" s="45" t="s">
        <v>40</v>
      </c>
      <c r="AQ20" s="98"/>
      <c r="AR20" s="99"/>
      <c r="AS20" s="99"/>
      <c r="AT20" s="100"/>
      <c r="AU20" s="101"/>
      <c r="AV20" s="100"/>
      <c r="AW20" s="101"/>
      <c r="AX20" s="101"/>
      <c r="AY20" s="99"/>
      <c r="AZ20" s="102"/>
      <c r="BA20" s="102"/>
      <c r="BB20" s="103"/>
      <c r="BC20" s="104"/>
      <c r="BD20" s="98"/>
      <c r="BE20" s="105"/>
      <c r="BF20" s="104"/>
      <c r="BG20" s="115"/>
      <c r="BH20" s="104"/>
      <c r="BI20" s="98"/>
      <c r="BJ20" s="105"/>
      <c r="BK20" s="104"/>
      <c r="BL20" s="104"/>
      <c r="BM20" s="107"/>
      <c r="BN20" s="108"/>
      <c r="BO20" s="108"/>
      <c r="BP20" s="109"/>
      <c r="BQ20" s="110"/>
      <c r="BR20" s="108"/>
      <c r="BS20" s="109"/>
      <c r="BT20" s="109"/>
      <c r="BU20" s="107"/>
      <c r="BV20" s="111"/>
      <c r="BW20" s="98"/>
      <c r="BX20" s="113"/>
      <c r="BY20" s="113"/>
      <c r="BZ20" s="114"/>
      <c r="CA20" s="114"/>
      <c r="CB20" s="114"/>
      <c r="CC20" s="99"/>
      <c r="CD20" s="115"/>
      <c r="CE20" s="116"/>
      <c r="CF20" s="117"/>
      <c r="CG20" s="118"/>
      <c r="CH20" s="117"/>
      <c r="CI20" s="118"/>
      <c r="CJ20" s="117"/>
      <c r="CK20" s="118"/>
      <c r="CL20" s="119"/>
      <c r="CM20" s="120"/>
      <c r="CN20" s="121"/>
      <c r="CO20" s="120"/>
      <c r="CP20" s="121"/>
      <c r="CQ20" s="121"/>
      <c r="CR20" s="100"/>
      <c r="CS20" s="121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103</v>
      </c>
      <c r="B21" s="442">
        <v>42460.5</v>
      </c>
      <c r="C21" s="453"/>
      <c r="D21" s="84"/>
      <c r="E21" s="23"/>
      <c r="F21" s="15"/>
      <c r="G21" s="213"/>
      <c r="H21" s="27" t="str">
        <f t="shared" si="2"/>
        <v/>
      </c>
      <c r="I21" s="216" t="str">
        <f t="shared" si="3"/>
        <v/>
      </c>
      <c r="J21" s="29">
        <f ca="1">IF($J$5&gt;=B21,"N/A",SUM(INDIRECT(ADDRESS(6+(MATCH($J$5,$B$6:$B$59,0)),8)):H21))</f>
        <v>0</v>
      </c>
      <c r="K21" s="10"/>
      <c r="L21" s="88"/>
      <c r="M21" s="4" t="str">
        <f t="shared" si="4"/>
        <v/>
      </c>
      <c r="N21" s="220" t="str">
        <f t="shared" si="0"/>
        <v/>
      </c>
      <c r="O21" s="30">
        <f ca="1">IF($O$5&gt;=B21,"N/A",SUM(INDIRECT(ADDRESS(6+(MATCH($O$5,$B$6:$B$59,0)),13)):M21))</f>
        <v>12.2</v>
      </c>
      <c r="P21" s="325"/>
      <c r="Q21" s="325"/>
      <c r="R21" s="325"/>
      <c r="S21" s="70" t="str">
        <f t="shared" si="5"/>
        <v>PNOON</v>
      </c>
      <c r="T21" s="241">
        <f t="shared" si="6"/>
        <v>42460.5</v>
      </c>
      <c r="U21" s="296"/>
      <c r="V21" s="297">
        <v>3.7</v>
      </c>
      <c r="W21" s="297">
        <v>3.1</v>
      </c>
      <c r="X21" s="199">
        <f t="shared" si="7"/>
        <v>6.8000000000000007</v>
      </c>
      <c r="Y21" s="159">
        <f t="shared" si="8"/>
        <v>1139.8</v>
      </c>
      <c r="Z21" s="298"/>
      <c r="AA21" s="299"/>
      <c r="AB21" s="300"/>
      <c r="AC21" s="300"/>
      <c r="AD21" s="203">
        <f t="shared" si="1"/>
        <v>0</v>
      </c>
      <c r="AE21" s="150">
        <f t="shared" si="9"/>
        <v>77.67</v>
      </c>
      <c r="AF21" s="301"/>
      <c r="AG21" s="302">
        <v>3</v>
      </c>
      <c r="AH21" s="303"/>
      <c r="AI21" s="141">
        <f t="shared" si="13"/>
        <v>307</v>
      </c>
      <c r="AJ21" s="304">
        <v>57980</v>
      </c>
      <c r="AK21" s="316">
        <v>31900</v>
      </c>
      <c r="AL21" s="317">
        <v>9360</v>
      </c>
      <c r="AM21" s="237" t="e">
        <f t="shared" ref="AM21:AM59" si="14">((R21-H21)/R21)</f>
        <v>#VALUE!</v>
      </c>
      <c r="AN21" s="70" t="str">
        <f t="shared" si="11"/>
        <v>PNOON</v>
      </c>
      <c r="AO21" s="241">
        <f t="shared" si="12"/>
        <v>42460.5</v>
      </c>
      <c r="AP21" s="45" t="s">
        <v>40</v>
      </c>
      <c r="AQ21" s="98"/>
      <c r="AR21" s="99"/>
      <c r="AS21" s="99"/>
      <c r="AT21" s="100"/>
      <c r="AU21" s="101"/>
      <c r="AV21" s="100"/>
      <c r="AW21" s="101"/>
      <c r="AX21" s="101"/>
      <c r="AY21" s="99"/>
      <c r="AZ21" s="102"/>
      <c r="BA21" s="102"/>
      <c r="BB21" s="103"/>
      <c r="BC21" s="104"/>
      <c r="BD21" s="98"/>
      <c r="BE21" s="105"/>
      <c r="BF21" s="104"/>
      <c r="BG21" s="115"/>
      <c r="BH21" s="104"/>
      <c r="BI21" s="98"/>
      <c r="BJ21" s="105"/>
      <c r="BK21" s="104"/>
      <c r="BL21" s="104"/>
      <c r="BM21" s="107"/>
      <c r="BN21" s="108"/>
      <c r="BO21" s="108"/>
      <c r="BP21" s="109"/>
      <c r="BQ21" s="110"/>
      <c r="BR21" s="108"/>
      <c r="BS21" s="109"/>
      <c r="BT21" s="109"/>
      <c r="BU21" s="107"/>
      <c r="BV21" s="111"/>
      <c r="BW21" s="98"/>
      <c r="BX21" s="113"/>
      <c r="BY21" s="113"/>
      <c r="BZ21" s="114"/>
      <c r="CA21" s="114"/>
      <c r="CB21" s="114"/>
      <c r="CC21" s="99"/>
      <c r="CD21" s="115"/>
      <c r="CE21" s="116"/>
      <c r="CF21" s="117"/>
      <c r="CG21" s="118"/>
      <c r="CH21" s="117"/>
      <c r="CI21" s="118"/>
      <c r="CJ21" s="117"/>
      <c r="CK21" s="118"/>
      <c r="CL21" s="119"/>
      <c r="CM21" s="120"/>
      <c r="CN21" s="121"/>
      <c r="CO21" s="120"/>
      <c r="CP21" s="121"/>
      <c r="CQ21" s="121"/>
      <c r="CR21" s="100"/>
      <c r="CS21" s="121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103</v>
      </c>
      <c r="B22" s="442">
        <v>42461.5</v>
      </c>
      <c r="C22" s="453"/>
      <c r="D22" s="84"/>
      <c r="E22" s="23"/>
      <c r="F22" s="15"/>
      <c r="G22" s="213"/>
      <c r="H22" s="27" t="str">
        <f t="shared" si="2"/>
        <v/>
      </c>
      <c r="I22" s="216" t="str">
        <f t="shared" si="3"/>
        <v/>
      </c>
      <c r="J22" s="29">
        <f ca="1">IF($J$5&gt;=B22,"N/A",SUM(INDIRECT(ADDRESS(6+(MATCH($J$5,$B$6:$B$59,0)),8)):H22))</f>
        <v>0</v>
      </c>
      <c r="K22" s="10"/>
      <c r="L22" s="88"/>
      <c r="M22" s="4" t="str">
        <f t="shared" si="4"/>
        <v/>
      </c>
      <c r="N22" s="220" t="str">
        <f t="shared" si="0"/>
        <v/>
      </c>
      <c r="O22" s="30">
        <f ca="1">IF($O$5&gt;=B22,"N/A",SUM(INDIRECT(ADDRESS(6+(MATCH($O$5,$B$6:$B$59,0)),13)):M22))</f>
        <v>12.2</v>
      </c>
      <c r="P22" s="325"/>
      <c r="Q22" s="325"/>
      <c r="R22" s="325"/>
      <c r="S22" s="70" t="str">
        <f t="shared" si="5"/>
        <v>PNOON</v>
      </c>
      <c r="T22" s="241">
        <f t="shared" si="6"/>
        <v>42461.5</v>
      </c>
      <c r="U22" s="296"/>
      <c r="V22" s="297">
        <v>3.9</v>
      </c>
      <c r="W22" s="297">
        <v>3.1</v>
      </c>
      <c r="X22" s="199">
        <f t="shared" si="7"/>
        <v>7</v>
      </c>
      <c r="Y22" s="159">
        <f t="shared" si="8"/>
        <v>1132.8</v>
      </c>
      <c r="Z22" s="298"/>
      <c r="AA22" s="299"/>
      <c r="AB22" s="300"/>
      <c r="AC22" s="300"/>
      <c r="AD22" s="203">
        <f t="shared" si="1"/>
        <v>0</v>
      </c>
      <c r="AE22" s="150">
        <f t="shared" si="9"/>
        <v>77.67</v>
      </c>
      <c r="AF22" s="301"/>
      <c r="AG22" s="302">
        <v>3</v>
      </c>
      <c r="AH22" s="303"/>
      <c r="AI22" s="141">
        <f t="shared" si="13"/>
        <v>304</v>
      </c>
      <c r="AJ22" s="304">
        <v>57980</v>
      </c>
      <c r="AK22" s="316">
        <v>31900</v>
      </c>
      <c r="AL22" s="317">
        <v>9330</v>
      </c>
      <c r="AM22" s="237" t="e">
        <f t="shared" si="14"/>
        <v>#VALUE!</v>
      </c>
      <c r="AN22" s="70" t="str">
        <f t="shared" si="11"/>
        <v>PNOON</v>
      </c>
      <c r="AO22" s="241">
        <f t="shared" si="12"/>
        <v>42461.5</v>
      </c>
      <c r="AP22" s="45" t="s">
        <v>40</v>
      </c>
      <c r="AQ22" s="98"/>
      <c r="AR22" s="99"/>
      <c r="AS22" s="99"/>
      <c r="AT22" s="100"/>
      <c r="AU22" s="101"/>
      <c r="AV22" s="100"/>
      <c r="AW22" s="101"/>
      <c r="AX22" s="101"/>
      <c r="AY22" s="99"/>
      <c r="AZ22" s="102"/>
      <c r="BA22" s="102"/>
      <c r="BB22" s="103"/>
      <c r="BC22" s="104"/>
      <c r="BD22" s="98"/>
      <c r="BE22" s="105"/>
      <c r="BF22" s="104"/>
      <c r="BG22" s="115"/>
      <c r="BH22" s="104"/>
      <c r="BI22" s="98"/>
      <c r="BJ22" s="105"/>
      <c r="BK22" s="104"/>
      <c r="BL22" s="104"/>
      <c r="BM22" s="107"/>
      <c r="BN22" s="108"/>
      <c r="BO22" s="108"/>
      <c r="BP22" s="109"/>
      <c r="BQ22" s="110"/>
      <c r="BR22" s="108"/>
      <c r="BS22" s="109"/>
      <c r="BT22" s="109"/>
      <c r="BU22" s="107"/>
      <c r="BV22" s="111"/>
      <c r="BW22" s="98"/>
      <c r="BX22" s="113"/>
      <c r="BY22" s="113"/>
      <c r="BZ22" s="114"/>
      <c r="CA22" s="114"/>
      <c r="CB22" s="114"/>
      <c r="CC22" s="99"/>
      <c r="CD22" s="115"/>
      <c r="CE22" s="116"/>
      <c r="CF22" s="117"/>
      <c r="CG22" s="118"/>
      <c r="CH22" s="117"/>
      <c r="CI22" s="118"/>
      <c r="CJ22" s="117"/>
      <c r="CK22" s="118"/>
      <c r="CL22" s="119"/>
      <c r="CM22" s="120"/>
      <c r="CN22" s="121"/>
      <c r="CO22" s="120"/>
      <c r="CP22" s="121"/>
      <c r="CQ22" s="121"/>
      <c r="CR22" s="100"/>
      <c r="CS22" s="121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 t="s">
        <v>103</v>
      </c>
      <c r="B23" s="442">
        <v>42462.5</v>
      </c>
      <c r="C23" s="453"/>
      <c r="D23" s="84"/>
      <c r="E23" s="23"/>
      <c r="F23" s="15"/>
      <c r="G23" s="213"/>
      <c r="H23" s="27" t="str">
        <f t="shared" si="2"/>
        <v/>
      </c>
      <c r="I23" s="216" t="str">
        <f t="shared" si="3"/>
        <v/>
      </c>
      <c r="J23" s="29">
        <f ca="1">IF($J$5&gt;=B23,"N/A",SUM(INDIRECT(ADDRESS(6+(MATCH($J$5,$B$6:$B$59,0)),8)):H23))</f>
        <v>0</v>
      </c>
      <c r="K23" s="10"/>
      <c r="L23" s="88"/>
      <c r="M23" s="4" t="str">
        <f t="shared" si="4"/>
        <v/>
      </c>
      <c r="N23" s="220" t="str">
        <f t="shared" si="0"/>
        <v/>
      </c>
      <c r="O23" s="30">
        <f ca="1">IF($O$5&gt;=B23,"N/A",SUM(INDIRECT(ADDRESS(6+(MATCH($O$5,$B$6:$B$59,0)),13)):M23))</f>
        <v>12.2</v>
      </c>
      <c r="P23" s="325"/>
      <c r="Q23" s="325"/>
      <c r="R23" s="325"/>
      <c r="S23" s="70" t="str">
        <f t="shared" si="5"/>
        <v>PNOON</v>
      </c>
      <c r="T23" s="241">
        <f t="shared" si="6"/>
        <v>42462.5</v>
      </c>
      <c r="U23" s="296"/>
      <c r="V23" s="297">
        <v>3.7</v>
      </c>
      <c r="W23" s="297">
        <v>3.1</v>
      </c>
      <c r="X23" s="199">
        <f t="shared" si="7"/>
        <v>6.8000000000000007</v>
      </c>
      <c r="Y23" s="159">
        <f t="shared" si="8"/>
        <v>1126</v>
      </c>
      <c r="Z23" s="298"/>
      <c r="AA23" s="299"/>
      <c r="AB23" s="300"/>
      <c r="AC23" s="300"/>
      <c r="AD23" s="203">
        <f t="shared" si="1"/>
        <v>0</v>
      </c>
      <c r="AE23" s="150">
        <f t="shared" si="9"/>
        <v>77.67</v>
      </c>
      <c r="AF23" s="301"/>
      <c r="AG23" s="302">
        <v>3</v>
      </c>
      <c r="AH23" s="303"/>
      <c r="AI23" s="141">
        <f t="shared" si="13"/>
        <v>301</v>
      </c>
      <c r="AJ23" s="304">
        <v>57980</v>
      </c>
      <c r="AK23" s="316">
        <v>31900</v>
      </c>
      <c r="AL23" s="317">
        <v>9300</v>
      </c>
      <c r="AM23" s="237" t="e">
        <f t="shared" si="14"/>
        <v>#VALUE!</v>
      </c>
      <c r="AN23" s="70" t="str">
        <f t="shared" si="11"/>
        <v>PNOON</v>
      </c>
      <c r="AO23" s="241">
        <f t="shared" si="12"/>
        <v>42462.5</v>
      </c>
      <c r="AP23" s="45" t="s">
        <v>40</v>
      </c>
      <c r="AQ23" s="98"/>
      <c r="AR23" s="99"/>
      <c r="AS23" s="99"/>
      <c r="AT23" s="100"/>
      <c r="AU23" s="101"/>
      <c r="AV23" s="100"/>
      <c r="AW23" s="101"/>
      <c r="AX23" s="101"/>
      <c r="AY23" s="99"/>
      <c r="AZ23" s="102"/>
      <c r="BA23" s="102"/>
      <c r="BB23" s="103"/>
      <c r="BC23" s="104"/>
      <c r="BD23" s="98"/>
      <c r="BE23" s="105"/>
      <c r="BF23" s="104"/>
      <c r="BG23" s="115"/>
      <c r="BH23" s="104"/>
      <c r="BI23" s="98"/>
      <c r="BJ23" s="105"/>
      <c r="BK23" s="104"/>
      <c r="BL23" s="104"/>
      <c r="BM23" s="107"/>
      <c r="BN23" s="108"/>
      <c r="BO23" s="108"/>
      <c r="BP23" s="109"/>
      <c r="BQ23" s="110"/>
      <c r="BR23" s="108"/>
      <c r="BS23" s="109"/>
      <c r="BT23" s="109"/>
      <c r="BU23" s="107"/>
      <c r="BV23" s="111"/>
      <c r="BW23" s="98"/>
      <c r="BX23" s="113"/>
      <c r="BY23" s="113"/>
      <c r="BZ23" s="114"/>
      <c r="CA23" s="114"/>
      <c r="CB23" s="114"/>
      <c r="CC23" s="99"/>
      <c r="CD23" s="115"/>
      <c r="CE23" s="116"/>
      <c r="CF23" s="117"/>
      <c r="CG23" s="118"/>
      <c r="CH23" s="117"/>
      <c r="CI23" s="118"/>
      <c r="CJ23" s="117"/>
      <c r="CK23" s="118"/>
      <c r="CL23" s="119"/>
      <c r="CM23" s="120"/>
      <c r="CN23" s="121"/>
      <c r="CO23" s="120"/>
      <c r="CP23" s="121"/>
      <c r="CQ23" s="121"/>
      <c r="CR23" s="100"/>
      <c r="CS23" s="121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 t="s">
        <v>103</v>
      </c>
      <c r="B24" s="442">
        <v>42463.5</v>
      </c>
      <c r="C24" s="453"/>
      <c r="D24" s="84"/>
      <c r="E24" s="23"/>
      <c r="F24" s="15"/>
      <c r="G24" s="213"/>
      <c r="H24" s="27" t="str">
        <f t="shared" si="2"/>
        <v/>
      </c>
      <c r="I24" s="216" t="str">
        <f t="shared" si="3"/>
        <v/>
      </c>
      <c r="J24" s="29">
        <f ca="1">IF($J$5&gt;=B24,"N/A",SUM(INDIRECT(ADDRESS(6+(MATCH($J$5,$B$6:$B$59,0)),8)):H24))</f>
        <v>0</v>
      </c>
      <c r="K24" s="10"/>
      <c r="L24" s="88"/>
      <c r="M24" s="4" t="str">
        <f t="shared" si="4"/>
        <v/>
      </c>
      <c r="N24" s="220" t="str">
        <f t="shared" si="0"/>
        <v/>
      </c>
      <c r="O24" s="30">
        <f ca="1">IF($O$5&gt;=B24,"N/A",SUM(INDIRECT(ADDRESS(6+(MATCH($O$5,$B$6:$B$59,0)),13)):M24))</f>
        <v>12.2</v>
      </c>
      <c r="P24" s="325"/>
      <c r="Q24" s="325"/>
      <c r="R24" s="325"/>
      <c r="S24" s="70" t="str">
        <f t="shared" si="5"/>
        <v>PNOON</v>
      </c>
      <c r="T24" s="241">
        <f t="shared" si="6"/>
        <v>42463.5</v>
      </c>
      <c r="U24" s="296"/>
      <c r="V24" s="297">
        <v>3.7</v>
      </c>
      <c r="W24" s="297">
        <v>3.1</v>
      </c>
      <c r="X24" s="199">
        <f t="shared" si="7"/>
        <v>6.8000000000000007</v>
      </c>
      <c r="Y24" s="159">
        <f t="shared" si="8"/>
        <v>1119.2</v>
      </c>
      <c r="Z24" s="298"/>
      <c r="AA24" s="299"/>
      <c r="AB24" s="300"/>
      <c r="AC24" s="300"/>
      <c r="AD24" s="203">
        <f t="shared" si="1"/>
        <v>0</v>
      </c>
      <c r="AE24" s="150">
        <f t="shared" si="9"/>
        <v>77.67</v>
      </c>
      <c r="AF24" s="301"/>
      <c r="AG24" s="302">
        <v>3</v>
      </c>
      <c r="AH24" s="303"/>
      <c r="AI24" s="141">
        <f t="shared" si="13"/>
        <v>298</v>
      </c>
      <c r="AJ24" s="304">
        <v>57980</v>
      </c>
      <c r="AK24" s="316">
        <v>31900</v>
      </c>
      <c r="AL24" s="317">
        <v>9270</v>
      </c>
      <c r="AM24" s="237" t="e">
        <f t="shared" si="14"/>
        <v>#VALUE!</v>
      </c>
      <c r="AN24" s="70" t="str">
        <f t="shared" si="11"/>
        <v>PNOON</v>
      </c>
      <c r="AO24" s="241">
        <f t="shared" si="12"/>
        <v>42463.5</v>
      </c>
      <c r="AP24" s="45" t="s">
        <v>40</v>
      </c>
      <c r="AQ24" s="98"/>
      <c r="AR24" s="99"/>
      <c r="AS24" s="99"/>
      <c r="AT24" s="100"/>
      <c r="AU24" s="101"/>
      <c r="AV24" s="100"/>
      <c r="AW24" s="101"/>
      <c r="AX24" s="101"/>
      <c r="AY24" s="99"/>
      <c r="AZ24" s="102"/>
      <c r="BA24" s="102"/>
      <c r="BB24" s="103"/>
      <c r="BC24" s="104"/>
      <c r="BD24" s="98"/>
      <c r="BE24" s="105"/>
      <c r="BF24" s="104"/>
      <c r="BG24" s="115"/>
      <c r="BH24" s="104"/>
      <c r="BI24" s="98"/>
      <c r="BJ24" s="105"/>
      <c r="BK24" s="104"/>
      <c r="BL24" s="104"/>
      <c r="BM24" s="107"/>
      <c r="BN24" s="108"/>
      <c r="BO24" s="108"/>
      <c r="BP24" s="109"/>
      <c r="BQ24" s="110"/>
      <c r="BR24" s="108"/>
      <c r="BS24" s="109"/>
      <c r="BT24" s="109"/>
      <c r="BU24" s="107"/>
      <c r="BV24" s="111"/>
      <c r="BW24" s="98"/>
      <c r="BX24" s="113"/>
      <c r="BY24" s="113"/>
      <c r="BZ24" s="114"/>
      <c r="CA24" s="114"/>
      <c r="CB24" s="114"/>
      <c r="CC24" s="99"/>
      <c r="CD24" s="115"/>
      <c r="CE24" s="116"/>
      <c r="CF24" s="117"/>
      <c r="CG24" s="118"/>
      <c r="CH24" s="117"/>
      <c r="CI24" s="118"/>
      <c r="CJ24" s="117"/>
      <c r="CK24" s="118"/>
      <c r="CL24" s="119"/>
      <c r="CM24" s="120"/>
      <c r="CN24" s="121"/>
      <c r="CO24" s="120"/>
      <c r="CP24" s="121"/>
      <c r="CQ24" s="121"/>
      <c r="CR24" s="100"/>
      <c r="CS24" s="121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 t="s">
        <v>103</v>
      </c>
      <c r="B25" s="442">
        <v>42464.5</v>
      </c>
      <c r="C25" s="453"/>
      <c r="D25" s="84"/>
      <c r="E25" s="23"/>
      <c r="F25" s="15"/>
      <c r="G25" s="213"/>
      <c r="H25" s="27" t="str">
        <f t="shared" si="2"/>
        <v/>
      </c>
      <c r="I25" s="216" t="str">
        <f t="shared" si="3"/>
        <v/>
      </c>
      <c r="J25" s="29">
        <f ca="1">IF($J$5&gt;=B25,"N/A",SUM(INDIRECT(ADDRESS(6+(MATCH($J$5,$B$6:$B$59,0)),8)):H25))</f>
        <v>0</v>
      </c>
      <c r="K25" s="10"/>
      <c r="L25" s="88"/>
      <c r="M25" s="4" t="str">
        <f t="shared" si="4"/>
        <v/>
      </c>
      <c r="N25" s="220" t="str">
        <f t="shared" si="0"/>
        <v/>
      </c>
      <c r="O25" s="30">
        <f ca="1">IF($O$5&gt;=B25,"N/A",SUM(INDIRECT(ADDRESS(6+(MATCH($O$5,$B$6:$B$59,0)),13)):M25))</f>
        <v>12.2</v>
      </c>
      <c r="P25" s="325"/>
      <c r="Q25" s="325"/>
      <c r="R25" s="325"/>
      <c r="S25" s="70" t="str">
        <f t="shared" si="5"/>
        <v>PNOON</v>
      </c>
      <c r="T25" s="241">
        <f t="shared" si="6"/>
        <v>42464.5</v>
      </c>
      <c r="U25" s="296"/>
      <c r="V25" s="297">
        <v>3.8</v>
      </c>
      <c r="W25" s="297">
        <v>3.1</v>
      </c>
      <c r="X25" s="199">
        <f t="shared" si="7"/>
        <v>6.9</v>
      </c>
      <c r="Y25" s="159">
        <f t="shared" si="8"/>
        <v>1112.3</v>
      </c>
      <c r="Z25" s="298"/>
      <c r="AA25" s="299"/>
      <c r="AB25" s="300"/>
      <c r="AC25" s="300"/>
      <c r="AD25" s="203">
        <f t="shared" si="1"/>
        <v>0</v>
      </c>
      <c r="AE25" s="150">
        <f t="shared" si="9"/>
        <v>77.67</v>
      </c>
      <c r="AF25" s="301"/>
      <c r="AG25" s="302">
        <v>3</v>
      </c>
      <c r="AH25" s="303"/>
      <c r="AI25" s="141">
        <f t="shared" si="13"/>
        <v>295</v>
      </c>
      <c r="AJ25" s="304">
        <v>57980</v>
      </c>
      <c r="AK25" s="316">
        <v>31900</v>
      </c>
      <c r="AL25" s="317">
        <v>9240</v>
      </c>
      <c r="AM25" s="237" t="e">
        <f t="shared" si="14"/>
        <v>#VALUE!</v>
      </c>
      <c r="AN25" s="70" t="str">
        <f t="shared" si="11"/>
        <v>PNOON</v>
      </c>
      <c r="AO25" s="241">
        <f t="shared" si="12"/>
        <v>42464.5</v>
      </c>
      <c r="AP25" s="45" t="s">
        <v>40</v>
      </c>
      <c r="AQ25" s="98"/>
      <c r="AR25" s="99"/>
      <c r="AS25" s="99"/>
      <c r="AT25" s="100"/>
      <c r="AU25" s="101"/>
      <c r="AV25" s="100"/>
      <c r="AW25" s="101"/>
      <c r="AX25" s="101"/>
      <c r="AY25" s="99"/>
      <c r="AZ25" s="102"/>
      <c r="BA25" s="102"/>
      <c r="BB25" s="103"/>
      <c r="BC25" s="104"/>
      <c r="BD25" s="98"/>
      <c r="BE25" s="105"/>
      <c r="BF25" s="104"/>
      <c r="BG25" s="115"/>
      <c r="BH25" s="104"/>
      <c r="BI25" s="98"/>
      <c r="BJ25" s="105"/>
      <c r="BK25" s="104"/>
      <c r="BL25" s="104"/>
      <c r="BM25" s="107"/>
      <c r="BN25" s="108"/>
      <c r="BO25" s="108"/>
      <c r="BP25" s="109"/>
      <c r="BQ25" s="110"/>
      <c r="BR25" s="108"/>
      <c r="BS25" s="109"/>
      <c r="BT25" s="109"/>
      <c r="BU25" s="107"/>
      <c r="BV25" s="111"/>
      <c r="BW25" s="98"/>
      <c r="BX25" s="113"/>
      <c r="BY25" s="113"/>
      <c r="BZ25" s="114"/>
      <c r="CA25" s="114"/>
      <c r="CB25" s="114"/>
      <c r="CC25" s="99"/>
      <c r="CD25" s="115"/>
      <c r="CE25" s="116"/>
      <c r="CF25" s="117"/>
      <c r="CG25" s="118"/>
      <c r="CH25" s="117"/>
      <c r="CI25" s="118"/>
      <c r="CJ25" s="117"/>
      <c r="CK25" s="118"/>
      <c r="CL25" s="119"/>
      <c r="CM25" s="120"/>
      <c r="CN25" s="121"/>
      <c r="CO25" s="120"/>
      <c r="CP25" s="121"/>
      <c r="CQ25" s="121"/>
      <c r="CR25" s="100"/>
      <c r="CS25" s="121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 t="s">
        <v>103</v>
      </c>
      <c r="B26" s="442">
        <v>42465.5</v>
      </c>
      <c r="C26" s="453"/>
      <c r="D26" s="84"/>
      <c r="E26" s="23"/>
      <c r="F26" s="15"/>
      <c r="G26" s="213"/>
      <c r="H26" s="27" t="str">
        <f t="shared" si="2"/>
        <v/>
      </c>
      <c r="I26" s="216" t="str">
        <f t="shared" si="3"/>
        <v/>
      </c>
      <c r="J26" s="29">
        <f ca="1">IF($J$5&gt;=B26,"N/A",SUM(INDIRECT(ADDRESS(6+(MATCH($J$5,$B$6:$B$59,0)),8)):H26))</f>
        <v>0</v>
      </c>
      <c r="K26" s="10"/>
      <c r="L26" s="88"/>
      <c r="M26" s="4" t="str">
        <f t="shared" si="4"/>
        <v/>
      </c>
      <c r="N26" s="220" t="str">
        <f t="shared" si="0"/>
        <v/>
      </c>
      <c r="O26" s="30">
        <f ca="1">IF($O$5&gt;=B26,"N/A",SUM(INDIRECT(ADDRESS(6+(MATCH($O$5,$B$6:$B$59,0)),13)):M26))</f>
        <v>12.2</v>
      </c>
      <c r="P26" s="325"/>
      <c r="Q26" s="325"/>
      <c r="R26" s="325"/>
      <c r="S26" s="70" t="str">
        <f t="shared" si="5"/>
        <v>PNOON</v>
      </c>
      <c r="T26" s="241">
        <f t="shared" si="6"/>
        <v>42465.5</v>
      </c>
      <c r="U26" s="296"/>
      <c r="V26" s="297">
        <v>3.8</v>
      </c>
      <c r="W26" s="297">
        <v>3.2</v>
      </c>
      <c r="X26" s="199">
        <f t="shared" si="7"/>
        <v>7</v>
      </c>
      <c r="Y26" s="159">
        <f t="shared" si="8"/>
        <v>1105.3</v>
      </c>
      <c r="Z26" s="298"/>
      <c r="AA26" s="299"/>
      <c r="AB26" s="300"/>
      <c r="AC26" s="300"/>
      <c r="AD26" s="203">
        <f t="shared" si="1"/>
        <v>0</v>
      </c>
      <c r="AE26" s="150">
        <f t="shared" si="9"/>
        <v>77.67</v>
      </c>
      <c r="AF26" s="301"/>
      <c r="AG26" s="302">
        <v>3</v>
      </c>
      <c r="AH26" s="303"/>
      <c r="AI26" s="141">
        <f t="shared" si="13"/>
        <v>292</v>
      </c>
      <c r="AJ26" s="304">
        <v>57980</v>
      </c>
      <c r="AK26" s="316">
        <v>31900</v>
      </c>
      <c r="AL26" s="317">
        <v>9210</v>
      </c>
      <c r="AM26" s="237" t="e">
        <f t="shared" si="14"/>
        <v>#VALUE!</v>
      </c>
      <c r="AN26" s="70" t="str">
        <f t="shared" si="11"/>
        <v>PNOON</v>
      </c>
      <c r="AO26" s="241">
        <f t="shared" si="12"/>
        <v>42465.5</v>
      </c>
      <c r="AP26" s="45" t="s">
        <v>40</v>
      </c>
      <c r="AQ26" s="98"/>
      <c r="AR26" s="99"/>
      <c r="AS26" s="99"/>
      <c r="AT26" s="100"/>
      <c r="AU26" s="101"/>
      <c r="AV26" s="100"/>
      <c r="AW26" s="101"/>
      <c r="AX26" s="101"/>
      <c r="AY26" s="99"/>
      <c r="AZ26" s="102"/>
      <c r="BA26" s="102"/>
      <c r="BB26" s="103"/>
      <c r="BC26" s="104"/>
      <c r="BD26" s="98"/>
      <c r="BE26" s="105"/>
      <c r="BF26" s="104"/>
      <c r="BG26" s="115"/>
      <c r="BH26" s="104"/>
      <c r="BI26" s="98"/>
      <c r="BJ26" s="105"/>
      <c r="BK26" s="104"/>
      <c r="BL26" s="104"/>
      <c r="BM26" s="107"/>
      <c r="BN26" s="108"/>
      <c r="BO26" s="108"/>
      <c r="BP26" s="109"/>
      <c r="BQ26" s="110"/>
      <c r="BR26" s="108"/>
      <c r="BS26" s="109"/>
      <c r="BT26" s="109"/>
      <c r="BU26" s="107"/>
      <c r="BV26" s="111"/>
      <c r="BW26" s="98"/>
      <c r="BX26" s="113"/>
      <c r="BY26" s="113"/>
      <c r="BZ26" s="114"/>
      <c r="CA26" s="114"/>
      <c r="CB26" s="114"/>
      <c r="CC26" s="99"/>
      <c r="CD26" s="115"/>
      <c r="CE26" s="116"/>
      <c r="CF26" s="117"/>
      <c r="CG26" s="118"/>
      <c r="CH26" s="117"/>
      <c r="CI26" s="118"/>
      <c r="CJ26" s="117"/>
      <c r="CK26" s="118"/>
      <c r="CL26" s="119"/>
      <c r="CM26" s="120"/>
      <c r="CN26" s="121"/>
      <c r="CO26" s="120"/>
      <c r="CP26" s="121"/>
      <c r="CQ26" s="121"/>
      <c r="CR26" s="100"/>
      <c r="CS26" s="121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 t="s">
        <v>103</v>
      </c>
      <c r="B27" s="442">
        <v>42466.5</v>
      </c>
      <c r="C27" s="453"/>
      <c r="D27" s="84"/>
      <c r="E27" s="23"/>
      <c r="F27" s="15"/>
      <c r="G27" s="213"/>
      <c r="H27" s="27" t="str">
        <f t="shared" si="2"/>
        <v/>
      </c>
      <c r="I27" s="216" t="str">
        <f t="shared" si="3"/>
        <v/>
      </c>
      <c r="J27" s="29">
        <f ca="1">IF($J$5&gt;=B27,"N/A",SUM(INDIRECT(ADDRESS(6+(MATCH($J$5,$B$6:$B$59,0)),8)):H27))</f>
        <v>0</v>
      </c>
      <c r="K27" s="10"/>
      <c r="L27" s="88"/>
      <c r="M27" s="4" t="str">
        <f t="shared" si="4"/>
        <v/>
      </c>
      <c r="N27" s="220" t="str">
        <f t="shared" si="0"/>
        <v/>
      </c>
      <c r="O27" s="30">
        <f ca="1">IF($O$5&gt;=B27,"N/A",SUM(INDIRECT(ADDRESS(6+(MATCH($O$5,$B$6:$B$59,0)),13)):M27))</f>
        <v>12.2</v>
      </c>
      <c r="P27" s="325"/>
      <c r="Q27" s="325"/>
      <c r="R27" s="325"/>
      <c r="S27" s="70" t="str">
        <f t="shared" si="5"/>
        <v>PNOON</v>
      </c>
      <c r="T27" s="241">
        <f t="shared" si="6"/>
        <v>42466.5</v>
      </c>
      <c r="U27" s="296"/>
      <c r="V27" s="297">
        <v>3.8</v>
      </c>
      <c r="W27" s="297">
        <v>3.2</v>
      </c>
      <c r="X27" s="199">
        <f t="shared" si="7"/>
        <v>7</v>
      </c>
      <c r="Y27" s="159">
        <f t="shared" si="8"/>
        <v>1098.3</v>
      </c>
      <c r="Z27" s="298"/>
      <c r="AA27" s="299"/>
      <c r="AB27" s="300"/>
      <c r="AC27" s="300"/>
      <c r="AD27" s="203">
        <f t="shared" si="1"/>
        <v>0</v>
      </c>
      <c r="AE27" s="150">
        <f t="shared" si="9"/>
        <v>77.67</v>
      </c>
      <c r="AF27" s="301"/>
      <c r="AG27" s="302">
        <v>3</v>
      </c>
      <c r="AH27" s="303"/>
      <c r="AI27" s="141">
        <f t="shared" si="13"/>
        <v>289</v>
      </c>
      <c r="AJ27" s="304">
        <v>57980</v>
      </c>
      <c r="AK27" s="316">
        <v>31900</v>
      </c>
      <c r="AL27" s="317">
        <v>9170</v>
      </c>
      <c r="AM27" s="237" t="e">
        <f t="shared" si="14"/>
        <v>#VALUE!</v>
      </c>
      <c r="AN27" s="70" t="str">
        <f t="shared" si="11"/>
        <v>PNOON</v>
      </c>
      <c r="AO27" s="241">
        <f t="shared" si="12"/>
        <v>42466.5</v>
      </c>
      <c r="AP27" s="45" t="s">
        <v>40</v>
      </c>
      <c r="AQ27" s="98"/>
      <c r="AR27" s="99"/>
      <c r="AS27" s="99"/>
      <c r="AT27" s="100"/>
      <c r="AU27" s="101"/>
      <c r="AV27" s="100"/>
      <c r="AW27" s="101"/>
      <c r="AX27" s="101"/>
      <c r="AY27" s="99"/>
      <c r="AZ27" s="102"/>
      <c r="BA27" s="102"/>
      <c r="BB27" s="105"/>
      <c r="BC27" s="104"/>
      <c r="BD27" s="98"/>
      <c r="BE27" s="105"/>
      <c r="BF27" s="104"/>
      <c r="BG27" s="106"/>
      <c r="BH27" s="104"/>
      <c r="BI27" s="98"/>
      <c r="BJ27" s="105"/>
      <c r="BK27" s="104"/>
      <c r="BL27" s="104"/>
      <c r="BM27" s="107"/>
      <c r="BN27" s="108"/>
      <c r="BO27" s="108"/>
      <c r="BP27" s="109"/>
      <c r="BQ27" s="110"/>
      <c r="BR27" s="108"/>
      <c r="BS27" s="109"/>
      <c r="BT27" s="109"/>
      <c r="BU27" s="107"/>
      <c r="BV27" s="111"/>
      <c r="BW27" s="98"/>
      <c r="BX27" s="113"/>
      <c r="BY27" s="113"/>
      <c r="BZ27" s="114"/>
      <c r="CA27" s="114"/>
      <c r="CB27" s="114"/>
      <c r="CC27" s="99"/>
      <c r="CD27" s="111"/>
      <c r="CE27" s="116"/>
      <c r="CF27" s="225"/>
      <c r="CG27" s="226"/>
      <c r="CH27" s="225"/>
      <c r="CI27" s="226"/>
      <c r="CJ27" s="225"/>
      <c r="CK27" s="226"/>
      <c r="CL27" s="227"/>
      <c r="CM27" s="228"/>
      <c r="CN27" s="229"/>
      <c r="CO27" s="228"/>
      <c r="CP27" s="121"/>
      <c r="CQ27" s="121"/>
      <c r="CR27" s="100"/>
      <c r="CS27" s="121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 t="s">
        <v>103</v>
      </c>
      <c r="B28" s="442">
        <v>42467.5</v>
      </c>
      <c r="C28" s="453"/>
      <c r="D28" s="84"/>
      <c r="E28" s="23"/>
      <c r="F28" s="15"/>
      <c r="G28" s="213"/>
      <c r="H28" s="27" t="str">
        <f t="shared" si="2"/>
        <v/>
      </c>
      <c r="I28" s="216" t="str">
        <f t="shared" si="3"/>
        <v/>
      </c>
      <c r="J28" s="29">
        <f ca="1">IF($J$5&gt;=B28,"N/A",SUM(INDIRECT(ADDRESS(6+(MATCH($J$5,$B$6:$B$59,0)),8)):H28))</f>
        <v>0</v>
      </c>
      <c r="K28" s="10"/>
      <c r="L28" s="88"/>
      <c r="M28" s="4" t="str">
        <f t="shared" si="4"/>
        <v/>
      </c>
      <c r="N28" s="220" t="str">
        <f t="shared" si="0"/>
        <v/>
      </c>
      <c r="O28" s="30">
        <f ca="1">IF($O$5&gt;=B28,"N/A",SUM(INDIRECT(ADDRESS(6+(MATCH($O$5,$B$6:$B$59,0)),13)):M28))</f>
        <v>12.2</v>
      </c>
      <c r="P28" s="325"/>
      <c r="Q28" s="325"/>
      <c r="R28" s="325"/>
      <c r="S28" s="70" t="str">
        <f t="shared" si="5"/>
        <v>PNOON</v>
      </c>
      <c r="T28" s="241">
        <f t="shared" si="6"/>
        <v>42467.5</v>
      </c>
      <c r="U28" s="296"/>
      <c r="V28" s="297">
        <v>3.8</v>
      </c>
      <c r="W28" s="297">
        <v>3.2</v>
      </c>
      <c r="X28" s="199">
        <f t="shared" si="7"/>
        <v>7</v>
      </c>
      <c r="Y28" s="159">
        <f t="shared" si="8"/>
        <v>1091.3</v>
      </c>
      <c r="Z28" s="298"/>
      <c r="AA28" s="299"/>
      <c r="AB28" s="300"/>
      <c r="AC28" s="300"/>
      <c r="AD28" s="203">
        <f t="shared" si="1"/>
        <v>0</v>
      </c>
      <c r="AE28" s="150">
        <f t="shared" si="9"/>
        <v>77.67</v>
      </c>
      <c r="AF28" s="301"/>
      <c r="AG28" s="302">
        <v>3</v>
      </c>
      <c r="AH28" s="303"/>
      <c r="AI28" s="141">
        <f t="shared" si="13"/>
        <v>286</v>
      </c>
      <c r="AJ28" s="304">
        <v>57980</v>
      </c>
      <c r="AK28" s="316">
        <v>31900</v>
      </c>
      <c r="AL28" s="317">
        <v>9130</v>
      </c>
      <c r="AM28" s="237" t="e">
        <f t="shared" si="14"/>
        <v>#VALUE!</v>
      </c>
      <c r="AN28" s="70" t="str">
        <f t="shared" si="11"/>
        <v>PNOON</v>
      </c>
      <c r="AO28" s="241">
        <f t="shared" si="12"/>
        <v>42467.5</v>
      </c>
      <c r="AP28" s="45" t="s">
        <v>40</v>
      </c>
      <c r="AQ28" s="98"/>
      <c r="AR28" s="99"/>
      <c r="AS28" s="99"/>
      <c r="AT28" s="100"/>
      <c r="AU28" s="101"/>
      <c r="AV28" s="100"/>
      <c r="AW28" s="101"/>
      <c r="AX28" s="101"/>
      <c r="AY28" s="99"/>
      <c r="AZ28" s="102"/>
      <c r="BA28" s="102"/>
      <c r="BB28" s="105"/>
      <c r="BC28" s="104"/>
      <c r="BD28" s="98"/>
      <c r="BE28" s="105"/>
      <c r="BF28" s="104"/>
      <c r="BG28" s="106"/>
      <c r="BH28" s="104"/>
      <c r="BI28" s="98"/>
      <c r="BJ28" s="105"/>
      <c r="BK28" s="104"/>
      <c r="BL28" s="104"/>
      <c r="BM28" s="107"/>
      <c r="BN28" s="108"/>
      <c r="BO28" s="108"/>
      <c r="BP28" s="109"/>
      <c r="BQ28" s="110"/>
      <c r="BR28" s="108"/>
      <c r="BS28" s="109"/>
      <c r="BT28" s="109"/>
      <c r="BU28" s="107"/>
      <c r="BV28" s="111"/>
      <c r="BW28" s="98"/>
      <c r="BX28" s="113"/>
      <c r="BY28" s="113"/>
      <c r="BZ28" s="114"/>
      <c r="CA28" s="114"/>
      <c r="CB28" s="114"/>
      <c r="CC28" s="99"/>
      <c r="CD28" s="115"/>
      <c r="CE28" s="116"/>
      <c r="CF28" s="225"/>
      <c r="CG28" s="226"/>
      <c r="CH28" s="225"/>
      <c r="CI28" s="226"/>
      <c r="CJ28" s="225"/>
      <c r="CK28" s="226"/>
      <c r="CL28" s="227"/>
      <c r="CM28" s="228"/>
      <c r="CN28" s="229"/>
      <c r="CO28" s="228"/>
      <c r="CP28" s="121"/>
      <c r="CQ28" s="121"/>
      <c r="CR28" s="100"/>
      <c r="CS28" s="121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 t="s">
        <v>103</v>
      </c>
      <c r="B29" s="442">
        <v>42468.5</v>
      </c>
      <c r="C29" s="453"/>
      <c r="D29" s="84"/>
      <c r="E29" s="23"/>
      <c r="F29" s="15"/>
      <c r="G29" s="213"/>
      <c r="H29" s="27" t="str">
        <f t="shared" si="2"/>
        <v/>
      </c>
      <c r="I29" s="216" t="str">
        <f t="shared" si="3"/>
        <v/>
      </c>
      <c r="J29" s="29">
        <f ca="1">IF($J$5&gt;=B29,"N/A",SUM(INDIRECT(ADDRESS(6+(MATCH($J$5,$B$6:$B$59,0)),8)):H29))</f>
        <v>0</v>
      </c>
      <c r="K29" s="10"/>
      <c r="L29" s="88"/>
      <c r="M29" s="4" t="str">
        <f t="shared" si="4"/>
        <v/>
      </c>
      <c r="N29" s="220" t="str">
        <f t="shared" si="0"/>
        <v/>
      </c>
      <c r="O29" s="30">
        <f ca="1">IF($O$5&gt;=B29,"N/A",SUM(INDIRECT(ADDRESS(6+(MATCH($O$5,$B$6:$B$59,0)),13)):M29))</f>
        <v>12.2</v>
      </c>
      <c r="P29" s="325"/>
      <c r="Q29" s="325"/>
      <c r="R29" s="325"/>
      <c r="S29" s="70" t="str">
        <f t="shared" si="5"/>
        <v>PNOON</v>
      </c>
      <c r="T29" s="241">
        <f t="shared" si="6"/>
        <v>42468.5</v>
      </c>
      <c r="U29" s="296"/>
      <c r="V29" s="297">
        <v>3.8</v>
      </c>
      <c r="W29" s="297">
        <v>3.2</v>
      </c>
      <c r="X29" s="199">
        <f t="shared" si="7"/>
        <v>7</v>
      </c>
      <c r="Y29" s="159">
        <f t="shared" si="8"/>
        <v>1084.3</v>
      </c>
      <c r="Z29" s="298"/>
      <c r="AA29" s="299"/>
      <c r="AB29" s="300"/>
      <c r="AC29" s="300"/>
      <c r="AD29" s="203">
        <f t="shared" si="1"/>
        <v>0</v>
      </c>
      <c r="AE29" s="150">
        <f t="shared" si="9"/>
        <v>77.67</v>
      </c>
      <c r="AF29" s="301"/>
      <c r="AG29" s="302">
        <v>4</v>
      </c>
      <c r="AH29" s="303"/>
      <c r="AI29" s="141">
        <f t="shared" si="13"/>
        <v>282</v>
      </c>
      <c r="AJ29" s="304">
        <v>57980</v>
      </c>
      <c r="AK29" s="316">
        <v>31900</v>
      </c>
      <c r="AL29" s="317">
        <v>9090</v>
      </c>
      <c r="AM29" s="237" t="e">
        <f t="shared" si="14"/>
        <v>#VALUE!</v>
      </c>
      <c r="AN29" s="70" t="str">
        <f t="shared" si="11"/>
        <v>PNOON</v>
      </c>
      <c r="AO29" s="241">
        <f t="shared" si="12"/>
        <v>42468.5</v>
      </c>
      <c r="AP29" s="45" t="s">
        <v>40</v>
      </c>
      <c r="AQ29" s="98"/>
      <c r="AR29" s="99"/>
      <c r="AS29" s="99"/>
      <c r="AT29" s="100"/>
      <c r="AU29" s="101"/>
      <c r="AV29" s="100"/>
      <c r="AW29" s="101"/>
      <c r="AX29" s="101"/>
      <c r="AY29" s="99"/>
      <c r="AZ29" s="102"/>
      <c r="BA29" s="102"/>
      <c r="BB29" s="105"/>
      <c r="BC29" s="104"/>
      <c r="BD29" s="98"/>
      <c r="BE29" s="105"/>
      <c r="BF29" s="104"/>
      <c r="BG29" s="106"/>
      <c r="BH29" s="104"/>
      <c r="BI29" s="98"/>
      <c r="BJ29" s="105"/>
      <c r="BK29" s="104"/>
      <c r="BL29" s="104"/>
      <c r="BM29" s="107"/>
      <c r="BN29" s="108"/>
      <c r="BO29" s="108"/>
      <c r="BP29" s="109"/>
      <c r="BQ29" s="110"/>
      <c r="BR29" s="108"/>
      <c r="BS29" s="109"/>
      <c r="BT29" s="109"/>
      <c r="BU29" s="107"/>
      <c r="BV29" s="111"/>
      <c r="BW29" s="98"/>
      <c r="BX29" s="113"/>
      <c r="BY29" s="113"/>
      <c r="BZ29" s="114"/>
      <c r="CA29" s="114"/>
      <c r="CB29" s="114"/>
      <c r="CC29" s="99"/>
      <c r="CD29" s="111"/>
      <c r="CE29" s="116"/>
      <c r="CF29" s="225"/>
      <c r="CG29" s="226"/>
      <c r="CH29" s="225"/>
      <c r="CI29" s="226"/>
      <c r="CJ29" s="225"/>
      <c r="CK29" s="226"/>
      <c r="CL29" s="227"/>
      <c r="CM29" s="228"/>
      <c r="CN29" s="229"/>
      <c r="CO29" s="228"/>
      <c r="CP29" s="121"/>
      <c r="CQ29" s="121"/>
      <c r="CR29" s="100"/>
      <c r="CS29" s="121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 t="s">
        <v>103</v>
      </c>
      <c r="B30" s="442">
        <v>42469.5</v>
      </c>
      <c r="C30" s="453"/>
      <c r="D30" s="84"/>
      <c r="E30" s="23"/>
      <c r="F30" s="15"/>
      <c r="G30" s="213"/>
      <c r="H30" s="27" t="str">
        <f t="shared" si="2"/>
        <v/>
      </c>
      <c r="I30" s="216" t="str">
        <f t="shared" si="3"/>
        <v/>
      </c>
      <c r="J30" s="29">
        <f ca="1">IF($J$5&gt;=B30,"N/A",SUM(INDIRECT(ADDRESS(6+(MATCH($J$5,$B$6:$B$59,0)),8)):H30))</f>
        <v>0</v>
      </c>
      <c r="K30" s="10"/>
      <c r="L30" s="88"/>
      <c r="M30" s="4" t="str">
        <f t="shared" si="4"/>
        <v/>
      </c>
      <c r="N30" s="220" t="str">
        <f t="shared" si="0"/>
        <v/>
      </c>
      <c r="O30" s="30">
        <f ca="1">IF($O$5&gt;=B30,"N/A",SUM(INDIRECT(ADDRESS(6+(MATCH($O$5,$B$6:$B$59,0)),13)):M30))</f>
        <v>12.2</v>
      </c>
      <c r="P30" s="325"/>
      <c r="Q30" s="325"/>
      <c r="R30" s="325"/>
      <c r="S30" s="70" t="str">
        <f t="shared" si="5"/>
        <v>PNOON</v>
      </c>
      <c r="T30" s="241">
        <f t="shared" si="6"/>
        <v>42469.5</v>
      </c>
      <c r="U30" s="296"/>
      <c r="V30" s="297">
        <v>3.9</v>
      </c>
      <c r="W30" s="297">
        <v>3.1</v>
      </c>
      <c r="X30" s="199">
        <f t="shared" si="7"/>
        <v>7</v>
      </c>
      <c r="Y30" s="159">
        <f t="shared" si="8"/>
        <v>1077.3</v>
      </c>
      <c r="Z30" s="298"/>
      <c r="AA30" s="299"/>
      <c r="AB30" s="300"/>
      <c r="AC30" s="300"/>
      <c r="AD30" s="203">
        <f t="shared" si="1"/>
        <v>0</v>
      </c>
      <c r="AE30" s="150">
        <f t="shared" si="9"/>
        <v>77.67</v>
      </c>
      <c r="AF30" s="301"/>
      <c r="AG30" s="302">
        <v>5</v>
      </c>
      <c r="AH30" s="303"/>
      <c r="AI30" s="141">
        <f t="shared" si="13"/>
        <v>277</v>
      </c>
      <c r="AJ30" s="304">
        <v>57980</v>
      </c>
      <c r="AK30" s="316">
        <v>31900</v>
      </c>
      <c r="AL30" s="317">
        <v>9050</v>
      </c>
      <c r="AM30" s="237" t="e">
        <f t="shared" si="14"/>
        <v>#VALUE!</v>
      </c>
      <c r="AN30" s="70" t="str">
        <f t="shared" si="11"/>
        <v>PNOON</v>
      </c>
      <c r="AO30" s="241">
        <f t="shared" si="12"/>
        <v>42469.5</v>
      </c>
      <c r="AP30" s="45" t="s">
        <v>40</v>
      </c>
      <c r="AQ30" s="98"/>
      <c r="AR30" s="99"/>
      <c r="AS30" s="99"/>
      <c r="AT30" s="100"/>
      <c r="AU30" s="101"/>
      <c r="AV30" s="100"/>
      <c r="AW30" s="101"/>
      <c r="AX30" s="101"/>
      <c r="AY30" s="99"/>
      <c r="AZ30" s="102"/>
      <c r="BA30" s="102"/>
      <c r="BB30" s="103"/>
      <c r="BC30" s="104"/>
      <c r="BD30" s="98"/>
      <c r="BE30" s="105"/>
      <c r="BF30" s="104"/>
      <c r="BG30" s="115"/>
      <c r="BH30" s="104"/>
      <c r="BI30" s="98"/>
      <c r="BJ30" s="105"/>
      <c r="BK30" s="104"/>
      <c r="BL30" s="104"/>
      <c r="BM30" s="107"/>
      <c r="BN30" s="108"/>
      <c r="BO30" s="108"/>
      <c r="BP30" s="109"/>
      <c r="BQ30" s="110"/>
      <c r="BR30" s="108"/>
      <c r="BS30" s="109"/>
      <c r="BT30" s="109"/>
      <c r="BU30" s="107"/>
      <c r="BV30" s="111"/>
      <c r="BW30" s="98"/>
      <c r="BX30" s="113"/>
      <c r="BY30" s="113"/>
      <c r="BZ30" s="114"/>
      <c r="CA30" s="114"/>
      <c r="CB30" s="114"/>
      <c r="CC30" s="99"/>
      <c r="CD30" s="115"/>
      <c r="CE30" s="116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121"/>
      <c r="CQ30" s="121"/>
      <c r="CR30" s="100"/>
      <c r="CS30" s="121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 t="s">
        <v>103</v>
      </c>
      <c r="B31" s="442">
        <v>42470.5</v>
      </c>
      <c r="C31" s="453"/>
      <c r="D31" s="84"/>
      <c r="E31" s="23"/>
      <c r="F31" s="15"/>
      <c r="G31" s="213"/>
      <c r="H31" s="27" t="str">
        <f t="shared" si="2"/>
        <v/>
      </c>
      <c r="I31" s="216" t="str">
        <f t="shared" si="3"/>
        <v/>
      </c>
      <c r="J31" s="29">
        <f ca="1">IF($J$5&gt;=B31,"N/A",SUM(INDIRECT(ADDRESS(6+(MATCH($J$5,$B$6:$B$59,0)),8)):H31))</f>
        <v>0</v>
      </c>
      <c r="K31" s="10"/>
      <c r="L31" s="88"/>
      <c r="M31" s="4" t="str">
        <f t="shared" si="4"/>
        <v/>
      </c>
      <c r="N31" s="220" t="str">
        <f t="shared" si="0"/>
        <v/>
      </c>
      <c r="O31" s="30">
        <f ca="1">IF($O$5&gt;=B31,"N/A",SUM(INDIRECT(ADDRESS(6+(MATCH($O$5,$B$6:$B$59,0)),13)):M31))</f>
        <v>12.2</v>
      </c>
      <c r="P31" s="325"/>
      <c r="Q31" s="325"/>
      <c r="R31" s="325"/>
      <c r="S31" s="70" t="str">
        <f t="shared" si="5"/>
        <v>PNOON</v>
      </c>
      <c r="T31" s="241">
        <f t="shared" si="6"/>
        <v>42470.5</v>
      </c>
      <c r="U31" s="296"/>
      <c r="V31" s="297">
        <v>3.7</v>
      </c>
      <c r="W31" s="297">
        <v>3.1</v>
      </c>
      <c r="X31" s="199">
        <f t="shared" si="7"/>
        <v>6.8000000000000007</v>
      </c>
      <c r="Y31" s="159">
        <f t="shared" si="8"/>
        <v>1070.5</v>
      </c>
      <c r="Z31" s="298"/>
      <c r="AA31" s="299"/>
      <c r="AB31" s="300"/>
      <c r="AC31" s="300"/>
      <c r="AD31" s="203">
        <f t="shared" si="1"/>
        <v>0</v>
      </c>
      <c r="AE31" s="150">
        <f t="shared" si="9"/>
        <v>77.67</v>
      </c>
      <c r="AF31" s="301"/>
      <c r="AG31" s="302">
        <v>3</v>
      </c>
      <c r="AH31" s="303"/>
      <c r="AI31" s="141">
        <f t="shared" si="13"/>
        <v>274</v>
      </c>
      <c r="AJ31" s="304">
        <v>57980</v>
      </c>
      <c r="AK31" s="316">
        <v>31900</v>
      </c>
      <c r="AL31" s="317">
        <v>9010</v>
      </c>
      <c r="AM31" s="237" t="e">
        <f t="shared" si="14"/>
        <v>#VALUE!</v>
      </c>
      <c r="AN31" s="70" t="str">
        <f t="shared" si="11"/>
        <v>PNOON</v>
      </c>
      <c r="AO31" s="241">
        <f t="shared" si="12"/>
        <v>42470.5</v>
      </c>
      <c r="AP31" s="45" t="s">
        <v>40</v>
      </c>
      <c r="AQ31" s="98"/>
      <c r="AR31" s="99"/>
      <c r="AS31" s="99"/>
      <c r="AT31" s="100"/>
      <c r="AU31" s="101"/>
      <c r="AV31" s="100"/>
      <c r="AW31" s="101"/>
      <c r="AX31" s="101"/>
      <c r="AY31" s="99"/>
      <c r="AZ31" s="102"/>
      <c r="BA31" s="102"/>
      <c r="BB31" s="103"/>
      <c r="BC31" s="104"/>
      <c r="BD31" s="98"/>
      <c r="BE31" s="105"/>
      <c r="BF31" s="104"/>
      <c r="BG31" s="115"/>
      <c r="BH31" s="104"/>
      <c r="BI31" s="98"/>
      <c r="BJ31" s="105"/>
      <c r="BK31" s="104"/>
      <c r="BL31" s="104"/>
      <c r="BM31" s="107"/>
      <c r="BN31" s="108"/>
      <c r="BO31" s="108"/>
      <c r="BP31" s="109"/>
      <c r="BQ31" s="110"/>
      <c r="BR31" s="108"/>
      <c r="BS31" s="109"/>
      <c r="BT31" s="109"/>
      <c r="BU31" s="107"/>
      <c r="BV31" s="111"/>
      <c r="BW31" s="98"/>
      <c r="BX31" s="113"/>
      <c r="BY31" s="113"/>
      <c r="BZ31" s="114"/>
      <c r="CA31" s="114"/>
      <c r="CB31" s="114"/>
      <c r="CC31" s="99"/>
      <c r="CD31" s="115"/>
      <c r="CE31" s="116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121"/>
      <c r="CQ31" s="121"/>
      <c r="CR31" s="100"/>
      <c r="CS31" s="121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 t="s">
        <v>103</v>
      </c>
      <c r="B32" s="442">
        <v>42471.5</v>
      </c>
      <c r="C32" s="453"/>
      <c r="D32" s="84"/>
      <c r="E32" s="23"/>
      <c r="F32" s="15"/>
      <c r="G32" s="213"/>
      <c r="H32" s="27" t="str">
        <f t="shared" si="2"/>
        <v/>
      </c>
      <c r="I32" s="216" t="str">
        <f t="shared" si="3"/>
        <v/>
      </c>
      <c r="J32" s="29">
        <f ca="1">IF($J$5&gt;=B32,"N/A",SUM(INDIRECT(ADDRESS(6+(MATCH($J$5,$B$6:$B$59,0)),8)):H32))</f>
        <v>0</v>
      </c>
      <c r="K32" s="10"/>
      <c r="L32" s="88"/>
      <c r="M32" s="4" t="str">
        <f t="shared" si="4"/>
        <v/>
      </c>
      <c r="N32" s="220" t="str">
        <f t="shared" si="0"/>
        <v/>
      </c>
      <c r="O32" s="30">
        <f ca="1">IF($O$5&gt;=B32,"N/A",SUM(INDIRECT(ADDRESS(6+(MATCH($O$5,$B$6:$B$59,0)),13)):M32))</f>
        <v>12.2</v>
      </c>
      <c r="P32" s="325"/>
      <c r="Q32" s="325"/>
      <c r="R32" s="325"/>
      <c r="S32" s="70" t="str">
        <f t="shared" si="5"/>
        <v>PNOON</v>
      </c>
      <c r="T32" s="241">
        <f t="shared" si="6"/>
        <v>42471.5</v>
      </c>
      <c r="U32" s="296"/>
      <c r="V32" s="297">
        <v>3.8</v>
      </c>
      <c r="W32" s="297">
        <v>3.1</v>
      </c>
      <c r="X32" s="199">
        <f t="shared" si="7"/>
        <v>6.9</v>
      </c>
      <c r="Y32" s="159">
        <f t="shared" si="8"/>
        <v>1063.5999999999999</v>
      </c>
      <c r="Z32" s="298"/>
      <c r="AA32" s="299"/>
      <c r="AB32" s="300"/>
      <c r="AC32" s="300"/>
      <c r="AD32" s="203">
        <f t="shared" si="1"/>
        <v>0</v>
      </c>
      <c r="AE32" s="150">
        <f t="shared" si="9"/>
        <v>77.67</v>
      </c>
      <c r="AF32" s="301"/>
      <c r="AG32" s="302">
        <v>3</v>
      </c>
      <c r="AH32" s="303"/>
      <c r="AI32" s="141">
        <f t="shared" si="13"/>
        <v>271</v>
      </c>
      <c r="AJ32" s="304">
        <v>57980</v>
      </c>
      <c r="AK32" s="316">
        <v>31900</v>
      </c>
      <c r="AL32" s="317">
        <v>8970</v>
      </c>
      <c r="AM32" s="237" t="e">
        <f t="shared" si="14"/>
        <v>#VALUE!</v>
      </c>
      <c r="AN32" s="70" t="str">
        <f t="shared" si="11"/>
        <v>PNOON</v>
      </c>
      <c r="AO32" s="241">
        <f t="shared" si="12"/>
        <v>42471.5</v>
      </c>
      <c r="AP32" s="45" t="s">
        <v>40</v>
      </c>
      <c r="AQ32" s="98"/>
      <c r="AR32" s="99"/>
      <c r="AS32" s="99"/>
      <c r="AT32" s="100"/>
      <c r="AU32" s="101"/>
      <c r="AV32" s="100"/>
      <c r="AW32" s="101"/>
      <c r="AX32" s="101"/>
      <c r="AY32" s="99"/>
      <c r="AZ32" s="102"/>
      <c r="BA32" s="102"/>
      <c r="BB32" s="103"/>
      <c r="BC32" s="104"/>
      <c r="BD32" s="98"/>
      <c r="BE32" s="105"/>
      <c r="BF32" s="104"/>
      <c r="BG32" s="115"/>
      <c r="BH32" s="104"/>
      <c r="BI32" s="98"/>
      <c r="BJ32" s="105"/>
      <c r="BK32" s="104"/>
      <c r="BL32" s="104"/>
      <c r="BM32" s="107"/>
      <c r="BN32" s="108"/>
      <c r="BO32" s="108"/>
      <c r="BP32" s="109"/>
      <c r="BQ32" s="110"/>
      <c r="BR32" s="108"/>
      <c r="BS32" s="109"/>
      <c r="BT32" s="109"/>
      <c r="BU32" s="107"/>
      <c r="BV32" s="111"/>
      <c r="BW32" s="98"/>
      <c r="BX32" s="113"/>
      <c r="BY32" s="113"/>
      <c r="BZ32" s="114"/>
      <c r="CA32" s="114"/>
      <c r="CB32" s="114"/>
      <c r="CC32" s="99"/>
      <c r="CD32" s="115"/>
      <c r="CE32" s="116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121"/>
      <c r="CQ32" s="121"/>
      <c r="CR32" s="100"/>
      <c r="CS32" s="121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 t="s">
        <v>103</v>
      </c>
      <c r="B33" s="442">
        <v>42472.5</v>
      </c>
      <c r="C33" s="453"/>
      <c r="D33" s="84"/>
      <c r="E33" s="23"/>
      <c r="F33" s="15"/>
      <c r="G33" s="213"/>
      <c r="H33" s="27" t="str">
        <f t="shared" si="2"/>
        <v/>
      </c>
      <c r="I33" s="216" t="str">
        <f t="shared" si="3"/>
        <v/>
      </c>
      <c r="J33" s="29">
        <f ca="1">IF($J$5&gt;=B33,"N/A",SUM(INDIRECT(ADDRESS(6+(MATCH($J$5,$B$6:$B$59,0)),8)):H33))</f>
        <v>0</v>
      </c>
      <c r="K33" s="10"/>
      <c r="L33" s="88"/>
      <c r="M33" s="4" t="str">
        <f t="shared" si="4"/>
        <v/>
      </c>
      <c r="N33" s="220" t="str">
        <f t="shared" si="0"/>
        <v/>
      </c>
      <c r="O33" s="30">
        <f ca="1">IF($O$5&gt;=B33,"N/A",SUM(INDIRECT(ADDRESS(6+(MATCH($O$5,$B$6:$B$59,0)),13)):M33))</f>
        <v>12.2</v>
      </c>
      <c r="P33" s="325"/>
      <c r="Q33" s="325"/>
      <c r="R33" s="325"/>
      <c r="S33" s="70" t="str">
        <f t="shared" si="5"/>
        <v>PNOON</v>
      </c>
      <c r="T33" s="241">
        <f t="shared" si="6"/>
        <v>42472.5</v>
      </c>
      <c r="U33" s="296"/>
      <c r="V33" s="297">
        <v>3.8</v>
      </c>
      <c r="W33" s="297">
        <v>3.1</v>
      </c>
      <c r="X33" s="199">
        <f t="shared" si="7"/>
        <v>6.9</v>
      </c>
      <c r="Y33" s="159">
        <f t="shared" si="8"/>
        <v>1056.6999999999998</v>
      </c>
      <c r="Z33" s="298"/>
      <c r="AA33" s="299"/>
      <c r="AB33" s="300"/>
      <c r="AC33" s="300"/>
      <c r="AD33" s="203">
        <f t="shared" si="1"/>
        <v>0</v>
      </c>
      <c r="AE33" s="150">
        <f t="shared" si="9"/>
        <v>77.67</v>
      </c>
      <c r="AF33" s="301"/>
      <c r="AG33" s="302">
        <v>3</v>
      </c>
      <c r="AH33" s="303"/>
      <c r="AI33" s="141">
        <f t="shared" si="13"/>
        <v>268</v>
      </c>
      <c r="AJ33" s="304">
        <v>57980</v>
      </c>
      <c r="AK33" s="316">
        <v>31900</v>
      </c>
      <c r="AL33" s="317">
        <v>8930</v>
      </c>
      <c r="AM33" s="237" t="e">
        <f t="shared" si="14"/>
        <v>#VALUE!</v>
      </c>
      <c r="AN33" s="70" t="str">
        <f t="shared" si="11"/>
        <v>PNOON</v>
      </c>
      <c r="AO33" s="241">
        <f t="shared" si="12"/>
        <v>42472.5</v>
      </c>
      <c r="AP33" s="45" t="s">
        <v>40</v>
      </c>
      <c r="AQ33" s="98"/>
      <c r="AR33" s="99"/>
      <c r="AS33" s="99"/>
      <c r="AT33" s="100"/>
      <c r="AU33" s="101"/>
      <c r="AV33" s="100"/>
      <c r="AW33" s="101"/>
      <c r="AX33" s="101"/>
      <c r="AY33" s="99"/>
      <c r="AZ33" s="102"/>
      <c r="BA33" s="102"/>
      <c r="BB33" s="103"/>
      <c r="BC33" s="104"/>
      <c r="BD33" s="98"/>
      <c r="BE33" s="105"/>
      <c r="BF33" s="104"/>
      <c r="BG33" s="115"/>
      <c r="BH33" s="104"/>
      <c r="BI33" s="98"/>
      <c r="BJ33" s="105"/>
      <c r="BK33" s="104"/>
      <c r="BL33" s="104"/>
      <c r="BM33" s="107"/>
      <c r="BN33" s="108"/>
      <c r="BO33" s="108"/>
      <c r="BP33" s="109"/>
      <c r="BQ33" s="110"/>
      <c r="BR33" s="108"/>
      <c r="BS33" s="109"/>
      <c r="BT33" s="109"/>
      <c r="BU33" s="107"/>
      <c r="BV33" s="111"/>
      <c r="BW33" s="98"/>
      <c r="BX33" s="113"/>
      <c r="BY33" s="113"/>
      <c r="BZ33" s="114"/>
      <c r="CA33" s="114"/>
      <c r="CB33" s="114"/>
      <c r="CC33" s="99"/>
      <c r="CD33" s="115"/>
      <c r="CE33" s="116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121"/>
      <c r="CQ33" s="121"/>
      <c r="CR33" s="100"/>
      <c r="CS33" s="121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 t="s">
        <v>103</v>
      </c>
      <c r="B34" s="442">
        <v>42473.5</v>
      </c>
      <c r="C34" s="443"/>
      <c r="D34" s="84"/>
      <c r="E34" s="23"/>
      <c r="F34" s="15"/>
      <c r="G34" s="213"/>
      <c r="H34" s="27" t="str">
        <f t="shared" si="2"/>
        <v/>
      </c>
      <c r="I34" s="216" t="str">
        <f t="shared" si="3"/>
        <v/>
      </c>
      <c r="J34" s="29">
        <f ca="1">IF($J$5&gt;=B34,"N/A",SUM(INDIRECT(ADDRESS(6+(MATCH($J$5,$B$6:$B$59,0)),8)):H34))</f>
        <v>0</v>
      </c>
      <c r="K34" s="10"/>
      <c r="L34" s="88"/>
      <c r="M34" s="4" t="str">
        <f t="shared" si="4"/>
        <v/>
      </c>
      <c r="N34" s="220" t="str">
        <f t="shared" si="0"/>
        <v/>
      </c>
      <c r="O34" s="30">
        <f ca="1">IF($O$5&gt;=B34,"N/A",SUM(INDIRECT(ADDRESS(6+(MATCH($O$5,$B$6:$B$59,0)),13)):M34))</f>
        <v>12.2</v>
      </c>
      <c r="P34" s="325"/>
      <c r="Q34" s="325"/>
      <c r="R34" s="325"/>
      <c r="S34" s="70" t="str">
        <f t="shared" si="5"/>
        <v>PNOON</v>
      </c>
      <c r="T34" s="241">
        <f t="shared" si="6"/>
        <v>42473.5</v>
      </c>
      <c r="U34" s="296"/>
      <c r="V34" s="297">
        <v>3.8</v>
      </c>
      <c r="W34" s="297">
        <v>3.1</v>
      </c>
      <c r="X34" s="199">
        <f t="shared" si="7"/>
        <v>6.9</v>
      </c>
      <c r="Y34" s="159">
        <f t="shared" si="8"/>
        <v>1049.7999999999997</v>
      </c>
      <c r="Z34" s="298"/>
      <c r="AA34" s="299"/>
      <c r="AB34" s="300"/>
      <c r="AC34" s="300"/>
      <c r="AD34" s="203">
        <f t="shared" si="1"/>
        <v>0</v>
      </c>
      <c r="AE34" s="150">
        <f t="shared" si="9"/>
        <v>77.67</v>
      </c>
      <c r="AF34" s="301"/>
      <c r="AG34" s="302">
        <v>3</v>
      </c>
      <c r="AH34" s="303"/>
      <c r="AI34" s="141">
        <f t="shared" si="13"/>
        <v>265</v>
      </c>
      <c r="AJ34" s="304">
        <v>57980</v>
      </c>
      <c r="AK34" s="316">
        <v>31900</v>
      </c>
      <c r="AL34" s="317">
        <v>8900</v>
      </c>
      <c r="AM34" s="237" t="e">
        <f t="shared" si="14"/>
        <v>#VALUE!</v>
      </c>
      <c r="AN34" s="70" t="str">
        <f t="shared" si="11"/>
        <v>PNOON</v>
      </c>
      <c r="AO34" s="241">
        <f t="shared" si="12"/>
        <v>42473.5</v>
      </c>
      <c r="AP34" s="45" t="s">
        <v>40</v>
      </c>
      <c r="AQ34" s="98"/>
      <c r="AR34" s="99"/>
      <c r="AS34" s="99"/>
      <c r="AT34" s="100"/>
      <c r="AU34" s="101"/>
      <c r="AV34" s="100"/>
      <c r="AW34" s="101"/>
      <c r="AX34" s="101"/>
      <c r="AY34" s="99"/>
      <c r="AZ34" s="102"/>
      <c r="BA34" s="102"/>
      <c r="BB34" s="103"/>
      <c r="BC34" s="104"/>
      <c r="BD34" s="98"/>
      <c r="BE34" s="105"/>
      <c r="BF34" s="104"/>
      <c r="BG34" s="115"/>
      <c r="BH34" s="104"/>
      <c r="BI34" s="98"/>
      <c r="BJ34" s="105"/>
      <c r="BK34" s="104"/>
      <c r="BL34" s="104"/>
      <c r="BM34" s="107"/>
      <c r="BN34" s="108"/>
      <c r="BO34" s="108"/>
      <c r="BP34" s="109"/>
      <c r="BQ34" s="110"/>
      <c r="BR34" s="108"/>
      <c r="BS34" s="109"/>
      <c r="BT34" s="109"/>
      <c r="BU34" s="107"/>
      <c r="BV34" s="111"/>
      <c r="BW34" s="98"/>
      <c r="BX34" s="113"/>
      <c r="BY34" s="113"/>
      <c r="BZ34" s="114"/>
      <c r="CA34" s="114"/>
      <c r="CB34" s="114"/>
      <c r="CC34" s="99"/>
      <c r="CD34" s="115"/>
      <c r="CE34" s="116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121"/>
      <c r="CQ34" s="121"/>
      <c r="CR34" s="100"/>
      <c r="CS34" s="121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 t="s">
        <v>103</v>
      </c>
      <c r="B35" s="442">
        <v>42474.5</v>
      </c>
      <c r="C35" s="443"/>
      <c r="D35" s="84"/>
      <c r="E35" s="23"/>
      <c r="F35" s="15"/>
      <c r="G35" s="213"/>
      <c r="H35" s="27" t="str">
        <f t="shared" si="2"/>
        <v/>
      </c>
      <c r="I35" s="216" t="str">
        <f t="shared" si="3"/>
        <v/>
      </c>
      <c r="J35" s="29">
        <f ca="1">IF($J$5&gt;=B35,"N/A",SUM(INDIRECT(ADDRESS(6+(MATCH($J$5,$B$6:$B$59,0)),8)):H35))</f>
        <v>0</v>
      </c>
      <c r="K35" s="10"/>
      <c r="L35" s="88"/>
      <c r="M35" s="4" t="str">
        <f t="shared" si="4"/>
        <v/>
      </c>
      <c r="N35" s="220" t="str">
        <f t="shared" si="0"/>
        <v/>
      </c>
      <c r="O35" s="30">
        <f ca="1">IF($O$5&gt;=B35,"N/A",SUM(INDIRECT(ADDRESS(6+(MATCH($O$5,$B$6:$B$59,0)),13)):M35))</f>
        <v>12.2</v>
      </c>
      <c r="P35" s="325"/>
      <c r="Q35" s="325"/>
      <c r="R35" s="325"/>
      <c r="S35" s="70" t="str">
        <f t="shared" si="5"/>
        <v>PNOON</v>
      </c>
      <c r="T35" s="241">
        <f t="shared" si="6"/>
        <v>42474.5</v>
      </c>
      <c r="U35" s="296"/>
      <c r="V35" s="297">
        <v>3.7</v>
      </c>
      <c r="W35" s="297">
        <v>3.1</v>
      </c>
      <c r="X35" s="199">
        <f t="shared" si="7"/>
        <v>6.8000000000000007</v>
      </c>
      <c r="Y35" s="159">
        <f t="shared" si="8"/>
        <v>1042.9999999999998</v>
      </c>
      <c r="Z35" s="298"/>
      <c r="AA35" s="299"/>
      <c r="AB35" s="300"/>
      <c r="AC35" s="300"/>
      <c r="AD35" s="203">
        <f t="shared" si="1"/>
        <v>0</v>
      </c>
      <c r="AE35" s="150">
        <f t="shared" si="9"/>
        <v>77.67</v>
      </c>
      <c r="AF35" s="301"/>
      <c r="AG35" s="302">
        <v>3</v>
      </c>
      <c r="AH35" s="303"/>
      <c r="AI35" s="141">
        <f t="shared" si="13"/>
        <v>262</v>
      </c>
      <c r="AJ35" s="304">
        <v>57980</v>
      </c>
      <c r="AK35" s="316">
        <v>31900</v>
      </c>
      <c r="AL35" s="317">
        <v>8870</v>
      </c>
      <c r="AM35" s="237" t="e">
        <f t="shared" si="14"/>
        <v>#VALUE!</v>
      </c>
      <c r="AN35" s="70" t="str">
        <f t="shared" si="11"/>
        <v>PNOON</v>
      </c>
      <c r="AO35" s="241">
        <f t="shared" si="12"/>
        <v>42474.5</v>
      </c>
      <c r="AP35" s="45" t="s">
        <v>40</v>
      </c>
      <c r="AQ35" s="98"/>
      <c r="AR35" s="99"/>
      <c r="AS35" s="99"/>
      <c r="AT35" s="100"/>
      <c r="AU35" s="101"/>
      <c r="AV35" s="100"/>
      <c r="AW35" s="101"/>
      <c r="AX35" s="101"/>
      <c r="AY35" s="99"/>
      <c r="AZ35" s="102"/>
      <c r="BA35" s="102"/>
      <c r="BB35" s="103"/>
      <c r="BC35" s="104"/>
      <c r="BD35" s="98"/>
      <c r="BE35" s="105"/>
      <c r="BF35" s="104"/>
      <c r="BG35" s="115"/>
      <c r="BH35" s="104"/>
      <c r="BI35" s="98"/>
      <c r="BJ35" s="105"/>
      <c r="BK35" s="104"/>
      <c r="BL35" s="104"/>
      <c r="BM35" s="107"/>
      <c r="BN35" s="108"/>
      <c r="BO35" s="108"/>
      <c r="BP35" s="109"/>
      <c r="BQ35" s="110"/>
      <c r="BR35" s="108"/>
      <c r="BS35" s="109"/>
      <c r="BT35" s="109"/>
      <c r="BU35" s="107"/>
      <c r="BV35" s="111"/>
      <c r="BW35" s="98"/>
      <c r="BX35" s="113"/>
      <c r="BY35" s="113"/>
      <c r="BZ35" s="114"/>
      <c r="CA35" s="114"/>
      <c r="CB35" s="114"/>
      <c r="CC35" s="99"/>
      <c r="CD35" s="115"/>
      <c r="CE35" s="116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121"/>
      <c r="CQ35" s="121"/>
      <c r="CR35" s="100"/>
      <c r="CS35" s="121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 t="s">
        <v>103</v>
      </c>
      <c r="B36" s="442">
        <v>42475.5</v>
      </c>
      <c r="C36" s="453"/>
      <c r="D36" s="84"/>
      <c r="E36" s="23"/>
      <c r="F36" s="15"/>
      <c r="G36" s="213"/>
      <c r="H36" s="27" t="str">
        <f t="shared" si="2"/>
        <v/>
      </c>
      <c r="I36" s="216" t="str">
        <f t="shared" si="3"/>
        <v/>
      </c>
      <c r="J36" s="29">
        <f ca="1">IF($J$5&gt;=B36,"N/A",SUM(INDIRECT(ADDRESS(6+(MATCH($J$5,$B$6:$B$59,0)),8)):H36))</f>
        <v>0</v>
      </c>
      <c r="K36" s="10"/>
      <c r="L36" s="88"/>
      <c r="M36" s="4" t="str">
        <f t="shared" si="4"/>
        <v/>
      </c>
      <c r="N36" s="220" t="str">
        <f t="shared" si="0"/>
        <v/>
      </c>
      <c r="O36" s="30">
        <f ca="1">IF($O$5&gt;=B36,"N/A",SUM(INDIRECT(ADDRESS(6+(MATCH($O$5,$B$6:$B$59,0)),13)):M36))</f>
        <v>12.2</v>
      </c>
      <c r="P36" s="325"/>
      <c r="Q36" s="325"/>
      <c r="R36" s="325"/>
      <c r="S36" s="70" t="str">
        <f t="shared" si="5"/>
        <v>PNOON</v>
      </c>
      <c r="T36" s="241">
        <f t="shared" si="6"/>
        <v>42475.5</v>
      </c>
      <c r="U36" s="296"/>
      <c r="V36" s="297">
        <v>3.7</v>
      </c>
      <c r="W36" s="297">
        <v>3.2</v>
      </c>
      <c r="X36" s="199">
        <f t="shared" si="7"/>
        <v>6.9</v>
      </c>
      <c r="Y36" s="159">
        <f t="shared" si="8"/>
        <v>1036.0999999999997</v>
      </c>
      <c r="Z36" s="298"/>
      <c r="AA36" s="299"/>
      <c r="AB36" s="300"/>
      <c r="AC36" s="300"/>
      <c r="AD36" s="203">
        <f t="shared" si="1"/>
        <v>0</v>
      </c>
      <c r="AE36" s="150">
        <f t="shared" si="9"/>
        <v>77.67</v>
      </c>
      <c r="AF36" s="301"/>
      <c r="AG36" s="302">
        <v>6</v>
      </c>
      <c r="AH36" s="303"/>
      <c r="AI36" s="141">
        <f t="shared" si="13"/>
        <v>256</v>
      </c>
      <c r="AJ36" s="304">
        <v>57980</v>
      </c>
      <c r="AK36" s="316">
        <v>31900</v>
      </c>
      <c r="AL36" s="317">
        <v>8840</v>
      </c>
      <c r="AM36" s="237" t="e">
        <f t="shared" si="14"/>
        <v>#VALUE!</v>
      </c>
      <c r="AN36" s="70" t="str">
        <f t="shared" si="11"/>
        <v>PNOON</v>
      </c>
      <c r="AO36" s="241">
        <f t="shared" si="12"/>
        <v>42475.5</v>
      </c>
      <c r="AP36" s="45" t="s">
        <v>40</v>
      </c>
      <c r="AQ36" s="98"/>
      <c r="AR36" s="99"/>
      <c r="AS36" s="99"/>
      <c r="AT36" s="100"/>
      <c r="AU36" s="101"/>
      <c r="AV36" s="100"/>
      <c r="AW36" s="101"/>
      <c r="AX36" s="101"/>
      <c r="AY36" s="99"/>
      <c r="AZ36" s="102"/>
      <c r="BA36" s="102"/>
      <c r="BB36" s="103"/>
      <c r="BC36" s="104"/>
      <c r="BD36" s="98"/>
      <c r="BE36" s="105"/>
      <c r="BF36" s="104"/>
      <c r="BG36" s="115"/>
      <c r="BH36" s="104"/>
      <c r="BI36" s="98"/>
      <c r="BJ36" s="105"/>
      <c r="BK36" s="104"/>
      <c r="BL36" s="104"/>
      <c r="BM36" s="107"/>
      <c r="BN36" s="108"/>
      <c r="BO36" s="108"/>
      <c r="BP36" s="109"/>
      <c r="BQ36" s="110"/>
      <c r="BR36" s="108"/>
      <c r="BS36" s="109"/>
      <c r="BT36" s="109"/>
      <c r="BU36" s="107"/>
      <c r="BV36" s="111"/>
      <c r="BW36" s="98"/>
      <c r="BX36" s="113"/>
      <c r="BY36" s="113"/>
      <c r="BZ36" s="114"/>
      <c r="CA36" s="114"/>
      <c r="CB36" s="114"/>
      <c r="CC36" s="99"/>
      <c r="CD36" s="115"/>
      <c r="CE36" s="116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121"/>
      <c r="CQ36" s="121"/>
      <c r="CR36" s="100"/>
      <c r="CS36" s="121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x14ac:dyDescent="0.25">
      <c r="A37" s="83" t="s">
        <v>103</v>
      </c>
      <c r="B37" s="442">
        <v>42476.5</v>
      </c>
      <c r="C37" s="453"/>
      <c r="D37" s="84"/>
      <c r="E37" s="23"/>
      <c r="F37" s="15"/>
      <c r="G37" s="213"/>
      <c r="H37" s="27" t="str">
        <f t="shared" si="2"/>
        <v/>
      </c>
      <c r="I37" s="216" t="str">
        <f t="shared" si="3"/>
        <v/>
      </c>
      <c r="J37" s="29">
        <f ca="1">IF($J$5&gt;=B37,"N/A",SUM(INDIRECT(ADDRESS(6+(MATCH($J$5,$B$6:$B$59,0)),8)):H37))</f>
        <v>0</v>
      </c>
      <c r="K37" s="10"/>
      <c r="L37" s="88"/>
      <c r="M37" s="4" t="str">
        <f t="shared" si="4"/>
        <v/>
      </c>
      <c r="N37" s="220" t="str">
        <f t="shared" si="0"/>
        <v/>
      </c>
      <c r="O37" s="30">
        <f ca="1">IF($O$5&gt;=B37,"N/A",SUM(INDIRECT(ADDRESS(6+(MATCH($O$5,$B$6:$B$59,0)),13)):M37))</f>
        <v>12.2</v>
      </c>
      <c r="P37" s="325"/>
      <c r="Q37" s="325"/>
      <c r="R37" s="325"/>
      <c r="S37" s="70" t="str">
        <f t="shared" si="5"/>
        <v>PNOON</v>
      </c>
      <c r="T37" s="241">
        <f t="shared" si="6"/>
        <v>42476.5</v>
      </c>
      <c r="U37" s="296"/>
      <c r="V37" s="297">
        <v>3.6</v>
      </c>
      <c r="W37" s="297">
        <v>3.1</v>
      </c>
      <c r="X37" s="199">
        <f t="shared" si="7"/>
        <v>6.7</v>
      </c>
      <c r="Y37" s="159">
        <f t="shared" si="8"/>
        <v>1029.3999999999996</v>
      </c>
      <c r="Z37" s="298"/>
      <c r="AA37" s="299"/>
      <c r="AB37" s="300"/>
      <c r="AC37" s="300"/>
      <c r="AD37" s="203">
        <f t="shared" si="1"/>
        <v>0</v>
      </c>
      <c r="AE37" s="150">
        <f t="shared" si="9"/>
        <v>77.67</v>
      </c>
      <c r="AF37" s="301"/>
      <c r="AG37" s="302">
        <v>3</v>
      </c>
      <c r="AH37" s="303"/>
      <c r="AI37" s="141">
        <f t="shared" si="13"/>
        <v>253</v>
      </c>
      <c r="AJ37" s="304">
        <v>57980</v>
      </c>
      <c r="AK37" s="316">
        <v>31900</v>
      </c>
      <c r="AL37" s="317">
        <v>8810</v>
      </c>
      <c r="AM37" s="237" t="e">
        <f t="shared" si="14"/>
        <v>#VALUE!</v>
      </c>
      <c r="AN37" s="70" t="str">
        <f t="shared" si="11"/>
        <v>PNOON</v>
      </c>
      <c r="AO37" s="241">
        <f t="shared" si="12"/>
        <v>42476.5</v>
      </c>
      <c r="AP37" s="45" t="s">
        <v>40</v>
      </c>
      <c r="AQ37" s="98"/>
      <c r="AR37" s="99"/>
      <c r="AS37" s="99"/>
      <c r="AT37" s="100"/>
      <c r="AU37" s="101"/>
      <c r="AV37" s="100"/>
      <c r="AW37" s="101"/>
      <c r="AX37" s="101"/>
      <c r="AY37" s="99"/>
      <c r="AZ37" s="102"/>
      <c r="BA37" s="102"/>
      <c r="BB37" s="103"/>
      <c r="BC37" s="104"/>
      <c r="BD37" s="98"/>
      <c r="BE37" s="105"/>
      <c r="BF37" s="104"/>
      <c r="BG37" s="115"/>
      <c r="BH37" s="104"/>
      <c r="BI37" s="98"/>
      <c r="BJ37" s="105"/>
      <c r="BK37" s="104"/>
      <c r="BL37" s="104"/>
      <c r="BM37" s="107"/>
      <c r="BN37" s="108"/>
      <c r="BO37" s="108"/>
      <c r="BP37" s="109"/>
      <c r="BQ37" s="110"/>
      <c r="BR37" s="108"/>
      <c r="BS37" s="109"/>
      <c r="BT37" s="109"/>
      <c r="BU37" s="107"/>
      <c r="BV37" s="111"/>
      <c r="BW37" s="98"/>
      <c r="BX37" s="113"/>
      <c r="BY37" s="113"/>
      <c r="BZ37" s="114"/>
      <c r="CA37" s="114"/>
      <c r="CB37" s="114"/>
      <c r="CC37" s="99"/>
      <c r="CD37" s="115"/>
      <c r="CE37" s="116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121"/>
      <c r="CQ37" s="121"/>
      <c r="CR37" s="100"/>
      <c r="CS37" s="121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customHeight="1" x14ac:dyDescent="0.25">
      <c r="A38" s="83" t="s">
        <v>9</v>
      </c>
      <c r="B38" s="442">
        <v>42476.904166666667</v>
      </c>
      <c r="C38" s="453"/>
      <c r="D38" s="84" t="s">
        <v>138</v>
      </c>
      <c r="E38" s="23"/>
      <c r="F38" s="15"/>
      <c r="G38" s="213"/>
      <c r="H38" s="27" t="str">
        <f t="shared" si="2"/>
        <v/>
      </c>
      <c r="I38" s="216" t="str">
        <f t="shared" si="3"/>
        <v/>
      </c>
      <c r="J38" s="29">
        <f ca="1">IF($J$5&gt;=B38,"N/A",SUM(INDIRECT(ADDRESS(6+(MATCH($J$5,$B$6:$B$59,0)),8)):H38))</f>
        <v>0</v>
      </c>
      <c r="K38" s="10"/>
      <c r="L38" s="88"/>
      <c r="M38" s="4" t="str">
        <f t="shared" si="4"/>
        <v/>
      </c>
      <c r="N38" s="220" t="str">
        <f t="shared" si="0"/>
        <v/>
      </c>
      <c r="O38" s="30">
        <f ca="1">IF($O$5&gt;=B38,"N/A",SUM(INDIRECT(ADDRESS(6+(MATCH($O$5,$B$6:$B$59,0)),13)):M38))</f>
        <v>12.2</v>
      </c>
      <c r="P38" s="325"/>
      <c r="Q38" s="325"/>
      <c r="R38" s="325"/>
      <c r="S38" s="70" t="str">
        <f t="shared" si="5"/>
        <v>SBE</v>
      </c>
      <c r="T38" s="241">
        <f t="shared" si="6"/>
        <v>42476.904166666667</v>
      </c>
      <c r="U38" s="296"/>
      <c r="V38" s="297">
        <v>1.5</v>
      </c>
      <c r="W38" s="297">
        <v>1.3</v>
      </c>
      <c r="X38" s="199">
        <f t="shared" si="7"/>
        <v>2.8</v>
      </c>
      <c r="Y38" s="159">
        <f t="shared" si="8"/>
        <v>1026.5999999999997</v>
      </c>
      <c r="Z38" s="298"/>
      <c r="AA38" s="299"/>
      <c r="AB38" s="300"/>
      <c r="AC38" s="300"/>
      <c r="AD38" s="203">
        <f t="shared" si="1"/>
        <v>0</v>
      </c>
      <c r="AE38" s="150">
        <f t="shared" si="9"/>
        <v>77.67</v>
      </c>
      <c r="AF38" s="301"/>
      <c r="AG38" s="302">
        <v>1</v>
      </c>
      <c r="AH38" s="303"/>
      <c r="AI38" s="141">
        <f t="shared" si="13"/>
        <v>252</v>
      </c>
      <c r="AJ38" s="304">
        <v>57980</v>
      </c>
      <c r="AK38" s="316">
        <v>31900</v>
      </c>
      <c r="AL38" s="317">
        <v>8790</v>
      </c>
      <c r="AM38" s="237" t="e">
        <f t="shared" si="14"/>
        <v>#VALUE!</v>
      </c>
      <c r="AN38" s="70" t="str">
        <f t="shared" si="11"/>
        <v>SBE</v>
      </c>
      <c r="AO38" s="241">
        <f t="shared" si="12"/>
        <v>42476.904166666667</v>
      </c>
      <c r="AP38" s="45" t="s">
        <v>40</v>
      </c>
      <c r="AQ38" s="98"/>
      <c r="AR38" s="99"/>
      <c r="AS38" s="99"/>
      <c r="AT38" s="100"/>
      <c r="AU38" s="101"/>
      <c r="AV38" s="100"/>
      <c r="AW38" s="101"/>
      <c r="AX38" s="101"/>
      <c r="AY38" s="99"/>
      <c r="AZ38" s="102"/>
      <c r="BA38" s="102"/>
      <c r="BB38" s="103"/>
      <c r="BC38" s="104"/>
      <c r="BD38" s="98"/>
      <c r="BE38" s="105"/>
      <c r="BF38" s="104"/>
      <c r="BG38" s="115"/>
      <c r="BH38" s="104"/>
      <c r="BI38" s="98"/>
      <c r="BJ38" s="105"/>
      <c r="BK38" s="104"/>
      <c r="BL38" s="104"/>
      <c r="BM38" s="107"/>
      <c r="BN38" s="108"/>
      <c r="BO38" s="108"/>
      <c r="BP38" s="109"/>
      <c r="BQ38" s="110"/>
      <c r="BR38" s="108"/>
      <c r="BS38" s="109"/>
      <c r="BT38" s="109"/>
      <c r="BU38" s="107"/>
      <c r="BV38" s="111"/>
      <c r="BW38" s="98"/>
      <c r="BX38" s="113"/>
      <c r="BY38" s="113"/>
      <c r="BZ38" s="114"/>
      <c r="CA38" s="114"/>
      <c r="CB38" s="114"/>
      <c r="CC38" s="99"/>
      <c r="CD38" s="115"/>
      <c r="CE38" s="116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121"/>
      <c r="CQ38" s="121"/>
      <c r="CR38" s="100"/>
      <c r="CS38" s="121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customHeight="1" x14ac:dyDescent="0.25">
      <c r="A39" s="83" t="s">
        <v>10</v>
      </c>
      <c r="B39" s="442">
        <v>42477.416666666664</v>
      </c>
      <c r="C39" s="453"/>
      <c r="D39" s="84"/>
      <c r="E39" s="23"/>
      <c r="F39" s="15"/>
      <c r="G39" s="213"/>
      <c r="H39" s="27" t="str">
        <f t="shared" si="2"/>
        <v/>
      </c>
      <c r="I39" s="216" t="str">
        <f t="shared" si="3"/>
        <v/>
      </c>
      <c r="J39" s="29">
        <f ca="1">IF($J$5&gt;=B39,"N/A",SUM(INDIRECT(ADDRESS(6+(MATCH($J$5,$B$6:$B$59,0)),8)):H39))</f>
        <v>0</v>
      </c>
      <c r="K39" s="10"/>
      <c r="L39" s="88"/>
      <c r="M39" s="4" t="str">
        <f t="shared" si="4"/>
        <v/>
      </c>
      <c r="N39" s="220" t="str">
        <f t="shared" si="0"/>
        <v/>
      </c>
      <c r="O39" s="30">
        <f ca="1">IF($O$5&gt;=B39,"N/A",SUM(INDIRECT(ADDRESS(6+(MATCH($O$5,$B$6:$B$59,0)),13)):M39))</f>
        <v>12.2</v>
      </c>
      <c r="P39" s="325"/>
      <c r="Q39" s="325"/>
      <c r="R39" s="325"/>
      <c r="S39" s="70" t="str">
        <f t="shared" si="5"/>
        <v>FWE</v>
      </c>
      <c r="T39" s="241">
        <f t="shared" si="6"/>
        <v>42477.416666666664</v>
      </c>
      <c r="U39" s="296">
        <v>1.6</v>
      </c>
      <c r="V39" s="297">
        <v>2.7</v>
      </c>
      <c r="W39" s="297">
        <v>1.6</v>
      </c>
      <c r="X39" s="199">
        <f t="shared" si="7"/>
        <v>5.9</v>
      </c>
      <c r="Y39" s="159">
        <f t="shared" si="8"/>
        <v>1020.6999999999997</v>
      </c>
      <c r="Z39" s="298"/>
      <c r="AA39" s="299">
        <v>3.1</v>
      </c>
      <c r="AB39" s="300"/>
      <c r="AC39" s="300"/>
      <c r="AD39" s="203">
        <f t="shared" si="1"/>
        <v>3.1</v>
      </c>
      <c r="AE39" s="150">
        <f t="shared" si="9"/>
        <v>74.570000000000007</v>
      </c>
      <c r="AF39" s="301"/>
      <c r="AG39" s="302">
        <v>1</v>
      </c>
      <c r="AH39" s="303"/>
      <c r="AI39" s="141">
        <f t="shared" si="13"/>
        <v>251</v>
      </c>
      <c r="AJ39" s="304">
        <v>57860</v>
      </c>
      <c r="AK39" s="316">
        <v>31900</v>
      </c>
      <c r="AL39" s="317">
        <v>8780</v>
      </c>
      <c r="AM39" s="237" t="e">
        <f t="shared" si="14"/>
        <v>#VALUE!</v>
      </c>
      <c r="AN39" s="70" t="str">
        <f t="shared" si="11"/>
        <v>FWE</v>
      </c>
      <c r="AO39" s="241">
        <f t="shared" si="12"/>
        <v>42477.416666666664</v>
      </c>
      <c r="AP39" s="45" t="s">
        <v>40</v>
      </c>
      <c r="AQ39" s="98"/>
      <c r="AR39" s="99"/>
      <c r="AS39" s="99"/>
      <c r="AT39" s="100"/>
      <c r="AU39" s="101"/>
      <c r="AV39" s="100"/>
      <c r="AW39" s="101"/>
      <c r="AX39" s="101"/>
      <c r="AY39" s="99"/>
      <c r="AZ39" s="102"/>
      <c r="BA39" s="102"/>
      <c r="BB39" s="103"/>
      <c r="BC39" s="104"/>
      <c r="BD39" s="98"/>
      <c r="BE39" s="105"/>
      <c r="BF39" s="104"/>
      <c r="BG39" s="115"/>
      <c r="BH39" s="104"/>
      <c r="BI39" s="98"/>
      <c r="BJ39" s="105"/>
      <c r="BK39" s="104"/>
      <c r="BL39" s="104"/>
      <c r="BM39" s="107"/>
      <c r="BN39" s="108"/>
      <c r="BO39" s="108"/>
      <c r="BP39" s="109"/>
      <c r="BQ39" s="110"/>
      <c r="BR39" s="108"/>
      <c r="BS39" s="109"/>
      <c r="BT39" s="109"/>
      <c r="BU39" s="107"/>
      <c r="BV39" s="111"/>
      <c r="BW39" s="98"/>
      <c r="BX39" s="113"/>
      <c r="BY39" s="113"/>
      <c r="BZ39" s="114"/>
      <c r="CA39" s="114"/>
      <c r="CB39" s="114"/>
      <c r="CC39" s="99"/>
      <c r="CD39" s="115"/>
      <c r="CE39" s="116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121"/>
      <c r="CQ39" s="121"/>
      <c r="CR39" s="100"/>
      <c r="CS39" s="121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customHeight="1" x14ac:dyDescent="0.25">
      <c r="A40" s="83" t="s">
        <v>103</v>
      </c>
      <c r="B40" s="442">
        <v>42477.5</v>
      </c>
      <c r="C40" s="453"/>
      <c r="D40" s="84"/>
      <c r="E40" s="23"/>
      <c r="F40" s="15"/>
      <c r="G40" s="213"/>
      <c r="H40" s="27" t="str">
        <f t="shared" si="2"/>
        <v/>
      </c>
      <c r="I40" s="216" t="str">
        <f t="shared" si="3"/>
        <v/>
      </c>
      <c r="J40" s="29">
        <f ca="1">IF($J$5&gt;=B40,"N/A",SUM(INDIRECT(ADDRESS(6+(MATCH($J$5,$B$6:$B$59,0)),8)):H40))</f>
        <v>0</v>
      </c>
      <c r="K40" s="10"/>
      <c r="L40" s="88"/>
      <c r="M40" s="4" t="str">
        <f t="shared" si="4"/>
        <v/>
      </c>
      <c r="N40" s="220" t="str">
        <f t="shared" si="0"/>
        <v/>
      </c>
      <c r="O40" s="30">
        <f ca="1">IF($O$5&gt;=B40,"N/A",SUM(INDIRECT(ADDRESS(6+(MATCH($O$5,$B$6:$B$59,0)),13)):M40))</f>
        <v>12.2</v>
      </c>
      <c r="P40" s="325"/>
      <c r="Q40" s="325"/>
      <c r="R40" s="325"/>
      <c r="S40" s="70" t="str">
        <f t="shared" si="5"/>
        <v>PNOON</v>
      </c>
      <c r="T40" s="241">
        <f t="shared" si="6"/>
        <v>42477.5</v>
      </c>
      <c r="U40" s="296"/>
      <c r="V40" s="297">
        <v>0.3</v>
      </c>
      <c r="W40" s="297">
        <v>0.2</v>
      </c>
      <c r="X40" s="199">
        <f t="shared" si="7"/>
        <v>0.5</v>
      </c>
      <c r="Y40" s="159">
        <f t="shared" si="8"/>
        <v>1020.1999999999997</v>
      </c>
      <c r="Z40" s="298"/>
      <c r="AA40" s="299"/>
      <c r="AB40" s="300"/>
      <c r="AC40" s="300"/>
      <c r="AD40" s="203">
        <f t="shared" si="1"/>
        <v>0</v>
      </c>
      <c r="AE40" s="150">
        <f t="shared" si="9"/>
        <v>74.570000000000007</v>
      </c>
      <c r="AF40" s="301"/>
      <c r="AG40" s="302">
        <v>1</v>
      </c>
      <c r="AH40" s="303"/>
      <c r="AI40" s="141">
        <f t="shared" si="13"/>
        <v>250</v>
      </c>
      <c r="AJ40" s="304">
        <v>57860</v>
      </c>
      <c r="AK40" s="316">
        <v>31900</v>
      </c>
      <c r="AL40" s="317">
        <v>8770</v>
      </c>
      <c r="AM40" s="237" t="e">
        <f t="shared" si="14"/>
        <v>#VALUE!</v>
      </c>
      <c r="AN40" s="70" t="str">
        <f t="shared" si="11"/>
        <v>PNOON</v>
      </c>
      <c r="AO40" s="241">
        <f t="shared" si="12"/>
        <v>42477.5</v>
      </c>
      <c r="AP40" s="45" t="s">
        <v>40</v>
      </c>
      <c r="AQ40" s="98"/>
      <c r="AR40" s="99"/>
      <c r="AS40" s="99"/>
      <c r="AT40" s="100"/>
      <c r="AU40" s="101"/>
      <c r="AV40" s="100"/>
      <c r="AW40" s="101"/>
      <c r="AX40" s="101"/>
      <c r="AY40" s="99"/>
      <c r="AZ40" s="102"/>
      <c r="BA40" s="102"/>
      <c r="BB40" s="103"/>
      <c r="BC40" s="104"/>
      <c r="BD40" s="98"/>
      <c r="BE40" s="105"/>
      <c r="BF40" s="104"/>
      <c r="BG40" s="115"/>
      <c r="BH40" s="104"/>
      <c r="BI40" s="98"/>
      <c r="BJ40" s="105"/>
      <c r="BK40" s="104"/>
      <c r="BL40" s="104"/>
      <c r="BM40" s="107"/>
      <c r="BN40" s="108"/>
      <c r="BO40" s="108"/>
      <c r="BP40" s="109"/>
      <c r="BQ40" s="110"/>
      <c r="BR40" s="108"/>
      <c r="BS40" s="109"/>
      <c r="BT40" s="109"/>
      <c r="BU40" s="107"/>
      <c r="BV40" s="111"/>
      <c r="BW40" s="98"/>
      <c r="BX40" s="113"/>
      <c r="BY40" s="113"/>
      <c r="BZ40" s="114"/>
      <c r="CA40" s="114"/>
      <c r="CB40" s="114"/>
      <c r="CC40" s="99"/>
      <c r="CD40" s="115"/>
      <c r="CE40" s="116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121"/>
      <c r="CQ40" s="121"/>
      <c r="CR40" s="100"/>
      <c r="CS40" s="121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customHeight="1" x14ac:dyDescent="0.25">
      <c r="A41" s="83" t="s">
        <v>103</v>
      </c>
      <c r="B41" s="442">
        <v>42478.5</v>
      </c>
      <c r="C41" s="453"/>
      <c r="D41" s="84"/>
      <c r="E41" s="23"/>
      <c r="F41" s="15"/>
      <c r="G41" s="213"/>
      <c r="H41" s="27" t="str">
        <f t="shared" si="2"/>
        <v/>
      </c>
      <c r="I41" s="216" t="str">
        <f t="shared" si="3"/>
        <v/>
      </c>
      <c r="J41" s="29">
        <f ca="1">IF($J$5&gt;=B41,"N/A",SUM(INDIRECT(ADDRESS(6+(MATCH($J$5,$B$6:$B$59,0)),8)):H41))</f>
        <v>0</v>
      </c>
      <c r="K41" s="10"/>
      <c r="L41" s="88"/>
      <c r="M41" s="4" t="str">
        <f t="shared" si="4"/>
        <v/>
      </c>
      <c r="N41" s="220" t="str">
        <f t="shared" si="0"/>
        <v/>
      </c>
      <c r="O41" s="30">
        <f ca="1">IF($O$5&gt;=B41,"N/A",SUM(INDIRECT(ADDRESS(6+(MATCH($O$5,$B$6:$B$59,0)),13)):M41))</f>
        <v>12.2</v>
      </c>
      <c r="P41" s="325"/>
      <c r="Q41" s="325"/>
      <c r="R41" s="325"/>
      <c r="S41" s="70" t="str">
        <f t="shared" si="5"/>
        <v>PNOON</v>
      </c>
      <c r="T41" s="241">
        <f t="shared" si="6"/>
        <v>42478.5</v>
      </c>
      <c r="U41" s="296"/>
      <c r="V41" s="297">
        <v>3.8</v>
      </c>
      <c r="W41" s="297">
        <v>3.2</v>
      </c>
      <c r="X41" s="199">
        <f t="shared" si="7"/>
        <v>7</v>
      </c>
      <c r="Y41" s="159">
        <f t="shared" si="8"/>
        <v>1013.1999999999997</v>
      </c>
      <c r="Z41" s="298"/>
      <c r="AA41" s="299"/>
      <c r="AB41" s="300"/>
      <c r="AC41" s="300"/>
      <c r="AD41" s="203">
        <f t="shared" si="1"/>
        <v>0</v>
      </c>
      <c r="AE41" s="150">
        <f t="shared" si="9"/>
        <v>74.570000000000007</v>
      </c>
      <c r="AF41" s="301"/>
      <c r="AG41" s="302">
        <v>3</v>
      </c>
      <c r="AH41" s="303"/>
      <c r="AI41" s="141">
        <f t="shared" si="13"/>
        <v>247</v>
      </c>
      <c r="AJ41" s="304">
        <v>57860</v>
      </c>
      <c r="AK41" s="316">
        <v>31900</v>
      </c>
      <c r="AL41" s="317">
        <v>8730</v>
      </c>
      <c r="AM41" s="237" t="e">
        <f t="shared" si="14"/>
        <v>#VALUE!</v>
      </c>
      <c r="AN41" s="70" t="str">
        <f t="shared" si="11"/>
        <v>PNOON</v>
      </c>
      <c r="AO41" s="241">
        <f t="shared" si="12"/>
        <v>42478.5</v>
      </c>
      <c r="AP41" s="45" t="s">
        <v>40</v>
      </c>
      <c r="AQ41" s="98"/>
      <c r="AR41" s="99"/>
      <c r="AS41" s="99"/>
      <c r="AT41" s="100"/>
      <c r="AU41" s="101"/>
      <c r="AV41" s="100"/>
      <c r="AW41" s="101"/>
      <c r="AX41" s="101"/>
      <c r="AY41" s="99"/>
      <c r="AZ41" s="102"/>
      <c r="BA41" s="102"/>
      <c r="BB41" s="103"/>
      <c r="BC41" s="104"/>
      <c r="BD41" s="98"/>
      <c r="BE41" s="105"/>
      <c r="BF41" s="104"/>
      <c r="BG41" s="115"/>
      <c r="BH41" s="104"/>
      <c r="BI41" s="98"/>
      <c r="BJ41" s="105"/>
      <c r="BK41" s="104"/>
      <c r="BL41" s="104"/>
      <c r="BM41" s="107"/>
      <c r="BN41" s="108"/>
      <c r="BO41" s="108"/>
      <c r="BP41" s="109"/>
      <c r="BQ41" s="110"/>
      <c r="BR41" s="108"/>
      <c r="BS41" s="109"/>
      <c r="BT41" s="109"/>
      <c r="BU41" s="107"/>
      <c r="BV41" s="111"/>
      <c r="BW41" s="98"/>
      <c r="BX41" s="113"/>
      <c r="BY41" s="113"/>
      <c r="BZ41" s="114"/>
      <c r="CA41" s="114"/>
      <c r="CB41" s="114"/>
      <c r="CC41" s="99"/>
      <c r="CD41" s="115"/>
      <c r="CE41" s="116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121"/>
      <c r="CQ41" s="121"/>
      <c r="CR41" s="100"/>
      <c r="CS41" s="121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customHeight="1" x14ac:dyDescent="0.25">
      <c r="A42" s="83" t="s">
        <v>103</v>
      </c>
      <c r="B42" s="442">
        <v>42479.5</v>
      </c>
      <c r="C42" s="453"/>
      <c r="D42" s="84"/>
      <c r="E42" s="23"/>
      <c r="F42" s="15"/>
      <c r="G42" s="213"/>
      <c r="H42" s="27" t="str">
        <f t="shared" si="2"/>
        <v/>
      </c>
      <c r="I42" s="216" t="str">
        <f t="shared" si="3"/>
        <v/>
      </c>
      <c r="J42" s="29">
        <f ca="1">IF($J$5&gt;=B42,"N/A",SUM(INDIRECT(ADDRESS(6+(MATCH($J$5,$B$6:$B$59,0)),8)):H42))</f>
        <v>0</v>
      </c>
      <c r="K42" s="10"/>
      <c r="L42" s="88"/>
      <c r="M42" s="4" t="str">
        <f t="shared" si="4"/>
        <v/>
      </c>
      <c r="N42" s="220" t="str">
        <f t="shared" si="0"/>
        <v/>
      </c>
      <c r="O42" s="30">
        <f ca="1">IF($O$5&gt;=B42,"N/A",SUM(INDIRECT(ADDRESS(6+(MATCH($O$5,$B$6:$B$59,0)),13)):M42))</f>
        <v>12.2</v>
      </c>
      <c r="P42" s="325"/>
      <c r="Q42" s="325"/>
      <c r="R42" s="325"/>
      <c r="S42" s="70" t="str">
        <f t="shared" si="5"/>
        <v>PNOON</v>
      </c>
      <c r="T42" s="241">
        <f t="shared" si="6"/>
        <v>42479.5</v>
      </c>
      <c r="U42" s="296"/>
      <c r="V42" s="297">
        <v>3.7</v>
      </c>
      <c r="W42" s="297">
        <v>3.2</v>
      </c>
      <c r="X42" s="199">
        <f t="shared" si="7"/>
        <v>6.9</v>
      </c>
      <c r="Y42" s="159">
        <f t="shared" si="8"/>
        <v>1006.2999999999997</v>
      </c>
      <c r="Z42" s="298"/>
      <c r="AA42" s="299"/>
      <c r="AB42" s="300"/>
      <c r="AC42" s="300"/>
      <c r="AD42" s="203">
        <f t="shared" si="1"/>
        <v>0</v>
      </c>
      <c r="AE42" s="150">
        <f t="shared" si="9"/>
        <v>74.570000000000007</v>
      </c>
      <c r="AF42" s="301"/>
      <c r="AG42" s="302">
        <v>3</v>
      </c>
      <c r="AH42" s="303"/>
      <c r="AI42" s="141">
        <f t="shared" si="13"/>
        <v>244</v>
      </c>
      <c r="AJ42" s="304">
        <v>57860</v>
      </c>
      <c r="AK42" s="316">
        <v>31900</v>
      </c>
      <c r="AL42" s="317">
        <v>8700</v>
      </c>
      <c r="AM42" s="237" t="e">
        <f t="shared" si="14"/>
        <v>#VALUE!</v>
      </c>
      <c r="AN42" s="70" t="str">
        <f t="shared" si="11"/>
        <v>PNOON</v>
      </c>
      <c r="AO42" s="241">
        <f t="shared" si="12"/>
        <v>42479.5</v>
      </c>
      <c r="AP42" s="45" t="s">
        <v>40</v>
      </c>
      <c r="AQ42" s="98"/>
      <c r="AR42" s="99"/>
      <c r="AS42" s="99"/>
      <c r="AT42" s="100"/>
      <c r="AU42" s="101"/>
      <c r="AV42" s="100"/>
      <c r="AW42" s="101"/>
      <c r="AX42" s="101"/>
      <c r="AY42" s="99"/>
      <c r="AZ42" s="102"/>
      <c r="BA42" s="102"/>
      <c r="BB42" s="103"/>
      <c r="BC42" s="104"/>
      <c r="BD42" s="98"/>
      <c r="BE42" s="105"/>
      <c r="BF42" s="104"/>
      <c r="BG42" s="115"/>
      <c r="BH42" s="104"/>
      <c r="BI42" s="98"/>
      <c r="BJ42" s="105"/>
      <c r="BK42" s="104"/>
      <c r="BL42" s="104"/>
      <c r="BM42" s="107"/>
      <c r="BN42" s="108"/>
      <c r="BO42" s="108"/>
      <c r="BP42" s="109"/>
      <c r="BQ42" s="110"/>
      <c r="BR42" s="108"/>
      <c r="BS42" s="109"/>
      <c r="BT42" s="109"/>
      <c r="BU42" s="107"/>
      <c r="BV42" s="111"/>
      <c r="BW42" s="98"/>
      <c r="BX42" s="113"/>
      <c r="BY42" s="113"/>
      <c r="BZ42" s="114"/>
      <c r="CA42" s="114"/>
      <c r="CB42" s="114"/>
      <c r="CC42" s="99"/>
      <c r="CD42" s="115"/>
      <c r="CE42" s="116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121"/>
      <c r="CQ42" s="121"/>
      <c r="CR42" s="100"/>
      <c r="CS42" s="121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customHeight="1" x14ac:dyDescent="0.25">
      <c r="A43" s="83" t="s">
        <v>103</v>
      </c>
      <c r="B43" s="442">
        <v>42480.5</v>
      </c>
      <c r="C43" s="453"/>
      <c r="D43" s="84"/>
      <c r="E43" s="23"/>
      <c r="F43" s="15"/>
      <c r="G43" s="213"/>
      <c r="H43" s="27" t="str">
        <f t="shared" si="2"/>
        <v/>
      </c>
      <c r="I43" s="216" t="str">
        <f t="shared" si="3"/>
        <v/>
      </c>
      <c r="J43" s="29">
        <f ca="1">IF($J$5&gt;=B43,"N/A",SUM(INDIRECT(ADDRESS(6+(MATCH($J$5,$B$6:$B$59,0)),8)):H43))</f>
        <v>0</v>
      </c>
      <c r="K43" s="10"/>
      <c r="L43" s="88"/>
      <c r="M43" s="4" t="str">
        <f t="shared" si="4"/>
        <v/>
      </c>
      <c r="N43" s="220" t="str">
        <f t="shared" si="0"/>
        <v/>
      </c>
      <c r="O43" s="30">
        <f ca="1">IF($O$5&gt;=B43,"N/A",SUM(INDIRECT(ADDRESS(6+(MATCH($O$5,$B$6:$B$59,0)),13)):M43))</f>
        <v>12.2</v>
      </c>
      <c r="P43" s="325"/>
      <c r="Q43" s="325"/>
      <c r="R43" s="325"/>
      <c r="S43" s="70" t="str">
        <f t="shared" si="5"/>
        <v>PNOON</v>
      </c>
      <c r="T43" s="241">
        <f t="shared" si="6"/>
        <v>42480.5</v>
      </c>
      <c r="U43" s="296"/>
      <c r="V43" s="297">
        <v>3.7</v>
      </c>
      <c r="W43" s="297">
        <v>3.1</v>
      </c>
      <c r="X43" s="199">
        <f t="shared" si="7"/>
        <v>6.8000000000000007</v>
      </c>
      <c r="Y43" s="159">
        <f t="shared" si="8"/>
        <v>999.49999999999977</v>
      </c>
      <c r="Z43" s="298"/>
      <c r="AA43" s="299"/>
      <c r="AB43" s="300"/>
      <c r="AC43" s="300"/>
      <c r="AD43" s="203">
        <f t="shared" si="1"/>
        <v>0</v>
      </c>
      <c r="AE43" s="150">
        <f t="shared" si="9"/>
        <v>74.570000000000007</v>
      </c>
      <c r="AF43" s="301"/>
      <c r="AG43" s="302">
        <v>3</v>
      </c>
      <c r="AH43" s="303"/>
      <c r="AI43" s="141">
        <f t="shared" si="13"/>
        <v>241</v>
      </c>
      <c r="AJ43" s="304">
        <v>57860</v>
      </c>
      <c r="AK43" s="316">
        <v>31900</v>
      </c>
      <c r="AL43" s="317">
        <v>8670</v>
      </c>
      <c r="AM43" s="237" t="e">
        <f t="shared" si="14"/>
        <v>#VALUE!</v>
      </c>
      <c r="AN43" s="70" t="str">
        <f t="shared" si="11"/>
        <v>PNOON</v>
      </c>
      <c r="AO43" s="241">
        <f t="shared" si="12"/>
        <v>42480.5</v>
      </c>
      <c r="AP43" s="45" t="s">
        <v>40</v>
      </c>
      <c r="AQ43" s="98"/>
      <c r="AR43" s="99"/>
      <c r="AS43" s="99"/>
      <c r="AT43" s="100"/>
      <c r="AU43" s="101"/>
      <c r="AV43" s="100"/>
      <c r="AW43" s="101"/>
      <c r="AX43" s="101"/>
      <c r="AY43" s="99"/>
      <c r="AZ43" s="102"/>
      <c r="BA43" s="102"/>
      <c r="BB43" s="103"/>
      <c r="BC43" s="104"/>
      <c r="BD43" s="98"/>
      <c r="BE43" s="105"/>
      <c r="BF43" s="104"/>
      <c r="BG43" s="115"/>
      <c r="BH43" s="104"/>
      <c r="BI43" s="98"/>
      <c r="BJ43" s="105"/>
      <c r="BK43" s="104"/>
      <c r="BL43" s="104"/>
      <c r="BM43" s="107"/>
      <c r="BN43" s="108"/>
      <c r="BO43" s="108"/>
      <c r="BP43" s="109"/>
      <c r="BQ43" s="110"/>
      <c r="BR43" s="108"/>
      <c r="BS43" s="109"/>
      <c r="BT43" s="109"/>
      <c r="BU43" s="107"/>
      <c r="BV43" s="111"/>
      <c r="BW43" s="98"/>
      <c r="BX43" s="113"/>
      <c r="BY43" s="113"/>
      <c r="BZ43" s="114"/>
      <c r="CA43" s="114"/>
      <c r="CB43" s="114"/>
      <c r="CC43" s="99"/>
      <c r="CD43" s="115"/>
      <c r="CE43" s="116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121"/>
      <c r="CQ43" s="121"/>
      <c r="CR43" s="100"/>
      <c r="CS43" s="121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customHeight="1" x14ac:dyDescent="0.25">
      <c r="A44" s="83" t="s">
        <v>103</v>
      </c>
      <c r="B44" s="442">
        <v>42481.5</v>
      </c>
      <c r="C44" s="453"/>
      <c r="D44" s="84"/>
      <c r="E44" s="23"/>
      <c r="F44" s="15"/>
      <c r="G44" s="213"/>
      <c r="H44" s="27" t="str">
        <f t="shared" si="2"/>
        <v/>
      </c>
      <c r="I44" s="216" t="str">
        <f t="shared" si="3"/>
        <v/>
      </c>
      <c r="J44" s="29">
        <f ca="1">IF($J$5&gt;=B44,"N/A",SUM(INDIRECT(ADDRESS(6+(MATCH($J$5,$B$6:$B$59,0)),8)):H44))</f>
        <v>0</v>
      </c>
      <c r="K44" s="10"/>
      <c r="L44" s="88"/>
      <c r="M44" s="4" t="str">
        <f t="shared" si="4"/>
        <v/>
      </c>
      <c r="N44" s="220" t="str">
        <f t="shared" si="0"/>
        <v/>
      </c>
      <c r="O44" s="30">
        <f ca="1">IF($O$5&gt;=B44,"N/A",SUM(INDIRECT(ADDRESS(6+(MATCH($O$5,$B$6:$B$59,0)),13)):M44))</f>
        <v>12.2</v>
      </c>
      <c r="P44" s="325"/>
      <c r="Q44" s="325"/>
      <c r="R44" s="325"/>
      <c r="S44" s="70" t="str">
        <f t="shared" si="5"/>
        <v>PNOON</v>
      </c>
      <c r="T44" s="241">
        <f t="shared" si="6"/>
        <v>42481.5</v>
      </c>
      <c r="U44" s="296"/>
      <c r="V44" s="297">
        <v>3.7</v>
      </c>
      <c r="W44" s="297">
        <v>3</v>
      </c>
      <c r="X44" s="199">
        <f t="shared" si="7"/>
        <v>6.7</v>
      </c>
      <c r="Y44" s="159">
        <f t="shared" si="8"/>
        <v>992.79999999999973</v>
      </c>
      <c r="Z44" s="298"/>
      <c r="AA44" s="299"/>
      <c r="AB44" s="300"/>
      <c r="AC44" s="300"/>
      <c r="AD44" s="203">
        <f t="shared" si="1"/>
        <v>0</v>
      </c>
      <c r="AE44" s="150">
        <f t="shared" si="9"/>
        <v>74.570000000000007</v>
      </c>
      <c r="AF44" s="301"/>
      <c r="AG44" s="302">
        <v>3</v>
      </c>
      <c r="AH44" s="303"/>
      <c r="AI44" s="141">
        <f t="shared" si="13"/>
        <v>238</v>
      </c>
      <c r="AJ44" s="304">
        <v>57860</v>
      </c>
      <c r="AK44" s="316">
        <v>31900</v>
      </c>
      <c r="AL44" s="317">
        <v>8640</v>
      </c>
      <c r="AM44" s="237" t="e">
        <f t="shared" si="14"/>
        <v>#VALUE!</v>
      </c>
      <c r="AN44" s="70" t="str">
        <f t="shared" si="11"/>
        <v>PNOON</v>
      </c>
      <c r="AO44" s="241">
        <f t="shared" si="12"/>
        <v>42481.5</v>
      </c>
      <c r="AP44" s="45" t="s">
        <v>40</v>
      </c>
      <c r="AQ44" s="98"/>
      <c r="AR44" s="99"/>
      <c r="AS44" s="99"/>
      <c r="AT44" s="100"/>
      <c r="AU44" s="101"/>
      <c r="AV44" s="100"/>
      <c r="AW44" s="101"/>
      <c r="AX44" s="101"/>
      <c r="AY44" s="99"/>
      <c r="AZ44" s="102"/>
      <c r="BA44" s="102"/>
      <c r="BB44" s="103"/>
      <c r="BC44" s="104"/>
      <c r="BD44" s="98"/>
      <c r="BE44" s="105"/>
      <c r="BF44" s="104"/>
      <c r="BG44" s="115"/>
      <c r="BH44" s="104"/>
      <c r="BI44" s="98"/>
      <c r="BJ44" s="105"/>
      <c r="BK44" s="104"/>
      <c r="BL44" s="104"/>
      <c r="BM44" s="107"/>
      <c r="BN44" s="108"/>
      <c r="BO44" s="108"/>
      <c r="BP44" s="109"/>
      <c r="BQ44" s="110"/>
      <c r="BR44" s="108"/>
      <c r="BS44" s="109"/>
      <c r="BT44" s="109"/>
      <c r="BU44" s="107"/>
      <c r="BV44" s="111"/>
      <c r="BW44" s="98"/>
      <c r="BX44" s="113"/>
      <c r="BY44" s="113"/>
      <c r="BZ44" s="114"/>
      <c r="CA44" s="114"/>
      <c r="CB44" s="114"/>
      <c r="CC44" s="99"/>
      <c r="CD44" s="115"/>
      <c r="CE44" s="116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121"/>
      <c r="CQ44" s="121"/>
      <c r="CR44" s="100"/>
      <c r="CS44" s="121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customHeight="1" x14ac:dyDescent="0.25">
      <c r="A45" s="83" t="s">
        <v>103</v>
      </c>
      <c r="B45" s="442">
        <v>42482.5</v>
      </c>
      <c r="C45" s="453"/>
      <c r="D45" s="84"/>
      <c r="E45" s="23"/>
      <c r="F45" s="15"/>
      <c r="G45" s="213"/>
      <c r="H45" s="27" t="str">
        <f t="shared" si="2"/>
        <v/>
      </c>
      <c r="I45" s="216" t="str">
        <f t="shared" si="3"/>
        <v/>
      </c>
      <c r="J45" s="29">
        <f ca="1">IF($J$5&gt;=B45,"N/A",SUM(INDIRECT(ADDRESS(6+(MATCH($J$5,$B$6:$B$59,0)),8)):H45))</f>
        <v>0</v>
      </c>
      <c r="K45" s="10"/>
      <c r="L45" s="88"/>
      <c r="M45" s="4" t="str">
        <f t="shared" si="4"/>
        <v/>
      </c>
      <c r="N45" s="220" t="str">
        <f t="shared" si="0"/>
        <v/>
      </c>
      <c r="O45" s="30">
        <f ca="1">IF($O$5&gt;=B45,"N/A",SUM(INDIRECT(ADDRESS(6+(MATCH($O$5,$B$6:$B$59,0)),13)):M45))</f>
        <v>12.2</v>
      </c>
      <c r="P45" s="325"/>
      <c r="Q45" s="325"/>
      <c r="R45" s="325"/>
      <c r="S45" s="70" t="str">
        <f t="shared" si="5"/>
        <v>PNOON</v>
      </c>
      <c r="T45" s="241">
        <f t="shared" si="6"/>
        <v>42482.5</v>
      </c>
      <c r="U45" s="296"/>
      <c r="V45" s="297">
        <v>3.7</v>
      </c>
      <c r="W45" s="297">
        <v>3</v>
      </c>
      <c r="X45" s="199">
        <f t="shared" si="7"/>
        <v>6.7</v>
      </c>
      <c r="Y45" s="159">
        <f t="shared" si="8"/>
        <v>986.09999999999968</v>
      </c>
      <c r="Z45" s="298"/>
      <c r="AA45" s="299"/>
      <c r="AB45" s="300"/>
      <c r="AC45" s="300"/>
      <c r="AD45" s="203">
        <f t="shared" si="1"/>
        <v>0</v>
      </c>
      <c r="AE45" s="150">
        <f t="shared" si="9"/>
        <v>74.570000000000007</v>
      </c>
      <c r="AF45" s="301"/>
      <c r="AG45" s="302">
        <v>3</v>
      </c>
      <c r="AH45" s="303"/>
      <c r="AI45" s="141">
        <f t="shared" si="13"/>
        <v>235</v>
      </c>
      <c r="AJ45" s="304">
        <v>57860</v>
      </c>
      <c r="AK45" s="316">
        <v>31900</v>
      </c>
      <c r="AL45" s="317">
        <v>8610</v>
      </c>
      <c r="AM45" s="237" t="e">
        <f t="shared" si="14"/>
        <v>#VALUE!</v>
      </c>
      <c r="AN45" s="70" t="str">
        <f t="shared" si="11"/>
        <v>PNOON</v>
      </c>
      <c r="AO45" s="241">
        <f t="shared" si="12"/>
        <v>42482.5</v>
      </c>
      <c r="AP45" s="45" t="s">
        <v>40</v>
      </c>
      <c r="AQ45" s="98"/>
      <c r="AR45" s="99"/>
      <c r="AS45" s="99"/>
      <c r="AT45" s="100"/>
      <c r="AU45" s="101"/>
      <c r="AV45" s="100"/>
      <c r="AW45" s="101"/>
      <c r="AX45" s="101"/>
      <c r="AY45" s="99"/>
      <c r="AZ45" s="102"/>
      <c r="BA45" s="102"/>
      <c r="BB45" s="103"/>
      <c r="BC45" s="104"/>
      <c r="BD45" s="98"/>
      <c r="BE45" s="105"/>
      <c r="BF45" s="104"/>
      <c r="BG45" s="115"/>
      <c r="BH45" s="104"/>
      <c r="BI45" s="98"/>
      <c r="BJ45" s="105"/>
      <c r="BK45" s="104"/>
      <c r="BL45" s="104"/>
      <c r="BM45" s="107"/>
      <c r="BN45" s="108"/>
      <c r="BO45" s="108"/>
      <c r="BP45" s="109"/>
      <c r="BQ45" s="110"/>
      <c r="BR45" s="108"/>
      <c r="BS45" s="109"/>
      <c r="BT45" s="109"/>
      <c r="BU45" s="107"/>
      <c r="BV45" s="111"/>
      <c r="BW45" s="98"/>
      <c r="BX45" s="113"/>
      <c r="BY45" s="113"/>
      <c r="BZ45" s="114"/>
      <c r="CA45" s="114"/>
      <c r="CB45" s="114"/>
      <c r="CC45" s="99"/>
      <c r="CD45" s="115"/>
      <c r="CE45" s="116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121"/>
      <c r="CQ45" s="121"/>
      <c r="CR45" s="100"/>
      <c r="CS45" s="121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customHeight="1" x14ac:dyDescent="0.25">
      <c r="A46" s="83" t="s">
        <v>103</v>
      </c>
      <c r="B46" s="442">
        <v>42483.5</v>
      </c>
      <c r="C46" s="453"/>
      <c r="D46" s="84"/>
      <c r="E46" s="23"/>
      <c r="F46" s="15"/>
      <c r="G46" s="213"/>
      <c r="H46" s="27" t="str">
        <f t="shared" si="2"/>
        <v/>
      </c>
      <c r="I46" s="216" t="str">
        <f t="shared" si="3"/>
        <v/>
      </c>
      <c r="J46" s="29">
        <f ca="1">IF($J$5&gt;=B46,"N/A",SUM(INDIRECT(ADDRESS(6+(MATCH($J$5,$B$6:$B$59,0)),8)):H46))</f>
        <v>0</v>
      </c>
      <c r="K46" s="10"/>
      <c r="L46" s="88"/>
      <c r="M46" s="4" t="str">
        <f t="shared" si="4"/>
        <v/>
      </c>
      <c r="N46" s="220" t="str">
        <f t="shared" si="0"/>
        <v/>
      </c>
      <c r="O46" s="30">
        <f ca="1">IF($O$5&gt;=B46,"N/A",SUM(INDIRECT(ADDRESS(6+(MATCH($O$5,$B$6:$B$59,0)),13)):M46))</f>
        <v>12.2</v>
      </c>
      <c r="P46" s="325"/>
      <c r="Q46" s="325"/>
      <c r="R46" s="325"/>
      <c r="S46" s="70" t="str">
        <f t="shared" si="5"/>
        <v>PNOON</v>
      </c>
      <c r="T46" s="241">
        <f t="shared" si="6"/>
        <v>42483.5</v>
      </c>
      <c r="U46" s="296"/>
      <c r="V46" s="297">
        <v>3.7</v>
      </c>
      <c r="W46" s="297">
        <v>3</v>
      </c>
      <c r="X46" s="199">
        <f t="shared" si="7"/>
        <v>6.7</v>
      </c>
      <c r="Y46" s="159">
        <f t="shared" si="8"/>
        <v>979.39999999999964</v>
      </c>
      <c r="Z46" s="298"/>
      <c r="AA46" s="299"/>
      <c r="AB46" s="300"/>
      <c r="AC46" s="300"/>
      <c r="AD46" s="203">
        <f t="shared" si="1"/>
        <v>0</v>
      </c>
      <c r="AE46" s="150">
        <f t="shared" si="9"/>
        <v>74.570000000000007</v>
      </c>
      <c r="AF46" s="301"/>
      <c r="AG46" s="302">
        <v>3</v>
      </c>
      <c r="AH46" s="303"/>
      <c r="AI46" s="141">
        <f t="shared" si="13"/>
        <v>232</v>
      </c>
      <c r="AJ46" s="304">
        <v>57860</v>
      </c>
      <c r="AK46" s="316">
        <v>31900</v>
      </c>
      <c r="AL46" s="317">
        <v>8580</v>
      </c>
      <c r="AM46" s="237" t="e">
        <f t="shared" si="14"/>
        <v>#VALUE!</v>
      </c>
      <c r="AN46" s="70" t="str">
        <f t="shared" si="11"/>
        <v>PNOON</v>
      </c>
      <c r="AO46" s="241">
        <f t="shared" si="12"/>
        <v>42483.5</v>
      </c>
      <c r="AP46" s="45" t="s">
        <v>40</v>
      </c>
      <c r="AQ46" s="98"/>
      <c r="AR46" s="99"/>
      <c r="AS46" s="99"/>
      <c r="AT46" s="100"/>
      <c r="AU46" s="101"/>
      <c r="AV46" s="100"/>
      <c r="AW46" s="101"/>
      <c r="AX46" s="101"/>
      <c r="AY46" s="99"/>
      <c r="AZ46" s="102"/>
      <c r="BA46" s="102"/>
      <c r="BB46" s="103"/>
      <c r="BC46" s="104"/>
      <c r="BD46" s="98"/>
      <c r="BE46" s="105"/>
      <c r="BF46" s="104"/>
      <c r="BG46" s="115"/>
      <c r="BH46" s="104"/>
      <c r="BI46" s="98"/>
      <c r="BJ46" s="105"/>
      <c r="BK46" s="104"/>
      <c r="BL46" s="104"/>
      <c r="BM46" s="107"/>
      <c r="BN46" s="108"/>
      <c r="BO46" s="108"/>
      <c r="BP46" s="109"/>
      <c r="BQ46" s="110"/>
      <c r="BR46" s="108"/>
      <c r="BS46" s="109"/>
      <c r="BT46" s="109"/>
      <c r="BU46" s="107"/>
      <c r="BV46" s="111"/>
      <c r="BW46" s="98"/>
      <c r="BX46" s="113"/>
      <c r="BY46" s="113"/>
      <c r="BZ46" s="114"/>
      <c r="CA46" s="114"/>
      <c r="CB46" s="114"/>
      <c r="CC46" s="99"/>
      <c r="CD46" s="115"/>
      <c r="CE46" s="116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121"/>
      <c r="CQ46" s="121"/>
      <c r="CR46" s="100"/>
      <c r="CS46" s="121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customHeight="1" x14ac:dyDescent="0.25">
      <c r="A47" s="83" t="s">
        <v>103</v>
      </c>
      <c r="B47" s="442">
        <v>42484.5</v>
      </c>
      <c r="C47" s="453"/>
      <c r="D47" s="84"/>
      <c r="E47" s="23"/>
      <c r="F47" s="15"/>
      <c r="G47" s="213"/>
      <c r="H47" s="27" t="str">
        <f t="shared" si="2"/>
        <v/>
      </c>
      <c r="I47" s="216" t="str">
        <f t="shared" si="3"/>
        <v/>
      </c>
      <c r="J47" s="29">
        <f ca="1">IF($J$5&gt;=B47,"N/A",SUM(INDIRECT(ADDRESS(6+(MATCH($J$5,$B$6:$B$59,0)),8)):H47))</f>
        <v>0</v>
      </c>
      <c r="K47" s="10"/>
      <c r="L47" s="88"/>
      <c r="M47" s="4" t="str">
        <f t="shared" si="4"/>
        <v/>
      </c>
      <c r="N47" s="220" t="str">
        <f t="shared" si="0"/>
        <v/>
      </c>
      <c r="O47" s="30">
        <f ca="1">IF($O$5&gt;=B47,"N/A",SUM(INDIRECT(ADDRESS(6+(MATCH($O$5,$B$6:$B$59,0)),13)):M47))</f>
        <v>12.2</v>
      </c>
      <c r="P47" s="325"/>
      <c r="Q47" s="325"/>
      <c r="R47" s="325"/>
      <c r="S47" s="70" t="str">
        <f t="shared" si="5"/>
        <v>PNOON</v>
      </c>
      <c r="T47" s="241">
        <f t="shared" si="6"/>
        <v>42484.5</v>
      </c>
      <c r="U47" s="296"/>
      <c r="V47" s="297">
        <v>3.8</v>
      </c>
      <c r="W47" s="297">
        <v>3.1</v>
      </c>
      <c r="X47" s="199">
        <f t="shared" si="7"/>
        <v>6.9</v>
      </c>
      <c r="Y47" s="159">
        <f t="shared" si="8"/>
        <v>972.49999999999966</v>
      </c>
      <c r="Z47" s="298"/>
      <c r="AA47" s="299"/>
      <c r="AB47" s="300"/>
      <c r="AC47" s="300"/>
      <c r="AD47" s="203">
        <f t="shared" si="1"/>
        <v>0</v>
      </c>
      <c r="AE47" s="150">
        <f t="shared" si="9"/>
        <v>74.570000000000007</v>
      </c>
      <c r="AF47" s="301"/>
      <c r="AG47" s="302">
        <v>3</v>
      </c>
      <c r="AH47" s="303"/>
      <c r="AI47" s="141">
        <f t="shared" si="13"/>
        <v>229</v>
      </c>
      <c r="AJ47" s="304">
        <v>57860</v>
      </c>
      <c r="AK47" s="316">
        <v>31900</v>
      </c>
      <c r="AL47" s="317">
        <v>8550</v>
      </c>
      <c r="AM47" s="237" t="e">
        <f t="shared" si="14"/>
        <v>#VALUE!</v>
      </c>
      <c r="AN47" s="70" t="str">
        <f t="shared" si="11"/>
        <v>PNOON</v>
      </c>
      <c r="AO47" s="241">
        <f t="shared" si="12"/>
        <v>42484.5</v>
      </c>
      <c r="AP47" s="45" t="s">
        <v>40</v>
      </c>
      <c r="AQ47" s="98"/>
      <c r="AR47" s="99"/>
      <c r="AS47" s="99"/>
      <c r="AT47" s="100"/>
      <c r="AU47" s="101"/>
      <c r="AV47" s="100"/>
      <c r="AW47" s="101"/>
      <c r="AX47" s="101"/>
      <c r="AY47" s="99"/>
      <c r="AZ47" s="102"/>
      <c r="BA47" s="102"/>
      <c r="BB47" s="103"/>
      <c r="BC47" s="104"/>
      <c r="BD47" s="98"/>
      <c r="BE47" s="105"/>
      <c r="BF47" s="104"/>
      <c r="BG47" s="115"/>
      <c r="BH47" s="104"/>
      <c r="BI47" s="98"/>
      <c r="BJ47" s="105"/>
      <c r="BK47" s="104"/>
      <c r="BL47" s="104"/>
      <c r="BM47" s="107"/>
      <c r="BN47" s="108"/>
      <c r="BO47" s="108"/>
      <c r="BP47" s="109"/>
      <c r="BQ47" s="110"/>
      <c r="BR47" s="108"/>
      <c r="BS47" s="109"/>
      <c r="BT47" s="109"/>
      <c r="BU47" s="107"/>
      <c r="BV47" s="111"/>
      <c r="BW47" s="98"/>
      <c r="BX47" s="113"/>
      <c r="BY47" s="113"/>
      <c r="BZ47" s="114"/>
      <c r="CA47" s="114"/>
      <c r="CB47" s="114"/>
      <c r="CC47" s="99"/>
      <c r="CD47" s="115"/>
      <c r="CE47" s="116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121"/>
      <c r="CQ47" s="121"/>
      <c r="CR47" s="100"/>
      <c r="CS47" s="121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customHeight="1" x14ac:dyDescent="0.25">
      <c r="A48" s="83" t="s">
        <v>103</v>
      </c>
      <c r="B48" s="442">
        <v>42485.5</v>
      </c>
      <c r="C48" s="453"/>
      <c r="D48" s="84"/>
      <c r="E48" s="23"/>
      <c r="F48" s="15"/>
      <c r="G48" s="213"/>
      <c r="H48" s="27" t="str">
        <f t="shared" si="2"/>
        <v/>
      </c>
      <c r="I48" s="216" t="str">
        <f t="shared" si="3"/>
        <v/>
      </c>
      <c r="J48" s="29">
        <f ca="1">IF($J$5&gt;=B48,"N/A",SUM(INDIRECT(ADDRESS(6+(MATCH($J$5,$B$6:$B$59,0)),8)):H48))</f>
        <v>0</v>
      </c>
      <c r="K48" s="10"/>
      <c r="L48" s="88"/>
      <c r="M48" s="4" t="str">
        <f t="shared" si="4"/>
        <v/>
      </c>
      <c r="N48" s="220" t="str">
        <f t="shared" si="0"/>
        <v/>
      </c>
      <c r="O48" s="30">
        <f ca="1">IF($O$5&gt;=B48,"N/A",SUM(INDIRECT(ADDRESS(6+(MATCH($O$5,$B$6:$B$59,0)),13)):M48))</f>
        <v>12.2</v>
      </c>
      <c r="P48" s="325"/>
      <c r="Q48" s="325"/>
      <c r="R48" s="325"/>
      <c r="S48" s="70" t="str">
        <f t="shared" si="5"/>
        <v>PNOON</v>
      </c>
      <c r="T48" s="241">
        <f t="shared" si="6"/>
        <v>42485.5</v>
      </c>
      <c r="U48" s="296"/>
      <c r="V48" s="297">
        <v>3.7</v>
      </c>
      <c r="W48" s="297">
        <v>3</v>
      </c>
      <c r="X48" s="199">
        <f t="shared" si="7"/>
        <v>6.7</v>
      </c>
      <c r="Y48" s="159">
        <f t="shared" si="8"/>
        <v>965.79999999999961</v>
      </c>
      <c r="Z48" s="298"/>
      <c r="AA48" s="299"/>
      <c r="AB48" s="300"/>
      <c r="AC48" s="300"/>
      <c r="AD48" s="203">
        <f t="shared" si="1"/>
        <v>0</v>
      </c>
      <c r="AE48" s="150">
        <f t="shared" si="9"/>
        <v>74.570000000000007</v>
      </c>
      <c r="AF48" s="301"/>
      <c r="AG48" s="302">
        <v>3</v>
      </c>
      <c r="AH48" s="303"/>
      <c r="AI48" s="141">
        <f t="shared" si="13"/>
        <v>226</v>
      </c>
      <c r="AJ48" s="304">
        <v>57860</v>
      </c>
      <c r="AK48" s="316">
        <v>31900</v>
      </c>
      <c r="AL48" s="317">
        <v>8520</v>
      </c>
      <c r="AM48" s="237" t="e">
        <f t="shared" si="14"/>
        <v>#VALUE!</v>
      </c>
      <c r="AN48" s="70" t="str">
        <f t="shared" si="11"/>
        <v>PNOON</v>
      </c>
      <c r="AO48" s="241">
        <f t="shared" si="12"/>
        <v>42485.5</v>
      </c>
      <c r="AP48" s="45" t="s">
        <v>40</v>
      </c>
      <c r="AQ48" s="98"/>
      <c r="AR48" s="99"/>
      <c r="AS48" s="99"/>
      <c r="AT48" s="100"/>
      <c r="AU48" s="101"/>
      <c r="AV48" s="100"/>
      <c r="AW48" s="101"/>
      <c r="AX48" s="101"/>
      <c r="AY48" s="99"/>
      <c r="AZ48" s="102"/>
      <c r="BA48" s="102"/>
      <c r="BB48" s="103"/>
      <c r="BC48" s="104"/>
      <c r="BD48" s="98"/>
      <c r="BE48" s="105"/>
      <c r="BF48" s="104"/>
      <c r="BG48" s="115"/>
      <c r="BH48" s="104"/>
      <c r="BI48" s="98"/>
      <c r="BJ48" s="105"/>
      <c r="BK48" s="104"/>
      <c r="BL48" s="104"/>
      <c r="BM48" s="107"/>
      <c r="BN48" s="108"/>
      <c r="BO48" s="108"/>
      <c r="BP48" s="109"/>
      <c r="BQ48" s="110"/>
      <c r="BR48" s="108"/>
      <c r="BS48" s="109"/>
      <c r="BT48" s="109"/>
      <c r="BU48" s="107"/>
      <c r="BV48" s="111"/>
      <c r="BW48" s="98"/>
      <c r="BX48" s="113"/>
      <c r="BY48" s="113"/>
      <c r="BZ48" s="114"/>
      <c r="CA48" s="114"/>
      <c r="CB48" s="114"/>
      <c r="CC48" s="99"/>
      <c r="CD48" s="115"/>
      <c r="CE48" s="116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121"/>
      <c r="CQ48" s="121"/>
      <c r="CR48" s="100"/>
      <c r="CS48" s="121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customHeight="1" x14ac:dyDescent="0.25">
      <c r="A49" s="83" t="s">
        <v>103</v>
      </c>
      <c r="B49" s="442">
        <v>42486.5</v>
      </c>
      <c r="C49" s="453"/>
      <c r="D49" s="84"/>
      <c r="E49" s="23"/>
      <c r="F49" s="15"/>
      <c r="G49" s="213"/>
      <c r="H49" s="27" t="str">
        <f t="shared" si="2"/>
        <v/>
      </c>
      <c r="I49" s="216" t="str">
        <f t="shared" si="3"/>
        <v/>
      </c>
      <c r="J49" s="29">
        <f ca="1">IF($J$5&gt;=B49,"N/A",SUM(INDIRECT(ADDRESS(6+(MATCH($J$5,$B$6:$B$59,0)),8)):H49))</f>
        <v>0</v>
      </c>
      <c r="K49" s="10"/>
      <c r="L49" s="88"/>
      <c r="M49" s="4" t="str">
        <f t="shared" si="4"/>
        <v/>
      </c>
      <c r="N49" s="220" t="str">
        <f t="shared" si="0"/>
        <v/>
      </c>
      <c r="O49" s="30">
        <f ca="1">IF($O$5&gt;=B49,"N/A",SUM(INDIRECT(ADDRESS(6+(MATCH($O$5,$B$6:$B$59,0)),13)):M49))</f>
        <v>12.2</v>
      </c>
      <c r="P49" s="325"/>
      <c r="Q49" s="325"/>
      <c r="R49" s="325"/>
      <c r="S49" s="70" t="str">
        <f t="shared" si="5"/>
        <v>PNOON</v>
      </c>
      <c r="T49" s="241">
        <f t="shared" si="6"/>
        <v>42486.5</v>
      </c>
      <c r="U49" s="296"/>
      <c r="V49" s="297">
        <v>3.8</v>
      </c>
      <c r="W49" s="297">
        <v>3</v>
      </c>
      <c r="X49" s="199">
        <f t="shared" si="7"/>
        <v>6.8</v>
      </c>
      <c r="Y49" s="159">
        <f t="shared" si="8"/>
        <v>958.99999999999966</v>
      </c>
      <c r="Z49" s="298"/>
      <c r="AA49" s="299"/>
      <c r="AB49" s="300"/>
      <c r="AC49" s="300"/>
      <c r="AD49" s="203">
        <f t="shared" si="1"/>
        <v>0</v>
      </c>
      <c r="AE49" s="150">
        <f t="shared" si="9"/>
        <v>74.570000000000007</v>
      </c>
      <c r="AF49" s="301"/>
      <c r="AG49" s="302">
        <v>3</v>
      </c>
      <c r="AH49" s="303"/>
      <c r="AI49" s="141">
        <f t="shared" si="13"/>
        <v>223</v>
      </c>
      <c r="AJ49" s="304">
        <v>57860</v>
      </c>
      <c r="AK49" s="316">
        <v>31900</v>
      </c>
      <c r="AL49" s="317">
        <v>8490</v>
      </c>
      <c r="AM49" s="237" t="e">
        <f t="shared" si="14"/>
        <v>#VALUE!</v>
      </c>
      <c r="AN49" s="70" t="str">
        <f t="shared" si="11"/>
        <v>PNOON</v>
      </c>
      <c r="AO49" s="241">
        <f t="shared" si="12"/>
        <v>42486.5</v>
      </c>
      <c r="AP49" s="45" t="s">
        <v>40</v>
      </c>
      <c r="AQ49" s="98"/>
      <c r="AR49" s="99"/>
      <c r="AS49" s="99"/>
      <c r="AT49" s="100"/>
      <c r="AU49" s="101"/>
      <c r="AV49" s="100"/>
      <c r="AW49" s="101"/>
      <c r="AX49" s="101"/>
      <c r="AY49" s="99"/>
      <c r="AZ49" s="102"/>
      <c r="BA49" s="102"/>
      <c r="BB49" s="103"/>
      <c r="BC49" s="104"/>
      <c r="BD49" s="98"/>
      <c r="BE49" s="105"/>
      <c r="BF49" s="104"/>
      <c r="BG49" s="115"/>
      <c r="BH49" s="104"/>
      <c r="BI49" s="98"/>
      <c r="BJ49" s="105"/>
      <c r="BK49" s="104"/>
      <c r="BL49" s="104"/>
      <c r="BM49" s="107"/>
      <c r="BN49" s="108"/>
      <c r="BO49" s="108"/>
      <c r="BP49" s="109"/>
      <c r="BQ49" s="110"/>
      <c r="BR49" s="108"/>
      <c r="BS49" s="109"/>
      <c r="BT49" s="109"/>
      <c r="BU49" s="107"/>
      <c r="BV49" s="111"/>
      <c r="BW49" s="98"/>
      <c r="BX49" s="113"/>
      <c r="BY49" s="113"/>
      <c r="BZ49" s="114"/>
      <c r="CA49" s="114"/>
      <c r="CB49" s="114"/>
      <c r="CC49" s="99"/>
      <c r="CD49" s="115"/>
      <c r="CE49" s="116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121"/>
      <c r="CQ49" s="121"/>
      <c r="CR49" s="100"/>
      <c r="CS49" s="121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customHeight="1" x14ac:dyDescent="0.25">
      <c r="A50" s="83" t="s">
        <v>103</v>
      </c>
      <c r="B50" s="442">
        <v>42487.5</v>
      </c>
      <c r="C50" s="453"/>
      <c r="D50" s="84"/>
      <c r="E50" s="23"/>
      <c r="F50" s="15"/>
      <c r="G50" s="213"/>
      <c r="H50" s="27" t="str">
        <f t="shared" si="2"/>
        <v/>
      </c>
      <c r="I50" s="216" t="str">
        <f t="shared" si="3"/>
        <v/>
      </c>
      <c r="J50" s="29">
        <f ca="1">IF($J$5&gt;=B50,"N/A",SUM(INDIRECT(ADDRESS(6+(MATCH($J$5,$B$6:$B$59,0)),8)):H50))</f>
        <v>0</v>
      </c>
      <c r="K50" s="10"/>
      <c r="L50" s="88"/>
      <c r="M50" s="4" t="str">
        <f t="shared" si="4"/>
        <v/>
      </c>
      <c r="N50" s="220" t="str">
        <f t="shared" si="0"/>
        <v/>
      </c>
      <c r="O50" s="30">
        <f ca="1">IF($O$5&gt;=B50,"N/A",SUM(INDIRECT(ADDRESS(6+(MATCH($O$5,$B$6:$B$59,0)),13)):M50))</f>
        <v>12.2</v>
      </c>
      <c r="P50" s="325"/>
      <c r="Q50" s="325"/>
      <c r="R50" s="325"/>
      <c r="S50" s="70" t="str">
        <f t="shared" si="5"/>
        <v>PNOON</v>
      </c>
      <c r="T50" s="241">
        <f t="shared" si="6"/>
        <v>42487.5</v>
      </c>
      <c r="U50" s="296"/>
      <c r="V50" s="297">
        <v>3.8</v>
      </c>
      <c r="W50" s="297">
        <v>3</v>
      </c>
      <c r="X50" s="199">
        <f t="shared" si="7"/>
        <v>6.8</v>
      </c>
      <c r="Y50" s="159">
        <f t="shared" si="8"/>
        <v>952.1999999999997</v>
      </c>
      <c r="Z50" s="298"/>
      <c r="AA50" s="299"/>
      <c r="AB50" s="300"/>
      <c r="AC50" s="300"/>
      <c r="AD50" s="203">
        <f t="shared" si="1"/>
        <v>0</v>
      </c>
      <c r="AE50" s="150">
        <f t="shared" si="9"/>
        <v>74.570000000000007</v>
      </c>
      <c r="AF50" s="301"/>
      <c r="AG50" s="302">
        <v>3</v>
      </c>
      <c r="AH50" s="303"/>
      <c r="AI50" s="141">
        <f t="shared" si="13"/>
        <v>220</v>
      </c>
      <c r="AJ50" s="304">
        <v>57860</v>
      </c>
      <c r="AK50" s="316">
        <v>31900</v>
      </c>
      <c r="AL50" s="317">
        <v>8460</v>
      </c>
      <c r="AM50" s="237" t="e">
        <f t="shared" si="14"/>
        <v>#VALUE!</v>
      </c>
      <c r="AN50" s="70" t="str">
        <f t="shared" si="11"/>
        <v>PNOON</v>
      </c>
      <c r="AO50" s="241">
        <f t="shared" si="12"/>
        <v>42487.5</v>
      </c>
      <c r="AP50" s="45" t="s">
        <v>40</v>
      </c>
      <c r="AQ50" s="98"/>
      <c r="AR50" s="99"/>
      <c r="AS50" s="99"/>
      <c r="AT50" s="100"/>
      <c r="AU50" s="101"/>
      <c r="AV50" s="100"/>
      <c r="AW50" s="101"/>
      <c r="AX50" s="101"/>
      <c r="AY50" s="99"/>
      <c r="AZ50" s="102"/>
      <c r="BA50" s="102"/>
      <c r="BB50" s="103"/>
      <c r="BC50" s="104"/>
      <c r="BD50" s="98"/>
      <c r="BE50" s="105"/>
      <c r="BF50" s="104"/>
      <c r="BG50" s="115"/>
      <c r="BH50" s="104"/>
      <c r="BI50" s="98"/>
      <c r="BJ50" s="105"/>
      <c r="BK50" s="104"/>
      <c r="BL50" s="104"/>
      <c r="BM50" s="107"/>
      <c r="BN50" s="108"/>
      <c r="BO50" s="108"/>
      <c r="BP50" s="109"/>
      <c r="BQ50" s="110"/>
      <c r="BR50" s="108"/>
      <c r="BS50" s="109"/>
      <c r="BT50" s="109"/>
      <c r="BU50" s="107"/>
      <c r="BV50" s="111"/>
      <c r="BW50" s="98"/>
      <c r="BX50" s="113"/>
      <c r="BY50" s="113"/>
      <c r="BZ50" s="114"/>
      <c r="CA50" s="114"/>
      <c r="CB50" s="114"/>
      <c r="CC50" s="99"/>
      <c r="CD50" s="115"/>
      <c r="CE50" s="116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121"/>
      <c r="CQ50" s="121"/>
      <c r="CR50" s="100"/>
      <c r="CS50" s="121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customHeight="1" x14ac:dyDescent="0.25">
      <c r="A51" s="83" t="s">
        <v>103</v>
      </c>
      <c r="B51" s="442">
        <v>42488.5</v>
      </c>
      <c r="C51" s="453"/>
      <c r="D51" s="84"/>
      <c r="E51" s="23"/>
      <c r="F51" s="15"/>
      <c r="G51" s="213"/>
      <c r="H51" s="27" t="str">
        <f t="shared" si="2"/>
        <v/>
      </c>
      <c r="I51" s="216" t="str">
        <f t="shared" si="3"/>
        <v/>
      </c>
      <c r="J51" s="29">
        <f ca="1">IF($J$5&gt;=B51,"N/A",SUM(INDIRECT(ADDRESS(6+(MATCH($J$5,$B$6:$B$59,0)),8)):H51))</f>
        <v>0</v>
      </c>
      <c r="K51" s="10"/>
      <c r="L51" s="88"/>
      <c r="M51" s="4" t="str">
        <f t="shared" si="4"/>
        <v/>
      </c>
      <c r="N51" s="220" t="str">
        <f t="shared" si="0"/>
        <v/>
      </c>
      <c r="O51" s="30">
        <f ca="1">IF($O$5&gt;=B51,"N/A",SUM(INDIRECT(ADDRESS(6+(MATCH($O$5,$B$6:$B$59,0)),13)):M51))</f>
        <v>12.2</v>
      </c>
      <c r="P51" s="325"/>
      <c r="Q51" s="325"/>
      <c r="R51" s="325"/>
      <c r="S51" s="70" t="str">
        <f t="shared" si="5"/>
        <v>PNOON</v>
      </c>
      <c r="T51" s="241">
        <f t="shared" si="6"/>
        <v>42488.5</v>
      </c>
      <c r="U51" s="296"/>
      <c r="V51" s="297">
        <v>3.8</v>
      </c>
      <c r="W51" s="297">
        <v>3.1</v>
      </c>
      <c r="X51" s="199">
        <f t="shared" si="7"/>
        <v>6.9</v>
      </c>
      <c r="Y51" s="159">
        <f t="shared" si="8"/>
        <v>945.29999999999973</v>
      </c>
      <c r="Z51" s="298"/>
      <c r="AA51" s="299"/>
      <c r="AB51" s="300"/>
      <c r="AC51" s="300"/>
      <c r="AD51" s="203">
        <f t="shared" si="1"/>
        <v>0</v>
      </c>
      <c r="AE51" s="150">
        <f t="shared" si="9"/>
        <v>74.570000000000007</v>
      </c>
      <c r="AF51" s="301"/>
      <c r="AG51" s="302">
        <v>3</v>
      </c>
      <c r="AH51" s="303"/>
      <c r="AI51" s="141">
        <f t="shared" si="13"/>
        <v>217</v>
      </c>
      <c r="AJ51" s="304">
        <v>57860</v>
      </c>
      <c r="AK51" s="316">
        <v>31900</v>
      </c>
      <c r="AL51" s="317">
        <v>8430</v>
      </c>
      <c r="AM51" s="237" t="e">
        <f t="shared" si="14"/>
        <v>#VALUE!</v>
      </c>
      <c r="AN51" s="70" t="str">
        <f t="shared" si="11"/>
        <v>PNOON</v>
      </c>
      <c r="AO51" s="241">
        <f t="shared" si="12"/>
        <v>42488.5</v>
      </c>
      <c r="AP51" s="45" t="s">
        <v>40</v>
      </c>
      <c r="AQ51" s="98"/>
      <c r="AR51" s="99"/>
      <c r="AS51" s="99"/>
      <c r="AT51" s="100"/>
      <c r="AU51" s="101"/>
      <c r="AV51" s="100"/>
      <c r="AW51" s="101"/>
      <c r="AX51" s="101"/>
      <c r="AY51" s="99"/>
      <c r="AZ51" s="102"/>
      <c r="BA51" s="102"/>
      <c r="BB51" s="103"/>
      <c r="BC51" s="104"/>
      <c r="BD51" s="98"/>
      <c r="BE51" s="105"/>
      <c r="BF51" s="104"/>
      <c r="BG51" s="115"/>
      <c r="BH51" s="104"/>
      <c r="BI51" s="98"/>
      <c r="BJ51" s="105"/>
      <c r="BK51" s="104"/>
      <c r="BL51" s="104"/>
      <c r="BM51" s="107"/>
      <c r="BN51" s="108"/>
      <c r="BO51" s="108"/>
      <c r="BP51" s="109"/>
      <c r="BQ51" s="110"/>
      <c r="BR51" s="108"/>
      <c r="BS51" s="109"/>
      <c r="BT51" s="109"/>
      <c r="BU51" s="107"/>
      <c r="BV51" s="111"/>
      <c r="BW51" s="98"/>
      <c r="BX51" s="113"/>
      <c r="BY51" s="113"/>
      <c r="BZ51" s="114"/>
      <c r="CA51" s="114"/>
      <c r="CB51" s="114"/>
      <c r="CC51" s="99"/>
      <c r="CD51" s="115"/>
      <c r="CE51" s="116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121"/>
      <c r="CQ51" s="121"/>
      <c r="CR51" s="100"/>
      <c r="CS51" s="121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customHeight="1" x14ac:dyDescent="0.25">
      <c r="A52" s="83" t="s">
        <v>103</v>
      </c>
      <c r="B52" s="442">
        <v>42489.5</v>
      </c>
      <c r="C52" s="453"/>
      <c r="D52" s="84"/>
      <c r="E52" s="23"/>
      <c r="F52" s="15"/>
      <c r="G52" s="213"/>
      <c r="H52" s="27" t="str">
        <f t="shared" si="2"/>
        <v/>
      </c>
      <c r="I52" s="216" t="str">
        <f t="shared" si="3"/>
        <v/>
      </c>
      <c r="J52" s="29">
        <f ca="1">IF($J$5&gt;=B52,"N/A",SUM(INDIRECT(ADDRESS(6+(MATCH($J$5,$B$6:$B$59,0)),8)):H52))</f>
        <v>0</v>
      </c>
      <c r="K52" s="10"/>
      <c r="L52" s="88"/>
      <c r="M52" s="4" t="str">
        <f t="shared" si="4"/>
        <v/>
      </c>
      <c r="N52" s="220" t="str">
        <f t="shared" si="0"/>
        <v/>
      </c>
      <c r="O52" s="30">
        <f ca="1">IF($O$5&gt;=B52,"N/A",SUM(INDIRECT(ADDRESS(6+(MATCH($O$5,$B$6:$B$59,0)),13)):M52))</f>
        <v>12.2</v>
      </c>
      <c r="P52" s="325"/>
      <c r="Q52" s="325"/>
      <c r="R52" s="325"/>
      <c r="S52" s="70" t="str">
        <f t="shared" si="5"/>
        <v>PNOON</v>
      </c>
      <c r="T52" s="241">
        <f t="shared" si="6"/>
        <v>42489.5</v>
      </c>
      <c r="U52" s="296"/>
      <c r="V52" s="297">
        <v>3.8</v>
      </c>
      <c r="W52" s="297">
        <v>3</v>
      </c>
      <c r="X52" s="199">
        <f t="shared" si="7"/>
        <v>6.8</v>
      </c>
      <c r="Y52" s="159">
        <f t="shared" si="8"/>
        <v>938.49999999999977</v>
      </c>
      <c r="Z52" s="298"/>
      <c r="AA52" s="299"/>
      <c r="AB52" s="300"/>
      <c r="AC52" s="300"/>
      <c r="AD52" s="203">
        <f t="shared" si="1"/>
        <v>0</v>
      </c>
      <c r="AE52" s="150">
        <f t="shared" si="9"/>
        <v>74.570000000000007</v>
      </c>
      <c r="AF52" s="301"/>
      <c r="AG52" s="302">
        <v>3</v>
      </c>
      <c r="AH52" s="303"/>
      <c r="AI52" s="141">
        <f t="shared" si="13"/>
        <v>214</v>
      </c>
      <c r="AJ52" s="304">
        <v>57860</v>
      </c>
      <c r="AK52" s="316">
        <v>31900</v>
      </c>
      <c r="AL52" s="317">
        <v>8400</v>
      </c>
      <c r="AM52" s="237" t="e">
        <f t="shared" si="14"/>
        <v>#VALUE!</v>
      </c>
      <c r="AN52" s="70" t="str">
        <f t="shared" si="11"/>
        <v>PNOON</v>
      </c>
      <c r="AO52" s="241">
        <f t="shared" si="12"/>
        <v>42489.5</v>
      </c>
      <c r="AP52" s="45" t="s">
        <v>40</v>
      </c>
      <c r="AQ52" s="98"/>
      <c r="AR52" s="99"/>
      <c r="AS52" s="99"/>
      <c r="AT52" s="100"/>
      <c r="AU52" s="101"/>
      <c r="AV52" s="100"/>
      <c r="AW52" s="101"/>
      <c r="AX52" s="101"/>
      <c r="AY52" s="99"/>
      <c r="AZ52" s="102"/>
      <c r="BA52" s="102"/>
      <c r="BB52" s="103"/>
      <c r="BC52" s="104"/>
      <c r="BD52" s="98"/>
      <c r="BE52" s="105"/>
      <c r="BF52" s="104"/>
      <c r="BG52" s="115"/>
      <c r="BH52" s="104"/>
      <c r="BI52" s="98"/>
      <c r="BJ52" s="105"/>
      <c r="BK52" s="104"/>
      <c r="BL52" s="104"/>
      <c r="BM52" s="107"/>
      <c r="BN52" s="108"/>
      <c r="BO52" s="108"/>
      <c r="BP52" s="109"/>
      <c r="BQ52" s="110"/>
      <c r="BR52" s="108"/>
      <c r="BS52" s="109"/>
      <c r="BT52" s="109"/>
      <c r="BU52" s="107"/>
      <c r="BV52" s="111"/>
      <c r="BW52" s="98"/>
      <c r="BX52" s="113"/>
      <c r="BY52" s="113"/>
      <c r="BZ52" s="114"/>
      <c r="CA52" s="114"/>
      <c r="CB52" s="114"/>
      <c r="CC52" s="99"/>
      <c r="CD52" s="115"/>
      <c r="CE52" s="116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121"/>
      <c r="CQ52" s="121"/>
      <c r="CR52" s="100"/>
      <c r="CS52" s="121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customHeight="1" x14ac:dyDescent="0.25">
      <c r="A53" s="83" t="s">
        <v>103</v>
      </c>
      <c r="B53" s="442">
        <v>42490.5</v>
      </c>
      <c r="C53" s="453"/>
      <c r="D53" s="84"/>
      <c r="E53" s="23"/>
      <c r="F53" s="15"/>
      <c r="G53" s="213"/>
      <c r="H53" s="27" t="str">
        <f t="shared" si="2"/>
        <v/>
      </c>
      <c r="I53" s="216" t="str">
        <f t="shared" si="3"/>
        <v/>
      </c>
      <c r="J53" s="29">
        <f ca="1">IF($J$5&gt;=B53,"N/A",SUM(INDIRECT(ADDRESS(6+(MATCH($J$5,$B$6:$B$59,0)),8)):H53))</f>
        <v>0</v>
      </c>
      <c r="K53" s="10"/>
      <c r="L53" s="88"/>
      <c r="M53" s="4" t="str">
        <f t="shared" si="4"/>
        <v/>
      </c>
      <c r="N53" s="220" t="str">
        <f t="shared" si="0"/>
        <v/>
      </c>
      <c r="O53" s="30">
        <f ca="1">IF($O$5&gt;=B53,"N/A",SUM(INDIRECT(ADDRESS(6+(MATCH($O$5,$B$6:$B$59,0)),13)):M53))</f>
        <v>12.2</v>
      </c>
      <c r="P53" s="325"/>
      <c r="Q53" s="325"/>
      <c r="R53" s="325"/>
      <c r="S53" s="70" t="str">
        <f t="shared" si="5"/>
        <v>PNOON</v>
      </c>
      <c r="T53" s="241">
        <f t="shared" si="6"/>
        <v>42490.5</v>
      </c>
      <c r="U53" s="296"/>
      <c r="V53" s="297">
        <v>3.8</v>
      </c>
      <c r="W53" s="297">
        <v>2.9</v>
      </c>
      <c r="X53" s="199">
        <f t="shared" si="7"/>
        <v>6.6999999999999993</v>
      </c>
      <c r="Y53" s="159">
        <f t="shared" si="8"/>
        <v>931.79999999999973</v>
      </c>
      <c r="Z53" s="298"/>
      <c r="AA53" s="299"/>
      <c r="AB53" s="300"/>
      <c r="AC53" s="300"/>
      <c r="AD53" s="203">
        <f t="shared" si="1"/>
        <v>0</v>
      </c>
      <c r="AE53" s="150">
        <f t="shared" si="9"/>
        <v>74.570000000000007</v>
      </c>
      <c r="AF53" s="301"/>
      <c r="AG53" s="302">
        <v>3</v>
      </c>
      <c r="AH53" s="303"/>
      <c r="AI53" s="141">
        <f t="shared" si="13"/>
        <v>211</v>
      </c>
      <c r="AJ53" s="304">
        <v>57860</v>
      </c>
      <c r="AK53" s="316">
        <v>31900</v>
      </c>
      <c r="AL53" s="317">
        <v>8370</v>
      </c>
      <c r="AM53" s="237" t="e">
        <f t="shared" si="14"/>
        <v>#VALUE!</v>
      </c>
      <c r="AN53" s="70" t="str">
        <f t="shared" si="11"/>
        <v>PNOON</v>
      </c>
      <c r="AO53" s="241">
        <f t="shared" si="12"/>
        <v>42490.5</v>
      </c>
      <c r="AP53" s="45" t="s">
        <v>40</v>
      </c>
      <c r="AQ53" s="98"/>
      <c r="AR53" s="99"/>
      <c r="AS53" s="99"/>
      <c r="AT53" s="100"/>
      <c r="AU53" s="101"/>
      <c r="AV53" s="100"/>
      <c r="AW53" s="101"/>
      <c r="AX53" s="101"/>
      <c r="AY53" s="99"/>
      <c r="AZ53" s="102"/>
      <c r="BA53" s="102"/>
      <c r="BB53" s="103"/>
      <c r="BC53" s="104"/>
      <c r="BD53" s="98"/>
      <c r="BE53" s="105"/>
      <c r="BF53" s="104"/>
      <c r="BG53" s="115"/>
      <c r="BH53" s="104"/>
      <c r="BI53" s="98"/>
      <c r="BJ53" s="105"/>
      <c r="BK53" s="104"/>
      <c r="BL53" s="104"/>
      <c r="BM53" s="107"/>
      <c r="BN53" s="108"/>
      <c r="BO53" s="108"/>
      <c r="BP53" s="109"/>
      <c r="BQ53" s="110"/>
      <c r="BR53" s="108"/>
      <c r="BS53" s="109"/>
      <c r="BT53" s="109"/>
      <c r="BU53" s="107"/>
      <c r="BV53" s="111"/>
      <c r="BW53" s="98"/>
      <c r="BX53" s="113"/>
      <c r="BY53" s="113"/>
      <c r="BZ53" s="114"/>
      <c r="CA53" s="114"/>
      <c r="CB53" s="114"/>
      <c r="CC53" s="99"/>
      <c r="CD53" s="115"/>
      <c r="CE53" s="116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121"/>
      <c r="CQ53" s="121"/>
      <c r="CR53" s="100"/>
      <c r="CS53" s="121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customHeight="1" x14ac:dyDescent="0.25">
      <c r="A54" s="83" t="s">
        <v>103</v>
      </c>
      <c r="B54" s="442">
        <v>42491.5</v>
      </c>
      <c r="C54" s="453"/>
      <c r="D54" s="84"/>
      <c r="E54" s="23"/>
      <c r="F54" s="15"/>
      <c r="G54" s="213"/>
      <c r="H54" s="27" t="str">
        <f t="shared" si="2"/>
        <v/>
      </c>
      <c r="I54" s="216" t="str">
        <f t="shared" si="3"/>
        <v/>
      </c>
      <c r="J54" s="29">
        <f ca="1">IF($J$5&gt;=B54,"N/A",SUM(INDIRECT(ADDRESS(6+(MATCH($J$5,$B$6:$B$59,0)),8)):H54))</f>
        <v>0</v>
      </c>
      <c r="K54" s="10"/>
      <c r="L54" s="88"/>
      <c r="M54" s="4" t="str">
        <f t="shared" si="4"/>
        <v/>
      </c>
      <c r="N54" s="220" t="str">
        <f t="shared" si="0"/>
        <v/>
      </c>
      <c r="O54" s="30">
        <f ca="1">IF($O$5&gt;=B54,"N/A",SUM(INDIRECT(ADDRESS(6+(MATCH($O$5,$B$6:$B$59,0)),13)):M54))</f>
        <v>12.2</v>
      </c>
      <c r="P54" s="325"/>
      <c r="Q54" s="325"/>
      <c r="R54" s="325"/>
      <c r="S54" s="70" t="str">
        <f t="shared" si="5"/>
        <v>PNOON</v>
      </c>
      <c r="T54" s="241">
        <f t="shared" si="6"/>
        <v>42491.5</v>
      </c>
      <c r="U54" s="296"/>
      <c r="V54" s="297">
        <v>3.8</v>
      </c>
      <c r="W54" s="297">
        <v>2.9</v>
      </c>
      <c r="X54" s="199">
        <f t="shared" si="7"/>
        <v>6.6999999999999993</v>
      </c>
      <c r="Y54" s="159">
        <f t="shared" si="8"/>
        <v>925.09999999999968</v>
      </c>
      <c r="Z54" s="298"/>
      <c r="AA54" s="299"/>
      <c r="AB54" s="300"/>
      <c r="AC54" s="300"/>
      <c r="AD54" s="203">
        <f t="shared" si="1"/>
        <v>0</v>
      </c>
      <c r="AE54" s="150">
        <f t="shared" si="9"/>
        <v>74.570000000000007</v>
      </c>
      <c r="AF54" s="301"/>
      <c r="AG54" s="302">
        <v>3</v>
      </c>
      <c r="AH54" s="303"/>
      <c r="AI54" s="141">
        <f t="shared" si="13"/>
        <v>208</v>
      </c>
      <c r="AJ54" s="304">
        <v>57860</v>
      </c>
      <c r="AK54" s="316">
        <v>31900</v>
      </c>
      <c r="AL54" s="317">
        <v>8340</v>
      </c>
      <c r="AM54" s="237" t="e">
        <f t="shared" si="14"/>
        <v>#VALUE!</v>
      </c>
      <c r="AN54" s="70" t="str">
        <f t="shared" si="11"/>
        <v>PNOON</v>
      </c>
      <c r="AO54" s="241">
        <f t="shared" si="12"/>
        <v>42491.5</v>
      </c>
      <c r="AP54" s="45" t="s">
        <v>40</v>
      </c>
      <c r="AQ54" s="98"/>
      <c r="AR54" s="99"/>
      <c r="AS54" s="99"/>
      <c r="AT54" s="100"/>
      <c r="AU54" s="101"/>
      <c r="AV54" s="100"/>
      <c r="AW54" s="101"/>
      <c r="AX54" s="101"/>
      <c r="AY54" s="99"/>
      <c r="AZ54" s="102"/>
      <c r="BA54" s="102"/>
      <c r="BB54" s="103"/>
      <c r="BC54" s="104"/>
      <c r="BD54" s="98"/>
      <c r="BE54" s="105"/>
      <c r="BF54" s="104"/>
      <c r="BG54" s="115"/>
      <c r="BH54" s="104"/>
      <c r="BI54" s="98"/>
      <c r="BJ54" s="105"/>
      <c r="BK54" s="104"/>
      <c r="BL54" s="104"/>
      <c r="BM54" s="107"/>
      <c r="BN54" s="108"/>
      <c r="BO54" s="108"/>
      <c r="BP54" s="109"/>
      <c r="BQ54" s="110"/>
      <c r="BR54" s="108"/>
      <c r="BS54" s="109"/>
      <c r="BT54" s="109"/>
      <c r="BU54" s="107"/>
      <c r="BV54" s="111"/>
      <c r="BW54" s="98"/>
      <c r="BX54" s="113"/>
      <c r="BY54" s="113"/>
      <c r="BZ54" s="114"/>
      <c r="CA54" s="114"/>
      <c r="CB54" s="114"/>
      <c r="CC54" s="99"/>
      <c r="CD54" s="115"/>
      <c r="CE54" s="116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121"/>
      <c r="CQ54" s="121"/>
      <c r="CR54" s="100"/>
      <c r="CS54" s="121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customHeight="1" x14ac:dyDescent="0.25">
      <c r="A55" s="83" t="s">
        <v>103</v>
      </c>
      <c r="B55" s="442">
        <v>42492.5</v>
      </c>
      <c r="C55" s="453"/>
      <c r="D55" s="84"/>
      <c r="E55" s="23"/>
      <c r="F55" s="15"/>
      <c r="G55" s="213"/>
      <c r="H55" s="27" t="str">
        <f t="shared" si="2"/>
        <v/>
      </c>
      <c r="I55" s="216" t="str">
        <f t="shared" si="3"/>
        <v/>
      </c>
      <c r="J55" s="29">
        <f ca="1">IF($J$5&gt;=B55,"N/A",SUM(INDIRECT(ADDRESS(6+(MATCH($J$5,$B$6:$B$59,0)),8)):H55))</f>
        <v>0</v>
      </c>
      <c r="K55" s="10"/>
      <c r="L55" s="88"/>
      <c r="M55" s="4" t="str">
        <f t="shared" si="4"/>
        <v/>
      </c>
      <c r="N55" s="220" t="str">
        <f t="shared" si="0"/>
        <v/>
      </c>
      <c r="O55" s="30">
        <f ca="1">IF($O$5&gt;=B55,"N/A",SUM(INDIRECT(ADDRESS(6+(MATCH($O$5,$B$6:$B$59,0)),13)):M55))</f>
        <v>12.2</v>
      </c>
      <c r="P55" s="325"/>
      <c r="Q55" s="325"/>
      <c r="R55" s="325"/>
      <c r="S55" s="70" t="str">
        <f t="shared" si="5"/>
        <v>PNOON</v>
      </c>
      <c r="T55" s="241">
        <f t="shared" si="6"/>
        <v>42492.5</v>
      </c>
      <c r="U55" s="296"/>
      <c r="V55" s="297">
        <v>3.6</v>
      </c>
      <c r="W55" s="297">
        <v>2.9</v>
      </c>
      <c r="X55" s="199">
        <f t="shared" si="7"/>
        <v>6.5</v>
      </c>
      <c r="Y55" s="159">
        <f t="shared" si="8"/>
        <v>918.59999999999968</v>
      </c>
      <c r="Z55" s="298"/>
      <c r="AA55" s="299"/>
      <c r="AB55" s="300"/>
      <c r="AC55" s="300"/>
      <c r="AD55" s="203">
        <f t="shared" si="1"/>
        <v>0</v>
      </c>
      <c r="AE55" s="150">
        <f t="shared" si="9"/>
        <v>74.570000000000007</v>
      </c>
      <c r="AF55" s="301"/>
      <c r="AG55" s="302">
        <v>3</v>
      </c>
      <c r="AH55" s="303"/>
      <c r="AI55" s="141">
        <f t="shared" si="13"/>
        <v>205</v>
      </c>
      <c r="AJ55" s="304">
        <v>57860</v>
      </c>
      <c r="AK55" s="316">
        <v>31900</v>
      </c>
      <c r="AL55" s="317">
        <v>8310</v>
      </c>
      <c r="AM55" s="237" t="e">
        <f t="shared" si="14"/>
        <v>#VALUE!</v>
      </c>
      <c r="AN55" s="70" t="str">
        <f t="shared" si="11"/>
        <v>PNOON</v>
      </c>
      <c r="AO55" s="241">
        <f t="shared" si="12"/>
        <v>42492.5</v>
      </c>
      <c r="AP55" s="45" t="s">
        <v>40</v>
      </c>
      <c r="AQ55" s="98"/>
      <c r="AR55" s="99"/>
      <c r="AS55" s="99"/>
      <c r="AT55" s="100"/>
      <c r="AU55" s="101"/>
      <c r="AV55" s="100"/>
      <c r="AW55" s="101"/>
      <c r="AX55" s="101"/>
      <c r="AY55" s="99"/>
      <c r="AZ55" s="102"/>
      <c r="BA55" s="102"/>
      <c r="BB55" s="103"/>
      <c r="BC55" s="104"/>
      <c r="BD55" s="98"/>
      <c r="BE55" s="105"/>
      <c r="BF55" s="104"/>
      <c r="BG55" s="115"/>
      <c r="BH55" s="104"/>
      <c r="BI55" s="98"/>
      <c r="BJ55" s="105"/>
      <c r="BK55" s="104"/>
      <c r="BL55" s="104"/>
      <c r="BM55" s="107"/>
      <c r="BN55" s="108"/>
      <c r="BO55" s="108"/>
      <c r="BP55" s="109"/>
      <c r="BQ55" s="110"/>
      <c r="BR55" s="108"/>
      <c r="BS55" s="109"/>
      <c r="BT55" s="109"/>
      <c r="BU55" s="107"/>
      <c r="BV55" s="111"/>
      <c r="BW55" s="98"/>
      <c r="BX55" s="113"/>
      <c r="BY55" s="113"/>
      <c r="BZ55" s="114"/>
      <c r="CA55" s="114"/>
      <c r="CB55" s="114"/>
      <c r="CC55" s="99"/>
      <c r="CD55" s="115"/>
      <c r="CE55" s="116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121"/>
      <c r="CQ55" s="121"/>
      <c r="CR55" s="100"/>
      <c r="CS55" s="121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customHeight="1" x14ac:dyDescent="0.25">
      <c r="A56" s="83" t="s">
        <v>9</v>
      </c>
      <c r="B56" s="442">
        <v>42493.262499999997</v>
      </c>
      <c r="C56" s="453"/>
      <c r="D56" s="84"/>
      <c r="E56" s="23"/>
      <c r="F56" s="15"/>
      <c r="G56" s="213"/>
      <c r="H56" s="27" t="str">
        <f t="shared" si="2"/>
        <v/>
      </c>
      <c r="I56" s="216" t="str">
        <f t="shared" si="3"/>
        <v/>
      </c>
      <c r="J56" s="29">
        <f ca="1">IF($J$5&gt;=B56,"N/A",SUM(INDIRECT(ADDRESS(6+(MATCH($J$5,$B$6:$B$59,0)),8)):H56))</f>
        <v>0</v>
      </c>
      <c r="K56" s="10"/>
      <c r="L56" s="88"/>
      <c r="M56" s="4" t="str">
        <f t="shared" si="4"/>
        <v/>
      </c>
      <c r="N56" s="220" t="str">
        <f t="shared" si="0"/>
        <v/>
      </c>
      <c r="O56" s="30">
        <f ca="1">IF($O$5&gt;=B56,"N/A",SUM(INDIRECT(ADDRESS(6+(MATCH($O$5,$B$6:$B$59,0)),13)):M56))</f>
        <v>12.2</v>
      </c>
      <c r="P56" s="325"/>
      <c r="Q56" s="325"/>
      <c r="R56" s="325"/>
      <c r="S56" s="70" t="str">
        <f t="shared" si="5"/>
        <v>SBE</v>
      </c>
      <c r="T56" s="241">
        <f t="shared" si="6"/>
        <v>42493.262499999997</v>
      </c>
      <c r="U56" s="296"/>
      <c r="V56" s="297">
        <v>2.8</v>
      </c>
      <c r="W56" s="297">
        <v>2.2999999999999998</v>
      </c>
      <c r="X56" s="199">
        <f t="shared" si="7"/>
        <v>5.0999999999999996</v>
      </c>
      <c r="Y56" s="159">
        <f t="shared" si="8"/>
        <v>913.49999999999966</v>
      </c>
      <c r="Z56" s="298"/>
      <c r="AA56" s="299"/>
      <c r="AB56" s="300"/>
      <c r="AC56" s="300"/>
      <c r="AD56" s="203">
        <f t="shared" si="1"/>
        <v>0</v>
      </c>
      <c r="AE56" s="150">
        <f t="shared" si="9"/>
        <v>74.570000000000007</v>
      </c>
      <c r="AF56" s="301"/>
      <c r="AG56" s="302">
        <v>2</v>
      </c>
      <c r="AH56" s="303"/>
      <c r="AI56" s="141">
        <f t="shared" si="13"/>
        <v>203</v>
      </c>
      <c r="AJ56" s="304">
        <v>57860</v>
      </c>
      <c r="AK56" s="316">
        <v>31900</v>
      </c>
      <c r="AL56" s="317">
        <v>8290</v>
      </c>
      <c r="AM56" s="237" t="e">
        <f t="shared" si="14"/>
        <v>#VALUE!</v>
      </c>
      <c r="AN56" s="70" t="str">
        <f t="shared" si="11"/>
        <v>SBE</v>
      </c>
      <c r="AO56" s="241">
        <f t="shared" si="12"/>
        <v>42493.262499999997</v>
      </c>
      <c r="AP56" s="45" t="s">
        <v>40</v>
      </c>
      <c r="AQ56" s="98"/>
      <c r="AR56" s="99"/>
      <c r="AS56" s="99"/>
      <c r="AT56" s="100"/>
      <c r="AU56" s="101"/>
      <c r="AV56" s="100"/>
      <c r="AW56" s="101"/>
      <c r="AX56" s="101"/>
      <c r="AY56" s="99"/>
      <c r="AZ56" s="102"/>
      <c r="BA56" s="102"/>
      <c r="BB56" s="103"/>
      <c r="BC56" s="104"/>
      <c r="BD56" s="98"/>
      <c r="BE56" s="105"/>
      <c r="BF56" s="104"/>
      <c r="BG56" s="115"/>
      <c r="BH56" s="104"/>
      <c r="BI56" s="98"/>
      <c r="BJ56" s="105"/>
      <c r="BK56" s="104"/>
      <c r="BL56" s="104"/>
      <c r="BM56" s="107"/>
      <c r="BN56" s="108"/>
      <c r="BO56" s="108"/>
      <c r="BP56" s="109"/>
      <c r="BQ56" s="110"/>
      <c r="BR56" s="108"/>
      <c r="BS56" s="109"/>
      <c r="BT56" s="109"/>
      <c r="BU56" s="107"/>
      <c r="BV56" s="111"/>
      <c r="BW56" s="98"/>
      <c r="BX56" s="113"/>
      <c r="BY56" s="113"/>
      <c r="BZ56" s="114"/>
      <c r="CA56" s="114"/>
      <c r="CB56" s="114"/>
      <c r="CC56" s="99"/>
      <c r="CD56" s="115"/>
      <c r="CE56" s="116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121"/>
      <c r="CQ56" s="121"/>
      <c r="CR56" s="100"/>
      <c r="CS56" s="121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customHeight="1" x14ac:dyDescent="0.25">
      <c r="A57" s="83" t="s">
        <v>103</v>
      </c>
      <c r="B57" s="442">
        <v>42493.5</v>
      </c>
      <c r="C57" s="453"/>
      <c r="D57" s="84"/>
      <c r="E57" s="23"/>
      <c r="F57" s="15"/>
      <c r="G57" s="213"/>
      <c r="H57" s="27" t="str">
        <f t="shared" si="2"/>
        <v/>
      </c>
      <c r="I57" s="216" t="str">
        <f t="shared" si="3"/>
        <v/>
      </c>
      <c r="J57" s="29">
        <f ca="1">IF($J$5&gt;=B57,"N/A",SUM(INDIRECT(ADDRESS(6+(MATCH($J$5,$B$6:$B$59,0)),8)):H57))</f>
        <v>0</v>
      </c>
      <c r="K57" s="10"/>
      <c r="L57" s="88"/>
      <c r="M57" s="4" t="str">
        <f t="shared" si="4"/>
        <v/>
      </c>
      <c r="N57" s="220" t="str">
        <f t="shared" si="0"/>
        <v/>
      </c>
      <c r="O57" s="30">
        <f ca="1">IF($O$5&gt;=B57,"N/A",SUM(INDIRECT(ADDRESS(6+(MATCH($O$5,$B$6:$B$59,0)),13)):M57))</f>
        <v>12.2</v>
      </c>
      <c r="P57" s="325"/>
      <c r="Q57" s="325"/>
      <c r="R57" s="325"/>
      <c r="S57" s="70" t="str">
        <f t="shared" si="5"/>
        <v>PNOON</v>
      </c>
      <c r="T57" s="241">
        <f t="shared" si="6"/>
        <v>42493.5</v>
      </c>
      <c r="U57" s="296">
        <v>3.9</v>
      </c>
      <c r="V57" s="297">
        <v>1.3</v>
      </c>
      <c r="W57" s="297">
        <v>0.7</v>
      </c>
      <c r="X57" s="199">
        <f t="shared" si="7"/>
        <v>5.9</v>
      </c>
      <c r="Y57" s="159">
        <f t="shared" si="8"/>
        <v>907.59999999999968</v>
      </c>
      <c r="Z57" s="298"/>
      <c r="AA57" s="299"/>
      <c r="AB57" s="300"/>
      <c r="AC57" s="300"/>
      <c r="AD57" s="203">
        <f t="shared" si="1"/>
        <v>0</v>
      </c>
      <c r="AE57" s="150">
        <f t="shared" si="9"/>
        <v>74.570000000000007</v>
      </c>
      <c r="AF57" s="301"/>
      <c r="AG57" s="302">
        <v>1</v>
      </c>
      <c r="AH57" s="303"/>
      <c r="AI57" s="141">
        <f t="shared" si="13"/>
        <v>202</v>
      </c>
      <c r="AJ57" s="304">
        <v>57780</v>
      </c>
      <c r="AK57" s="316">
        <v>31900</v>
      </c>
      <c r="AL57" s="317">
        <v>8280</v>
      </c>
      <c r="AM57" s="237" t="e">
        <f t="shared" si="14"/>
        <v>#VALUE!</v>
      </c>
      <c r="AN57" s="70" t="str">
        <f t="shared" si="11"/>
        <v>PNOON</v>
      </c>
      <c r="AO57" s="241">
        <f t="shared" si="12"/>
        <v>42493.5</v>
      </c>
      <c r="AP57" s="45" t="s">
        <v>40</v>
      </c>
      <c r="AQ57" s="98"/>
      <c r="AR57" s="99"/>
      <c r="AS57" s="99"/>
      <c r="AT57" s="100"/>
      <c r="AU57" s="101"/>
      <c r="AV57" s="100"/>
      <c r="AW57" s="101"/>
      <c r="AX57" s="101"/>
      <c r="AY57" s="99"/>
      <c r="AZ57" s="102"/>
      <c r="BA57" s="102"/>
      <c r="BB57" s="103"/>
      <c r="BC57" s="104"/>
      <c r="BD57" s="98"/>
      <c r="BE57" s="105"/>
      <c r="BF57" s="104"/>
      <c r="BG57" s="115"/>
      <c r="BH57" s="104"/>
      <c r="BI57" s="98"/>
      <c r="BJ57" s="105"/>
      <c r="BK57" s="104"/>
      <c r="BL57" s="104"/>
      <c r="BM57" s="107"/>
      <c r="BN57" s="108"/>
      <c r="BO57" s="108"/>
      <c r="BP57" s="109"/>
      <c r="BQ57" s="110"/>
      <c r="BR57" s="108"/>
      <c r="BS57" s="109"/>
      <c r="BT57" s="109"/>
      <c r="BU57" s="107"/>
      <c r="BV57" s="111"/>
      <c r="BW57" s="98"/>
      <c r="BX57" s="113"/>
      <c r="BY57" s="113"/>
      <c r="BZ57" s="114"/>
      <c r="CA57" s="114"/>
      <c r="CB57" s="114"/>
      <c r="CC57" s="99"/>
      <c r="CD57" s="115"/>
      <c r="CE57" s="116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121"/>
      <c r="CQ57" s="121"/>
      <c r="CR57" s="100"/>
      <c r="CS57" s="121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customHeight="1" x14ac:dyDescent="0.25">
      <c r="A58" s="83" t="s">
        <v>10</v>
      </c>
      <c r="B58" s="442">
        <v>42493.583333333336</v>
      </c>
      <c r="C58" s="453"/>
      <c r="D58" s="84"/>
      <c r="E58" s="23"/>
      <c r="F58" s="15"/>
      <c r="G58" s="213"/>
      <c r="H58" s="27" t="str">
        <f t="shared" si="2"/>
        <v/>
      </c>
      <c r="I58" s="216" t="str">
        <f t="shared" si="3"/>
        <v/>
      </c>
      <c r="J58" s="29">
        <f ca="1">IF($J$5&gt;=B58,"N/A",SUM(INDIRECT(ADDRESS(6+(MATCH($J$5,$B$6:$B$59,0)),8)):H58))</f>
        <v>0</v>
      </c>
      <c r="K58" s="10"/>
      <c r="L58" s="88"/>
      <c r="M58" s="4" t="str">
        <f t="shared" si="4"/>
        <v/>
      </c>
      <c r="N58" s="220" t="str">
        <f t="shared" si="0"/>
        <v/>
      </c>
      <c r="O58" s="30">
        <f ca="1">IF($O$5&gt;=B58,"N/A",SUM(INDIRECT(ADDRESS(6+(MATCH($O$5,$B$6:$B$59,0)),13)):M58))</f>
        <v>12.2</v>
      </c>
      <c r="P58" s="325"/>
      <c r="Q58" s="325"/>
      <c r="R58" s="325"/>
      <c r="S58" s="70" t="str">
        <f t="shared" si="5"/>
        <v>FWE</v>
      </c>
      <c r="T58" s="241">
        <f t="shared" si="6"/>
        <v>42493.583333333336</v>
      </c>
      <c r="U58" s="296"/>
      <c r="V58" s="297">
        <v>0.5</v>
      </c>
      <c r="W58" s="297">
        <v>0.4</v>
      </c>
      <c r="X58" s="199">
        <f t="shared" si="7"/>
        <v>0.9</v>
      </c>
      <c r="Y58" s="159">
        <f t="shared" si="8"/>
        <v>906.6999999999997</v>
      </c>
      <c r="Z58" s="298"/>
      <c r="AA58" s="299"/>
      <c r="AB58" s="300"/>
      <c r="AC58" s="300"/>
      <c r="AD58" s="203">
        <f t="shared" si="1"/>
        <v>0</v>
      </c>
      <c r="AE58" s="150">
        <f t="shared" si="9"/>
        <v>74.570000000000007</v>
      </c>
      <c r="AF58" s="301"/>
      <c r="AG58" s="302">
        <v>0</v>
      </c>
      <c r="AH58" s="303"/>
      <c r="AI58" s="141">
        <f t="shared" si="13"/>
        <v>202</v>
      </c>
      <c r="AJ58" s="304">
        <v>57780</v>
      </c>
      <c r="AK58" s="316">
        <v>31900</v>
      </c>
      <c r="AL58" s="317">
        <v>8280</v>
      </c>
      <c r="AM58" s="237" t="e">
        <f t="shared" si="14"/>
        <v>#VALUE!</v>
      </c>
      <c r="AN58" s="70" t="str">
        <f t="shared" si="11"/>
        <v>FWE</v>
      </c>
      <c r="AO58" s="241">
        <f t="shared" si="12"/>
        <v>42493.583333333336</v>
      </c>
      <c r="AP58" s="45" t="s">
        <v>40</v>
      </c>
      <c r="AQ58" s="98"/>
      <c r="AR58" s="99"/>
      <c r="AS58" s="99"/>
      <c r="AT58" s="100"/>
      <c r="AU58" s="101"/>
      <c r="AV58" s="100"/>
      <c r="AW58" s="101"/>
      <c r="AX58" s="101"/>
      <c r="AY58" s="99"/>
      <c r="AZ58" s="102"/>
      <c r="BA58" s="102"/>
      <c r="BB58" s="103"/>
      <c r="BC58" s="104"/>
      <c r="BD58" s="98"/>
      <c r="BE58" s="105"/>
      <c r="BF58" s="104"/>
      <c r="BG58" s="115"/>
      <c r="BH58" s="104"/>
      <c r="BI58" s="98"/>
      <c r="BJ58" s="105"/>
      <c r="BK58" s="104"/>
      <c r="BL58" s="104"/>
      <c r="BM58" s="107"/>
      <c r="BN58" s="108"/>
      <c r="BO58" s="108"/>
      <c r="BP58" s="109"/>
      <c r="BQ58" s="110"/>
      <c r="BR58" s="108"/>
      <c r="BS58" s="109"/>
      <c r="BT58" s="109"/>
      <c r="BU58" s="107"/>
      <c r="BV58" s="111"/>
      <c r="BW58" s="98"/>
      <c r="BX58" s="113"/>
      <c r="BY58" s="113"/>
      <c r="BZ58" s="114"/>
      <c r="CA58" s="114"/>
      <c r="CB58" s="114"/>
      <c r="CC58" s="99"/>
      <c r="CD58" s="115"/>
      <c r="CE58" s="116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121"/>
      <c r="CQ58" s="121"/>
      <c r="CR58" s="100"/>
      <c r="CS58" s="121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customHeight="1" thickBot="1" x14ac:dyDescent="0.3">
      <c r="A59" s="267" t="s">
        <v>103</v>
      </c>
      <c r="B59" s="454">
        <v>42494.5</v>
      </c>
      <c r="C59" s="455"/>
      <c r="D59" s="86"/>
      <c r="E59" s="24"/>
      <c r="F59" s="95"/>
      <c r="G59" s="214"/>
      <c r="H59" s="27" t="str">
        <f t="shared" si="2"/>
        <v/>
      </c>
      <c r="I59" s="217" t="str">
        <f t="shared" si="3"/>
        <v/>
      </c>
      <c r="J59" s="29">
        <f ca="1">IF($J$5&gt;=B59,"N/A",SUM(INDIRECT(ADDRESS(6+(MATCH($J$5,$B$6:$B$59,0)),8)):H59))</f>
        <v>0</v>
      </c>
      <c r="K59" s="10"/>
      <c r="L59" s="89"/>
      <c r="M59" s="4" t="str">
        <f t="shared" si="4"/>
        <v/>
      </c>
      <c r="N59" s="221" t="str">
        <f t="shared" si="0"/>
        <v/>
      </c>
      <c r="O59" s="30">
        <f ca="1">IF($O$5&gt;=B59,"N/A",SUM(INDIRECT(ADDRESS(6+(MATCH($O$5,$B$6:$B$59,0)),13)):M59))</f>
        <v>12.2</v>
      </c>
      <c r="P59" s="326"/>
      <c r="Q59" s="326"/>
      <c r="R59" s="326"/>
      <c r="S59" s="71" t="str">
        <f t="shared" si="5"/>
        <v>PNOON</v>
      </c>
      <c r="T59" s="242">
        <f t="shared" si="6"/>
        <v>42494.5</v>
      </c>
      <c r="U59" s="305"/>
      <c r="V59" s="306">
        <v>3.8</v>
      </c>
      <c r="W59" s="306">
        <v>2.4</v>
      </c>
      <c r="X59" s="200">
        <f t="shared" si="7"/>
        <v>6.1999999999999993</v>
      </c>
      <c r="Y59" s="185">
        <f t="shared" si="8"/>
        <v>900.49999999999966</v>
      </c>
      <c r="Z59" s="307"/>
      <c r="AA59" s="308"/>
      <c r="AB59" s="309"/>
      <c r="AC59" s="309"/>
      <c r="AD59" s="204">
        <f t="shared" si="1"/>
        <v>0</v>
      </c>
      <c r="AE59" s="189">
        <f t="shared" si="9"/>
        <v>74.570000000000007</v>
      </c>
      <c r="AF59" s="310"/>
      <c r="AG59" s="311">
        <v>3</v>
      </c>
      <c r="AH59" s="312"/>
      <c r="AI59" s="193">
        <f t="shared" si="13"/>
        <v>199</v>
      </c>
      <c r="AJ59" s="313">
        <v>57780</v>
      </c>
      <c r="AK59" s="318">
        <v>31900</v>
      </c>
      <c r="AL59" s="319">
        <v>8250</v>
      </c>
      <c r="AM59" s="237" t="e">
        <f t="shared" si="14"/>
        <v>#VALUE!</v>
      </c>
      <c r="AN59" s="71" t="str">
        <f t="shared" si="11"/>
        <v>PNOON</v>
      </c>
      <c r="AO59" s="242">
        <f t="shared" si="12"/>
        <v>42494.5</v>
      </c>
      <c r="AP59" s="45" t="s">
        <v>40</v>
      </c>
      <c r="AQ59" s="98"/>
      <c r="AR59" s="99"/>
      <c r="AS59" s="99"/>
      <c r="AT59" s="100"/>
      <c r="AU59" s="101"/>
      <c r="AV59" s="100"/>
      <c r="AW59" s="101"/>
      <c r="AX59" s="101"/>
      <c r="AY59" s="99"/>
      <c r="AZ59" s="102"/>
      <c r="BA59" s="102"/>
      <c r="BB59" s="103"/>
      <c r="BC59" s="104"/>
      <c r="BD59" s="98"/>
      <c r="BE59" s="105"/>
      <c r="BF59" s="104"/>
      <c r="BG59" s="115"/>
      <c r="BH59" s="104"/>
      <c r="BI59" s="98"/>
      <c r="BJ59" s="105"/>
      <c r="BK59" s="104"/>
      <c r="BL59" s="104"/>
      <c r="BM59" s="107"/>
      <c r="BN59" s="108"/>
      <c r="BO59" s="108"/>
      <c r="BP59" s="109"/>
      <c r="BQ59" s="110"/>
      <c r="BR59" s="108"/>
      <c r="BS59" s="109"/>
      <c r="BT59" s="109"/>
      <c r="BU59" s="107"/>
      <c r="BV59" s="111"/>
      <c r="BW59" s="98"/>
      <c r="BX59" s="113"/>
      <c r="BY59" s="113"/>
      <c r="BZ59" s="114"/>
      <c r="CA59" s="114"/>
      <c r="CB59" s="114"/>
      <c r="CC59" s="99"/>
      <c r="CD59" s="115"/>
      <c r="CE59" s="116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121"/>
      <c r="CQ59" s="121"/>
      <c r="CR59" s="100"/>
      <c r="CS59" s="121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e">
        <f ca="1">INDIRECT(ADDRESS(5+$U$61,1))</f>
        <v>#N/A</v>
      </c>
      <c r="L61" s="462">
        <v>42454.75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 t="e">
        <f>MATCH(L61,B6:B59,0)</f>
        <v>#N/A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>
        <f>MATCH(B6,B6:B59,0)</f>
        <v>1</v>
      </c>
      <c r="C62" s="72" t="e">
        <f>MATCH(L61,B6:B59,0)</f>
        <v>#N/A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277"/>
      <c r="H63" s="33" t="s">
        <v>2</v>
      </c>
      <c r="I63" s="210" t="s">
        <v>4</v>
      </c>
      <c r="J63" s="77"/>
      <c r="K63" s="275"/>
      <c r="L63" s="78"/>
      <c r="M63" s="78" t="s">
        <v>28</v>
      </c>
      <c r="N63" s="210" t="s">
        <v>4</v>
      </c>
      <c r="O63" s="77"/>
      <c r="P63" s="279" t="s">
        <v>0</v>
      </c>
      <c r="Q63" s="278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 t="e">
        <f ca="1">SUM(E6:INDIRECT(ADDRESS(5+$C$62,5)))</f>
        <v>#N/A</v>
      </c>
      <c r="F64" s="13"/>
      <c r="G64" s="223"/>
      <c r="H64" s="16" t="e">
        <f ca="1">SUM(H6:INDIRECT(ADDRESS(5+$C$62,8)))</f>
        <v>#N/A</v>
      </c>
      <c r="I64" s="222" t="e">
        <f ca="1">H64/E64</f>
        <v>#N/A</v>
      </c>
      <c r="J64" s="17"/>
      <c r="K64" s="8"/>
      <c r="L64" s="171"/>
      <c r="M64" s="11" t="e">
        <f ca="1">SUM(M6:INDIRECT(ADDRESS(5+$C$62,13)))</f>
        <v>#N/A</v>
      </c>
      <c r="N64" s="12" t="e">
        <f ca="1">M64/E64</f>
        <v>#N/A</v>
      </c>
      <c r="O64" s="172"/>
      <c r="P64" s="173"/>
      <c r="Q64" s="173"/>
      <c r="R64" s="174" t="e">
        <f ca="1">SUM(R6:INDIRECT(ADDRESS(5+$C$62,18)))</f>
        <v>#N/A</v>
      </c>
      <c r="S64" s="458">
        <f>L61</f>
        <v>42454.75</v>
      </c>
      <c r="T64" s="459"/>
      <c r="U64" s="151" t="e">
        <f ca="1">SUM(U6:INDIRECT(ADDRESS(5+$C$62,21)))</f>
        <v>#N/A</v>
      </c>
      <c r="V64" s="152" t="e">
        <f ca="1">SUM(V6:INDIRECT(ADDRESS(5+$C$62,22)))</f>
        <v>#N/A</v>
      </c>
      <c r="W64" s="152" t="e">
        <f ca="1">SUM(W6:INDIRECT(ADDRESS(5+$C$62,23)))</f>
        <v>#N/A</v>
      </c>
      <c r="X64" s="197" t="e">
        <f ca="1">SUM(X6:INDIRECT(ADDRESS(5+$C$62,24)))</f>
        <v>#N/A</v>
      </c>
      <c r="Y64" s="153" t="e">
        <f ca="1">INDIRECT(ADDRESS(5+$C$62,25))</f>
        <v>#N/A</v>
      </c>
      <c r="Z64" s="169" t="e">
        <f ca="1">SUM(Z6:INDIRECT(ADDRESS(5+$C$62,26)))</f>
        <v>#N/A</v>
      </c>
      <c r="AA64" s="142" t="e">
        <f ca="1">SUM(AA6:INDIRECT(ADDRESS(5+$C$62,27)))</f>
        <v>#N/A</v>
      </c>
      <c r="AB64" s="143" t="e">
        <f ca="1">SUM(AB6:INDIRECT(ADDRESS(5+$C$62,28)))</f>
        <v>#N/A</v>
      </c>
      <c r="AC64" s="143" t="e">
        <f ca="1">SUM(AC6:INDIRECT(ADDRESS(5+$C$62,29)))</f>
        <v>#N/A</v>
      </c>
      <c r="AD64" s="201" t="e">
        <f ca="1">SUM(AD6:INDIRECT(ADDRESS(5+$C$62,30)))</f>
        <v>#N/A</v>
      </c>
      <c r="AE64" s="144" t="e">
        <f ca="1">INDIRECT(ADDRESS(5+$C$62,31))</f>
        <v>#N/A</v>
      </c>
      <c r="AF64" s="170" t="e">
        <f ca="1">SUM(AF6:INDIRECT(ADDRESS(5+$C$62,32)))</f>
        <v>#N/A</v>
      </c>
      <c r="AG64" s="133" t="e">
        <f ca="1">SUM(AG6:INDIRECT(ADDRESS(5+$C$62,33)))</f>
        <v>#N/A</v>
      </c>
      <c r="AH64" s="134" t="e">
        <f ca="1">SUM(AH6:INDIRECT(ADDRESS(5+$C$62,34)))</f>
        <v>#N/A</v>
      </c>
      <c r="AI64" s="135" t="e">
        <f ca="1">INDIRECT(ADDRESS(5+$C$62,35))</f>
        <v>#N/A</v>
      </c>
      <c r="AJ64" s="160" t="e">
        <f ca="1">INDIRECT(ADDRESS(5+$C$62,36))</f>
        <v>#N/A</v>
      </c>
      <c r="AK64" s="161" t="e">
        <f ca="1">INDIRECT(ADDRESS(5+$C$62,37))</f>
        <v>#N/A</v>
      </c>
      <c r="AL64" s="162" t="e">
        <f ca="1">INDIRECT(ADDRESS(5+$C$62,38))</f>
        <v>#N/A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PNOON</v>
      </c>
      <c r="F66" s="462">
        <v>42476.5</v>
      </c>
      <c r="G66" s="462"/>
      <c r="H66" s="462"/>
      <c r="I66" s="75" t="s">
        <v>95</v>
      </c>
      <c r="J66" s="75"/>
      <c r="K66" s="74" t="str">
        <f ca="1">INDIRECT(ADDRESS(5+$U$66,1))</f>
        <v>PNOON</v>
      </c>
      <c r="L66" s="462">
        <v>42477.5</v>
      </c>
      <c r="M66" s="462"/>
      <c r="N66" s="462"/>
      <c r="O66" s="211"/>
      <c r="P66" s="72"/>
      <c r="Q66" s="72"/>
      <c r="R66" s="72"/>
      <c r="S66" s="94"/>
      <c r="T66" s="207">
        <f>MATCH(F66,B6:B59,0)</f>
        <v>32</v>
      </c>
      <c r="U66" s="206">
        <f>MATCH(L66,B6:B59,0)</f>
        <v>35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32</v>
      </c>
      <c r="C67" s="72">
        <f>MATCH(L66,B6:B59,0)</f>
        <v>35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42476.5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277"/>
      <c r="H68" s="33" t="s">
        <v>2</v>
      </c>
      <c r="I68" s="210" t="s">
        <v>4</v>
      </c>
      <c r="J68" s="77"/>
      <c r="K68" s="275"/>
      <c r="L68" s="78"/>
      <c r="M68" s="78" t="s">
        <v>28</v>
      </c>
      <c r="N68" s="210" t="s">
        <v>4</v>
      </c>
      <c r="O68" s="77"/>
      <c r="P68" s="279" t="s">
        <v>0</v>
      </c>
      <c r="Q68" s="278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0</v>
      </c>
      <c r="F69" s="13"/>
      <c r="G69" s="223"/>
      <c r="H69" s="16">
        <f ca="1">SUM(INDIRECT(ADDRESS(6+$B$67,8)):INDIRECT(ADDRESS(5+$C$67,8)))</f>
        <v>0</v>
      </c>
      <c r="I69" s="222" t="e">
        <f ca="1">H69/E69</f>
        <v>#DIV/0!</v>
      </c>
      <c r="J69" s="17"/>
      <c r="K69" s="8"/>
      <c r="L69" s="171"/>
      <c r="M69" s="11">
        <f ca="1">SUM(INDIRECT(ADDRESS(6+$B$67,13)):INDIRECT(ADDRESS(5+$C$67,13)))</f>
        <v>0</v>
      </c>
      <c r="N69" s="12" t="e">
        <f ca="1">M69/E69</f>
        <v>#DIV/0!</v>
      </c>
      <c r="O69" s="172"/>
      <c r="P69" s="173"/>
      <c r="Q69" s="173"/>
      <c r="R69" s="174">
        <f ca="1">SUM(INDIRECT(ADDRESS(6+$B$67,18)):INDIRECT(ADDRESS(5+$C$67,18)))</f>
        <v>0</v>
      </c>
      <c r="S69" s="458">
        <f>L66</f>
        <v>42477.5</v>
      </c>
      <c r="T69" s="459"/>
      <c r="U69" s="151">
        <f ca="1">SUM(INDIRECT(ADDRESS(6+$B$67,21)):INDIRECT(ADDRESS(5+$C$67,21)))</f>
        <v>1.6</v>
      </c>
      <c r="V69" s="152">
        <f ca="1">SUM(INDIRECT(ADDRESS(6+$B$67,22)):INDIRECT(ADDRESS(5+$C$67,22)))</f>
        <v>4.5</v>
      </c>
      <c r="W69" s="152">
        <f ca="1">SUM(INDIRECT(ADDRESS(6+$B$67,23)):INDIRECT(ADDRESS(5+$C$67,23)))</f>
        <v>3.1000000000000005</v>
      </c>
      <c r="X69" s="197">
        <f ca="1">SUM(INDIRECT(ADDRESS(6+$B$67,24)):INDIRECT(ADDRESS(5+$C$67,24)))</f>
        <v>9.1999999999999993</v>
      </c>
      <c r="Y69" s="153">
        <f ca="1">INDIRECT(ADDRESS(5+$C$67,25))</f>
        <v>1020.1999999999997</v>
      </c>
      <c r="Z69" s="169">
        <f ca="1">SUM(INDIRECT(ADDRESS(6+$B$67,26)):INDIRECT(ADDRESS(5+$C$67,26)))</f>
        <v>0</v>
      </c>
      <c r="AA69" s="142">
        <f ca="1">SUM(INDIRECT(ADDRESS(6+$B$67,27)):INDIRECT(ADDRESS(5+$C$67,27)))</f>
        <v>3.1</v>
      </c>
      <c r="AB69" s="143">
        <f ca="1">SUM(INDIRECT(ADDRESS(6+$B$67,28)):INDIRECT(ADDRESS(5+$C$67,28)))</f>
        <v>0</v>
      </c>
      <c r="AC69" s="143">
        <f ca="1">SUM(INDIRECT(ADDRESS(6+$B$67,29)):INDIRECT(ADDRESS(5+$C$67,29)))</f>
        <v>0</v>
      </c>
      <c r="AD69" s="201">
        <f ca="1">SUM(INDIRECT(ADDRESS(6+$B$67,30)):INDIRECT(ADDRESS(5+$C$67,30)))</f>
        <v>3.1</v>
      </c>
      <c r="AE69" s="144">
        <f ca="1">INDIRECT(ADDRESS(5+$C$67,31))</f>
        <v>74.570000000000007</v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3</v>
      </c>
      <c r="AH69" s="134">
        <f ca="1">SUM(INDIRECT(ADDRESS(6+$B$67,34)):INDIRECT(ADDRESS(5+$C$67,34)))</f>
        <v>0</v>
      </c>
      <c r="AI69" s="135">
        <f ca="1">INDIRECT(ADDRESS(5+$C$67,35))</f>
        <v>250</v>
      </c>
      <c r="AJ69" s="160">
        <f ca="1">INDIRECT(ADDRESS(5+$C$67,36))</f>
        <v>57860</v>
      </c>
      <c r="AK69" s="161">
        <f ca="1">INDIRECT(ADDRESS(5+$C$67,37))</f>
        <v>31900</v>
      </c>
      <c r="AL69" s="162">
        <f ca="1">INDIRECT(ADDRESS(5+$C$67,38))</f>
        <v>8770</v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e">
        <f ca="1">INDIRECT(ADDRESS(5+$T$71,1))</f>
        <v>#N/A</v>
      </c>
      <c r="F71" s="462">
        <v>42219.5</v>
      </c>
      <c r="G71" s="462"/>
      <c r="H71" s="462"/>
      <c r="I71" s="75" t="s">
        <v>95</v>
      </c>
      <c r="J71" s="75"/>
      <c r="K71" s="74" t="e">
        <f ca="1">INDIRECT(ADDRESS(5+$U$71,1))</f>
        <v>#N/A</v>
      </c>
      <c r="L71" s="462">
        <v>42220.5</v>
      </c>
      <c r="M71" s="462"/>
      <c r="N71" s="462"/>
      <c r="O71" s="211"/>
      <c r="P71" s="72"/>
      <c r="Q71" s="72"/>
      <c r="R71" s="72"/>
      <c r="S71" s="94"/>
      <c r="T71" s="207" t="e">
        <f>MATCH(F71,B6:B59,0)</f>
        <v>#N/A</v>
      </c>
      <c r="U71" s="206" t="e">
        <f>MATCH(L71,B6:B59,0)</f>
        <v>#N/A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 t="e">
        <f>MATCH(F71,B6:B59,0)</f>
        <v>#N/A</v>
      </c>
      <c r="C72" s="72" t="e">
        <f>MATCH(L71,B6:B59,0)</f>
        <v>#N/A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42219.5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277"/>
      <c r="H73" s="33" t="s">
        <v>2</v>
      </c>
      <c r="I73" s="210" t="s">
        <v>4</v>
      </c>
      <c r="J73" s="77"/>
      <c r="K73" s="275"/>
      <c r="L73" s="78"/>
      <c r="M73" s="78" t="s">
        <v>28</v>
      </c>
      <c r="N73" s="210" t="s">
        <v>4</v>
      </c>
      <c r="O73" s="77"/>
      <c r="P73" s="279" t="s">
        <v>0</v>
      </c>
      <c r="Q73" s="278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 t="e">
        <f ca="1">SUM(INDIRECT(ADDRESS(6+$B$72,5)):INDIRECT(ADDRESS(5+$C$72,5)))</f>
        <v>#N/A</v>
      </c>
      <c r="F74" s="13"/>
      <c r="G74" s="223"/>
      <c r="H74" s="16" t="e">
        <f ca="1">SUM(INDIRECT(ADDRESS(6+$B$72,8)):INDIRECT(ADDRESS(5+$C$72,8)))</f>
        <v>#N/A</v>
      </c>
      <c r="I74" s="222" t="e">
        <f ca="1">H74/E74</f>
        <v>#N/A</v>
      </c>
      <c r="J74" s="17"/>
      <c r="K74" s="8"/>
      <c r="L74" s="171"/>
      <c r="M74" s="11" t="e">
        <f ca="1">SUM(INDIRECT(ADDRESS(6+$B$72,13)):INDIRECT(ADDRESS(5+$C$72,13)))</f>
        <v>#N/A</v>
      </c>
      <c r="N74" s="12" t="e">
        <f ca="1">M74/E74</f>
        <v>#N/A</v>
      </c>
      <c r="O74" s="172"/>
      <c r="P74" s="173"/>
      <c r="Q74" s="173"/>
      <c r="R74" s="174" t="e">
        <f ca="1">SUM(INDIRECT(ADDRESS(6+$B$72,18)):INDIRECT(ADDRESS(5+$C$72,18)))</f>
        <v>#N/A</v>
      </c>
      <c r="S74" s="458">
        <f>L71</f>
        <v>42220.5</v>
      </c>
      <c r="T74" s="459"/>
      <c r="U74" s="151" t="e">
        <f ca="1">SUM(INDIRECT(ADDRESS(6+$B$72,21)):INDIRECT(ADDRESS(5+$C$72,21)))</f>
        <v>#N/A</v>
      </c>
      <c r="V74" s="152" t="e">
        <f ca="1">SUM(INDIRECT(ADDRESS(6+$B$72,22)):INDIRECT(ADDRESS(5+$C$72,22)))</f>
        <v>#N/A</v>
      </c>
      <c r="W74" s="152" t="e">
        <f ca="1">SUM(INDIRECT(ADDRESS(6+$B$72,23)):INDIRECT(ADDRESS(5+$C$72,23)))</f>
        <v>#N/A</v>
      </c>
      <c r="X74" s="197" t="e">
        <f ca="1">SUM(INDIRECT(ADDRESS(6+$B$72,24)):INDIRECT(ADDRESS(5+$C$72,24)))</f>
        <v>#N/A</v>
      </c>
      <c r="Y74" s="153" t="e">
        <f ca="1">INDIRECT(ADDRESS(5+$C$72,25))</f>
        <v>#N/A</v>
      </c>
      <c r="Z74" s="169" t="e">
        <f ca="1">SUM(INDIRECT(ADDRESS(6+$B$72,26)):INDIRECT(ADDRESS(5+$C$72,26)))</f>
        <v>#N/A</v>
      </c>
      <c r="AA74" s="142" t="e">
        <f ca="1">SUM(INDIRECT(ADDRESS(6+$B$72,27)):INDIRECT(ADDRESS(5+$C$72,27)))</f>
        <v>#N/A</v>
      </c>
      <c r="AB74" s="143" t="e">
        <f ca="1">SUM(INDIRECT(ADDRESS(6+$B$72,28)):INDIRECT(ADDRESS(5+$C$72,28)))</f>
        <v>#N/A</v>
      </c>
      <c r="AC74" s="143" t="e">
        <f ca="1">SUM(INDIRECT(ADDRESS(6+$B$72,29)):INDIRECT(ADDRESS(5+$C$72,29)))</f>
        <v>#N/A</v>
      </c>
      <c r="AD74" s="201" t="e">
        <f ca="1">SUM(INDIRECT(ADDRESS(6+$B$72,30)):INDIRECT(ADDRESS(5+$C$72,30)))</f>
        <v>#N/A</v>
      </c>
      <c r="AE74" s="144" t="e">
        <f ca="1">INDIRECT(ADDRESS(5+$C$72,31))</f>
        <v>#N/A</v>
      </c>
      <c r="AF74" s="170" t="e">
        <f ca="1">SUM(INDIRECT(ADDRESS(6+$B$72,32)):INDIRECT(ADDRESS(5+$C$72,32)))</f>
        <v>#N/A</v>
      </c>
      <c r="AG74" s="133" t="e">
        <f ca="1">SUM(INDIRECT(ADDRESS(6+$B$72,33)):INDIRECT(ADDRESS(5+$C$72,33)))</f>
        <v>#N/A</v>
      </c>
      <c r="AH74" s="134" t="e">
        <f ca="1">SUM(INDIRECT(ADDRESS(6+$B$72,34)):INDIRECT(ADDRESS(5+$C$72,34)))</f>
        <v>#N/A</v>
      </c>
      <c r="AI74" s="135" t="e">
        <f ca="1">INDIRECT(ADDRESS(5+$C$72,35))</f>
        <v>#N/A</v>
      </c>
      <c r="AJ74" s="160" t="e">
        <f ca="1">INDIRECT(ADDRESS(5+$C$72,36))</f>
        <v>#N/A</v>
      </c>
      <c r="AK74" s="161" t="e">
        <f ca="1">INDIRECT(ADDRESS(5+$C$72,37))</f>
        <v>#N/A</v>
      </c>
      <c r="AL74" s="162" t="e">
        <f ca="1">INDIRECT(ADDRESS(5+$C$72,38))</f>
        <v>#N/A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sheet="1" objects="1" scenarios="1" selectLockedCells="1"/>
  <dataConsolidate/>
  <mergeCells count="141"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</mergeCells>
  <conditionalFormatting sqref="X6:X59">
    <cfRule type="cellIs" dxfId="103" priority="18" operator="notEqual">
      <formula>$U6+$V6+$W6</formula>
    </cfRule>
  </conditionalFormatting>
  <conditionalFormatting sqref="Y7:Y59">
    <cfRule type="cellIs" dxfId="102" priority="17" operator="notEqual">
      <formula>$Y6-$X7+$Z7</formula>
    </cfRule>
  </conditionalFormatting>
  <conditionalFormatting sqref="AD6:AD59">
    <cfRule type="cellIs" dxfId="101" priority="16" operator="notEqual">
      <formula>$AA6+$AB6+$AC6</formula>
    </cfRule>
  </conditionalFormatting>
  <conditionalFormatting sqref="AE7:AE59">
    <cfRule type="cellIs" dxfId="100" priority="15" operator="notEqual">
      <formula>$AE6-$AD7+$AF7</formula>
    </cfRule>
  </conditionalFormatting>
  <conditionalFormatting sqref="L66">
    <cfRule type="cellIs" dxfId="99" priority="14" operator="lessThan">
      <formula>$F$66</formula>
    </cfRule>
  </conditionalFormatting>
  <conditionalFormatting sqref="L71">
    <cfRule type="cellIs" dxfId="98" priority="13" operator="lessThan">
      <formula>$F$71</formula>
    </cfRule>
  </conditionalFormatting>
  <conditionalFormatting sqref="X64">
    <cfRule type="cellIs" dxfId="97" priority="12" operator="notEqual">
      <formula>$U64+$V64+$W64</formula>
    </cfRule>
  </conditionalFormatting>
  <conditionalFormatting sqref="Y64">
    <cfRule type="cellIs" dxfId="96" priority="11" operator="notEqual">
      <formula>$Y63-$X64+$Z64</formula>
    </cfRule>
  </conditionalFormatting>
  <conditionalFormatting sqref="AD64">
    <cfRule type="cellIs" dxfId="95" priority="10" operator="notEqual">
      <formula>$AA64+$AB64+$AC64</formula>
    </cfRule>
  </conditionalFormatting>
  <conditionalFormatting sqref="AE64">
    <cfRule type="cellIs" dxfId="94" priority="9" operator="notEqual">
      <formula>$AE63-$AD64+$AF64</formula>
    </cfRule>
  </conditionalFormatting>
  <conditionalFormatting sqref="X69">
    <cfRule type="cellIs" dxfId="93" priority="8" operator="notEqual">
      <formula>$U69+$V69+$W69</formula>
    </cfRule>
  </conditionalFormatting>
  <conditionalFormatting sqref="Y69">
    <cfRule type="cellIs" dxfId="92" priority="7" operator="notEqual">
      <formula>$Y68-$X69+$Z69</formula>
    </cfRule>
  </conditionalFormatting>
  <conditionalFormatting sqref="AD69">
    <cfRule type="cellIs" dxfId="91" priority="6" operator="notEqual">
      <formula>$AA69+$AB69+$AC69</formula>
    </cfRule>
  </conditionalFormatting>
  <conditionalFormatting sqref="AE69">
    <cfRule type="cellIs" dxfId="90" priority="5" operator="notEqual">
      <formula>$AE68-$AD69+$AF69</formula>
    </cfRule>
  </conditionalFormatting>
  <conditionalFormatting sqref="X74">
    <cfRule type="cellIs" dxfId="89" priority="4" operator="notEqual">
      <formula>$U74+$V74+$W74</formula>
    </cfRule>
  </conditionalFormatting>
  <conditionalFormatting sqref="Y74">
    <cfRule type="cellIs" dxfId="88" priority="3" operator="notEqual">
      <formula>$Y73-$X74+$Z74</formula>
    </cfRule>
  </conditionalFormatting>
  <conditionalFormatting sqref="AD74">
    <cfRule type="cellIs" dxfId="87" priority="2" operator="notEqual">
      <formula>$AA74+$AB74+$AC74</formula>
    </cfRule>
  </conditionalFormatting>
  <conditionalFormatting sqref="AE74">
    <cfRule type="cellIs" dxfId="86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1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93"/>
  <sheetViews>
    <sheetView zoomScale="75" zoomScaleNormal="75" workbookViewId="0">
      <pane xSplit="1" ySplit="5" topLeftCell="B57" activePane="bottomRight" state="frozen"/>
      <selection pane="topRight" activeCell="B1" sqref="B1"/>
      <selection pane="bottomLeft" activeCell="A6" sqref="A6"/>
      <selection pane="bottomRight" activeCell="L71" sqref="L71:N71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2" style="1" customWidth="1"/>
    <col min="22" max="22" width="12.85546875" style="1" customWidth="1"/>
    <col min="23" max="23" width="12" style="1" customWidth="1"/>
    <col min="24" max="24" width="13" style="1" customWidth="1"/>
    <col min="25" max="25" width="15" style="1" customWidth="1"/>
    <col min="26" max="26" width="11.7109375" style="1" customWidth="1"/>
    <col min="27" max="27" width="12" style="1" customWidth="1"/>
    <col min="28" max="28" width="12.85546875" style="1" customWidth="1"/>
    <col min="29" max="29" width="12" style="1" customWidth="1"/>
    <col min="30" max="30" width="13" style="1" customWidth="1"/>
    <col min="31" max="31" width="15" style="1" customWidth="1"/>
    <col min="32" max="32" width="11.7109375" style="1" customWidth="1"/>
    <col min="33" max="33" width="11.140625" style="1" customWidth="1"/>
    <col min="34" max="34" width="11.28515625" style="1" customWidth="1"/>
    <col min="35" max="35" width="13.5703125" style="1" customWidth="1"/>
    <col min="36" max="37" width="10.28515625" style="1" customWidth="1"/>
    <col min="38" max="38" width="9.7109375" style="1" customWidth="1"/>
    <col min="39" max="39" width="9.140625" style="1"/>
    <col min="40" max="40" width="14.7109375" style="1" customWidth="1"/>
    <col min="41" max="41" width="21.28515625" style="1" customWidth="1"/>
    <col min="42" max="42" width="19.42578125" style="1" customWidth="1"/>
    <col min="43" max="43" width="9.140625" style="1"/>
    <col min="44" max="44" width="9.140625" style="1" customWidth="1"/>
    <col min="45" max="45" width="0" style="1" hidden="1" customWidth="1"/>
    <col min="46" max="46" width="9.140625" style="1" hidden="1" customWidth="1"/>
    <col min="47" max="47" width="0" style="1" hidden="1" customWidth="1"/>
    <col min="48" max="50" width="9.140625" style="1" hidden="1" customWidth="1"/>
    <col min="51" max="51" width="9.140625" style="1"/>
    <col min="52" max="54" width="0" style="1" hidden="1" customWidth="1"/>
    <col min="55" max="56" width="9.140625" style="1"/>
    <col min="57" max="57" width="0" style="1" hidden="1" customWidth="1"/>
    <col min="58" max="58" width="9.140625" style="1"/>
    <col min="59" max="59" width="0" style="1" hidden="1" customWidth="1"/>
    <col min="60" max="61" width="9.140625" style="1"/>
    <col min="62" max="62" width="0" style="1" hidden="1" customWidth="1"/>
    <col min="63" max="64" width="9.140625" style="1"/>
    <col min="65" max="65" width="0" style="1" hidden="1" customWidth="1"/>
    <col min="66" max="68" width="9.140625" style="1"/>
    <col min="69" max="69" width="0" style="1" hidden="1" customWidth="1"/>
    <col min="70" max="73" width="9.140625" style="1"/>
    <col min="74" max="74" width="0" style="1" hidden="1" customWidth="1"/>
    <col min="75" max="75" width="9.140625" style="1"/>
    <col min="76" max="80" width="0" style="1" hidden="1" customWidth="1"/>
    <col min="81" max="81" width="9.140625" style="1"/>
    <col min="82" max="82" width="0" style="1" hidden="1" customWidth="1"/>
    <col min="83" max="83" width="9.140625" style="1"/>
    <col min="84" max="89" width="0" style="1" hidden="1" customWidth="1"/>
    <col min="90" max="90" width="9.140625" style="1"/>
    <col min="91" max="93" width="0" style="1" hidden="1" customWidth="1"/>
    <col min="94" max="95" width="9.140625" style="1"/>
    <col min="96" max="96" width="0" style="1" hidden="1" customWidth="1"/>
    <col min="97" max="16384" width="9.140625" style="1"/>
  </cols>
  <sheetData>
    <row r="1" spans="1:111" ht="3" customHeight="1" x14ac:dyDescent="0.25"/>
    <row r="2" spans="1:111" ht="9" customHeight="1" thickBot="1" x14ac:dyDescent="0.3">
      <c r="A2" s="411"/>
      <c r="B2" s="411"/>
      <c r="C2" s="411"/>
      <c r="D2" s="411"/>
      <c r="E2" s="411"/>
    </row>
    <row r="3" spans="1:111" ht="12.75" customHeight="1" thickBot="1" x14ac:dyDescent="0.3">
      <c r="AQ3" s="46"/>
      <c r="AR3" s="47"/>
      <c r="AS3" s="47"/>
      <c r="AT3" s="48"/>
      <c r="AU3" s="49"/>
      <c r="AV3" s="48"/>
      <c r="AW3" s="49"/>
      <c r="AX3" s="49"/>
      <c r="AY3" s="46"/>
      <c r="AZ3" s="50"/>
      <c r="BA3" s="50"/>
      <c r="BB3" s="51"/>
      <c r="BC3" s="49"/>
      <c r="BD3" s="47"/>
      <c r="BE3" s="51"/>
      <c r="BF3" s="49"/>
      <c r="BG3" s="52"/>
      <c r="BH3" s="49"/>
      <c r="BI3" s="47"/>
      <c r="BJ3" s="51"/>
      <c r="BK3" s="49"/>
      <c r="BL3" s="49"/>
      <c r="BM3" s="53"/>
      <c r="BN3" s="54"/>
      <c r="BO3" s="54"/>
      <c r="BP3" s="54"/>
      <c r="BQ3" s="48"/>
      <c r="BR3" s="54"/>
      <c r="BS3" s="54"/>
      <c r="BT3" s="54"/>
      <c r="BU3" s="53"/>
      <c r="BV3" s="52"/>
      <c r="BW3" s="47"/>
      <c r="BX3" s="47"/>
      <c r="BY3" s="47"/>
      <c r="BZ3" s="47"/>
      <c r="CA3" s="47"/>
      <c r="CB3" s="47"/>
      <c r="CC3" s="46"/>
      <c r="CD3" s="52"/>
      <c r="CE3" s="412" t="s">
        <v>41</v>
      </c>
      <c r="CF3" s="55"/>
      <c r="CG3" s="55"/>
      <c r="CH3" s="55"/>
      <c r="CI3" s="55"/>
      <c r="CJ3" s="55"/>
      <c r="CK3" s="55"/>
      <c r="CL3" s="50"/>
      <c r="CM3" s="56"/>
      <c r="CN3" s="48"/>
      <c r="CO3" s="56"/>
      <c r="CP3" s="48"/>
      <c r="CQ3" s="48"/>
      <c r="CR3" s="48"/>
      <c r="CS3" s="48"/>
    </row>
    <row r="4" spans="1:111" ht="25.5" customHeight="1" thickBot="1" x14ac:dyDescent="0.3">
      <c r="A4" s="224">
        <v>0</v>
      </c>
      <c r="B4" s="415" t="s">
        <v>135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25</v>
      </c>
      <c r="V4" s="418"/>
      <c r="W4" s="418"/>
      <c r="X4" s="418"/>
      <c r="Y4" s="418"/>
      <c r="Z4" s="423"/>
      <c r="AA4" s="417" t="s">
        <v>24</v>
      </c>
      <c r="AB4" s="418"/>
      <c r="AC4" s="418"/>
      <c r="AD4" s="418"/>
      <c r="AE4" s="418"/>
      <c r="AF4" s="423"/>
      <c r="AG4" s="417" t="s">
        <v>37</v>
      </c>
      <c r="AH4" s="418"/>
      <c r="AI4" s="424"/>
      <c r="AJ4" s="417" t="s">
        <v>38</v>
      </c>
      <c r="AK4" s="418"/>
      <c r="AL4" s="424"/>
      <c r="AQ4" s="329" t="s">
        <v>0</v>
      </c>
      <c r="AR4" s="57" t="s">
        <v>42</v>
      </c>
      <c r="AS4" s="57" t="s">
        <v>42</v>
      </c>
      <c r="AT4" s="58" t="s">
        <v>43</v>
      </c>
      <c r="AU4" s="59" t="s">
        <v>32</v>
      </c>
      <c r="AV4" s="58" t="s">
        <v>44</v>
      </c>
      <c r="AW4" s="59" t="s">
        <v>45</v>
      </c>
      <c r="AX4" s="451" t="s">
        <v>46</v>
      </c>
      <c r="AY4" s="452"/>
      <c r="AZ4" s="60"/>
      <c r="BA4" s="60"/>
      <c r="BB4" s="449" t="s">
        <v>47</v>
      </c>
      <c r="BC4" s="409" t="s">
        <v>48</v>
      </c>
      <c r="BD4" s="329" t="s">
        <v>49</v>
      </c>
      <c r="BE4" s="449" t="s">
        <v>50</v>
      </c>
      <c r="BF4" s="409" t="s">
        <v>51</v>
      </c>
      <c r="BG4" s="445" t="s">
        <v>52</v>
      </c>
      <c r="BH4" s="409" t="s">
        <v>53</v>
      </c>
      <c r="BI4" s="447" t="s">
        <v>54</v>
      </c>
      <c r="BJ4" s="449" t="s">
        <v>55</v>
      </c>
      <c r="BK4" s="409" t="s">
        <v>56</v>
      </c>
      <c r="BL4" s="409" t="s">
        <v>57</v>
      </c>
      <c r="BM4" s="61"/>
      <c r="BN4" s="435" t="s">
        <v>58</v>
      </c>
      <c r="BO4" s="435" t="s">
        <v>59</v>
      </c>
      <c r="BP4" s="435" t="s">
        <v>60</v>
      </c>
      <c r="BQ4" s="444"/>
      <c r="BR4" s="435" t="s">
        <v>61</v>
      </c>
      <c r="BS4" s="435" t="s">
        <v>62</v>
      </c>
      <c r="BT4" s="435" t="s">
        <v>63</v>
      </c>
      <c r="BU4" s="61"/>
      <c r="BV4" s="427" t="s">
        <v>64</v>
      </c>
      <c r="BW4" s="425" t="s">
        <v>65</v>
      </c>
      <c r="BX4" s="427" t="s">
        <v>66</v>
      </c>
      <c r="BY4" s="427" t="s">
        <v>67</v>
      </c>
      <c r="BZ4" s="425" t="s">
        <v>68</v>
      </c>
      <c r="CA4" s="425" t="s">
        <v>69</v>
      </c>
      <c r="CB4" s="425" t="s">
        <v>70</v>
      </c>
      <c r="CC4" s="427" t="s">
        <v>71</v>
      </c>
      <c r="CD4" s="431" t="s">
        <v>72</v>
      </c>
      <c r="CE4" s="413"/>
      <c r="CF4" s="433" t="s">
        <v>73</v>
      </c>
      <c r="CG4" s="427" t="s">
        <v>74</v>
      </c>
      <c r="CH4" s="427" t="s">
        <v>75</v>
      </c>
      <c r="CI4" s="427" t="s">
        <v>76</v>
      </c>
      <c r="CJ4" s="427" t="s">
        <v>77</v>
      </c>
      <c r="CK4" s="427" t="s">
        <v>78</v>
      </c>
      <c r="CL4" s="50"/>
      <c r="CM4" s="427" t="s">
        <v>79</v>
      </c>
      <c r="CN4" s="425" t="s">
        <v>80</v>
      </c>
      <c r="CO4" s="427" t="s">
        <v>81</v>
      </c>
      <c r="CP4" s="425" t="s">
        <v>82</v>
      </c>
      <c r="CQ4" s="425" t="s">
        <v>83</v>
      </c>
      <c r="CR4" s="427" t="s">
        <v>84</v>
      </c>
      <c r="CS4" s="425" t="s">
        <v>85</v>
      </c>
    </row>
    <row r="5" spans="1:111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42454.541666666664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42454.541666666664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23</v>
      </c>
      <c r="AD5" s="2" t="s">
        <v>20</v>
      </c>
      <c r="AE5" s="2" t="s">
        <v>15</v>
      </c>
      <c r="AF5" s="44" t="s">
        <v>19</v>
      </c>
      <c r="AG5" s="7" t="s">
        <v>13</v>
      </c>
      <c r="AH5" s="2" t="s">
        <v>14</v>
      </c>
      <c r="AI5" s="28" t="s">
        <v>7</v>
      </c>
      <c r="AJ5" s="7" t="s">
        <v>91</v>
      </c>
      <c r="AK5" s="2" t="s">
        <v>92</v>
      </c>
      <c r="AL5" s="28" t="s">
        <v>26</v>
      </c>
      <c r="AM5" s="238" t="s">
        <v>102</v>
      </c>
      <c r="AN5" s="34" t="s">
        <v>17</v>
      </c>
      <c r="AO5" s="35" t="s">
        <v>16</v>
      </c>
      <c r="AQ5" s="62" t="s">
        <v>32</v>
      </c>
      <c r="AR5" s="63" t="s">
        <v>86</v>
      </c>
      <c r="AS5" s="63" t="s">
        <v>4</v>
      </c>
      <c r="AT5" s="64" t="s">
        <v>87</v>
      </c>
      <c r="AU5" s="65" t="s">
        <v>4</v>
      </c>
      <c r="AV5" s="64" t="s">
        <v>88</v>
      </c>
      <c r="AW5" s="65" t="s">
        <v>4</v>
      </c>
      <c r="AX5" s="65" t="s">
        <v>32</v>
      </c>
      <c r="AY5" s="66" t="s">
        <v>89</v>
      </c>
      <c r="AZ5" s="60"/>
      <c r="BA5" s="60"/>
      <c r="BB5" s="450"/>
      <c r="BC5" s="410"/>
      <c r="BD5" s="330" t="s">
        <v>32</v>
      </c>
      <c r="BE5" s="450"/>
      <c r="BF5" s="410"/>
      <c r="BG5" s="446"/>
      <c r="BH5" s="410"/>
      <c r="BI5" s="448"/>
      <c r="BJ5" s="450"/>
      <c r="BK5" s="410"/>
      <c r="BL5" s="410"/>
      <c r="BM5" s="67"/>
      <c r="BN5" s="436"/>
      <c r="BO5" s="436"/>
      <c r="BP5" s="436"/>
      <c r="BQ5" s="444"/>
      <c r="BR5" s="436"/>
      <c r="BS5" s="436"/>
      <c r="BT5" s="436"/>
      <c r="BU5" s="67"/>
      <c r="BV5" s="428"/>
      <c r="BW5" s="426"/>
      <c r="BX5" s="428"/>
      <c r="BY5" s="428"/>
      <c r="BZ5" s="426"/>
      <c r="CA5" s="426"/>
      <c r="CB5" s="426"/>
      <c r="CC5" s="428"/>
      <c r="CD5" s="432"/>
      <c r="CE5" s="414"/>
      <c r="CF5" s="434"/>
      <c r="CG5" s="428"/>
      <c r="CH5" s="428"/>
      <c r="CI5" s="428"/>
      <c r="CJ5" s="428"/>
      <c r="CK5" s="428"/>
      <c r="CL5" s="50"/>
      <c r="CM5" s="428"/>
      <c r="CN5" s="426"/>
      <c r="CO5" s="428"/>
      <c r="CP5" s="426"/>
      <c r="CQ5" s="426"/>
      <c r="CR5" s="428"/>
      <c r="CS5" s="426"/>
    </row>
    <row r="6" spans="1:111" ht="24" customHeight="1" thickBot="1" x14ac:dyDescent="0.3">
      <c r="A6" s="335" t="s">
        <v>103</v>
      </c>
      <c r="B6" s="437">
        <v>42495.5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0</v>
      </c>
      <c r="L6" s="38" t="s">
        <v>3</v>
      </c>
      <c r="M6" s="38" t="s">
        <v>3</v>
      </c>
      <c r="N6" s="219" t="s">
        <v>3</v>
      </c>
      <c r="O6" s="37" t="s">
        <v>3</v>
      </c>
      <c r="P6" s="332" t="s">
        <v>3</v>
      </c>
      <c r="Q6" s="331" t="s">
        <v>3</v>
      </c>
      <c r="R6" s="26" t="s">
        <v>3</v>
      </c>
      <c r="S6" s="40" t="str">
        <f>$A6</f>
        <v>PNOON</v>
      </c>
      <c r="T6" s="239">
        <f>$B6</f>
        <v>42495.5</v>
      </c>
      <c r="U6" s="282"/>
      <c r="V6" s="283">
        <v>3.8</v>
      </c>
      <c r="W6" s="283">
        <v>2.8</v>
      </c>
      <c r="X6" s="198">
        <f>U6+V6+W6</f>
        <v>6.6</v>
      </c>
      <c r="Y6" s="153">
        <v>893.9</v>
      </c>
      <c r="Z6" s="284"/>
      <c r="AA6" s="285"/>
      <c r="AB6" s="286"/>
      <c r="AC6" s="286"/>
      <c r="AD6" s="201">
        <f>AA6+AB6+AC6</f>
        <v>0</v>
      </c>
      <c r="AE6" s="144">
        <v>74.599999999999994</v>
      </c>
      <c r="AF6" s="287"/>
      <c r="AG6" s="288">
        <v>5</v>
      </c>
      <c r="AH6" s="289"/>
      <c r="AI6" s="135">
        <v>194</v>
      </c>
      <c r="AJ6" s="290">
        <v>57780</v>
      </c>
      <c r="AK6" s="333">
        <v>31900</v>
      </c>
      <c r="AL6" s="334">
        <v>8220</v>
      </c>
      <c r="AM6" s="237"/>
      <c r="AN6" s="69" t="str">
        <f>$A6</f>
        <v>PNOON</v>
      </c>
      <c r="AO6" s="243">
        <f>$B6</f>
        <v>42495.5</v>
      </c>
      <c r="AP6" s="45" t="s">
        <v>40</v>
      </c>
      <c r="AQ6" s="98"/>
      <c r="AR6" s="99"/>
      <c r="AS6" s="99"/>
      <c r="AT6" s="100"/>
      <c r="AU6" s="101"/>
      <c r="AV6" s="100"/>
      <c r="AW6" s="101"/>
      <c r="AX6" s="101"/>
      <c r="AY6" s="99"/>
      <c r="AZ6" s="102"/>
      <c r="BA6" s="102"/>
      <c r="BB6" s="103"/>
      <c r="BC6" s="104"/>
      <c r="BD6" s="98"/>
      <c r="BE6" s="105"/>
      <c r="BF6" s="104"/>
      <c r="BG6" s="106"/>
      <c r="BH6" s="104"/>
      <c r="BI6" s="98"/>
      <c r="BJ6" s="105"/>
      <c r="BK6" s="104"/>
      <c r="BL6" s="104"/>
      <c r="BM6" s="107"/>
      <c r="BN6" s="108"/>
      <c r="BO6" s="108"/>
      <c r="BP6" s="109"/>
      <c r="BQ6" s="110"/>
      <c r="BR6" s="108"/>
      <c r="BS6" s="109"/>
      <c r="BT6" s="109"/>
      <c r="BU6" s="107"/>
      <c r="BV6" s="111"/>
      <c r="BW6" s="98"/>
      <c r="BX6" s="112"/>
      <c r="BY6" s="113"/>
      <c r="BZ6" s="114"/>
      <c r="CA6" s="114"/>
      <c r="CB6" s="114"/>
      <c r="CC6" s="99"/>
      <c r="CD6" s="115"/>
      <c r="CE6" s="116"/>
      <c r="CF6" s="117"/>
      <c r="CG6" s="118"/>
      <c r="CH6" s="117"/>
      <c r="CI6" s="118"/>
      <c r="CJ6" s="117"/>
      <c r="CK6" s="118"/>
      <c r="CL6" s="119"/>
      <c r="CM6" s="120"/>
      <c r="CN6" s="121"/>
      <c r="CO6" s="120"/>
      <c r="CP6" s="121"/>
      <c r="CQ6" s="121"/>
      <c r="CR6" s="100"/>
      <c r="CS6" s="121"/>
      <c r="CT6" s="91"/>
      <c r="CU6" s="230"/>
      <c r="CV6" s="231"/>
      <c r="CW6" s="232"/>
      <c r="CX6" s="232"/>
      <c r="CY6" s="232"/>
      <c r="CZ6" s="232"/>
      <c r="DA6" s="233"/>
      <c r="DB6" s="233"/>
      <c r="DC6" s="90"/>
      <c r="DD6" s="90"/>
      <c r="DE6" s="90"/>
      <c r="DF6" s="90"/>
    </row>
    <row r="7" spans="1:111" ht="24" customHeight="1" x14ac:dyDescent="0.25">
      <c r="A7" s="83" t="s">
        <v>103</v>
      </c>
      <c r="B7" s="442">
        <v>42496.5</v>
      </c>
      <c r="C7" s="443"/>
      <c r="D7" s="84"/>
      <c r="E7" s="23"/>
      <c r="F7" s="15"/>
      <c r="G7" s="213"/>
      <c r="H7" s="27" t="str">
        <f>IF(F7=0,"",F7-F6+G7)</f>
        <v/>
      </c>
      <c r="I7" s="216" t="str">
        <f>IF(E7=0,"",$H7/$E7)</f>
        <v/>
      </c>
      <c r="J7" s="29" t="e">
        <f ca="1">IF($J$5&gt;=B7,"N/A",SUM(INDIRECT(ADDRESS(6+(MATCH($J$5,$B$6:$B$59,0)),8)):H7))</f>
        <v>#N/A</v>
      </c>
      <c r="K7" s="10"/>
      <c r="L7" s="87"/>
      <c r="M7" s="4" t="str">
        <f>IF(K7="","",K6-K7+L7)</f>
        <v/>
      </c>
      <c r="N7" s="220" t="str">
        <f t="shared" ref="N7:N59" si="0">IF(E7=0,"",M7/E7)</f>
        <v/>
      </c>
      <c r="O7" s="30" t="e">
        <f ca="1">IF($O$5&gt;=B7,"N/A",SUM(INDIRECT(ADDRESS(6+(MATCH($O$5,$B$6:$B$59,0)),13)):M7))</f>
        <v>#N/A</v>
      </c>
      <c r="P7" s="325"/>
      <c r="Q7" s="325"/>
      <c r="R7" s="325"/>
      <c r="S7" s="43" t="str">
        <f>IF($A7="","",$A7)</f>
        <v>PNOON</v>
      </c>
      <c r="T7" s="240">
        <f>IF($B7="","",$B7)</f>
        <v>42496.5</v>
      </c>
      <c r="U7" s="291"/>
      <c r="V7" s="292">
        <v>3.7</v>
      </c>
      <c r="W7" s="292">
        <v>2.8</v>
      </c>
      <c r="X7" s="198">
        <f>U7+V7+W7</f>
        <v>6.5</v>
      </c>
      <c r="Y7" s="156">
        <f>Y6-X7+Z7</f>
        <v>887.4</v>
      </c>
      <c r="Z7" s="320"/>
      <c r="AA7" s="321"/>
      <c r="AB7" s="322"/>
      <c r="AC7" s="322"/>
      <c r="AD7" s="323">
        <f t="shared" ref="AD7:AD59" si="1">AA7+AB7+AC7</f>
        <v>0</v>
      </c>
      <c r="AE7" s="147">
        <f>AE6-AD7+AF7</f>
        <v>74.599999999999994</v>
      </c>
      <c r="AF7" s="324"/>
      <c r="AG7" s="293">
        <v>4</v>
      </c>
      <c r="AH7" s="294"/>
      <c r="AI7" s="138">
        <f>AI6-AG7+AH7</f>
        <v>190</v>
      </c>
      <c r="AJ7" s="295">
        <v>57780</v>
      </c>
      <c r="AK7" s="314">
        <v>31900</v>
      </c>
      <c r="AL7" s="315">
        <v>8190</v>
      </c>
      <c r="AM7" s="237" t="e">
        <f>((R7-H7)/H7)</f>
        <v>#VALUE!</v>
      </c>
      <c r="AN7" s="70" t="str">
        <f>IF($A7="","",$A7)</f>
        <v>PNOON</v>
      </c>
      <c r="AO7" s="241">
        <f>IF($B7="","",$B7)</f>
        <v>42496.5</v>
      </c>
      <c r="AP7" s="441" t="s">
        <v>90</v>
      </c>
      <c r="AQ7" s="98"/>
      <c r="AR7" s="99"/>
      <c r="AS7" s="99"/>
      <c r="AT7" s="100"/>
      <c r="AU7" s="101"/>
      <c r="AV7" s="100"/>
      <c r="AW7" s="101"/>
      <c r="AX7" s="101"/>
      <c r="AY7" s="99"/>
      <c r="AZ7" s="102"/>
      <c r="BA7" s="102"/>
      <c r="BB7" s="105"/>
      <c r="BC7" s="104"/>
      <c r="BD7" s="98"/>
      <c r="BE7" s="105"/>
      <c r="BF7" s="104"/>
      <c r="BG7" s="106"/>
      <c r="BH7" s="104"/>
      <c r="BI7" s="98"/>
      <c r="BJ7" s="105"/>
      <c r="BK7" s="104"/>
      <c r="BL7" s="104"/>
      <c r="BM7" s="107"/>
      <c r="BN7" s="108"/>
      <c r="BO7" s="108"/>
      <c r="BP7" s="109"/>
      <c r="BQ7" s="110"/>
      <c r="BR7" s="108"/>
      <c r="BS7" s="109"/>
      <c r="BT7" s="109"/>
      <c r="BU7" s="107"/>
      <c r="BV7" s="111"/>
      <c r="BW7" s="98"/>
      <c r="BX7" s="113"/>
      <c r="BY7" s="113"/>
      <c r="BZ7" s="114"/>
      <c r="CA7" s="114"/>
      <c r="CB7" s="114"/>
      <c r="CC7" s="99"/>
      <c r="CD7" s="111"/>
      <c r="CE7" s="116"/>
      <c r="CF7" s="117"/>
      <c r="CG7" s="118"/>
      <c r="CH7" s="117"/>
      <c r="CI7" s="118"/>
      <c r="CJ7" s="117"/>
      <c r="CK7" s="118"/>
      <c r="CL7" s="119"/>
      <c r="CM7" s="122"/>
      <c r="CN7" s="121"/>
      <c r="CO7" s="120"/>
      <c r="CP7" s="121"/>
      <c r="CQ7" s="121"/>
      <c r="CR7" s="100"/>
      <c r="CS7" s="121"/>
      <c r="CT7" s="91"/>
      <c r="CU7" s="234"/>
      <c r="CV7" s="235"/>
      <c r="CW7" s="232"/>
      <c r="CX7" s="232"/>
      <c r="CY7" s="232"/>
      <c r="CZ7" s="232"/>
      <c r="DA7" s="233"/>
      <c r="DB7" s="233"/>
      <c r="DC7" s="92"/>
      <c r="DD7" s="92"/>
      <c r="DE7" s="92"/>
      <c r="DF7" s="92"/>
      <c r="DG7" s="68"/>
    </row>
    <row r="8" spans="1:111" ht="24" customHeight="1" x14ac:dyDescent="0.25">
      <c r="A8" s="83" t="s">
        <v>103</v>
      </c>
      <c r="B8" s="442">
        <v>42497.5</v>
      </c>
      <c r="C8" s="453"/>
      <c r="D8" s="84"/>
      <c r="E8" s="23"/>
      <c r="F8" s="15"/>
      <c r="G8" s="213"/>
      <c r="H8" s="27" t="str">
        <f t="shared" ref="H8:H59" si="2">IF(F8=0,"",F8-F7+G8)</f>
        <v/>
      </c>
      <c r="I8" s="216" t="str">
        <f t="shared" ref="I8:I59" si="3">IF(E8=0,"",$H8/$E8)</f>
        <v/>
      </c>
      <c r="J8" s="29" t="e">
        <f ca="1">IF($J$5&gt;=B8,"N/A",SUM(INDIRECT(ADDRESS(6+(MATCH($J$5,$B$6:$B$59,0)),8)):H8))</f>
        <v>#N/A</v>
      </c>
      <c r="K8" s="10"/>
      <c r="L8" s="87"/>
      <c r="M8" s="4" t="str">
        <f t="shared" ref="M8:M59" si="4">IF(K8="","",K7-K8+L8)</f>
        <v/>
      </c>
      <c r="N8" s="220" t="str">
        <f t="shared" si="0"/>
        <v/>
      </c>
      <c r="O8" s="30" t="e">
        <f ca="1">IF($O$5&gt;=B8,"N/A",SUM(INDIRECT(ADDRESS(6+(MATCH($O$5,$B$6:$B$59,0)),13)):M8))</f>
        <v>#N/A</v>
      </c>
      <c r="P8" s="325"/>
      <c r="Q8" s="325"/>
      <c r="R8" s="325"/>
      <c r="S8" s="70" t="str">
        <f t="shared" ref="S8:S59" si="5">IF($A8="","",$A8)</f>
        <v>PNOON</v>
      </c>
      <c r="T8" s="241">
        <f t="shared" ref="T8:T59" si="6">IF($B8="","",$B8)</f>
        <v>42497.5</v>
      </c>
      <c r="U8" s="296"/>
      <c r="V8" s="297">
        <v>3.7</v>
      </c>
      <c r="W8" s="297">
        <v>2.7</v>
      </c>
      <c r="X8" s="199">
        <f t="shared" ref="X8:X59" si="7">U8+V8+W8</f>
        <v>6.4</v>
      </c>
      <c r="Y8" s="159">
        <f t="shared" ref="Y8:Y59" si="8">Y7-X8+Z8</f>
        <v>881</v>
      </c>
      <c r="Z8" s="298"/>
      <c r="AA8" s="299"/>
      <c r="AB8" s="300"/>
      <c r="AC8" s="300"/>
      <c r="AD8" s="203">
        <f t="shared" si="1"/>
        <v>0</v>
      </c>
      <c r="AE8" s="150">
        <f t="shared" ref="AE8:AE59" si="9">AE7-AD8+AF8</f>
        <v>74.599999999999994</v>
      </c>
      <c r="AF8" s="301"/>
      <c r="AG8" s="302">
        <v>3</v>
      </c>
      <c r="AH8" s="303"/>
      <c r="AI8" s="141">
        <f>AI7-AG8+AH8</f>
        <v>187</v>
      </c>
      <c r="AJ8" s="304">
        <v>57780</v>
      </c>
      <c r="AK8" s="316">
        <v>31900</v>
      </c>
      <c r="AL8" s="317">
        <v>8160</v>
      </c>
      <c r="AM8" s="237" t="e">
        <f t="shared" ref="AM8:AM20" si="10">((R8-H8)/H8)</f>
        <v>#VALUE!</v>
      </c>
      <c r="AN8" s="70" t="str">
        <f t="shared" ref="AN8:AN59" si="11">IF($A8="","",$A8)</f>
        <v>PNOON</v>
      </c>
      <c r="AO8" s="241">
        <f t="shared" ref="AO8:AO59" si="12">IF($B8="","",$B8)</f>
        <v>42497.5</v>
      </c>
      <c r="AP8" s="441"/>
      <c r="AQ8" s="98"/>
      <c r="AR8" s="99"/>
      <c r="AS8" s="99"/>
      <c r="AT8" s="100"/>
      <c r="AU8" s="101"/>
      <c r="AV8" s="100"/>
      <c r="AW8" s="101"/>
      <c r="AX8" s="101"/>
      <c r="AY8" s="99"/>
      <c r="AZ8" s="102"/>
      <c r="BA8" s="102"/>
      <c r="BB8" s="105"/>
      <c r="BC8" s="104"/>
      <c r="BD8" s="98"/>
      <c r="BE8" s="105"/>
      <c r="BF8" s="104"/>
      <c r="BG8" s="106"/>
      <c r="BH8" s="104"/>
      <c r="BI8" s="98"/>
      <c r="BJ8" s="105"/>
      <c r="BK8" s="104"/>
      <c r="BL8" s="104"/>
      <c r="BM8" s="107"/>
      <c r="BN8" s="108"/>
      <c r="BO8" s="108"/>
      <c r="BP8" s="109"/>
      <c r="BQ8" s="110"/>
      <c r="BR8" s="108"/>
      <c r="BS8" s="109"/>
      <c r="BT8" s="109"/>
      <c r="BU8" s="107"/>
      <c r="BV8" s="111"/>
      <c r="BW8" s="98"/>
      <c r="BX8" s="113"/>
      <c r="BY8" s="113"/>
      <c r="BZ8" s="114"/>
      <c r="CA8" s="114"/>
      <c r="CB8" s="114"/>
      <c r="CC8" s="99"/>
      <c r="CD8" s="115"/>
      <c r="CE8" s="116"/>
      <c r="CF8" s="117"/>
      <c r="CG8" s="118"/>
      <c r="CH8" s="117"/>
      <c r="CI8" s="118"/>
      <c r="CJ8" s="117"/>
      <c r="CK8" s="118"/>
      <c r="CL8" s="119"/>
      <c r="CM8" s="122"/>
      <c r="CN8" s="121"/>
      <c r="CO8" s="120"/>
      <c r="CP8" s="121"/>
      <c r="CQ8" s="121"/>
      <c r="CR8" s="100"/>
      <c r="CS8" s="121"/>
      <c r="CT8" s="91"/>
      <c r="CU8" s="230"/>
      <c r="CV8" s="231"/>
      <c r="CW8" s="232"/>
      <c r="CX8" s="232"/>
      <c r="CY8" s="232"/>
      <c r="CZ8" s="232"/>
      <c r="DA8" s="236"/>
      <c r="DB8" s="236"/>
      <c r="DC8" s="90"/>
      <c r="DD8" s="90"/>
      <c r="DE8" s="90"/>
      <c r="DF8" s="90"/>
    </row>
    <row r="9" spans="1:111" ht="24" customHeight="1" x14ac:dyDescent="0.25">
      <c r="A9" s="83" t="s">
        <v>103</v>
      </c>
      <c r="B9" s="442">
        <v>42498.5</v>
      </c>
      <c r="C9" s="443"/>
      <c r="D9" s="84"/>
      <c r="E9" s="23"/>
      <c r="F9" s="15"/>
      <c r="G9" s="213"/>
      <c r="H9" s="27" t="str">
        <f t="shared" si="2"/>
        <v/>
      </c>
      <c r="I9" s="216" t="str">
        <f t="shared" si="3"/>
        <v/>
      </c>
      <c r="J9" s="29" t="e">
        <f ca="1">IF($J$5&gt;=B9,"N/A",SUM(INDIRECT(ADDRESS(6+(MATCH($J$5,$B$6:$B$59,0)),8)):H9))</f>
        <v>#N/A</v>
      </c>
      <c r="K9" s="10"/>
      <c r="L9" s="87"/>
      <c r="M9" s="4" t="str">
        <f t="shared" si="4"/>
        <v/>
      </c>
      <c r="N9" s="220" t="str">
        <f t="shared" si="0"/>
        <v/>
      </c>
      <c r="O9" s="30" t="e">
        <f ca="1">IF($O$5&gt;=B9,"N/A",SUM(INDIRECT(ADDRESS(6+(MATCH($O$5,$B$6:$B$59,0)),13)):M9))</f>
        <v>#N/A</v>
      </c>
      <c r="P9" s="325"/>
      <c r="Q9" s="325"/>
      <c r="R9" s="325"/>
      <c r="S9" s="70" t="str">
        <f t="shared" si="5"/>
        <v>PNOON</v>
      </c>
      <c r="T9" s="241">
        <f t="shared" si="6"/>
        <v>42498.5</v>
      </c>
      <c r="U9" s="296"/>
      <c r="V9" s="297">
        <v>3.7</v>
      </c>
      <c r="W9" s="297">
        <v>2.8</v>
      </c>
      <c r="X9" s="199">
        <f t="shared" si="7"/>
        <v>6.5</v>
      </c>
      <c r="Y9" s="159">
        <f t="shared" si="8"/>
        <v>874.5</v>
      </c>
      <c r="Z9" s="298"/>
      <c r="AA9" s="299"/>
      <c r="AB9" s="300"/>
      <c r="AC9" s="300"/>
      <c r="AD9" s="203">
        <f t="shared" si="1"/>
        <v>0</v>
      </c>
      <c r="AE9" s="150">
        <f t="shared" si="9"/>
        <v>74.599999999999994</v>
      </c>
      <c r="AF9" s="301"/>
      <c r="AG9" s="302">
        <v>3</v>
      </c>
      <c r="AH9" s="303"/>
      <c r="AI9" s="141">
        <f t="shared" ref="AI9:AI59" si="13">AI8-AG9+AH9</f>
        <v>184</v>
      </c>
      <c r="AJ9" s="304">
        <v>57780</v>
      </c>
      <c r="AK9" s="316">
        <v>31900</v>
      </c>
      <c r="AL9" s="317">
        <v>8130</v>
      </c>
      <c r="AM9" s="237" t="e">
        <f t="shared" si="10"/>
        <v>#VALUE!</v>
      </c>
      <c r="AN9" s="70" t="str">
        <f t="shared" si="11"/>
        <v>PNOON</v>
      </c>
      <c r="AO9" s="241">
        <f t="shared" si="12"/>
        <v>42498.5</v>
      </c>
      <c r="AP9" s="441"/>
      <c r="AQ9" s="98"/>
      <c r="AR9" s="99"/>
      <c r="AS9" s="99"/>
      <c r="AT9" s="100"/>
      <c r="AU9" s="101"/>
      <c r="AV9" s="100"/>
      <c r="AW9" s="101"/>
      <c r="AX9" s="101"/>
      <c r="AY9" s="99"/>
      <c r="AZ9" s="102"/>
      <c r="BA9" s="102"/>
      <c r="BB9" s="105"/>
      <c r="BC9" s="104"/>
      <c r="BD9" s="98"/>
      <c r="BE9" s="105"/>
      <c r="BF9" s="104"/>
      <c r="BG9" s="106"/>
      <c r="BH9" s="104"/>
      <c r="BI9" s="98"/>
      <c r="BJ9" s="105"/>
      <c r="BK9" s="104"/>
      <c r="BL9" s="104"/>
      <c r="BM9" s="107"/>
      <c r="BN9" s="108"/>
      <c r="BO9" s="108"/>
      <c r="BP9" s="109"/>
      <c r="BQ9" s="110"/>
      <c r="BR9" s="108"/>
      <c r="BS9" s="109"/>
      <c r="BT9" s="109"/>
      <c r="BU9" s="107"/>
      <c r="BV9" s="111"/>
      <c r="BW9" s="98"/>
      <c r="BX9" s="113"/>
      <c r="BY9" s="113"/>
      <c r="BZ9" s="114"/>
      <c r="CA9" s="114"/>
      <c r="CB9" s="114"/>
      <c r="CC9" s="99"/>
      <c r="CD9" s="111"/>
      <c r="CE9" s="116"/>
      <c r="CF9" s="117"/>
      <c r="CG9" s="118"/>
      <c r="CH9" s="117"/>
      <c r="CI9" s="118"/>
      <c r="CJ9" s="117"/>
      <c r="CK9" s="118"/>
      <c r="CL9" s="119"/>
      <c r="CM9" s="122"/>
      <c r="CN9" s="121"/>
      <c r="CO9" s="120"/>
      <c r="CP9" s="121"/>
      <c r="CQ9" s="121"/>
      <c r="CR9" s="100"/>
      <c r="CS9" s="121"/>
      <c r="CT9" s="91"/>
      <c r="CU9" s="230"/>
      <c r="CV9" s="231"/>
      <c r="CW9" s="232"/>
      <c r="CX9" s="232"/>
      <c r="CY9" s="232"/>
      <c r="CZ9" s="232"/>
      <c r="DA9" s="236"/>
      <c r="DB9" s="236"/>
      <c r="DC9" s="90"/>
      <c r="DD9" s="90"/>
      <c r="DE9" s="90"/>
      <c r="DF9" s="90"/>
    </row>
    <row r="10" spans="1:111" ht="24" customHeight="1" x14ac:dyDescent="0.25">
      <c r="A10" s="83" t="s">
        <v>103</v>
      </c>
      <c r="B10" s="442">
        <v>42499.5</v>
      </c>
      <c r="C10" s="443"/>
      <c r="D10" s="84"/>
      <c r="E10" s="23"/>
      <c r="F10" s="15"/>
      <c r="G10" s="213"/>
      <c r="H10" s="27" t="str">
        <f t="shared" si="2"/>
        <v/>
      </c>
      <c r="I10" s="216" t="str">
        <f t="shared" si="3"/>
        <v/>
      </c>
      <c r="J10" s="29" t="e">
        <f ca="1">IF($J$5&gt;=B10,"N/A",SUM(INDIRECT(ADDRESS(6+(MATCH($J$5,$B$6:$B$59,0)),8)):H10))</f>
        <v>#N/A</v>
      </c>
      <c r="K10" s="10"/>
      <c r="L10" s="88"/>
      <c r="M10" s="4" t="str">
        <f t="shared" si="4"/>
        <v/>
      </c>
      <c r="N10" s="220" t="str">
        <f t="shared" si="0"/>
        <v/>
      </c>
      <c r="O10" s="30" t="e">
        <f ca="1">IF($O$5&gt;=B10,"N/A",SUM(INDIRECT(ADDRESS(6+(MATCH($O$5,$B$6:$B$59,0)),13)):M10))</f>
        <v>#N/A</v>
      </c>
      <c r="P10" s="325"/>
      <c r="Q10" s="325"/>
      <c r="R10" s="325"/>
      <c r="S10" s="70" t="str">
        <f t="shared" si="5"/>
        <v>PNOON</v>
      </c>
      <c r="T10" s="241">
        <f t="shared" si="6"/>
        <v>42499.5</v>
      </c>
      <c r="U10" s="296"/>
      <c r="V10" s="297">
        <v>3.7</v>
      </c>
      <c r="W10" s="297">
        <v>2.8</v>
      </c>
      <c r="X10" s="199">
        <f t="shared" si="7"/>
        <v>6.5</v>
      </c>
      <c r="Y10" s="159">
        <f t="shared" si="8"/>
        <v>868</v>
      </c>
      <c r="Z10" s="298"/>
      <c r="AA10" s="299"/>
      <c r="AB10" s="300"/>
      <c r="AC10" s="300"/>
      <c r="AD10" s="203">
        <f t="shared" si="1"/>
        <v>0</v>
      </c>
      <c r="AE10" s="150">
        <f t="shared" si="9"/>
        <v>74.599999999999994</v>
      </c>
      <c r="AF10" s="301"/>
      <c r="AG10" s="302">
        <v>3</v>
      </c>
      <c r="AH10" s="303"/>
      <c r="AI10" s="141">
        <f t="shared" si="13"/>
        <v>181</v>
      </c>
      <c r="AJ10" s="304">
        <v>57780</v>
      </c>
      <c r="AK10" s="316">
        <v>31900</v>
      </c>
      <c r="AL10" s="317">
        <v>8100</v>
      </c>
      <c r="AM10" s="237" t="e">
        <f t="shared" si="10"/>
        <v>#VALUE!</v>
      </c>
      <c r="AN10" s="70" t="str">
        <f t="shared" si="11"/>
        <v>PNOON</v>
      </c>
      <c r="AO10" s="241">
        <f t="shared" si="12"/>
        <v>42499.5</v>
      </c>
      <c r="AP10" s="441"/>
      <c r="AQ10" s="98"/>
      <c r="AR10" s="99"/>
      <c r="AS10" s="99"/>
      <c r="AT10" s="100"/>
      <c r="AU10" s="101"/>
      <c r="AV10" s="100"/>
      <c r="AW10" s="101"/>
      <c r="AX10" s="101"/>
      <c r="AY10" s="99"/>
      <c r="AZ10" s="102"/>
      <c r="BA10" s="102"/>
      <c r="BB10" s="103"/>
      <c r="BC10" s="104"/>
      <c r="BD10" s="98"/>
      <c r="BE10" s="105"/>
      <c r="BF10" s="104"/>
      <c r="BG10" s="115"/>
      <c r="BH10" s="104"/>
      <c r="BI10" s="98"/>
      <c r="BJ10" s="105"/>
      <c r="BK10" s="104"/>
      <c r="BL10" s="104"/>
      <c r="BM10" s="107"/>
      <c r="BN10" s="108"/>
      <c r="BO10" s="108"/>
      <c r="BP10" s="109"/>
      <c r="BQ10" s="110"/>
      <c r="BR10" s="108"/>
      <c r="BS10" s="109"/>
      <c r="BT10" s="109"/>
      <c r="BU10" s="107"/>
      <c r="BV10" s="111"/>
      <c r="BW10" s="98"/>
      <c r="BX10" s="113"/>
      <c r="BY10" s="113"/>
      <c r="BZ10" s="114"/>
      <c r="CA10" s="114"/>
      <c r="CB10" s="114"/>
      <c r="CC10" s="99"/>
      <c r="CD10" s="115"/>
      <c r="CE10" s="116"/>
      <c r="CF10" s="117"/>
      <c r="CG10" s="118"/>
      <c r="CH10" s="117"/>
      <c r="CI10" s="118"/>
      <c r="CJ10" s="117"/>
      <c r="CK10" s="118"/>
      <c r="CL10" s="119"/>
      <c r="CM10" s="120"/>
      <c r="CN10" s="121"/>
      <c r="CO10" s="120"/>
      <c r="CP10" s="121"/>
      <c r="CQ10" s="121"/>
      <c r="CR10" s="100"/>
      <c r="CS10" s="121"/>
      <c r="CT10" s="91"/>
      <c r="CU10" s="230"/>
      <c r="CV10" s="231"/>
      <c r="CW10" s="232"/>
      <c r="CX10" s="232"/>
      <c r="CY10" s="232"/>
      <c r="CZ10" s="232"/>
      <c r="DA10" s="236"/>
      <c r="DB10" s="236"/>
      <c r="DC10" s="90"/>
      <c r="DD10" s="90"/>
      <c r="DE10" s="90"/>
      <c r="DF10" s="90"/>
    </row>
    <row r="11" spans="1:111" ht="24" customHeight="1" x14ac:dyDescent="0.25">
      <c r="A11" s="83" t="s">
        <v>103</v>
      </c>
      <c r="B11" s="442">
        <v>42500.5</v>
      </c>
      <c r="C11" s="443"/>
      <c r="D11" s="84"/>
      <c r="E11" s="23"/>
      <c r="F11" s="15"/>
      <c r="G11" s="213"/>
      <c r="H11" s="27" t="str">
        <f t="shared" si="2"/>
        <v/>
      </c>
      <c r="I11" s="216" t="str">
        <f t="shared" si="3"/>
        <v/>
      </c>
      <c r="J11" s="29" t="e">
        <f ca="1">IF($J$5&gt;=B11,"N/A",SUM(INDIRECT(ADDRESS(6+(MATCH($J$5,$B$6:$B$59,0)),8)):H11))</f>
        <v>#N/A</v>
      </c>
      <c r="K11" s="10"/>
      <c r="L11" s="88"/>
      <c r="M11" s="4" t="str">
        <f t="shared" si="4"/>
        <v/>
      </c>
      <c r="N11" s="220" t="str">
        <f t="shared" si="0"/>
        <v/>
      </c>
      <c r="O11" s="30" t="e">
        <f ca="1">IF($O$5&gt;=B11,"N/A",SUM(INDIRECT(ADDRESS(6+(MATCH($O$5,$B$6:$B$59,0)),13)):M11))</f>
        <v>#N/A</v>
      </c>
      <c r="P11" s="325"/>
      <c r="Q11" s="325"/>
      <c r="R11" s="325"/>
      <c r="S11" s="70" t="str">
        <f t="shared" si="5"/>
        <v>PNOON</v>
      </c>
      <c r="T11" s="241">
        <f t="shared" si="6"/>
        <v>42500.5</v>
      </c>
      <c r="U11" s="296"/>
      <c r="V11" s="297">
        <v>3.7</v>
      </c>
      <c r="W11" s="297">
        <v>2.9</v>
      </c>
      <c r="X11" s="199">
        <f t="shared" si="7"/>
        <v>6.6</v>
      </c>
      <c r="Y11" s="159">
        <f t="shared" si="8"/>
        <v>861.4</v>
      </c>
      <c r="Z11" s="298"/>
      <c r="AA11" s="299"/>
      <c r="AB11" s="300"/>
      <c r="AC11" s="300"/>
      <c r="AD11" s="203">
        <f t="shared" si="1"/>
        <v>0</v>
      </c>
      <c r="AE11" s="150">
        <f t="shared" si="9"/>
        <v>74.599999999999994</v>
      </c>
      <c r="AF11" s="301"/>
      <c r="AG11" s="302">
        <v>3</v>
      </c>
      <c r="AH11" s="303"/>
      <c r="AI11" s="141">
        <f t="shared" si="13"/>
        <v>178</v>
      </c>
      <c r="AJ11" s="304">
        <v>57780</v>
      </c>
      <c r="AK11" s="316">
        <v>31900</v>
      </c>
      <c r="AL11" s="317">
        <v>8070</v>
      </c>
      <c r="AM11" s="237" t="e">
        <f t="shared" si="10"/>
        <v>#VALUE!</v>
      </c>
      <c r="AN11" s="70" t="str">
        <f t="shared" si="11"/>
        <v>PNOON</v>
      </c>
      <c r="AO11" s="241">
        <f t="shared" si="12"/>
        <v>42500.5</v>
      </c>
      <c r="AP11" s="441"/>
      <c r="AQ11" s="98"/>
      <c r="AR11" s="99"/>
      <c r="AS11" s="99"/>
      <c r="AT11" s="100"/>
      <c r="AU11" s="101"/>
      <c r="AV11" s="100"/>
      <c r="AW11" s="101"/>
      <c r="AX11" s="101"/>
      <c r="AY11" s="99"/>
      <c r="AZ11" s="102"/>
      <c r="BA11" s="102"/>
      <c r="BB11" s="103"/>
      <c r="BC11" s="104"/>
      <c r="BD11" s="98"/>
      <c r="BE11" s="105"/>
      <c r="BF11" s="104"/>
      <c r="BG11" s="115"/>
      <c r="BH11" s="104"/>
      <c r="BI11" s="98"/>
      <c r="BJ11" s="105"/>
      <c r="BK11" s="104"/>
      <c r="BL11" s="104"/>
      <c r="BM11" s="107"/>
      <c r="BN11" s="108"/>
      <c r="BO11" s="108"/>
      <c r="BP11" s="109"/>
      <c r="BQ11" s="110"/>
      <c r="BR11" s="108"/>
      <c r="BS11" s="109"/>
      <c r="BT11" s="109"/>
      <c r="BU11" s="107"/>
      <c r="BV11" s="111"/>
      <c r="BW11" s="98"/>
      <c r="BX11" s="113"/>
      <c r="BY11" s="113"/>
      <c r="BZ11" s="114"/>
      <c r="CA11" s="114"/>
      <c r="CB11" s="114"/>
      <c r="CC11" s="99"/>
      <c r="CD11" s="115"/>
      <c r="CE11" s="116"/>
      <c r="CF11" s="117"/>
      <c r="CG11" s="118"/>
      <c r="CH11" s="117"/>
      <c r="CI11" s="118"/>
      <c r="CJ11" s="117"/>
      <c r="CK11" s="118"/>
      <c r="CL11" s="119"/>
      <c r="CM11" s="120"/>
      <c r="CN11" s="121"/>
      <c r="CO11" s="120"/>
      <c r="CP11" s="121"/>
      <c r="CQ11" s="121"/>
      <c r="CR11" s="100"/>
      <c r="CS11" s="121"/>
      <c r="CT11" s="90"/>
      <c r="CU11" s="90"/>
      <c r="CV11" s="90"/>
      <c r="CW11" s="90"/>
      <c r="CX11" s="90"/>
      <c r="CY11" s="90"/>
      <c r="CZ11" s="90"/>
      <c r="DA11" s="90"/>
      <c r="DB11" s="90"/>
      <c r="DC11" s="90"/>
      <c r="DD11" s="90"/>
      <c r="DE11" s="90"/>
      <c r="DF11" s="90"/>
    </row>
    <row r="12" spans="1:111" ht="24" customHeight="1" x14ac:dyDescent="0.25">
      <c r="A12" s="83" t="s">
        <v>103</v>
      </c>
      <c r="B12" s="442">
        <v>42501.5</v>
      </c>
      <c r="C12" s="443"/>
      <c r="D12" s="84"/>
      <c r="E12" s="23"/>
      <c r="F12" s="15"/>
      <c r="G12" s="213"/>
      <c r="H12" s="27" t="str">
        <f t="shared" si="2"/>
        <v/>
      </c>
      <c r="I12" s="216" t="str">
        <f t="shared" si="3"/>
        <v/>
      </c>
      <c r="J12" s="29" t="e">
        <f ca="1">IF($J$5&gt;=B12,"N/A",SUM(INDIRECT(ADDRESS(6+(MATCH($J$5,$B$6:$B$59,0)),8)):H12))</f>
        <v>#N/A</v>
      </c>
      <c r="K12" s="10"/>
      <c r="L12" s="88"/>
      <c r="M12" s="4" t="str">
        <f t="shared" si="4"/>
        <v/>
      </c>
      <c r="N12" s="220" t="str">
        <f t="shared" si="0"/>
        <v/>
      </c>
      <c r="O12" s="30" t="e">
        <f ca="1">IF($O$5&gt;=B12,"N/A",SUM(INDIRECT(ADDRESS(6+(MATCH($O$5,$B$6:$B$59,0)),13)):M12))</f>
        <v>#N/A</v>
      </c>
      <c r="P12" s="325"/>
      <c r="Q12" s="325"/>
      <c r="R12" s="325"/>
      <c r="S12" s="70" t="str">
        <f t="shared" si="5"/>
        <v>PNOON</v>
      </c>
      <c r="T12" s="241">
        <f t="shared" si="6"/>
        <v>42501.5</v>
      </c>
      <c r="U12" s="296"/>
      <c r="V12" s="297">
        <v>3.8</v>
      </c>
      <c r="W12" s="297">
        <v>2.9</v>
      </c>
      <c r="X12" s="199">
        <f t="shared" si="7"/>
        <v>6.6999999999999993</v>
      </c>
      <c r="Y12" s="159">
        <f t="shared" si="8"/>
        <v>854.69999999999993</v>
      </c>
      <c r="Z12" s="298"/>
      <c r="AA12" s="299"/>
      <c r="AB12" s="300"/>
      <c r="AC12" s="300"/>
      <c r="AD12" s="203">
        <f t="shared" si="1"/>
        <v>0</v>
      </c>
      <c r="AE12" s="150">
        <f t="shared" si="9"/>
        <v>74.599999999999994</v>
      </c>
      <c r="AF12" s="301"/>
      <c r="AG12" s="302">
        <v>4</v>
      </c>
      <c r="AH12" s="303"/>
      <c r="AI12" s="141">
        <f t="shared" si="13"/>
        <v>174</v>
      </c>
      <c r="AJ12" s="304">
        <v>57780</v>
      </c>
      <c r="AK12" s="316">
        <v>31900</v>
      </c>
      <c r="AL12" s="317">
        <v>8040</v>
      </c>
      <c r="AM12" s="237" t="e">
        <f t="shared" si="10"/>
        <v>#VALUE!</v>
      </c>
      <c r="AN12" s="70" t="str">
        <f t="shared" si="11"/>
        <v>PNOON</v>
      </c>
      <c r="AO12" s="241">
        <f t="shared" si="12"/>
        <v>42501.5</v>
      </c>
      <c r="AP12" s="45" t="s">
        <v>40</v>
      </c>
      <c r="AQ12" s="98"/>
      <c r="AR12" s="99"/>
      <c r="AS12" s="99"/>
      <c r="AT12" s="100"/>
      <c r="AU12" s="101"/>
      <c r="AV12" s="100"/>
      <c r="AW12" s="101"/>
      <c r="AX12" s="101"/>
      <c r="AY12" s="99"/>
      <c r="AZ12" s="102"/>
      <c r="BA12" s="102"/>
      <c r="BB12" s="103"/>
      <c r="BC12" s="104"/>
      <c r="BD12" s="98"/>
      <c r="BE12" s="105"/>
      <c r="BF12" s="104"/>
      <c r="BG12" s="115"/>
      <c r="BH12" s="104"/>
      <c r="BI12" s="98"/>
      <c r="BJ12" s="105"/>
      <c r="BK12" s="104"/>
      <c r="BL12" s="104"/>
      <c r="BM12" s="107"/>
      <c r="BN12" s="108"/>
      <c r="BO12" s="108"/>
      <c r="BP12" s="109"/>
      <c r="BQ12" s="110"/>
      <c r="BR12" s="108"/>
      <c r="BS12" s="109"/>
      <c r="BT12" s="109"/>
      <c r="BU12" s="107"/>
      <c r="BV12" s="111"/>
      <c r="BW12" s="98"/>
      <c r="BX12" s="113"/>
      <c r="BY12" s="113"/>
      <c r="BZ12" s="114"/>
      <c r="CA12" s="114"/>
      <c r="CB12" s="114"/>
      <c r="CC12" s="99"/>
      <c r="CD12" s="115"/>
      <c r="CE12" s="116"/>
      <c r="CF12" s="117"/>
      <c r="CG12" s="118"/>
      <c r="CH12" s="117"/>
      <c r="CI12" s="118"/>
      <c r="CJ12" s="117"/>
      <c r="CK12" s="118"/>
      <c r="CL12" s="119"/>
      <c r="CM12" s="120"/>
      <c r="CN12" s="121"/>
      <c r="CO12" s="120"/>
      <c r="CP12" s="121"/>
      <c r="CQ12" s="121"/>
      <c r="CR12" s="100"/>
      <c r="CS12" s="121"/>
      <c r="CT12" s="90"/>
      <c r="CU12" s="90"/>
      <c r="CV12" s="90"/>
      <c r="CW12" s="90"/>
      <c r="CX12" s="90"/>
      <c r="CY12" s="90"/>
      <c r="CZ12" s="90"/>
      <c r="DA12" s="90"/>
      <c r="DB12" s="90"/>
      <c r="DC12" s="90"/>
      <c r="DD12" s="90"/>
      <c r="DE12" s="90"/>
      <c r="DF12" s="90"/>
    </row>
    <row r="13" spans="1:111" ht="24" customHeight="1" x14ac:dyDescent="0.25">
      <c r="A13" s="83" t="s">
        <v>103</v>
      </c>
      <c r="B13" s="442">
        <v>42502.5</v>
      </c>
      <c r="C13" s="443"/>
      <c r="D13" s="84"/>
      <c r="E13" s="23"/>
      <c r="F13" s="15"/>
      <c r="G13" s="213"/>
      <c r="H13" s="27" t="str">
        <f t="shared" si="2"/>
        <v/>
      </c>
      <c r="I13" s="216" t="str">
        <f t="shared" si="3"/>
        <v/>
      </c>
      <c r="J13" s="29" t="e">
        <f ca="1">IF($J$5&gt;=B13,"N/A",SUM(INDIRECT(ADDRESS(6+(MATCH($J$5,$B$6:$B$59,0)),8)):H13))</f>
        <v>#N/A</v>
      </c>
      <c r="K13" s="10"/>
      <c r="L13" s="88"/>
      <c r="M13" s="4" t="str">
        <f t="shared" si="4"/>
        <v/>
      </c>
      <c r="N13" s="220" t="str">
        <f t="shared" si="0"/>
        <v/>
      </c>
      <c r="O13" s="30" t="e">
        <f ca="1">IF($O$5&gt;=B13,"N/A",SUM(INDIRECT(ADDRESS(6+(MATCH($O$5,$B$6:$B$59,0)),13)):M13))</f>
        <v>#N/A</v>
      </c>
      <c r="P13" s="325"/>
      <c r="Q13" s="325"/>
      <c r="R13" s="325"/>
      <c r="S13" s="70" t="str">
        <f t="shared" si="5"/>
        <v>PNOON</v>
      </c>
      <c r="T13" s="241">
        <f t="shared" si="6"/>
        <v>42502.5</v>
      </c>
      <c r="U13" s="296"/>
      <c r="V13" s="297">
        <v>3.8</v>
      </c>
      <c r="W13" s="297">
        <v>2.8</v>
      </c>
      <c r="X13" s="199">
        <f t="shared" si="7"/>
        <v>6.6</v>
      </c>
      <c r="Y13" s="159">
        <f t="shared" si="8"/>
        <v>848.09999999999991</v>
      </c>
      <c r="Z13" s="298"/>
      <c r="AA13" s="299"/>
      <c r="AB13" s="300"/>
      <c r="AC13" s="300"/>
      <c r="AD13" s="203">
        <f t="shared" si="1"/>
        <v>0</v>
      </c>
      <c r="AE13" s="150">
        <f t="shared" si="9"/>
        <v>74.599999999999994</v>
      </c>
      <c r="AF13" s="301"/>
      <c r="AG13" s="302">
        <v>4</v>
      </c>
      <c r="AH13" s="303"/>
      <c r="AI13" s="141">
        <f t="shared" si="13"/>
        <v>170</v>
      </c>
      <c r="AJ13" s="304">
        <v>57780</v>
      </c>
      <c r="AK13" s="316">
        <v>31900</v>
      </c>
      <c r="AL13" s="317">
        <v>8010</v>
      </c>
      <c r="AM13" s="237" t="e">
        <f t="shared" si="10"/>
        <v>#VALUE!</v>
      </c>
      <c r="AN13" s="70" t="str">
        <f t="shared" si="11"/>
        <v>PNOON</v>
      </c>
      <c r="AO13" s="241">
        <f t="shared" si="12"/>
        <v>42502.5</v>
      </c>
      <c r="AP13" s="45" t="s">
        <v>40</v>
      </c>
      <c r="AQ13" s="98"/>
      <c r="AR13" s="99"/>
      <c r="AS13" s="99"/>
      <c r="AT13" s="100"/>
      <c r="AU13" s="101"/>
      <c r="AV13" s="100"/>
      <c r="AW13" s="101"/>
      <c r="AX13" s="101"/>
      <c r="AY13" s="99"/>
      <c r="AZ13" s="102"/>
      <c r="BA13" s="102"/>
      <c r="BB13" s="103"/>
      <c r="BC13" s="104"/>
      <c r="BD13" s="98"/>
      <c r="BE13" s="105"/>
      <c r="BF13" s="104"/>
      <c r="BG13" s="115"/>
      <c r="BH13" s="104"/>
      <c r="BI13" s="98"/>
      <c r="BJ13" s="105"/>
      <c r="BK13" s="104"/>
      <c r="BL13" s="104"/>
      <c r="BM13" s="107"/>
      <c r="BN13" s="108"/>
      <c r="BO13" s="108"/>
      <c r="BP13" s="109"/>
      <c r="BQ13" s="110"/>
      <c r="BR13" s="108"/>
      <c r="BS13" s="109"/>
      <c r="BT13" s="109"/>
      <c r="BU13" s="107"/>
      <c r="BV13" s="111"/>
      <c r="BW13" s="98"/>
      <c r="BX13" s="113"/>
      <c r="BY13" s="113"/>
      <c r="BZ13" s="114"/>
      <c r="CA13" s="114"/>
      <c r="CB13" s="114"/>
      <c r="CC13" s="99"/>
      <c r="CD13" s="115"/>
      <c r="CE13" s="116"/>
      <c r="CF13" s="117"/>
      <c r="CG13" s="118"/>
      <c r="CH13" s="117"/>
      <c r="CI13" s="118"/>
      <c r="CJ13" s="117"/>
      <c r="CK13" s="118"/>
      <c r="CL13" s="119"/>
      <c r="CM13" s="120"/>
      <c r="CN13" s="121"/>
      <c r="CO13" s="120"/>
      <c r="CP13" s="121"/>
      <c r="CQ13" s="121"/>
      <c r="CR13" s="100"/>
      <c r="CS13" s="121"/>
      <c r="CT13" s="90"/>
      <c r="CU13" s="90"/>
      <c r="CV13" s="90"/>
      <c r="CW13" s="90"/>
      <c r="CX13" s="90"/>
      <c r="CY13" s="90"/>
      <c r="CZ13" s="90"/>
      <c r="DA13" s="90"/>
      <c r="DB13" s="90"/>
      <c r="DC13" s="90"/>
      <c r="DD13" s="90"/>
      <c r="DE13" s="90"/>
      <c r="DF13" s="90"/>
    </row>
    <row r="14" spans="1:111" ht="24" customHeight="1" x14ac:dyDescent="0.25">
      <c r="A14" s="83" t="s">
        <v>103</v>
      </c>
      <c r="B14" s="442">
        <v>42503.5</v>
      </c>
      <c r="C14" s="443"/>
      <c r="D14" s="84"/>
      <c r="E14" s="23"/>
      <c r="F14" s="15"/>
      <c r="G14" s="213"/>
      <c r="H14" s="27" t="str">
        <f t="shared" si="2"/>
        <v/>
      </c>
      <c r="I14" s="216" t="str">
        <f t="shared" si="3"/>
        <v/>
      </c>
      <c r="J14" s="29" t="e">
        <f ca="1">IF($J$5&gt;=B14,"N/A",SUM(INDIRECT(ADDRESS(6+(MATCH($J$5,$B$6:$B$59,0)),8)):H14))</f>
        <v>#N/A</v>
      </c>
      <c r="K14" s="10"/>
      <c r="L14" s="88"/>
      <c r="M14" s="4" t="str">
        <f t="shared" si="4"/>
        <v/>
      </c>
      <c r="N14" s="220" t="str">
        <f t="shared" si="0"/>
        <v/>
      </c>
      <c r="O14" s="30" t="e">
        <f ca="1">IF($O$5&gt;=B14,"N/A",SUM(INDIRECT(ADDRESS(6+(MATCH($O$5,$B$6:$B$59,0)),13)):M14))</f>
        <v>#N/A</v>
      </c>
      <c r="P14" s="325"/>
      <c r="Q14" s="325"/>
      <c r="R14" s="325"/>
      <c r="S14" s="70" t="str">
        <f t="shared" si="5"/>
        <v>PNOON</v>
      </c>
      <c r="T14" s="241">
        <f t="shared" si="6"/>
        <v>42503.5</v>
      </c>
      <c r="U14" s="296"/>
      <c r="V14" s="297">
        <v>3.7</v>
      </c>
      <c r="W14" s="297">
        <v>2.8</v>
      </c>
      <c r="X14" s="199">
        <f t="shared" si="7"/>
        <v>6.5</v>
      </c>
      <c r="Y14" s="159">
        <f t="shared" si="8"/>
        <v>841.59999999999991</v>
      </c>
      <c r="Z14" s="298"/>
      <c r="AA14" s="299"/>
      <c r="AB14" s="300"/>
      <c r="AC14" s="300"/>
      <c r="AD14" s="203">
        <f t="shared" si="1"/>
        <v>0</v>
      </c>
      <c r="AE14" s="150">
        <f t="shared" si="9"/>
        <v>74.599999999999994</v>
      </c>
      <c r="AF14" s="301"/>
      <c r="AG14" s="302">
        <v>3</v>
      </c>
      <c r="AH14" s="303"/>
      <c r="AI14" s="141">
        <f t="shared" si="13"/>
        <v>167</v>
      </c>
      <c r="AJ14" s="304">
        <v>57780</v>
      </c>
      <c r="AK14" s="316">
        <v>31900</v>
      </c>
      <c r="AL14" s="317">
        <v>7980</v>
      </c>
      <c r="AM14" s="237" t="e">
        <f t="shared" si="10"/>
        <v>#VALUE!</v>
      </c>
      <c r="AN14" s="70" t="str">
        <f t="shared" si="11"/>
        <v>PNOON</v>
      </c>
      <c r="AO14" s="241">
        <f t="shared" si="12"/>
        <v>42503.5</v>
      </c>
      <c r="AP14" s="45" t="s">
        <v>40</v>
      </c>
      <c r="AQ14" s="98"/>
      <c r="AR14" s="99"/>
      <c r="AS14" s="99"/>
      <c r="AT14" s="100"/>
      <c r="AU14" s="101"/>
      <c r="AV14" s="100"/>
      <c r="AW14" s="101"/>
      <c r="AX14" s="101"/>
      <c r="AY14" s="99"/>
      <c r="AZ14" s="102"/>
      <c r="BA14" s="102"/>
      <c r="BB14" s="103"/>
      <c r="BC14" s="104"/>
      <c r="BD14" s="98"/>
      <c r="BE14" s="105"/>
      <c r="BF14" s="104"/>
      <c r="BG14" s="115"/>
      <c r="BH14" s="104"/>
      <c r="BI14" s="98"/>
      <c r="BJ14" s="105"/>
      <c r="BK14" s="104"/>
      <c r="BL14" s="104"/>
      <c r="BM14" s="107"/>
      <c r="BN14" s="108"/>
      <c r="BO14" s="108"/>
      <c r="BP14" s="109"/>
      <c r="BQ14" s="110"/>
      <c r="BR14" s="108"/>
      <c r="BS14" s="109"/>
      <c r="BT14" s="109"/>
      <c r="BU14" s="107"/>
      <c r="BV14" s="111"/>
      <c r="BW14" s="98"/>
      <c r="BX14" s="113"/>
      <c r="BY14" s="113"/>
      <c r="BZ14" s="114"/>
      <c r="CA14" s="114"/>
      <c r="CB14" s="114"/>
      <c r="CC14" s="99"/>
      <c r="CD14" s="115"/>
      <c r="CE14" s="116"/>
      <c r="CF14" s="117"/>
      <c r="CG14" s="118"/>
      <c r="CH14" s="117"/>
      <c r="CI14" s="118"/>
      <c r="CJ14" s="117"/>
      <c r="CK14" s="118"/>
      <c r="CL14" s="119"/>
      <c r="CM14" s="120"/>
      <c r="CN14" s="121"/>
      <c r="CO14" s="120"/>
      <c r="CP14" s="121"/>
      <c r="CQ14" s="121"/>
      <c r="CR14" s="100"/>
      <c r="CS14" s="121"/>
      <c r="CT14" s="90"/>
      <c r="CU14" s="90"/>
      <c r="CV14" s="90"/>
      <c r="CW14" s="90"/>
      <c r="CX14" s="90"/>
      <c r="CY14" s="90"/>
      <c r="CZ14" s="90"/>
      <c r="DA14" s="90"/>
      <c r="DB14" s="90"/>
      <c r="DC14" s="90"/>
      <c r="DD14" s="90"/>
      <c r="DE14" s="90"/>
      <c r="DF14" s="90"/>
    </row>
    <row r="15" spans="1:111" ht="24" customHeight="1" x14ac:dyDescent="0.25">
      <c r="A15" s="83" t="s">
        <v>103</v>
      </c>
      <c r="B15" s="442">
        <v>42504.5</v>
      </c>
      <c r="C15" s="453"/>
      <c r="D15" s="84"/>
      <c r="E15" s="23"/>
      <c r="F15" s="15"/>
      <c r="G15" s="213"/>
      <c r="H15" s="27" t="str">
        <f t="shared" si="2"/>
        <v/>
      </c>
      <c r="I15" s="216" t="str">
        <f t="shared" si="3"/>
        <v/>
      </c>
      <c r="J15" s="29" t="e">
        <f ca="1">IF($J$5&gt;=B15,"N/A",SUM(INDIRECT(ADDRESS(6+(MATCH($J$5,$B$6:$B$59,0)),8)):H15))</f>
        <v>#N/A</v>
      </c>
      <c r="K15" s="10"/>
      <c r="L15" s="88"/>
      <c r="M15" s="4" t="str">
        <f t="shared" si="4"/>
        <v/>
      </c>
      <c r="N15" s="220" t="str">
        <f t="shared" si="0"/>
        <v/>
      </c>
      <c r="O15" s="30" t="e">
        <f ca="1">IF($O$5&gt;=B15,"N/A",SUM(INDIRECT(ADDRESS(6+(MATCH($O$5,$B$6:$B$59,0)),13)):M15))</f>
        <v>#N/A</v>
      </c>
      <c r="P15" s="325"/>
      <c r="Q15" s="325"/>
      <c r="R15" s="325"/>
      <c r="S15" s="70" t="str">
        <f t="shared" si="5"/>
        <v>PNOON</v>
      </c>
      <c r="T15" s="241">
        <f t="shared" si="6"/>
        <v>42504.5</v>
      </c>
      <c r="U15" s="296"/>
      <c r="V15" s="297">
        <v>3.8</v>
      </c>
      <c r="W15" s="297">
        <v>2.8</v>
      </c>
      <c r="X15" s="199">
        <f>U15+V15+W15</f>
        <v>6.6</v>
      </c>
      <c r="Y15" s="159">
        <f t="shared" si="8"/>
        <v>834.99999999999989</v>
      </c>
      <c r="Z15" s="298"/>
      <c r="AA15" s="299"/>
      <c r="AB15" s="300"/>
      <c r="AC15" s="300"/>
      <c r="AD15" s="203">
        <f t="shared" si="1"/>
        <v>0</v>
      </c>
      <c r="AE15" s="150">
        <f t="shared" si="9"/>
        <v>74.599999999999994</v>
      </c>
      <c r="AF15" s="301"/>
      <c r="AG15" s="302">
        <v>4</v>
      </c>
      <c r="AH15" s="303"/>
      <c r="AI15" s="141">
        <f t="shared" si="13"/>
        <v>163</v>
      </c>
      <c r="AJ15" s="304">
        <v>57780</v>
      </c>
      <c r="AK15" s="316">
        <v>31900</v>
      </c>
      <c r="AL15" s="317">
        <v>7960</v>
      </c>
      <c r="AM15" s="237" t="e">
        <f t="shared" si="10"/>
        <v>#VALUE!</v>
      </c>
      <c r="AN15" s="70" t="str">
        <f t="shared" si="11"/>
        <v>PNOON</v>
      </c>
      <c r="AO15" s="241">
        <f t="shared" si="12"/>
        <v>42504.5</v>
      </c>
      <c r="AP15" s="45" t="s">
        <v>40</v>
      </c>
      <c r="AQ15" s="98"/>
      <c r="AR15" s="99"/>
      <c r="AS15" s="99"/>
      <c r="AT15" s="100"/>
      <c r="AU15" s="101"/>
      <c r="AV15" s="100"/>
      <c r="AW15" s="101"/>
      <c r="AX15" s="101"/>
      <c r="AY15" s="99"/>
      <c r="AZ15" s="102"/>
      <c r="BA15" s="102"/>
      <c r="BB15" s="103"/>
      <c r="BC15" s="104"/>
      <c r="BD15" s="98"/>
      <c r="BE15" s="105"/>
      <c r="BF15" s="104"/>
      <c r="BG15" s="115"/>
      <c r="BH15" s="104"/>
      <c r="BI15" s="98"/>
      <c r="BJ15" s="105"/>
      <c r="BK15" s="104"/>
      <c r="BL15" s="104"/>
      <c r="BM15" s="107"/>
      <c r="BN15" s="108"/>
      <c r="BO15" s="108"/>
      <c r="BP15" s="109"/>
      <c r="BQ15" s="110"/>
      <c r="BR15" s="108"/>
      <c r="BS15" s="109"/>
      <c r="BT15" s="109"/>
      <c r="BU15" s="107"/>
      <c r="BV15" s="111"/>
      <c r="BW15" s="98"/>
      <c r="BX15" s="113"/>
      <c r="BY15" s="113"/>
      <c r="BZ15" s="114"/>
      <c r="CA15" s="114"/>
      <c r="CB15" s="114"/>
      <c r="CC15" s="99"/>
      <c r="CD15" s="115"/>
      <c r="CE15" s="116"/>
      <c r="CF15" s="117"/>
      <c r="CG15" s="118"/>
      <c r="CH15" s="117"/>
      <c r="CI15" s="118"/>
      <c r="CJ15" s="117"/>
      <c r="CK15" s="118"/>
      <c r="CL15" s="119"/>
      <c r="CM15" s="120"/>
      <c r="CN15" s="121"/>
      <c r="CO15" s="120"/>
      <c r="CP15" s="121"/>
      <c r="CQ15" s="121"/>
      <c r="CR15" s="100"/>
      <c r="CS15" s="121"/>
      <c r="CT15" s="90"/>
      <c r="CU15" s="90"/>
      <c r="CV15" s="90"/>
      <c r="CW15" s="90"/>
      <c r="CX15" s="90"/>
      <c r="CY15" s="90"/>
      <c r="CZ15" s="90"/>
      <c r="DA15" s="90"/>
      <c r="DB15" s="90"/>
      <c r="DC15" s="90"/>
      <c r="DD15" s="90"/>
      <c r="DE15" s="90"/>
      <c r="DF15" s="90"/>
    </row>
    <row r="16" spans="1:111" ht="24" customHeight="1" x14ac:dyDescent="0.25">
      <c r="A16" s="83" t="s">
        <v>103</v>
      </c>
      <c r="B16" s="442">
        <v>42505.5</v>
      </c>
      <c r="C16" s="453"/>
      <c r="D16" s="84"/>
      <c r="E16" s="23"/>
      <c r="F16" s="15"/>
      <c r="G16" s="213"/>
      <c r="H16" s="27" t="str">
        <f t="shared" si="2"/>
        <v/>
      </c>
      <c r="I16" s="216" t="str">
        <f t="shared" si="3"/>
        <v/>
      </c>
      <c r="J16" s="29" t="e">
        <f ca="1">IF($J$5&gt;=B16,"N/A",SUM(INDIRECT(ADDRESS(6+(MATCH($J$5,$B$6:$B$59,0)),8)):H16))</f>
        <v>#N/A</v>
      </c>
      <c r="K16" s="10"/>
      <c r="L16" s="88"/>
      <c r="M16" s="4" t="str">
        <f t="shared" si="4"/>
        <v/>
      </c>
      <c r="N16" s="220" t="str">
        <f t="shared" si="0"/>
        <v/>
      </c>
      <c r="O16" s="30" t="e">
        <f ca="1">IF($O$5&gt;=B16,"N/A",SUM(INDIRECT(ADDRESS(6+(MATCH($O$5,$B$6:$B$59,0)),13)):M16))</f>
        <v>#N/A</v>
      </c>
      <c r="P16" s="325"/>
      <c r="Q16" s="325"/>
      <c r="R16" s="325"/>
      <c r="S16" s="70" t="str">
        <f t="shared" si="5"/>
        <v>PNOON</v>
      </c>
      <c r="T16" s="241">
        <f t="shared" si="6"/>
        <v>42505.5</v>
      </c>
      <c r="U16" s="296"/>
      <c r="V16" s="297">
        <v>3.8</v>
      </c>
      <c r="W16" s="297">
        <v>2.8</v>
      </c>
      <c r="X16" s="199">
        <f t="shared" si="7"/>
        <v>6.6</v>
      </c>
      <c r="Y16" s="159">
        <f t="shared" si="8"/>
        <v>828.39999999999986</v>
      </c>
      <c r="Z16" s="298"/>
      <c r="AA16" s="299"/>
      <c r="AB16" s="300"/>
      <c r="AC16" s="300"/>
      <c r="AD16" s="203">
        <f t="shared" si="1"/>
        <v>0</v>
      </c>
      <c r="AE16" s="150">
        <f t="shared" si="9"/>
        <v>74.599999999999994</v>
      </c>
      <c r="AF16" s="301"/>
      <c r="AG16" s="302">
        <v>3</v>
      </c>
      <c r="AH16" s="303"/>
      <c r="AI16" s="141">
        <f t="shared" si="13"/>
        <v>160</v>
      </c>
      <c r="AJ16" s="304">
        <v>57780</v>
      </c>
      <c r="AK16" s="316">
        <v>31900</v>
      </c>
      <c r="AL16" s="317">
        <v>7940</v>
      </c>
      <c r="AM16" s="237" t="e">
        <f t="shared" si="10"/>
        <v>#VALUE!</v>
      </c>
      <c r="AN16" s="70" t="str">
        <f t="shared" si="11"/>
        <v>PNOON</v>
      </c>
      <c r="AO16" s="241">
        <f t="shared" si="12"/>
        <v>42505.5</v>
      </c>
      <c r="AP16" s="45" t="s">
        <v>40</v>
      </c>
      <c r="AQ16" s="98"/>
      <c r="AR16" s="99"/>
      <c r="AS16" s="99"/>
      <c r="AT16" s="100"/>
      <c r="AU16" s="101"/>
      <c r="AV16" s="100"/>
      <c r="AW16" s="101"/>
      <c r="AX16" s="101"/>
      <c r="AY16" s="99"/>
      <c r="AZ16" s="102"/>
      <c r="BA16" s="102"/>
      <c r="BB16" s="103"/>
      <c r="BC16" s="104"/>
      <c r="BD16" s="98"/>
      <c r="BE16" s="105"/>
      <c r="BF16" s="104"/>
      <c r="BG16" s="115"/>
      <c r="BH16" s="104"/>
      <c r="BI16" s="98"/>
      <c r="BJ16" s="105"/>
      <c r="BK16" s="104"/>
      <c r="BL16" s="104"/>
      <c r="BM16" s="107"/>
      <c r="BN16" s="108"/>
      <c r="BO16" s="108"/>
      <c r="BP16" s="109"/>
      <c r="BQ16" s="110"/>
      <c r="BR16" s="108"/>
      <c r="BS16" s="109"/>
      <c r="BT16" s="109"/>
      <c r="BU16" s="107"/>
      <c r="BV16" s="111"/>
      <c r="BW16" s="98"/>
      <c r="BX16" s="113"/>
      <c r="BY16" s="113"/>
      <c r="BZ16" s="114"/>
      <c r="CA16" s="114"/>
      <c r="CB16" s="114"/>
      <c r="CC16" s="99"/>
      <c r="CD16" s="115"/>
      <c r="CE16" s="116"/>
      <c r="CF16" s="117"/>
      <c r="CG16" s="118"/>
      <c r="CH16" s="117"/>
      <c r="CI16" s="118"/>
      <c r="CJ16" s="117"/>
      <c r="CK16" s="118"/>
      <c r="CL16" s="119"/>
      <c r="CM16" s="120"/>
      <c r="CN16" s="121"/>
      <c r="CO16" s="120"/>
      <c r="CP16" s="121"/>
      <c r="CQ16" s="121"/>
      <c r="CR16" s="100"/>
      <c r="CS16" s="121"/>
      <c r="CT16" s="90"/>
      <c r="CU16" s="90"/>
      <c r="CV16" s="90"/>
      <c r="CW16" s="90"/>
      <c r="CX16" s="90"/>
      <c r="CY16" s="90"/>
      <c r="CZ16" s="90"/>
      <c r="DA16" s="90"/>
      <c r="DB16" s="90"/>
      <c r="DC16" s="90"/>
      <c r="DD16" s="90"/>
      <c r="DE16" s="90"/>
      <c r="DF16" s="90"/>
    </row>
    <row r="17" spans="1:110" ht="24" customHeight="1" x14ac:dyDescent="0.25">
      <c r="A17" s="83" t="s">
        <v>103</v>
      </c>
      <c r="B17" s="442">
        <v>42506.5</v>
      </c>
      <c r="C17" s="453"/>
      <c r="D17" s="84"/>
      <c r="E17" s="23"/>
      <c r="F17" s="15"/>
      <c r="G17" s="213"/>
      <c r="H17" s="27" t="str">
        <f t="shared" si="2"/>
        <v/>
      </c>
      <c r="I17" s="216" t="str">
        <f t="shared" si="3"/>
        <v/>
      </c>
      <c r="J17" s="29" t="e">
        <f ca="1">IF($J$5&gt;=B17,"N/A",SUM(INDIRECT(ADDRESS(6+(MATCH($J$5,$B$6:$B$59,0)),8)):H17))</f>
        <v>#N/A</v>
      </c>
      <c r="K17" s="10"/>
      <c r="L17" s="88"/>
      <c r="M17" s="4" t="str">
        <f t="shared" si="4"/>
        <v/>
      </c>
      <c r="N17" s="220" t="str">
        <f t="shared" si="0"/>
        <v/>
      </c>
      <c r="O17" s="30" t="e">
        <f ca="1">IF($O$5&gt;=B17,"N/A",SUM(INDIRECT(ADDRESS(6+(MATCH($O$5,$B$6:$B$59,0)),13)):M17))</f>
        <v>#N/A</v>
      </c>
      <c r="P17" s="325"/>
      <c r="Q17" s="325"/>
      <c r="R17" s="325"/>
      <c r="S17" s="70" t="str">
        <f t="shared" si="5"/>
        <v>PNOON</v>
      </c>
      <c r="T17" s="241">
        <f t="shared" si="6"/>
        <v>42506.5</v>
      </c>
      <c r="U17" s="296"/>
      <c r="V17" s="297">
        <v>3.8</v>
      </c>
      <c r="W17" s="297">
        <v>2.7</v>
      </c>
      <c r="X17" s="199">
        <f t="shared" si="7"/>
        <v>6.5</v>
      </c>
      <c r="Y17" s="159">
        <f t="shared" si="8"/>
        <v>821.89999999999986</v>
      </c>
      <c r="Z17" s="298"/>
      <c r="AA17" s="299"/>
      <c r="AB17" s="300"/>
      <c r="AC17" s="300"/>
      <c r="AD17" s="203">
        <f t="shared" si="1"/>
        <v>0</v>
      </c>
      <c r="AE17" s="150">
        <f t="shared" si="9"/>
        <v>74.599999999999994</v>
      </c>
      <c r="AF17" s="301"/>
      <c r="AG17" s="302">
        <v>3</v>
      </c>
      <c r="AH17" s="303"/>
      <c r="AI17" s="141">
        <f t="shared" si="13"/>
        <v>157</v>
      </c>
      <c r="AJ17" s="304">
        <v>57780</v>
      </c>
      <c r="AK17" s="316">
        <v>31900</v>
      </c>
      <c r="AL17" s="317">
        <v>7920</v>
      </c>
      <c r="AM17" s="237" t="e">
        <f t="shared" si="10"/>
        <v>#VALUE!</v>
      </c>
      <c r="AN17" s="70" t="str">
        <f t="shared" si="11"/>
        <v>PNOON</v>
      </c>
      <c r="AO17" s="241">
        <f t="shared" si="12"/>
        <v>42506.5</v>
      </c>
      <c r="AP17" s="45" t="s">
        <v>40</v>
      </c>
      <c r="AQ17" s="98"/>
      <c r="AR17" s="99"/>
      <c r="AS17" s="99"/>
      <c r="AT17" s="100"/>
      <c r="AU17" s="101"/>
      <c r="AV17" s="100"/>
      <c r="AW17" s="101"/>
      <c r="AX17" s="101"/>
      <c r="AY17" s="99"/>
      <c r="AZ17" s="102"/>
      <c r="BA17" s="102"/>
      <c r="BB17" s="103"/>
      <c r="BC17" s="104"/>
      <c r="BD17" s="98"/>
      <c r="BE17" s="105"/>
      <c r="BF17" s="104"/>
      <c r="BG17" s="115"/>
      <c r="BH17" s="104"/>
      <c r="BI17" s="98"/>
      <c r="BJ17" s="105"/>
      <c r="BK17" s="104"/>
      <c r="BL17" s="104"/>
      <c r="BM17" s="107"/>
      <c r="BN17" s="108"/>
      <c r="BO17" s="108"/>
      <c r="BP17" s="109"/>
      <c r="BQ17" s="110"/>
      <c r="BR17" s="108"/>
      <c r="BS17" s="109"/>
      <c r="BT17" s="109"/>
      <c r="BU17" s="107"/>
      <c r="BV17" s="111"/>
      <c r="BW17" s="98"/>
      <c r="BX17" s="113"/>
      <c r="BY17" s="113"/>
      <c r="BZ17" s="114"/>
      <c r="CA17" s="114"/>
      <c r="CB17" s="114"/>
      <c r="CC17" s="99"/>
      <c r="CD17" s="115"/>
      <c r="CE17" s="116"/>
      <c r="CF17" s="117"/>
      <c r="CG17" s="118"/>
      <c r="CH17" s="117"/>
      <c r="CI17" s="118"/>
      <c r="CJ17" s="117"/>
      <c r="CK17" s="118"/>
      <c r="CL17" s="119"/>
      <c r="CM17" s="120"/>
      <c r="CN17" s="121"/>
      <c r="CO17" s="120"/>
      <c r="CP17" s="121"/>
      <c r="CQ17" s="121"/>
      <c r="CR17" s="100"/>
      <c r="CS17" s="121"/>
      <c r="CT17" s="90"/>
      <c r="CU17" s="90"/>
      <c r="CV17" s="90"/>
      <c r="CW17" s="90"/>
      <c r="CX17" s="90"/>
      <c r="CY17" s="90"/>
      <c r="CZ17" s="90"/>
      <c r="DA17" s="90"/>
      <c r="DB17" s="90"/>
      <c r="DC17" s="90"/>
      <c r="DD17" s="90"/>
      <c r="DE17" s="90"/>
      <c r="DF17" s="90"/>
    </row>
    <row r="18" spans="1:110" ht="24" customHeight="1" x14ac:dyDescent="0.25">
      <c r="A18" s="83" t="s">
        <v>103</v>
      </c>
      <c r="B18" s="442">
        <v>42507.5</v>
      </c>
      <c r="C18" s="453"/>
      <c r="D18" s="84"/>
      <c r="E18" s="23"/>
      <c r="F18" s="15"/>
      <c r="G18" s="213"/>
      <c r="H18" s="27" t="str">
        <f t="shared" si="2"/>
        <v/>
      </c>
      <c r="I18" s="216" t="str">
        <f t="shared" si="3"/>
        <v/>
      </c>
      <c r="J18" s="29" t="e">
        <f ca="1">IF($J$5&gt;=B18,"N/A",SUM(INDIRECT(ADDRESS(6+(MATCH($J$5,$B$6:$B$59,0)),8)):H18))</f>
        <v>#N/A</v>
      </c>
      <c r="K18" s="10"/>
      <c r="L18" s="88"/>
      <c r="M18" s="4" t="str">
        <f t="shared" si="4"/>
        <v/>
      </c>
      <c r="N18" s="220" t="str">
        <f t="shared" si="0"/>
        <v/>
      </c>
      <c r="O18" s="30" t="e">
        <f ca="1">IF($O$5&gt;=B18,"N/A",SUM(INDIRECT(ADDRESS(6+(MATCH($O$5,$B$6:$B$59,0)),13)):M18))</f>
        <v>#N/A</v>
      </c>
      <c r="P18" s="325"/>
      <c r="Q18" s="325"/>
      <c r="R18" s="325"/>
      <c r="S18" s="70" t="str">
        <f t="shared" si="5"/>
        <v>PNOON</v>
      </c>
      <c r="T18" s="241">
        <f t="shared" si="6"/>
        <v>42507.5</v>
      </c>
      <c r="U18" s="296"/>
      <c r="V18" s="297">
        <v>3.8</v>
      </c>
      <c r="W18" s="297">
        <v>2.7</v>
      </c>
      <c r="X18" s="199">
        <f t="shared" si="7"/>
        <v>6.5</v>
      </c>
      <c r="Y18" s="159">
        <f t="shared" si="8"/>
        <v>815.39999999999986</v>
      </c>
      <c r="Z18" s="298"/>
      <c r="AA18" s="299"/>
      <c r="AB18" s="300"/>
      <c r="AC18" s="300"/>
      <c r="AD18" s="203">
        <f t="shared" si="1"/>
        <v>0</v>
      </c>
      <c r="AE18" s="150">
        <f t="shared" si="9"/>
        <v>74.599999999999994</v>
      </c>
      <c r="AF18" s="301"/>
      <c r="AG18" s="302">
        <v>4</v>
      </c>
      <c r="AH18" s="303"/>
      <c r="AI18" s="141">
        <f t="shared" si="13"/>
        <v>153</v>
      </c>
      <c r="AJ18" s="304">
        <v>57780</v>
      </c>
      <c r="AK18" s="316">
        <v>31900</v>
      </c>
      <c r="AL18" s="317">
        <v>7900</v>
      </c>
      <c r="AM18" s="237" t="e">
        <f t="shared" si="10"/>
        <v>#VALUE!</v>
      </c>
      <c r="AN18" s="70" t="str">
        <f t="shared" si="11"/>
        <v>PNOON</v>
      </c>
      <c r="AO18" s="241">
        <f t="shared" si="12"/>
        <v>42507.5</v>
      </c>
      <c r="AP18" s="45" t="s">
        <v>40</v>
      </c>
      <c r="AQ18" s="98"/>
      <c r="AR18" s="99"/>
      <c r="AS18" s="99"/>
      <c r="AT18" s="100"/>
      <c r="AU18" s="101"/>
      <c r="AV18" s="100"/>
      <c r="AW18" s="101"/>
      <c r="AX18" s="101"/>
      <c r="AY18" s="99"/>
      <c r="AZ18" s="102"/>
      <c r="BA18" s="102"/>
      <c r="BB18" s="103"/>
      <c r="BC18" s="104"/>
      <c r="BD18" s="98"/>
      <c r="BE18" s="105"/>
      <c r="BF18" s="104"/>
      <c r="BG18" s="115"/>
      <c r="BH18" s="104"/>
      <c r="BI18" s="98"/>
      <c r="BJ18" s="105"/>
      <c r="BK18" s="104"/>
      <c r="BL18" s="104"/>
      <c r="BM18" s="107"/>
      <c r="BN18" s="108"/>
      <c r="BO18" s="108"/>
      <c r="BP18" s="109"/>
      <c r="BQ18" s="110"/>
      <c r="BR18" s="108"/>
      <c r="BS18" s="109"/>
      <c r="BT18" s="109"/>
      <c r="BU18" s="107"/>
      <c r="BV18" s="111"/>
      <c r="BW18" s="98"/>
      <c r="BX18" s="113"/>
      <c r="BY18" s="113"/>
      <c r="BZ18" s="114"/>
      <c r="CA18" s="114"/>
      <c r="CB18" s="114"/>
      <c r="CC18" s="99"/>
      <c r="CD18" s="115"/>
      <c r="CE18" s="116"/>
      <c r="CF18" s="117"/>
      <c r="CG18" s="118"/>
      <c r="CH18" s="117"/>
      <c r="CI18" s="118"/>
      <c r="CJ18" s="117"/>
      <c r="CK18" s="118"/>
      <c r="CL18" s="119"/>
      <c r="CM18" s="120"/>
      <c r="CN18" s="121"/>
      <c r="CO18" s="120"/>
      <c r="CP18" s="121"/>
      <c r="CQ18" s="121"/>
      <c r="CR18" s="100"/>
      <c r="CS18" s="121"/>
      <c r="CT18" s="90"/>
      <c r="CU18" s="90"/>
      <c r="CV18" s="90"/>
      <c r="CW18" s="90"/>
      <c r="CX18" s="90"/>
      <c r="CY18" s="90"/>
      <c r="CZ18" s="90"/>
      <c r="DA18" s="90"/>
      <c r="DB18" s="90"/>
      <c r="DC18" s="90"/>
      <c r="DD18" s="90"/>
      <c r="DE18" s="90"/>
      <c r="DF18" s="90"/>
    </row>
    <row r="19" spans="1:110" ht="24" customHeight="1" x14ac:dyDescent="0.25">
      <c r="A19" s="83" t="s">
        <v>103</v>
      </c>
      <c r="B19" s="442">
        <v>42508.5</v>
      </c>
      <c r="C19" s="453"/>
      <c r="D19" s="84"/>
      <c r="E19" s="23"/>
      <c r="F19" s="15"/>
      <c r="G19" s="213"/>
      <c r="H19" s="27" t="str">
        <f t="shared" si="2"/>
        <v/>
      </c>
      <c r="I19" s="216" t="str">
        <f t="shared" si="3"/>
        <v/>
      </c>
      <c r="J19" s="29" t="e">
        <f ca="1">IF($J$5&gt;=B19,"N/A",SUM(INDIRECT(ADDRESS(6+(MATCH($J$5,$B$6:$B$59,0)),8)):H19))</f>
        <v>#N/A</v>
      </c>
      <c r="K19" s="10"/>
      <c r="L19" s="88"/>
      <c r="M19" s="4" t="str">
        <f t="shared" si="4"/>
        <v/>
      </c>
      <c r="N19" s="220" t="str">
        <f t="shared" si="0"/>
        <v/>
      </c>
      <c r="O19" s="30" t="e">
        <f ca="1">IF($O$5&gt;=B19,"N/A",SUM(INDIRECT(ADDRESS(6+(MATCH($O$5,$B$6:$B$59,0)),13)):M19))</f>
        <v>#N/A</v>
      </c>
      <c r="P19" s="325"/>
      <c r="Q19" s="325"/>
      <c r="R19" s="325"/>
      <c r="S19" s="70" t="str">
        <f t="shared" si="5"/>
        <v>PNOON</v>
      </c>
      <c r="T19" s="241">
        <f t="shared" si="6"/>
        <v>42508.5</v>
      </c>
      <c r="U19" s="296"/>
      <c r="V19" s="297">
        <v>3.8</v>
      </c>
      <c r="W19" s="297">
        <v>2.7</v>
      </c>
      <c r="X19" s="199">
        <f t="shared" si="7"/>
        <v>6.5</v>
      </c>
      <c r="Y19" s="159">
        <f t="shared" si="8"/>
        <v>808.89999999999986</v>
      </c>
      <c r="Z19" s="298"/>
      <c r="AA19" s="299"/>
      <c r="AB19" s="300"/>
      <c r="AC19" s="300"/>
      <c r="AD19" s="203">
        <f t="shared" si="1"/>
        <v>0</v>
      </c>
      <c r="AE19" s="150">
        <f t="shared" si="9"/>
        <v>74.599999999999994</v>
      </c>
      <c r="AF19" s="301"/>
      <c r="AG19" s="302">
        <v>5</v>
      </c>
      <c r="AH19" s="303"/>
      <c r="AI19" s="141">
        <f t="shared" si="13"/>
        <v>148</v>
      </c>
      <c r="AJ19" s="304">
        <v>57780</v>
      </c>
      <c r="AK19" s="316">
        <v>31900</v>
      </c>
      <c r="AL19" s="317">
        <v>7880</v>
      </c>
      <c r="AM19" s="237" t="e">
        <f t="shared" si="10"/>
        <v>#VALUE!</v>
      </c>
      <c r="AN19" s="70" t="str">
        <f t="shared" si="11"/>
        <v>PNOON</v>
      </c>
      <c r="AO19" s="241">
        <f t="shared" si="12"/>
        <v>42508.5</v>
      </c>
      <c r="AP19" s="45" t="s">
        <v>40</v>
      </c>
      <c r="AQ19" s="98"/>
      <c r="AR19" s="99"/>
      <c r="AS19" s="99"/>
      <c r="AT19" s="100"/>
      <c r="AU19" s="101"/>
      <c r="AV19" s="100"/>
      <c r="AW19" s="101"/>
      <c r="AX19" s="101"/>
      <c r="AY19" s="99"/>
      <c r="AZ19" s="102"/>
      <c r="BA19" s="102"/>
      <c r="BB19" s="103"/>
      <c r="BC19" s="104"/>
      <c r="BD19" s="98"/>
      <c r="BE19" s="105"/>
      <c r="BF19" s="104"/>
      <c r="BG19" s="115"/>
      <c r="BH19" s="104"/>
      <c r="BI19" s="98"/>
      <c r="BJ19" s="105"/>
      <c r="BK19" s="104"/>
      <c r="BL19" s="104"/>
      <c r="BM19" s="107"/>
      <c r="BN19" s="108"/>
      <c r="BO19" s="108"/>
      <c r="BP19" s="109"/>
      <c r="BQ19" s="110"/>
      <c r="BR19" s="108"/>
      <c r="BS19" s="109"/>
      <c r="BT19" s="109"/>
      <c r="BU19" s="107"/>
      <c r="BV19" s="111"/>
      <c r="BW19" s="98"/>
      <c r="BX19" s="113"/>
      <c r="BY19" s="113"/>
      <c r="BZ19" s="114"/>
      <c r="CA19" s="114"/>
      <c r="CB19" s="114"/>
      <c r="CC19" s="99"/>
      <c r="CD19" s="115"/>
      <c r="CE19" s="116"/>
      <c r="CF19" s="117"/>
      <c r="CG19" s="118"/>
      <c r="CH19" s="117"/>
      <c r="CI19" s="118"/>
      <c r="CJ19" s="117"/>
      <c r="CK19" s="118"/>
      <c r="CL19" s="119"/>
      <c r="CM19" s="120"/>
      <c r="CN19" s="121"/>
      <c r="CO19" s="120"/>
      <c r="CP19" s="121"/>
      <c r="CQ19" s="121"/>
      <c r="CR19" s="100"/>
      <c r="CS19" s="121"/>
      <c r="CT19" s="90"/>
      <c r="CU19" s="90"/>
      <c r="CV19" s="90"/>
      <c r="CW19" s="90"/>
      <c r="CX19" s="90"/>
      <c r="CY19" s="90"/>
      <c r="CZ19" s="90"/>
      <c r="DA19" s="90"/>
      <c r="DB19" s="90"/>
      <c r="DC19" s="90"/>
      <c r="DD19" s="90"/>
      <c r="DE19" s="90"/>
      <c r="DF19" s="90"/>
    </row>
    <row r="20" spans="1:110" ht="24" customHeight="1" x14ac:dyDescent="0.25">
      <c r="A20" s="83" t="s">
        <v>103</v>
      </c>
      <c r="B20" s="442">
        <v>42509.5</v>
      </c>
      <c r="C20" s="453"/>
      <c r="D20" s="84"/>
      <c r="E20" s="23"/>
      <c r="F20" s="15"/>
      <c r="G20" s="213"/>
      <c r="H20" s="27" t="str">
        <f t="shared" si="2"/>
        <v/>
      </c>
      <c r="I20" s="216" t="str">
        <f t="shared" si="3"/>
        <v/>
      </c>
      <c r="J20" s="29" t="e">
        <f ca="1">IF($J$5&gt;=B20,"N/A",SUM(INDIRECT(ADDRESS(6+(MATCH($J$5,$B$6:$B$59,0)),8)):H20))</f>
        <v>#N/A</v>
      </c>
      <c r="K20" s="10"/>
      <c r="L20" s="88"/>
      <c r="M20" s="4" t="str">
        <f t="shared" si="4"/>
        <v/>
      </c>
      <c r="N20" s="220" t="str">
        <f t="shared" si="0"/>
        <v/>
      </c>
      <c r="O20" s="30" t="e">
        <f ca="1">IF($O$5&gt;=B20,"N/A",SUM(INDIRECT(ADDRESS(6+(MATCH($O$5,$B$6:$B$59,0)),13)):M20))</f>
        <v>#N/A</v>
      </c>
      <c r="P20" s="325"/>
      <c r="Q20" s="325"/>
      <c r="R20" s="325"/>
      <c r="S20" s="70" t="str">
        <f t="shared" si="5"/>
        <v>PNOON</v>
      </c>
      <c r="T20" s="241">
        <f t="shared" si="6"/>
        <v>42509.5</v>
      </c>
      <c r="U20" s="296"/>
      <c r="V20" s="297">
        <v>3.74</v>
      </c>
      <c r="W20" s="297">
        <v>2.61</v>
      </c>
      <c r="X20" s="199">
        <f t="shared" si="7"/>
        <v>6.35</v>
      </c>
      <c r="Y20" s="159">
        <f t="shared" si="8"/>
        <v>802.54999999999984</v>
      </c>
      <c r="Z20" s="298"/>
      <c r="AA20" s="299"/>
      <c r="AB20" s="300"/>
      <c r="AC20" s="300"/>
      <c r="AD20" s="203">
        <f t="shared" si="1"/>
        <v>0</v>
      </c>
      <c r="AE20" s="150">
        <f t="shared" si="9"/>
        <v>74.599999999999994</v>
      </c>
      <c r="AF20" s="301"/>
      <c r="AG20" s="302">
        <v>3</v>
      </c>
      <c r="AH20" s="303"/>
      <c r="AI20" s="141">
        <f t="shared" si="13"/>
        <v>145</v>
      </c>
      <c r="AJ20" s="304">
        <v>57780</v>
      </c>
      <c r="AK20" s="316">
        <v>31900</v>
      </c>
      <c r="AL20" s="317">
        <v>7860</v>
      </c>
      <c r="AM20" s="237" t="e">
        <f t="shared" si="10"/>
        <v>#VALUE!</v>
      </c>
      <c r="AN20" s="70" t="str">
        <f t="shared" si="11"/>
        <v>PNOON</v>
      </c>
      <c r="AO20" s="241">
        <f t="shared" si="12"/>
        <v>42509.5</v>
      </c>
      <c r="AP20" s="45" t="s">
        <v>40</v>
      </c>
      <c r="AQ20" s="98"/>
      <c r="AR20" s="99"/>
      <c r="AS20" s="99"/>
      <c r="AT20" s="100"/>
      <c r="AU20" s="101"/>
      <c r="AV20" s="100"/>
      <c r="AW20" s="101"/>
      <c r="AX20" s="101"/>
      <c r="AY20" s="99"/>
      <c r="AZ20" s="102"/>
      <c r="BA20" s="102"/>
      <c r="BB20" s="103"/>
      <c r="BC20" s="104"/>
      <c r="BD20" s="98"/>
      <c r="BE20" s="105"/>
      <c r="BF20" s="104"/>
      <c r="BG20" s="115"/>
      <c r="BH20" s="104"/>
      <c r="BI20" s="98"/>
      <c r="BJ20" s="105"/>
      <c r="BK20" s="104"/>
      <c r="BL20" s="104"/>
      <c r="BM20" s="107"/>
      <c r="BN20" s="108"/>
      <c r="BO20" s="108"/>
      <c r="BP20" s="109"/>
      <c r="BQ20" s="110"/>
      <c r="BR20" s="108"/>
      <c r="BS20" s="109"/>
      <c r="BT20" s="109"/>
      <c r="BU20" s="107"/>
      <c r="BV20" s="111"/>
      <c r="BW20" s="98"/>
      <c r="BX20" s="113"/>
      <c r="BY20" s="113"/>
      <c r="BZ20" s="114"/>
      <c r="CA20" s="114"/>
      <c r="CB20" s="114"/>
      <c r="CC20" s="99"/>
      <c r="CD20" s="115"/>
      <c r="CE20" s="116"/>
      <c r="CF20" s="117"/>
      <c r="CG20" s="118"/>
      <c r="CH20" s="117"/>
      <c r="CI20" s="118"/>
      <c r="CJ20" s="117"/>
      <c r="CK20" s="118"/>
      <c r="CL20" s="119"/>
      <c r="CM20" s="120"/>
      <c r="CN20" s="121"/>
      <c r="CO20" s="120"/>
      <c r="CP20" s="121"/>
      <c r="CQ20" s="121"/>
      <c r="CR20" s="100"/>
      <c r="CS20" s="121"/>
      <c r="CT20" s="90"/>
      <c r="CU20" s="90"/>
      <c r="CV20" s="90"/>
      <c r="CW20" s="90"/>
      <c r="CX20" s="90"/>
      <c r="CY20" s="90"/>
      <c r="CZ20" s="90"/>
      <c r="DA20" s="90"/>
      <c r="DB20" s="90"/>
      <c r="DC20" s="90"/>
      <c r="DD20" s="90"/>
      <c r="DE20" s="90"/>
      <c r="DF20" s="90"/>
    </row>
    <row r="21" spans="1:110" ht="24" customHeight="1" x14ac:dyDescent="0.25">
      <c r="A21" s="83" t="s">
        <v>103</v>
      </c>
      <c r="B21" s="442">
        <v>42510.5</v>
      </c>
      <c r="C21" s="453"/>
      <c r="D21" s="84"/>
      <c r="E21" s="23"/>
      <c r="F21" s="15"/>
      <c r="G21" s="213"/>
      <c r="H21" s="27" t="str">
        <f t="shared" si="2"/>
        <v/>
      </c>
      <c r="I21" s="216" t="str">
        <f t="shared" si="3"/>
        <v/>
      </c>
      <c r="J21" s="29" t="e">
        <f ca="1">IF($J$5&gt;=B21,"N/A",SUM(INDIRECT(ADDRESS(6+(MATCH($J$5,$B$6:$B$59,0)),8)):H21))</f>
        <v>#N/A</v>
      </c>
      <c r="K21" s="10"/>
      <c r="L21" s="88"/>
      <c r="M21" s="4" t="str">
        <f t="shared" si="4"/>
        <v/>
      </c>
      <c r="N21" s="220" t="str">
        <f t="shared" si="0"/>
        <v/>
      </c>
      <c r="O21" s="30" t="e">
        <f ca="1">IF($O$5&gt;=B21,"N/A",SUM(INDIRECT(ADDRESS(6+(MATCH($O$5,$B$6:$B$59,0)),13)):M21))</f>
        <v>#N/A</v>
      </c>
      <c r="P21" s="325"/>
      <c r="Q21" s="325"/>
      <c r="R21" s="325"/>
      <c r="S21" s="70" t="str">
        <f t="shared" si="5"/>
        <v>PNOON</v>
      </c>
      <c r="T21" s="241">
        <f t="shared" si="6"/>
        <v>42510.5</v>
      </c>
      <c r="U21" s="296"/>
      <c r="V21" s="297">
        <v>3.7</v>
      </c>
      <c r="W21" s="297">
        <v>2.5</v>
      </c>
      <c r="X21" s="199">
        <f t="shared" si="7"/>
        <v>6.2</v>
      </c>
      <c r="Y21" s="159">
        <f t="shared" si="8"/>
        <v>796.3499999999998</v>
      </c>
      <c r="Z21" s="298"/>
      <c r="AA21" s="299"/>
      <c r="AB21" s="300"/>
      <c r="AC21" s="300"/>
      <c r="AD21" s="203">
        <f t="shared" si="1"/>
        <v>0</v>
      </c>
      <c r="AE21" s="150">
        <f t="shared" si="9"/>
        <v>74.599999999999994</v>
      </c>
      <c r="AF21" s="301"/>
      <c r="AG21" s="302">
        <v>3</v>
      </c>
      <c r="AH21" s="303"/>
      <c r="AI21" s="141">
        <f t="shared" si="13"/>
        <v>142</v>
      </c>
      <c r="AJ21" s="304">
        <v>57780</v>
      </c>
      <c r="AK21" s="316">
        <v>31900</v>
      </c>
      <c r="AL21" s="317">
        <v>7840</v>
      </c>
      <c r="AM21" s="237" t="e">
        <f t="shared" ref="AM21:AM59" si="14">((R21-H21)/R21)</f>
        <v>#VALUE!</v>
      </c>
      <c r="AN21" s="70" t="str">
        <f t="shared" si="11"/>
        <v>PNOON</v>
      </c>
      <c r="AO21" s="241">
        <f t="shared" si="12"/>
        <v>42510.5</v>
      </c>
      <c r="AP21" s="45" t="s">
        <v>40</v>
      </c>
      <c r="AQ21" s="98"/>
      <c r="AR21" s="99"/>
      <c r="AS21" s="99"/>
      <c r="AT21" s="100"/>
      <c r="AU21" s="101"/>
      <c r="AV21" s="100"/>
      <c r="AW21" s="101"/>
      <c r="AX21" s="101"/>
      <c r="AY21" s="99"/>
      <c r="AZ21" s="102"/>
      <c r="BA21" s="102"/>
      <c r="BB21" s="103"/>
      <c r="BC21" s="104"/>
      <c r="BD21" s="98"/>
      <c r="BE21" s="105"/>
      <c r="BF21" s="104"/>
      <c r="BG21" s="115"/>
      <c r="BH21" s="104"/>
      <c r="BI21" s="98"/>
      <c r="BJ21" s="105"/>
      <c r="BK21" s="104"/>
      <c r="BL21" s="104"/>
      <c r="BM21" s="107"/>
      <c r="BN21" s="108"/>
      <c r="BO21" s="108"/>
      <c r="BP21" s="109"/>
      <c r="BQ21" s="110"/>
      <c r="BR21" s="108"/>
      <c r="BS21" s="109"/>
      <c r="BT21" s="109"/>
      <c r="BU21" s="107"/>
      <c r="BV21" s="111"/>
      <c r="BW21" s="98"/>
      <c r="BX21" s="113"/>
      <c r="BY21" s="113"/>
      <c r="BZ21" s="114"/>
      <c r="CA21" s="114"/>
      <c r="CB21" s="114"/>
      <c r="CC21" s="99"/>
      <c r="CD21" s="115"/>
      <c r="CE21" s="116"/>
      <c r="CF21" s="117"/>
      <c r="CG21" s="118"/>
      <c r="CH21" s="117"/>
      <c r="CI21" s="118"/>
      <c r="CJ21" s="117"/>
      <c r="CK21" s="118"/>
      <c r="CL21" s="119"/>
      <c r="CM21" s="120"/>
      <c r="CN21" s="121"/>
      <c r="CO21" s="120"/>
      <c r="CP21" s="121"/>
      <c r="CQ21" s="121"/>
      <c r="CR21" s="100"/>
      <c r="CS21" s="121"/>
      <c r="CT21" s="90"/>
      <c r="CU21" s="90"/>
      <c r="CV21" s="90"/>
      <c r="CW21" s="90"/>
      <c r="CX21" s="90"/>
      <c r="CY21" s="90"/>
      <c r="CZ21" s="90"/>
      <c r="DA21" s="90"/>
      <c r="DB21" s="90"/>
      <c r="DC21" s="90"/>
      <c r="DD21" s="90"/>
      <c r="DE21" s="90"/>
      <c r="DF21" s="90"/>
    </row>
    <row r="22" spans="1:110" ht="24" customHeight="1" x14ac:dyDescent="0.25">
      <c r="A22" s="83" t="s">
        <v>103</v>
      </c>
      <c r="B22" s="442">
        <v>42511.5</v>
      </c>
      <c r="C22" s="453"/>
      <c r="D22" s="84"/>
      <c r="E22" s="23"/>
      <c r="F22" s="15"/>
      <c r="G22" s="213"/>
      <c r="H22" s="27" t="str">
        <f t="shared" si="2"/>
        <v/>
      </c>
      <c r="I22" s="216" t="str">
        <f t="shared" si="3"/>
        <v/>
      </c>
      <c r="J22" s="29" t="e">
        <f ca="1">IF($J$5&gt;=B22,"N/A",SUM(INDIRECT(ADDRESS(6+(MATCH($J$5,$B$6:$B$59,0)),8)):H22))</f>
        <v>#N/A</v>
      </c>
      <c r="K22" s="10"/>
      <c r="L22" s="88"/>
      <c r="M22" s="4" t="str">
        <f t="shared" si="4"/>
        <v/>
      </c>
      <c r="N22" s="220" t="str">
        <f t="shared" si="0"/>
        <v/>
      </c>
      <c r="O22" s="30" t="e">
        <f ca="1">IF($O$5&gt;=B22,"N/A",SUM(INDIRECT(ADDRESS(6+(MATCH($O$5,$B$6:$B$59,0)),13)):M22))</f>
        <v>#N/A</v>
      </c>
      <c r="P22" s="325"/>
      <c r="Q22" s="325"/>
      <c r="R22" s="325"/>
      <c r="S22" s="70" t="str">
        <f t="shared" si="5"/>
        <v>PNOON</v>
      </c>
      <c r="T22" s="241">
        <f t="shared" si="6"/>
        <v>42511.5</v>
      </c>
      <c r="U22" s="296"/>
      <c r="V22" s="297">
        <v>3.78</v>
      </c>
      <c r="W22" s="297">
        <v>2.7</v>
      </c>
      <c r="X22" s="199">
        <f t="shared" si="7"/>
        <v>6.48</v>
      </c>
      <c r="Y22" s="159">
        <f t="shared" si="8"/>
        <v>789.86999999999978</v>
      </c>
      <c r="Z22" s="298"/>
      <c r="AA22" s="299"/>
      <c r="AB22" s="300"/>
      <c r="AC22" s="300"/>
      <c r="AD22" s="203">
        <f t="shared" si="1"/>
        <v>0</v>
      </c>
      <c r="AE22" s="150">
        <f t="shared" si="9"/>
        <v>74.599999999999994</v>
      </c>
      <c r="AF22" s="301"/>
      <c r="AG22" s="302">
        <v>3</v>
      </c>
      <c r="AH22" s="303"/>
      <c r="AI22" s="141">
        <f t="shared" si="13"/>
        <v>139</v>
      </c>
      <c r="AJ22" s="304">
        <v>57780</v>
      </c>
      <c r="AK22" s="316">
        <v>31900</v>
      </c>
      <c r="AL22" s="317">
        <v>7820</v>
      </c>
      <c r="AM22" s="237" t="e">
        <f t="shared" si="14"/>
        <v>#VALUE!</v>
      </c>
      <c r="AN22" s="70" t="str">
        <f t="shared" si="11"/>
        <v>PNOON</v>
      </c>
      <c r="AO22" s="241">
        <f t="shared" si="12"/>
        <v>42511.5</v>
      </c>
      <c r="AP22" s="45" t="s">
        <v>40</v>
      </c>
      <c r="AQ22" s="98"/>
      <c r="AR22" s="99"/>
      <c r="AS22" s="99"/>
      <c r="AT22" s="100"/>
      <c r="AU22" s="101"/>
      <c r="AV22" s="100"/>
      <c r="AW22" s="101"/>
      <c r="AX22" s="101"/>
      <c r="AY22" s="99"/>
      <c r="AZ22" s="102"/>
      <c r="BA22" s="102"/>
      <c r="BB22" s="103"/>
      <c r="BC22" s="104"/>
      <c r="BD22" s="98"/>
      <c r="BE22" s="105"/>
      <c r="BF22" s="104"/>
      <c r="BG22" s="115"/>
      <c r="BH22" s="104"/>
      <c r="BI22" s="98"/>
      <c r="BJ22" s="105"/>
      <c r="BK22" s="104"/>
      <c r="BL22" s="104"/>
      <c r="BM22" s="107"/>
      <c r="BN22" s="108"/>
      <c r="BO22" s="108"/>
      <c r="BP22" s="109"/>
      <c r="BQ22" s="110"/>
      <c r="BR22" s="108"/>
      <c r="BS22" s="109"/>
      <c r="BT22" s="109"/>
      <c r="BU22" s="107"/>
      <c r="BV22" s="111"/>
      <c r="BW22" s="98"/>
      <c r="BX22" s="113"/>
      <c r="BY22" s="113"/>
      <c r="BZ22" s="114"/>
      <c r="CA22" s="114"/>
      <c r="CB22" s="114"/>
      <c r="CC22" s="99"/>
      <c r="CD22" s="115"/>
      <c r="CE22" s="116"/>
      <c r="CF22" s="117"/>
      <c r="CG22" s="118"/>
      <c r="CH22" s="117"/>
      <c r="CI22" s="118"/>
      <c r="CJ22" s="117"/>
      <c r="CK22" s="118"/>
      <c r="CL22" s="119"/>
      <c r="CM22" s="120"/>
      <c r="CN22" s="121"/>
      <c r="CO22" s="120"/>
      <c r="CP22" s="121"/>
      <c r="CQ22" s="121"/>
      <c r="CR22" s="100"/>
      <c r="CS22" s="121"/>
      <c r="CT22" s="90"/>
      <c r="CU22" s="90"/>
      <c r="CV22" s="90"/>
      <c r="CW22" s="90"/>
      <c r="CX22" s="90"/>
      <c r="CY22" s="90"/>
      <c r="CZ22" s="90"/>
      <c r="DA22" s="90"/>
      <c r="DB22" s="90"/>
      <c r="DC22" s="90"/>
      <c r="DD22" s="90"/>
      <c r="DE22" s="90"/>
      <c r="DF22" s="90"/>
    </row>
    <row r="23" spans="1:110" ht="24" customHeight="1" x14ac:dyDescent="0.25">
      <c r="A23" s="83" t="s">
        <v>103</v>
      </c>
      <c r="B23" s="442">
        <v>42512.5</v>
      </c>
      <c r="C23" s="453"/>
      <c r="D23" s="84"/>
      <c r="E23" s="23"/>
      <c r="F23" s="15"/>
      <c r="G23" s="213"/>
      <c r="H23" s="27" t="str">
        <f t="shared" si="2"/>
        <v/>
      </c>
      <c r="I23" s="216" t="str">
        <f t="shared" si="3"/>
        <v/>
      </c>
      <c r="J23" s="29" t="e">
        <f ca="1">IF($J$5&gt;=B23,"N/A",SUM(INDIRECT(ADDRESS(6+(MATCH($J$5,$B$6:$B$59,0)),8)):H23))</f>
        <v>#N/A</v>
      </c>
      <c r="K23" s="10"/>
      <c r="L23" s="88"/>
      <c r="M23" s="4" t="str">
        <f t="shared" si="4"/>
        <v/>
      </c>
      <c r="N23" s="220" t="str">
        <f t="shared" si="0"/>
        <v/>
      </c>
      <c r="O23" s="30" t="e">
        <f ca="1">IF($O$5&gt;=B23,"N/A",SUM(INDIRECT(ADDRESS(6+(MATCH($O$5,$B$6:$B$59,0)),13)):M23))</f>
        <v>#N/A</v>
      </c>
      <c r="P23" s="325"/>
      <c r="Q23" s="325"/>
      <c r="R23" s="325"/>
      <c r="S23" s="70" t="str">
        <f t="shared" si="5"/>
        <v>PNOON</v>
      </c>
      <c r="T23" s="241">
        <f t="shared" si="6"/>
        <v>42512.5</v>
      </c>
      <c r="U23" s="296"/>
      <c r="V23" s="297">
        <v>3.71</v>
      </c>
      <c r="W23" s="297">
        <v>2.68</v>
      </c>
      <c r="X23" s="199">
        <f t="shared" si="7"/>
        <v>6.3900000000000006</v>
      </c>
      <c r="Y23" s="159">
        <f t="shared" si="8"/>
        <v>783.47999999999979</v>
      </c>
      <c r="Z23" s="298"/>
      <c r="AA23" s="299"/>
      <c r="AB23" s="300"/>
      <c r="AC23" s="300"/>
      <c r="AD23" s="203">
        <f t="shared" si="1"/>
        <v>0</v>
      </c>
      <c r="AE23" s="150">
        <f t="shared" si="9"/>
        <v>74.599999999999994</v>
      </c>
      <c r="AF23" s="301"/>
      <c r="AG23" s="302">
        <v>3</v>
      </c>
      <c r="AH23" s="303"/>
      <c r="AI23" s="141">
        <f t="shared" si="13"/>
        <v>136</v>
      </c>
      <c r="AJ23" s="304">
        <v>57780</v>
      </c>
      <c r="AK23" s="316">
        <v>31900</v>
      </c>
      <c r="AL23" s="317">
        <v>7800</v>
      </c>
      <c r="AM23" s="237" t="e">
        <f t="shared" si="14"/>
        <v>#VALUE!</v>
      </c>
      <c r="AN23" s="70" t="str">
        <f t="shared" si="11"/>
        <v>PNOON</v>
      </c>
      <c r="AO23" s="241">
        <f t="shared" si="12"/>
        <v>42512.5</v>
      </c>
      <c r="AP23" s="45" t="s">
        <v>40</v>
      </c>
      <c r="AQ23" s="98"/>
      <c r="AR23" s="99"/>
      <c r="AS23" s="99"/>
      <c r="AT23" s="100"/>
      <c r="AU23" s="101"/>
      <c r="AV23" s="100"/>
      <c r="AW23" s="101"/>
      <c r="AX23" s="101"/>
      <c r="AY23" s="99"/>
      <c r="AZ23" s="102"/>
      <c r="BA23" s="102"/>
      <c r="BB23" s="103"/>
      <c r="BC23" s="104"/>
      <c r="BD23" s="98"/>
      <c r="BE23" s="105"/>
      <c r="BF23" s="104"/>
      <c r="BG23" s="115"/>
      <c r="BH23" s="104"/>
      <c r="BI23" s="98"/>
      <c r="BJ23" s="105"/>
      <c r="BK23" s="104"/>
      <c r="BL23" s="104"/>
      <c r="BM23" s="107"/>
      <c r="BN23" s="108"/>
      <c r="BO23" s="108"/>
      <c r="BP23" s="109"/>
      <c r="BQ23" s="110"/>
      <c r="BR23" s="108"/>
      <c r="BS23" s="109"/>
      <c r="BT23" s="109"/>
      <c r="BU23" s="107"/>
      <c r="BV23" s="111"/>
      <c r="BW23" s="98"/>
      <c r="BX23" s="113"/>
      <c r="BY23" s="113"/>
      <c r="BZ23" s="114"/>
      <c r="CA23" s="114"/>
      <c r="CB23" s="114"/>
      <c r="CC23" s="99"/>
      <c r="CD23" s="115"/>
      <c r="CE23" s="116"/>
      <c r="CF23" s="117"/>
      <c r="CG23" s="118"/>
      <c r="CH23" s="117"/>
      <c r="CI23" s="118"/>
      <c r="CJ23" s="117"/>
      <c r="CK23" s="118"/>
      <c r="CL23" s="119"/>
      <c r="CM23" s="120"/>
      <c r="CN23" s="121"/>
      <c r="CO23" s="120"/>
      <c r="CP23" s="121"/>
      <c r="CQ23" s="121"/>
      <c r="CR23" s="100"/>
      <c r="CS23" s="121"/>
      <c r="CT23" s="90"/>
      <c r="CU23" s="90"/>
      <c r="CV23" s="90"/>
      <c r="CW23" s="90"/>
      <c r="CX23" s="90"/>
      <c r="CY23" s="90"/>
      <c r="CZ23" s="90"/>
      <c r="DA23" s="90"/>
      <c r="DB23" s="90"/>
      <c r="DC23" s="90"/>
      <c r="DD23" s="90"/>
      <c r="DE23" s="90"/>
      <c r="DF23" s="90"/>
    </row>
    <row r="24" spans="1:110" ht="24" customHeight="1" x14ac:dyDescent="0.25">
      <c r="A24" s="83" t="s">
        <v>103</v>
      </c>
      <c r="B24" s="442">
        <v>42513.5</v>
      </c>
      <c r="C24" s="453"/>
      <c r="D24" s="84"/>
      <c r="E24" s="23"/>
      <c r="F24" s="15"/>
      <c r="G24" s="213"/>
      <c r="H24" s="27" t="str">
        <f t="shared" si="2"/>
        <v/>
      </c>
      <c r="I24" s="216" t="str">
        <f t="shared" si="3"/>
        <v/>
      </c>
      <c r="J24" s="29" t="e">
        <f ca="1">IF($J$5&gt;=B24,"N/A",SUM(INDIRECT(ADDRESS(6+(MATCH($J$5,$B$6:$B$59,0)),8)):H24))</f>
        <v>#N/A</v>
      </c>
      <c r="K24" s="10"/>
      <c r="L24" s="88"/>
      <c r="M24" s="4" t="str">
        <f t="shared" si="4"/>
        <v/>
      </c>
      <c r="N24" s="220" t="str">
        <f t="shared" si="0"/>
        <v/>
      </c>
      <c r="O24" s="30" t="e">
        <f ca="1">IF($O$5&gt;=B24,"N/A",SUM(INDIRECT(ADDRESS(6+(MATCH($O$5,$B$6:$B$59,0)),13)):M24))</f>
        <v>#N/A</v>
      </c>
      <c r="P24" s="325"/>
      <c r="Q24" s="325"/>
      <c r="R24" s="325"/>
      <c r="S24" s="70" t="str">
        <f t="shared" si="5"/>
        <v>PNOON</v>
      </c>
      <c r="T24" s="241">
        <f t="shared" si="6"/>
        <v>42513.5</v>
      </c>
      <c r="U24" s="296"/>
      <c r="V24" s="297">
        <v>3.79</v>
      </c>
      <c r="W24" s="297">
        <v>2.73</v>
      </c>
      <c r="X24" s="199">
        <f t="shared" si="7"/>
        <v>6.52</v>
      </c>
      <c r="Y24" s="159">
        <f t="shared" si="8"/>
        <v>776.95999999999981</v>
      </c>
      <c r="Z24" s="298"/>
      <c r="AA24" s="299"/>
      <c r="AB24" s="300"/>
      <c r="AC24" s="300"/>
      <c r="AD24" s="203">
        <f t="shared" si="1"/>
        <v>0</v>
      </c>
      <c r="AE24" s="150">
        <f t="shared" si="9"/>
        <v>74.599999999999994</v>
      </c>
      <c r="AF24" s="301"/>
      <c r="AG24" s="302">
        <v>3</v>
      </c>
      <c r="AH24" s="303"/>
      <c r="AI24" s="141">
        <f t="shared" si="13"/>
        <v>133</v>
      </c>
      <c r="AJ24" s="304">
        <v>57780</v>
      </c>
      <c r="AK24" s="316">
        <v>31900</v>
      </c>
      <c r="AL24" s="317">
        <v>7770</v>
      </c>
      <c r="AM24" s="237" t="e">
        <f t="shared" si="14"/>
        <v>#VALUE!</v>
      </c>
      <c r="AN24" s="70" t="str">
        <f t="shared" si="11"/>
        <v>PNOON</v>
      </c>
      <c r="AO24" s="241">
        <f t="shared" si="12"/>
        <v>42513.5</v>
      </c>
      <c r="AP24" s="45" t="s">
        <v>40</v>
      </c>
      <c r="AQ24" s="98"/>
      <c r="AR24" s="99"/>
      <c r="AS24" s="99"/>
      <c r="AT24" s="100"/>
      <c r="AU24" s="101"/>
      <c r="AV24" s="100"/>
      <c r="AW24" s="101"/>
      <c r="AX24" s="101"/>
      <c r="AY24" s="99"/>
      <c r="AZ24" s="102"/>
      <c r="BA24" s="102"/>
      <c r="BB24" s="103"/>
      <c r="BC24" s="104"/>
      <c r="BD24" s="98"/>
      <c r="BE24" s="105"/>
      <c r="BF24" s="104"/>
      <c r="BG24" s="115"/>
      <c r="BH24" s="104"/>
      <c r="BI24" s="98"/>
      <c r="BJ24" s="105"/>
      <c r="BK24" s="104"/>
      <c r="BL24" s="104"/>
      <c r="BM24" s="107"/>
      <c r="BN24" s="108"/>
      <c r="BO24" s="108"/>
      <c r="BP24" s="109"/>
      <c r="BQ24" s="110"/>
      <c r="BR24" s="108"/>
      <c r="BS24" s="109"/>
      <c r="BT24" s="109"/>
      <c r="BU24" s="107"/>
      <c r="BV24" s="111"/>
      <c r="BW24" s="98"/>
      <c r="BX24" s="113"/>
      <c r="BY24" s="113"/>
      <c r="BZ24" s="114"/>
      <c r="CA24" s="114"/>
      <c r="CB24" s="114"/>
      <c r="CC24" s="99"/>
      <c r="CD24" s="115"/>
      <c r="CE24" s="116"/>
      <c r="CF24" s="117"/>
      <c r="CG24" s="118"/>
      <c r="CH24" s="117"/>
      <c r="CI24" s="118"/>
      <c r="CJ24" s="117"/>
      <c r="CK24" s="118"/>
      <c r="CL24" s="119"/>
      <c r="CM24" s="120"/>
      <c r="CN24" s="121"/>
      <c r="CO24" s="120"/>
      <c r="CP24" s="121"/>
      <c r="CQ24" s="121"/>
      <c r="CR24" s="100"/>
      <c r="CS24" s="121"/>
      <c r="CT24" s="90"/>
      <c r="CU24" s="90"/>
      <c r="CV24" s="90"/>
      <c r="CW24" s="90"/>
      <c r="CX24" s="90"/>
      <c r="CY24" s="90"/>
      <c r="CZ24" s="90"/>
      <c r="DA24" s="90"/>
      <c r="DB24" s="90"/>
      <c r="DC24" s="90"/>
      <c r="DD24" s="90"/>
      <c r="DE24" s="90"/>
      <c r="DF24" s="90"/>
    </row>
    <row r="25" spans="1:110" ht="24" customHeight="1" x14ac:dyDescent="0.25">
      <c r="A25" s="83" t="s">
        <v>103</v>
      </c>
      <c r="B25" s="442">
        <v>42514.5</v>
      </c>
      <c r="C25" s="453"/>
      <c r="D25" s="84"/>
      <c r="E25" s="23"/>
      <c r="F25" s="15"/>
      <c r="G25" s="213"/>
      <c r="H25" s="27" t="str">
        <f t="shared" si="2"/>
        <v/>
      </c>
      <c r="I25" s="216" t="str">
        <f t="shared" si="3"/>
        <v/>
      </c>
      <c r="J25" s="29" t="e">
        <f ca="1">IF($J$5&gt;=B25,"N/A",SUM(INDIRECT(ADDRESS(6+(MATCH($J$5,$B$6:$B$59,0)),8)):H25))</f>
        <v>#N/A</v>
      </c>
      <c r="K25" s="10"/>
      <c r="L25" s="88"/>
      <c r="M25" s="4" t="str">
        <f t="shared" si="4"/>
        <v/>
      </c>
      <c r="N25" s="220" t="str">
        <f t="shared" si="0"/>
        <v/>
      </c>
      <c r="O25" s="30" t="e">
        <f ca="1">IF($O$5&gt;=B25,"N/A",SUM(INDIRECT(ADDRESS(6+(MATCH($O$5,$B$6:$B$59,0)),13)):M25))</f>
        <v>#N/A</v>
      </c>
      <c r="P25" s="325"/>
      <c r="Q25" s="325"/>
      <c r="R25" s="325"/>
      <c r="S25" s="70" t="str">
        <f t="shared" si="5"/>
        <v>PNOON</v>
      </c>
      <c r="T25" s="241">
        <f t="shared" si="6"/>
        <v>42514.5</v>
      </c>
      <c r="U25" s="296"/>
      <c r="V25" s="297">
        <v>3.99</v>
      </c>
      <c r="W25" s="297">
        <v>2.79</v>
      </c>
      <c r="X25" s="199">
        <f t="shared" si="7"/>
        <v>6.78</v>
      </c>
      <c r="Y25" s="159">
        <f t="shared" si="8"/>
        <v>770.17999999999984</v>
      </c>
      <c r="Z25" s="298"/>
      <c r="AA25" s="299"/>
      <c r="AB25" s="300"/>
      <c r="AC25" s="300"/>
      <c r="AD25" s="203">
        <f t="shared" si="1"/>
        <v>0</v>
      </c>
      <c r="AE25" s="150">
        <f t="shared" si="9"/>
        <v>74.599999999999994</v>
      </c>
      <c r="AF25" s="301"/>
      <c r="AG25" s="302">
        <v>3</v>
      </c>
      <c r="AH25" s="303"/>
      <c r="AI25" s="141">
        <f t="shared" si="13"/>
        <v>130</v>
      </c>
      <c r="AJ25" s="304">
        <v>57780</v>
      </c>
      <c r="AK25" s="316">
        <v>31900</v>
      </c>
      <c r="AL25" s="317">
        <v>7740</v>
      </c>
      <c r="AM25" s="237" t="e">
        <f t="shared" si="14"/>
        <v>#VALUE!</v>
      </c>
      <c r="AN25" s="70" t="str">
        <f t="shared" si="11"/>
        <v>PNOON</v>
      </c>
      <c r="AO25" s="241">
        <f t="shared" si="12"/>
        <v>42514.5</v>
      </c>
      <c r="AP25" s="45" t="s">
        <v>40</v>
      </c>
      <c r="AQ25" s="98"/>
      <c r="AR25" s="99"/>
      <c r="AS25" s="99"/>
      <c r="AT25" s="100"/>
      <c r="AU25" s="101"/>
      <c r="AV25" s="100"/>
      <c r="AW25" s="101"/>
      <c r="AX25" s="101"/>
      <c r="AY25" s="99"/>
      <c r="AZ25" s="102"/>
      <c r="BA25" s="102"/>
      <c r="BB25" s="103"/>
      <c r="BC25" s="104"/>
      <c r="BD25" s="98"/>
      <c r="BE25" s="105"/>
      <c r="BF25" s="104"/>
      <c r="BG25" s="115"/>
      <c r="BH25" s="104"/>
      <c r="BI25" s="98"/>
      <c r="BJ25" s="105"/>
      <c r="BK25" s="104"/>
      <c r="BL25" s="104"/>
      <c r="BM25" s="107"/>
      <c r="BN25" s="108"/>
      <c r="BO25" s="108"/>
      <c r="BP25" s="109"/>
      <c r="BQ25" s="110"/>
      <c r="BR25" s="108"/>
      <c r="BS25" s="109"/>
      <c r="BT25" s="109"/>
      <c r="BU25" s="107"/>
      <c r="BV25" s="111"/>
      <c r="BW25" s="98"/>
      <c r="BX25" s="113"/>
      <c r="BY25" s="113"/>
      <c r="BZ25" s="114"/>
      <c r="CA25" s="114"/>
      <c r="CB25" s="114"/>
      <c r="CC25" s="99"/>
      <c r="CD25" s="115"/>
      <c r="CE25" s="116"/>
      <c r="CF25" s="117"/>
      <c r="CG25" s="118"/>
      <c r="CH25" s="117"/>
      <c r="CI25" s="118"/>
      <c r="CJ25" s="117"/>
      <c r="CK25" s="118"/>
      <c r="CL25" s="119"/>
      <c r="CM25" s="120"/>
      <c r="CN25" s="121"/>
      <c r="CO25" s="120"/>
      <c r="CP25" s="121"/>
      <c r="CQ25" s="121"/>
      <c r="CR25" s="100"/>
      <c r="CS25" s="121"/>
      <c r="CT25" s="90"/>
      <c r="CU25" s="90"/>
      <c r="CV25" s="90"/>
      <c r="CW25" s="90"/>
      <c r="CX25" s="90"/>
      <c r="CY25" s="90"/>
      <c r="CZ25" s="90"/>
      <c r="DA25" s="90"/>
      <c r="DB25" s="90"/>
      <c r="DC25" s="90"/>
      <c r="DD25" s="90"/>
      <c r="DE25" s="90"/>
      <c r="DF25" s="90"/>
    </row>
    <row r="26" spans="1:110" ht="24" customHeight="1" x14ac:dyDescent="0.25">
      <c r="A26" s="83" t="s">
        <v>103</v>
      </c>
      <c r="B26" s="442">
        <v>42515.5</v>
      </c>
      <c r="C26" s="453"/>
      <c r="D26" s="84"/>
      <c r="E26" s="23"/>
      <c r="F26" s="15"/>
      <c r="G26" s="213"/>
      <c r="H26" s="27" t="str">
        <f t="shared" si="2"/>
        <v/>
      </c>
      <c r="I26" s="216" t="str">
        <f t="shared" si="3"/>
        <v/>
      </c>
      <c r="J26" s="29" t="e">
        <f ca="1">IF($J$5&gt;=B26,"N/A",SUM(INDIRECT(ADDRESS(6+(MATCH($J$5,$B$6:$B$59,0)),8)):H26))</f>
        <v>#N/A</v>
      </c>
      <c r="K26" s="10"/>
      <c r="L26" s="88"/>
      <c r="M26" s="4" t="str">
        <f t="shared" si="4"/>
        <v/>
      </c>
      <c r="N26" s="220" t="str">
        <f t="shared" si="0"/>
        <v/>
      </c>
      <c r="O26" s="30" t="e">
        <f ca="1">IF($O$5&gt;=B26,"N/A",SUM(INDIRECT(ADDRESS(6+(MATCH($O$5,$B$6:$B$59,0)),13)):M26))</f>
        <v>#N/A</v>
      </c>
      <c r="P26" s="325"/>
      <c r="Q26" s="325"/>
      <c r="R26" s="325"/>
      <c r="S26" s="70" t="str">
        <f t="shared" si="5"/>
        <v>PNOON</v>
      </c>
      <c r="T26" s="241">
        <f t="shared" si="6"/>
        <v>42515.5</v>
      </c>
      <c r="U26" s="296"/>
      <c r="V26" s="297">
        <v>3.82</v>
      </c>
      <c r="W26" s="297">
        <v>2.62</v>
      </c>
      <c r="X26" s="199">
        <f t="shared" si="7"/>
        <v>6.4399999999999995</v>
      </c>
      <c r="Y26" s="159">
        <f t="shared" si="8"/>
        <v>763.73999999999978</v>
      </c>
      <c r="Z26" s="298"/>
      <c r="AA26" s="299"/>
      <c r="AB26" s="300"/>
      <c r="AC26" s="300"/>
      <c r="AD26" s="203">
        <f t="shared" si="1"/>
        <v>0</v>
      </c>
      <c r="AE26" s="150">
        <f t="shared" si="9"/>
        <v>74.599999999999994</v>
      </c>
      <c r="AF26" s="301"/>
      <c r="AG26" s="302">
        <v>3</v>
      </c>
      <c r="AH26" s="303"/>
      <c r="AI26" s="141">
        <f t="shared" si="13"/>
        <v>127</v>
      </c>
      <c r="AJ26" s="304">
        <v>57780</v>
      </c>
      <c r="AK26" s="316">
        <v>31900</v>
      </c>
      <c r="AL26" s="317">
        <v>7710</v>
      </c>
      <c r="AM26" s="237" t="e">
        <f t="shared" si="14"/>
        <v>#VALUE!</v>
      </c>
      <c r="AN26" s="70" t="str">
        <f t="shared" si="11"/>
        <v>PNOON</v>
      </c>
      <c r="AO26" s="241">
        <f t="shared" si="12"/>
        <v>42515.5</v>
      </c>
      <c r="AP26" s="45" t="s">
        <v>40</v>
      </c>
      <c r="AQ26" s="98"/>
      <c r="AR26" s="99"/>
      <c r="AS26" s="99"/>
      <c r="AT26" s="100"/>
      <c r="AU26" s="101"/>
      <c r="AV26" s="100"/>
      <c r="AW26" s="101"/>
      <c r="AX26" s="101"/>
      <c r="AY26" s="99"/>
      <c r="AZ26" s="102"/>
      <c r="BA26" s="102"/>
      <c r="BB26" s="103"/>
      <c r="BC26" s="104"/>
      <c r="BD26" s="98"/>
      <c r="BE26" s="105"/>
      <c r="BF26" s="104"/>
      <c r="BG26" s="115"/>
      <c r="BH26" s="104"/>
      <c r="BI26" s="98"/>
      <c r="BJ26" s="105"/>
      <c r="BK26" s="104"/>
      <c r="BL26" s="104"/>
      <c r="BM26" s="107"/>
      <c r="BN26" s="108"/>
      <c r="BO26" s="108"/>
      <c r="BP26" s="109"/>
      <c r="BQ26" s="110"/>
      <c r="BR26" s="108"/>
      <c r="BS26" s="109"/>
      <c r="BT26" s="109"/>
      <c r="BU26" s="107"/>
      <c r="BV26" s="111"/>
      <c r="BW26" s="98"/>
      <c r="BX26" s="113"/>
      <c r="BY26" s="113"/>
      <c r="BZ26" s="114"/>
      <c r="CA26" s="114"/>
      <c r="CB26" s="114"/>
      <c r="CC26" s="99"/>
      <c r="CD26" s="115"/>
      <c r="CE26" s="116"/>
      <c r="CF26" s="117"/>
      <c r="CG26" s="118"/>
      <c r="CH26" s="117"/>
      <c r="CI26" s="118"/>
      <c r="CJ26" s="117"/>
      <c r="CK26" s="118"/>
      <c r="CL26" s="119"/>
      <c r="CM26" s="120"/>
      <c r="CN26" s="121"/>
      <c r="CO26" s="120"/>
      <c r="CP26" s="121"/>
      <c r="CQ26" s="121"/>
      <c r="CR26" s="100"/>
      <c r="CS26" s="121"/>
      <c r="CT26" s="90"/>
      <c r="CU26" s="90"/>
      <c r="CV26" s="90"/>
      <c r="CW26" s="90"/>
      <c r="CX26" s="90"/>
      <c r="CY26" s="90"/>
      <c r="CZ26" s="90"/>
      <c r="DA26" s="90"/>
      <c r="DB26" s="90"/>
      <c r="DC26" s="90"/>
      <c r="DD26" s="90"/>
      <c r="DE26" s="90"/>
      <c r="DF26" s="90"/>
    </row>
    <row r="27" spans="1:110" ht="24" customHeight="1" x14ac:dyDescent="0.25">
      <c r="A27" s="83" t="s">
        <v>103</v>
      </c>
      <c r="B27" s="442">
        <v>42516.5</v>
      </c>
      <c r="C27" s="453"/>
      <c r="D27" s="84"/>
      <c r="E27" s="23"/>
      <c r="F27" s="15"/>
      <c r="G27" s="213"/>
      <c r="H27" s="27" t="str">
        <f t="shared" si="2"/>
        <v/>
      </c>
      <c r="I27" s="216" t="str">
        <f t="shared" si="3"/>
        <v/>
      </c>
      <c r="J27" s="29" t="e">
        <f ca="1">IF($J$5&gt;=B27,"N/A",SUM(INDIRECT(ADDRESS(6+(MATCH($J$5,$B$6:$B$59,0)),8)):H27))</f>
        <v>#N/A</v>
      </c>
      <c r="K27" s="10"/>
      <c r="L27" s="88"/>
      <c r="M27" s="4" t="str">
        <f t="shared" si="4"/>
        <v/>
      </c>
      <c r="N27" s="220" t="str">
        <f t="shared" si="0"/>
        <v/>
      </c>
      <c r="O27" s="30" t="e">
        <f ca="1">IF($O$5&gt;=B27,"N/A",SUM(INDIRECT(ADDRESS(6+(MATCH($O$5,$B$6:$B$59,0)),13)):M27))</f>
        <v>#N/A</v>
      </c>
      <c r="P27" s="325"/>
      <c r="Q27" s="325"/>
      <c r="R27" s="325"/>
      <c r="S27" s="70" t="str">
        <f t="shared" si="5"/>
        <v>PNOON</v>
      </c>
      <c r="T27" s="241">
        <f t="shared" si="6"/>
        <v>42516.5</v>
      </c>
      <c r="U27" s="296"/>
      <c r="V27" s="297">
        <v>3.78</v>
      </c>
      <c r="W27" s="297">
        <v>2.5499999999999998</v>
      </c>
      <c r="X27" s="199">
        <f t="shared" si="7"/>
        <v>6.33</v>
      </c>
      <c r="Y27" s="159">
        <f t="shared" si="8"/>
        <v>757.40999999999974</v>
      </c>
      <c r="Z27" s="298"/>
      <c r="AA27" s="299"/>
      <c r="AB27" s="300"/>
      <c r="AC27" s="300"/>
      <c r="AD27" s="203">
        <f t="shared" si="1"/>
        <v>0</v>
      </c>
      <c r="AE27" s="150">
        <f t="shared" si="9"/>
        <v>74.599999999999994</v>
      </c>
      <c r="AF27" s="301"/>
      <c r="AG27" s="302">
        <v>3</v>
      </c>
      <c r="AH27" s="303"/>
      <c r="AI27" s="141">
        <f t="shared" si="13"/>
        <v>124</v>
      </c>
      <c r="AJ27" s="304">
        <v>57780</v>
      </c>
      <c r="AK27" s="316">
        <v>31900</v>
      </c>
      <c r="AL27" s="317">
        <v>7680</v>
      </c>
      <c r="AM27" s="237" t="e">
        <f t="shared" si="14"/>
        <v>#VALUE!</v>
      </c>
      <c r="AN27" s="70" t="str">
        <f t="shared" si="11"/>
        <v>PNOON</v>
      </c>
      <c r="AO27" s="241">
        <f t="shared" si="12"/>
        <v>42516.5</v>
      </c>
      <c r="AP27" s="45" t="s">
        <v>40</v>
      </c>
      <c r="AQ27" s="98"/>
      <c r="AR27" s="99"/>
      <c r="AS27" s="99"/>
      <c r="AT27" s="100"/>
      <c r="AU27" s="101"/>
      <c r="AV27" s="100"/>
      <c r="AW27" s="101"/>
      <c r="AX27" s="101"/>
      <c r="AY27" s="99"/>
      <c r="AZ27" s="102"/>
      <c r="BA27" s="102"/>
      <c r="BB27" s="105"/>
      <c r="BC27" s="104"/>
      <c r="BD27" s="98"/>
      <c r="BE27" s="105"/>
      <c r="BF27" s="104"/>
      <c r="BG27" s="106"/>
      <c r="BH27" s="104"/>
      <c r="BI27" s="98"/>
      <c r="BJ27" s="105"/>
      <c r="BK27" s="104"/>
      <c r="BL27" s="104"/>
      <c r="BM27" s="107"/>
      <c r="BN27" s="108"/>
      <c r="BO27" s="108"/>
      <c r="BP27" s="109"/>
      <c r="BQ27" s="110"/>
      <c r="BR27" s="108"/>
      <c r="BS27" s="109"/>
      <c r="BT27" s="109"/>
      <c r="BU27" s="107"/>
      <c r="BV27" s="111"/>
      <c r="BW27" s="98"/>
      <c r="BX27" s="113"/>
      <c r="BY27" s="113"/>
      <c r="BZ27" s="114"/>
      <c r="CA27" s="114"/>
      <c r="CB27" s="114"/>
      <c r="CC27" s="99"/>
      <c r="CD27" s="111"/>
      <c r="CE27" s="116"/>
      <c r="CF27" s="225"/>
      <c r="CG27" s="226"/>
      <c r="CH27" s="225"/>
      <c r="CI27" s="226"/>
      <c r="CJ27" s="225"/>
      <c r="CK27" s="226"/>
      <c r="CL27" s="227"/>
      <c r="CM27" s="228"/>
      <c r="CN27" s="229"/>
      <c r="CO27" s="228"/>
      <c r="CP27" s="121"/>
      <c r="CQ27" s="121"/>
      <c r="CR27" s="100"/>
      <c r="CS27" s="121"/>
      <c r="CT27" s="90"/>
      <c r="CU27" s="90"/>
      <c r="CV27" s="90"/>
      <c r="CW27" s="90"/>
      <c r="CX27" s="90"/>
      <c r="CY27" s="90"/>
      <c r="CZ27" s="90"/>
      <c r="DA27" s="90"/>
      <c r="DB27" s="90"/>
      <c r="DC27" s="90"/>
      <c r="DD27" s="90"/>
      <c r="DE27" s="90"/>
      <c r="DF27" s="90"/>
    </row>
    <row r="28" spans="1:110" ht="24" customHeight="1" x14ac:dyDescent="0.25">
      <c r="A28" s="83" t="s">
        <v>103</v>
      </c>
      <c r="B28" s="442">
        <v>42517.5</v>
      </c>
      <c r="C28" s="453"/>
      <c r="D28" s="84"/>
      <c r="E28" s="23"/>
      <c r="F28" s="15"/>
      <c r="G28" s="213"/>
      <c r="H28" s="27" t="str">
        <f t="shared" si="2"/>
        <v/>
      </c>
      <c r="I28" s="216" t="str">
        <f t="shared" si="3"/>
        <v/>
      </c>
      <c r="J28" s="29" t="e">
        <f ca="1">IF($J$5&gt;=B28,"N/A",SUM(INDIRECT(ADDRESS(6+(MATCH($J$5,$B$6:$B$59,0)),8)):H28))</f>
        <v>#N/A</v>
      </c>
      <c r="K28" s="10"/>
      <c r="L28" s="88"/>
      <c r="M28" s="4" t="str">
        <f t="shared" si="4"/>
        <v/>
      </c>
      <c r="N28" s="220" t="str">
        <f t="shared" si="0"/>
        <v/>
      </c>
      <c r="O28" s="30" t="e">
        <f ca="1">IF($O$5&gt;=B28,"N/A",SUM(INDIRECT(ADDRESS(6+(MATCH($O$5,$B$6:$B$59,0)),13)):M28))</f>
        <v>#N/A</v>
      </c>
      <c r="P28" s="325"/>
      <c r="Q28" s="325"/>
      <c r="R28" s="325"/>
      <c r="S28" s="70" t="str">
        <f t="shared" si="5"/>
        <v>PNOON</v>
      </c>
      <c r="T28" s="241">
        <f t="shared" si="6"/>
        <v>42517.5</v>
      </c>
      <c r="U28" s="296"/>
      <c r="V28" s="297">
        <v>3.76</v>
      </c>
      <c r="W28" s="297">
        <v>2.67</v>
      </c>
      <c r="X28" s="199">
        <f t="shared" si="7"/>
        <v>6.43</v>
      </c>
      <c r="Y28" s="159">
        <f t="shared" si="8"/>
        <v>750.97999999999979</v>
      </c>
      <c r="Z28" s="298"/>
      <c r="AA28" s="299"/>
      <c r="AB28" s="300"/>
      <c r="AC28" s="300"/>
      <c r="AD28" s="203">
        <f t="shared" si="1"/>
        <v>0</v>
      </c>
      <c r="AE28" s="150">
        <f t="shared" si="9"/>
        <v>74.599999999999994</v>
      </c>
      <c r="AF28" s="301"/>
      <c r="AG28" s="302">
        <v>3</v>
      </c>
      <c r="AH28" s="303"/>
      <c r="AI28" s="141">
        <f t="shared" si="13"/>
        <v>121</v>
      </c>
      <c r="AJ28" s="304">
        <v>57780</v>
      </c>
      <c r="AK28" s="316">
        <v>31900</v>
      </c>
      <c r="AL28" s="317">
        <v>7650</v>
      </c>
      <c r="AM28" s="237" t="e">
        <f t="shared" si="14"/>
        <v>#VALUE!</v>
      </c>
      <c r="AN28" s="70" t="str">
        <f t="shared" si="11"/>
        <v>PNOON</v>
      </c>
      <c r="AO28" s="241">
        <f t="shared" si="12"/>
        <v>42517.5</v>
      </c>
      <c r="AP28" s="45" t="s">
        <v>40</v>
      </c>
      <c r="AQ28" s="98"/>
      <c r="AR28" s="99"/>
      <c r="AS28" s="99"/>
      <c r="AT28" s="100"/>
      <c r="AU28" s="101"/>
      <c r="AV28" s="100"/>
      <c r="AW28" s="101"/>
      <c r="AX28" s="101"/>
      <c r="AY28" s="99"/>
      <c r="AZ28" s="102"/>
      <c r="BA28" s="102"/>
      <c r="BB28" s="105"/>
      <c r="BC28" s="104"/>
      <c r="BD28" s="98"/>
      <c r="BE28" s="105"/>
      <c r="BF28" s="104"/>
      <c r="BG28" s="106"/>
      <c r="BH28" s="104"/>
      <c r="BI28" s="98"/>
      <c r="BJ28" s="105"/>
      <c r="BK28" s="104"/>
      <c r="BL28" s="104"/>
      <c r="BM28" s="107"/>
      <c r="BN28" s="108"/>
      <c r="BO28" s="108"/>
      <c r="BP28" s="109"/>
      <c r="BQ28" s="110"/>
      <c r="BR28" s="108"/>
      <c r="BS28" s="109"/>
      <c r="BT28" s="109"/>
      <c r="BU28" s="107"/>
      <c r="BV28" s="111"/>
      <c r="BW28" s="98"/>
      <c r="BX28" s="113"/>
      <c r="BY28" s="113"/>
      <c r="BZ28" s="114"/>
      <c r="CA28" s="114"/>
      <c r="CB28" s="114"/>
      <c r="CC28" s="99"/>
      <c r="CD28" s="115"/>
      <c r="CE28" s="116"/>
      <c r="CF28" s="225"/>
      <c r="CG28" s="226"/>
      <c r="CH28" s="225"/>
      <c r="CI28" s="226"/>
      <c r="CJ28" s="225"/>
      <c r="CK28" s="226"/>
      <c r="CL28" s="227"/>
      <c r="CM28" s="228"/>
      <c r="CN28" s="229"/>
      <c r="CO28" s="228"/>
      <c r="CP28" s="121"/>
      <c r="CQ28" s="121"/>
      <c r="CR28" s="100"/>
      <c r="CS28" s="121"/>
      <c r="CT28" s="90"/>
      <c r="CU28" s="90"/>
      <c r="CV28" s="90"/>
      <c r="CW28" s="90"/>
      <c r="CX28" s="90"/>
      <c r="CY28" s="90"/>
      <c r="CZ28" s="90"/>
      <c r="DA28" s="90"/>
      <c r="DB28" s="90"/>
      <c r="DC28" s="90"/>
      <c r="DD28" s="90"/>
      <c r="DE28" s="90"/>
      <c r="DF28" s="90"/>
    </row>
    <row r="29" spans="1:110" ht="24" customHeight="1" x14ac:dyDescent="0.25">
      <c r="A29" s="83" t="s">
        <v>103</v>
      </c>
      <c r="B29" s="442">
        <v>42518.5</v>
      </c>
      <c r="C29" s="453"/>
      <c r="D29" s="84"/>
      <c r="E29" s="23"/>
      <c r="F29" s="15"/>
      <c r="G29" s="213"/>
      <c r="H29" s="27" t="str">
        <f t="shared" si="2"/>
        <v/>
      </c>
      <c r="I29" s="216" t="str">
        <f t="shared" si="3"/>
        <v/>
      </c>
      <c r="J29" s="29" t="e">
        <f ca="1">IF($J$5&gt;=B29,"N/A",SUM(INDIRECT(ADDRESS(6+(MATCH($J$5,$B$6:$B$59,0)),8)):H29))</f>
        <v>#N/A</v>
      </c>
      <c r="K29" s="10"/>
      <c r="L29" s="88"/>
      <c r="M29" s="4" t="str">
        <f t="shared" si="4"/>
        <v/>
      </c>
      <c r="N29" s="220" t="str">
        <f t="shared" si="0"/>
        <v/>
      </c>
      <c r="O29" s="30" t="e">
        <f ca="1">IF($O$5&gt;=B29,"N/A",SUM(INDIRECT(ADDRESS(6+(MATCH($O$5,$B$6:$B$59,0)),13)):M29))</f>
        <v>#N/A</v>
      </c>
      <c r="P29" s="325"/>
      <c r="Q29" s="325"/>
      <c r="R29" s="325"/>
      <c r="S29" s="70" t="str">
        <f t="shared" si="5"/>
        <v>PNOON</v>
      </c>
      <c r="T29" s="241">
        <f t="shared" si="6"/>
        <v>42518.5</v>
      </c>
      <c r="U29" s="296"/>
      <c r="V29" s="297">
        <v>3.84</v>
      </c>
      <c r="W29" s="297">
        <v>2.66</v>
      </c>
      <c r="X29" s="199">
        <f t="shared" si="7"/>
        <v>6.5</v>
      </c>
      <c r="Y29" s="159">
        <f t="shared" si="8"/>
        <v>744.47999999999979</v>
      </c>
      <c r="Z29" s="298"/>
      <c r="AA29" s="299"/>
      <c r="AB29" s="300"/>
      <c r="AC29" s="300"/>
      <c r="AD29" s="203">
        <f t="shared" si="1"/>
        <v>0</v>
      </c>
      <c r="AE29" s="150">
        <f t="shared" si="9"/>
        <v>74.599999999999994</v>
      </c>
      <c r="AF29" s="301"/>
      <c r="AG29" s="302">
        <v>3</v>
      </c>
      <c r="AH29" s="303"/>
      <c r="AI29" s="141">
        <f t="shared" si="13"/>
        <v>118</v>
      </c>
      <c r="AJ29" s="304">
        <v>57780</v>
      </c>
      <c r="AK29" s="316">
        <v>31900</v>
      </c>
      <c r="AL29" s="317">
        <v>7620</v>
      </c>
      <c r="AM29" s="237" t="e">
        <f t="shared" si="14"/>
        <v>#VALUE!</v>
      </c>
      <c r="AN29" s="70" t="str">
        <f t="shared" si="11"/>
        <v>PNOON</v>
      </c>
      <c r="AO29" s="241">
        <f t="shared" si="12"/>
        <v>42518.5</v>
      </c>
      <c r="AP29" s="45" t="s">
        <v>40</v>
      </c>
      <c r="AQ29" s="98"/>
      <c r="AR29" s="99"/>
      <c r="AS29" s="99"/>
      <c r="AT29" s="100"/>
      <c r="AU29" s="101"/>
      <c r="AV29" s="100"/>
      <c r="AW29" s="101"/>
      <c r="AX29" s="101"/>
      <c r="AY29" s="99"/>
      <c r="AZ29" s="102"/>
      <c r="BA29" s="102"/>
      <c r="BB29" s="105"/>
      <c r="BC29" s="104"/>
      <c r="BD29" s="98"/>
      <c r="BE29" s="105"/>
      <c r="BF29" s="104"/>
      <c r="BG29" s="106"/>
      <c r="BH29" s="104"/>
      <c r="BI29" s="98"/>
      <c r="BJ29" s="105"/>
      <c r="BK29" s="104"/>
      <c r="BL29" s="104"/>
      <c r="BM29" s="107"/>
      <c r="BN29" s="108"/>
      <c r="BO29" s="108"/>
      <c r="BP29" s="109"/>
      <c r="BQ29" s="110"/>
      <c r="BR29" s="108"/>
      <c r="BS29" s="109"/>
      <c r="BT29" s="109"/>
      <c r="BU29" s="107"/>
      <c r="BV29" s="111"/>
      <c r="BW29" s="98"/>
      <c r="BX29" s="113"/>
      <c r="BY29" s="113"/>
      <c r="BZ29" s="114"/>
      <c r="CA29" s="114"/>
      <c r="CB29" s="114"/>
      <c r="CC29" s="99"/>
      <c r="CD29" s="111"/>
      <c r="CE29" s="116"/>
      <c r="CF29" s="225"/>
      <c r="CG29" s="226"/>
      <c r="CH29" s="225"/>
      <c r="CI29" s="226"/>
      <c r="CJ29" s="225"/>
      <c r="CK29" s="226"/>
      <c r="CL29" s="227"/>
      <c r="CM29" s="228"/>
      <c r="CN29" s="229"/>
      <c r="CO29" s="228"/>
      <c r="CP29" s="121"/>
      <c r="CQ29" s="121"/>
      <c r="CR29" s="100"/>
      <c r="CS29" s="121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</row>
    <row r="30" spans="1:110" ht="24" customHeight="1" x14ac:dyDescent="0.25">
      <c r="A30" s="83" t="s">
        <v>103</v>
      </c>
      <c r="B30" s="442">
        <v>42519.5</v>
      </c>
      <c r="C30" s="453"/>
      <c r="D30" s="84"/>
      <c r="E30" s="23"/>
      <c r="F30" s="15"/>
      <c r="G30" s="213"/>
      <c r="H30" s="27" t="str">
        <f t="shared" si="2"/>
        <v/>
      </c>
      <c r="I30" s="216" t="str">
        <f t="shared" si="3"/>
        <v/>
      </c>
      <c r="J30" s="29" t="e">
        <f ca="1">IF($J$5&gt;=B30,"N/A",SUM(INDIRECT(ADDRESS(6+(MATCH($J$5,$B$6:$B$59,0)),8)):H30))</f>
        <v>#N/A</v>
      </c>
      <c r="K30" s="10"/>
      <c r="L30" s="88"/>
      <c r="M30" s="4" t="str">
        <f t="shared" si="4"/>
        <v/>
      </c>
      <c r="N30" s="220" t="str">
        <f t="shared" si="0"/>
        <v/>
      </c>
      <c r="O30" s="30" t="e">
        <f ca="1">IF($O$5&gt;=B30,"N/A",SUM(INDIRECT(ADDRESS(6+(MATCH($O$5,$B$6:$B$59,0)),13)):M30))</f>
        <v>#N/A</v>
      </c>
      <c r="P30" s="325"/>
      <c r="Q30" s="325"/>
      <c r="R30" s="325"/>
      <c r="S30" s="70" t="str">
        <f t="shared" si="5"/>
        <v>PNOON</v>
      </c>
      <c r="T30" s="241">
        <f t="shared" si="6"/>
        <v>42519.5</v>
      </c>
      <c r="U30" s="296"/>
      <c r="V30" s="297">
        <v>3.65</v>
      </c>
      <c r="W30" s="297">
        <v>2.54</v>
      </c>
      <c r="X30" s="199">
        <f t="shared" si="7"/>
        <v>6.1899999999999995</v>
      </c>
      <c r="Y30" s="159">
        <f t="shared" si="8"/>
        <v>738.28999999999974</v>
      </c>
      <c r="Z30" s="298"/>
      <c r="AA30" s="299"/>
      <c r="AB30" s="300"/>
      <c r="AC30" s="300"/>
      <c r="AD30" s="203">
        <f t="shared" si="1"/>
        <v>0</v>
      </c>
      <c r="AE30" s="150">
        <f t="shared" si="9"/>
        <v>74.599999999999994</v>
      </c>
      <c r="AF30" s="301"/>
      <c r="AG30" s="302">
        <v>3</v>
      </c>
      <c r="AH30" s="303"/>
      <c r="AI30" s="141">
        <f t="shared" si="13"/>
        <v>115</v>
      </c>
      <c r="AJ30" s="304">
        <v>57780</v>
      </c>
      <c r="AK30" s="316">
        <v>31900</v>
      </c>
      <c r="AL30" s="317">
        <v>7590</v>
      </c>
      <c r="AM30" s="237" t="e">
        <f t="shared" si="14"/>
        <v>#VALUE!</v>
      </c>
      <c r="AN30" s="70" t="str">
        <f t="shared" si="11"/>
        <v>PNOON</v>
      </c>
      <c r="AO30" s="241">
        <f t="shared" si="12"/>
        <v>42519.5</v>
      </c>
      <c r="AP30" s="45" t="s">
        <v>40</v>
      </c>
      <c r="AQ30" s="98"/>
      <c r="AR30" s="99"/>
      <c r="AS30" s="99"/>
      <c r="AT30" s="100"/>
      <c r="AU30" s="101"/>
      <c r="AV30" s="100"/>
      <c r="AW30" s="101"/>
      <c r="AX30" s="101"/>
      <c r="AY30" s="99"/>
      <c r="AZ30" s="102"/>
      <c r="BA30" s="102"/>
      <c r="BB30" s="103"/>
      <c r="BC30" s="104"/>
      <c r="BD30" s="98"/>
      <c r="BE30" s="105"/>
      <c r="BF30" s="104"/>
      <c r="BG30" s="115"/>
      <c r="BH30" s="104"/>
      <c r="BI30" s="98"/>
      <c r="BJ30" s="105"/>
      <c r="BK30" s="104"/>
      <c r="BL30" s="104"/>
      <c r="BM30" s="107"/>
      <c r="BN30" s="108"/>
      <c r="BO30" s="108"/>
      <c r="BP30" s="109"/>
      <c r="BQ30" s="110"/>
      <c r="BR30" s="108"/>
      <c r="BS30" s="109"/>
      <c r="BT30" s="109"/>
      <c r="BU30" s="107"/>
      <c r="BV30" s="111"/>
      <c r="BW30" s="98"/>
      <c r="BX30" s="113"/>
      <c r="BY30" s="113"/>
      <c r="BZ30" s="114"/>
      <c r="CA30" s="114"/>
      <c r="CB30" s="114"/>
      <c r="CC30" s="99"/>
      <c r="CD30" s="115"/>
      <c r="CE30" s="116"/>
      <c r="CF30" s="90"/>
      <c r="CG30" s="90"/>
      <c r="CH30" s="90"/>
      <c r="CI30" s="90"/>
      <c r="CJ30" s="90"/>
      <c r="CK30" s="90"/>
      <c r="CL30" s="90"/>
      <c r="CM30" s="90"/>
      <c r="CN30" s="90"/>
      <c r="CO30" s="90"/>
      <c r="CP30" s="121"/>
      <c r="CQ30" s="121"/>
      <c r="CR30" s="100"/>
      <c r="CS30" s="121"/>
      <c r="CT30" s="90"/>
      <c r="CU30" s="90"/>
      <c r="CV30" s="90"/>
      <c r="CW30" s="90"/>
      <c r="CX30" s="90"/>
      <c r="CY30" s="90"/>
      <c r="CZ30" s="90"/>
      <c r="DA30" s="90"/>
      <c r="DB30" s="90"/>
      <c r="DC30" s="90"/>
      <c r="DD30" s="90"/>
      <c r="DE30" s="90"/>
      <c r="DF30" s="90"/>
    </row>
    <row r="31" spans="1:110" ht="24" customHeight="1" x14ac:dyDescent="0.25">
      <c r="A31" s="83" t="s">
        <v>103</v>
      </c>
      <c r="B31" s="442">
        <v>42520.5</v>
      </c>
      <c r="C31" s="453"/>
      <c r="D31" s="84"/>
      <c r="E31" s="23"/>
      <c r="F31" s="15"/>
      <c r="G31" s="213"/>
      <c r="H31" s="27" t="str">
        <f t="shared" si="2"/>
        <v/>
      </c>
      <c r="I31" s="216" t="str">
        <f t="shared" si="3"/>
        <v/>
      </c>
      <c r="J31" s="29" t="e">
        <f ca="1">IF($J$5&gt;=B31,"N/A",SUM(INDIRECT(ADDRESS(6+(MATCH($J$5,$B$6:$B$59,0)),8)):H31))</f>
        <v>#N/A</v>
      </c>
      <c r="K31" s="10"/>
      <c r="L31" s="88"/>
      <c r="M31" s="4" t="str">
        <f t="shared" si="4"/>
        <v/>
      </c>
      <c r="N31" s="220" t="str">
        <f t="shared" si="0"/>
        <v/>
      </c>
      <c r="O31" s="30" t="e">
        <f ca="1">IF($O$5&gt;=B31,"N/A",SUM(INDIRECT(ADDRESS(6+(MATCH($O$5,$B$6:$B$59,0)),13)):M31))</f>
        <v>#N/A</v>
      </c>
      <c r="P31" s="325"/>
      <c r="Q31" s="325"/>
      <c r="R31" s="325"/>
      <c r="S31" s="70" t="str">
        <f t="shared" si="5"/>
        <v>PNOON</v>
      </c>
      <c r="T31" s="241">
        <f t="shared" si="6"/>
        <v>42520.5</v>
      </c>
      <c r="U31" s="296"/>
      <c r="V31" s="297">
        <v>3.85</v>
      </c>
      <c r="W31" s="297">
        <v>2.63</v>
      </c>
      <c r="X31" s="199">
        <f t="shared" si="7"/>
        <v>6.48</v>
      </c>
      <c r="Y31" s="159">
        <f t="shared" si="8"/>
        <v>731.80999999999972</v>
      </c>
      <c r="Z31" s="298"/>
      <c r="AA31" s="299"/>
      <c r="AB31" s="300"/>
      <c r="AC31" s="300"/>
      <c r="AD31" s="203">
        <f t="shared" si="1"/>
        <v>0</v>
      </c>
      <c r="AE31" s="150">
        <f t="shared" si="9"/>
        <v>74.599999999999994</v>
      </c>
      <c r="AF31" s="301"/>
      <c r="AG31" s="302">
        <v>3</v>
      </c>
      <c r="AH31" s="303"/>
      <c r="AI31" s="141">
        <f t="shared" si="13"/>
        <v>112</v>
      </c>
      <c r="AJ31" s="304">
        <v>57780</v>
      </c>
      <c r="AK31" s="316">
        <v>31900</v>
      </c>
      <c r="AL31" s="317">
        <v>7560</v>
      </c>
      <c r="AM31" s="237" t="e">
        <f t="shared" si="14"/>
        <v>#VALUE!</v>
      </c>
      <c r="AN31" s="70" t="str">
        <f t="shared" si="11"/>
        <v>PNOON</v>
      </c>
      <c r="AO31" s="241">
        <f t="shared" si="12"/>
        <v>42520.5</v>
      </c>
      <c r="AP31" s="45" t="s">
        <v>40</v>
      </c>
      <c r="AQ31" s="98"/>
      <c r="AR31" s="99"/>
      <c r="AS31" s="99"/>
      <c r="AT31" s="100"/>
      <c r="AU31" s="101"/>
      <c r="AV31" s="100"/>
      <c r="AW31" s="101"/>
      <c r="AX31" s="101"/>
      <c r="AY31" s="99"/>
      <c r="AZ31" s="102"/>
      <c r="BA31" s="102"/>
      <c r="BB31" s="103"/>
      <c r="BC31" s="104"/>
      <c r="BD31" s="98"/>
      <c r="BE31" s="105"/>
      <c r="BF31" s="104"/>
      <c r="BG31" s="115"/>
      <c r="BH31" s="104"/>
      <c r="BI31" s="98"/>
      <c r="BJ31" s="105"/>
      <c r="BK31" s="104"/>
      <c r="BL31" s="104"/>
      <c r="BM31" s="107"/>
      <c r="BN31" s="108"/>
      <c r="BO31" s="108"/>
      <c r="BP31" s="109"/>
      <c r="BQ31" s="110"/>
      <c r="BR31" s="108"/>
      <c r="BS31" s="109"/>
      <c r="BT31" s="109"/>
      <c r="BU31" s="107"/>
      <c r="BV31" s="111"/>
      <c r="BW31" s="98"/>
      <c r="BX31" s="113"/>
      <c r="BY31" s="113"/>
      <c r="BZ31" s="114"/>
      <c r="CA31" s="114"/>
      <c r="CB31" s="114"/>
      <c r="CC31" s="99"/>
      <c r="CD31" s="115"/>
      <c r="CE31" s="116"/>
      <c r="CF31" s="90"/>
      <c r="CG31" s="90"/>
      <c r="CH31" s="90"/>
      <c r="CI31" s="90"/>
      <c r="CJ31" s="90"/>
      <c r="CK31" s="90"/>
      <c r="CL31" s="90"/>
      <c r="CM31" s="90"/>
      <c r="CN31" s="90"/>
      <c r="CO31" s="90"/>
      <c r="CP31" s="121"/>
      <c r="CQ31" s="121"/>
      <c r="CR31" s="100"/>
      <c r="CS31" s="121"/>
      <c r="CT31" s="90"/>
      <c r="CU31" s="90"/>
      <c r="CV31" s="90"/>
      <c r="CW31" s="90"/>
      <c r="CX31" s="90"/>
      <c r="CY31" s="90"/>
      <c r="CZ31" s="90"/>
      <c r="DA31" s="90"/>
      <c r="DB31" s="90"/>
      <c r="DC31" s="90"/>
      <c r="DD31" s="90"/>
      <c r="DE31" s="90"/>
      <c r="DF31" s="90"/>
    </row>
    <row r="32" spans="1:110" ht="24" customHeight="1" x14ac:dyDescent="0.25">
      <c r="A32" s="83" t="s">
        <v>103</v>
      </c>
      <c r="B32" s="442">
        <v>42521.5</v>
      </c>
      <c r="C32" s="453"/>
      <c r="D32" s="84"/>
      <c r="E32" s="23"/>
      <c r="F32" s="15"/>
      <c r="G32" s="213"/>
      <c r="H32" s="27" t="str">
        <f t="shared" si="2"/>
        <v/>
      </c>
      <c r="I32" s="216" t="str">
        <f t="shared" si="3"/>
        <v/>
      </c>
      <c r="J32" s="29" t="e">
        <f ca="1">IF($J$5&gt;=B32,"N/A",SUM(INDIRECT(ADDRESS(6+(MATCH($J$5,$B$6:$B$59,0)),8)):H32))</f>
        <v>#N/A</v>
      </c>
      <c r="K32" s="10"/>
      <c r="L32" s="88"/>
      <c r="M32" s="4" t="str">
        <f t="shared" si="4"/>
        <v/>
      </c>
      <c r="N32" s="220" t="str">
        <f t="shared" si="0"/>
        <v/>
      </c>
      <c r="O32" s="30" t="e">
        <f ca="1">IF($O$5&gt;=B32,"N/A",SUM(INDIRECT(ADDRESS(6+(MATCH($O$5,$B$6:$B$59,0)),13)):M32))</f>
        <v>#N/A</v>
      </c>
      <c r="P32" s="325"/>
      <c r="Q32" s="325"/>
      <c r="R32" s="325"/>
      <c r="S32" s="70" t="str">
        <f t="shared" si="5"/>
        <v>PNOON</v>
      </c>
      <c r="T32" s="241">
        <f t="shared" si="6"/>
        <v>42521.5</v>
      </c>
      <c r="U32" s="296"/>
      <c r="V32" s="297">
        <v>3.66</v>
      </c>
      <c r="W32" s="297">
        <v>2.6</v>
      </c>
      <c r="X32" s="199">
        <f t="shared" si="7"/>
        <v>6.26</v>
      </c>
      <c r="Y32" s="159">
        <f t="shared" si="8"/>
        <v>725.54999999999973</v>
      </c>
      <c r="Z32" s="298"/>
      <c r="AA32" s="299"/>
      <c r="AB32" s="300"/>
      <c r="AC32" s="300"/>
      <c r="AD32" s="203">
        <f t="shared" si="1"/>
        <v>0</v>
      </c>
      <c r="AE32" s="150">
        <f t="shared" si="9"/>
        <v>74.599999999999994</v>
      </c>
      <c r="AF32" s="301"/>
      <c r="AG32" s="302">
        <v>3</v>
      </c>
      <c r="AH32" s="303"/>
      <c r="AI32" s="141">
        <f t="shared" si="13"/>
        <v>109</v>
      </c>
      <c r="AJ32" s="304">
        <v>57780</v>
      </c>
      <c r="AK32" s="316">
        <v>31900</v>
      </c>
      <c r="AL32" s="317">
        <v>7530</v>
      </c>
      <c r="AM32" s="237" t="e">
        <f t="shared" si="14"/>
        <v>#VALUE!</v>
      </c>
      <c r="AN32" s="70" t="str">
        <f t="shared" si="11"/>
        <v>PNOON</v>
      </c>
      <c r="AO32" s="241">
        <f t="shared" si="12"/>
        <v>42521.5</v>
      </c>
      <c r="AP32" s="45" t="s">
        <v>40</v>
      </c>
      <c r="AQ32" s="98"/>
      <c r="AR32" s="99"/>
      <c r="AS32" s="99"/>
      <c r="AT32" s="100"/>
      <c r="AU32" s="101"/>
      <c r="AV32" s="100"/>
      <c r="AW32" s="101"/>
      <c r="AX32" s="101"/>
      <c r="AY32" s="99"/>
      <c r="AZ32" s="102"/>
      <c r="BA32" s="102"/>
      <c r="BB32" s="103"/>
      <c r="BC32" s="104"/>
      <c r="BD32" s="98"/>
      <c r="BE32" s="105"/>
      <c r="BF32" s="104"/>
      <c r="BG32" s="115"/>
      <c r="BH32" s="104"/>
      <c r="BI32" s="98"/>
      <c r="BJ32" s="105"/>
      <c r="BK32" s="104"/>
      <c r="BL32" s="104"/>
      <c r="BM32" s="107"/>
      <c r="BN32" s="108"/>
      <c r="BO32" s="108"/>
      <c r="BP32" s="109"/>
      <c r="BQ32" s="110"/>
      <c r="BR32" s="108"/>
      <c r="BS32" s="109"/>
      <c r="BT32" s="109"/>
      <c r="BU32" s="107"/>
      <c r="BV32" s="111"/>
      <c r="BW32" s="98"/>
      <c r="BX32" s="113"/>
      <c r="BY32" s="113"/>
      <c r="BZ32" s="114"/>
      <c r="CA32" s="114"/>
      <c r="CB32" s="114"/>
      <c r="CC32" s="99"/>
      <c r="CD32" s="115"/>
      <c r="CE32" s="116"/>
      <c r="CF32" s="90"/>
      <c r="CG32" s="90"/>
      <c r="CH32" s="90"/>
      <c r="CI32" s="90"/>
      <c r="CJ32" s="90"/>
      <c r="CK32" s="90"/>
      <c r="CL32" s="90"/>
      <c r="CM32" s="90"/>
      <c r="CN32" s="90"/>
      <c r="CO32" s="90"/>
      <c r="CP32" s="121"/>
      <c r="CQ32" s="121"/>
      <c r="CR32" s="100"/>
      <c r="CS32" s="121"/>
      <c r="CT32" s="90"/>
      <c r="CU32" s="90"/>
      <c r="CV32" s="90"/>
      <c r="CW32" s="90"/>
      <c r="CX32" s="90"/>
      <c r="CY32" s="90"/>
      <c r="CZ32" s="90"/>
      <c r="DA32" s="90"/>
      <c r="DB32" s="90"/>
      <c r="DC32" s="90"/>
      <c r="DD32" s="90"/>
      <c r="DE32" s="90"/>
      <c r="DF32" s="90"/>
    </row>
    <row r="33" spans="1:110" ht="24" customHeight="1" x14ac:dyDescent="0.25">
      <c r="A33" s="83" t="s">
        <v>103</v>
      </c>
      <c r="B33" s="442">
        <v>42522.5</v>
      </c>
      <c r="C33" s="453"/>
      <c r="D33" s="84"/>
      <c r="E33" s="23"/>
      <c r="F33" s="15"/>
      <c r="G33" s="213"/>
      <c r="H33" s="27" t="str">
        <f t="shared" si="2"/>
        <v/>
      </c>
      <c r="I33" s="216" t="str">
        <f t="shared" si="3"/>
        <v/>
      </c>
      <c r="J33" s="29" t="e">
        <f ca="1">IF($J$5&gt;=B33,"N/A",SUM(INDIRECT(ADDRESS(6+(MATCH($J$5,$B$6:$B$59,0)),8)):H33))</f>
        <v>#N/A</v>
      </c>
      <c r="K33" s="10"/>
      <c r="L33" s="88"/>
      <c r="M33" s="4" t="str">
        <f t="shared" si="4"/>
        <v/>
      </c>
      <c r="N33" s="220" t="str">
        <f t="shared" si="0"/>
        <v/>
      </c>
      <c r="O33" s="30" t="e">
        <f ca="1">IF($O$5&gt;=B33,"N/A",SUM(INDIRECT(ADDRESS(6+(MATCH($O$5,$B$6:$B$59,0)),13)):M33))</f>
        <v>#N/A</v>
      </c>
      <c r="P33" s="325"/>
      <c r="Q33" s="325"/>
      <c r="R33" s="325"/>
      <c r="S33" s="70" t="str">
        <f t="shared" si="5"/>
        <v>PNOON</v>
      </c>
      <c r="T33" s="241">
        <f t="shared" si="6"/>
        <v>42522.5</v>
      </c>
      <c r="U33" s="296"/>
      <c r="V33" s="297">
        <v>3.57</v>
      </c>
      <c r="W33" s="297">
        <v>2.57</v>
      </c>
      <c r="X33" s="199">
        <f t="shared" si="7"/>
        <v>6.14</v>
      </c>
      <c r="Y33" s="159">
        <f t="shared" si="8"/>
        <v>719.40999999999974</v>
      </c>
      <c r="Z33" s="298"/>
      <c r="AA33" s="299"/>
      <c r="AB33" s="300"/>
      <c r="AC33" s="300"/>
      <c r="AD33" s="203">
        <f t="shared" si="1"/>
        <v>0</v>
      </c>
      <c r="AE33" s="150">
        <f t="shared" si="9"/>
        <v>74.599999999999994</v>
      </c>
      <c r="AF33" s="301"/>
      <c r="AG33" s="302">
        <v>3</v>
      </c>
      <c r="AH33" s="303"/>
      <c r="AI33" s="141">
        <f t="shared" si="13"/>
        <v>106</v>
      </c>
      <c r="AJ33" s="304">
        <v>57780</v>
      </c>
      <c r="AK33" s="316">
        <v>31900</v>
      </c>
      <c r="AL33" s="317">
        <v>7500</v>
      </c>
      <c r="AM33" s="237" t="e">
        <f t="shared" si="14"/>
        <v>#VALUE!</v>
      </c>
      <c r="AN33" s="70" t="str">
        <f t="shared" si="11"/>
        <v>PNOON</v>
      </c>
      <c r="AO33" s="241">
        <f t="shared" si="12"/>
        <v>42522.5</v>
      </c>
      <c r="AP33" s="45" t="s">
        <v>40</v>
      </c>
      <c r="AQ33" s="98"/>
      <c r="AR33" s="99"/>
      <c r="AS33" s="99"/>
      <c r="AT33" s="100"/>
      <c r="AU33" s="101"/>
      <c r="AV33" s="100"/>
      <c r="AW33" s="101"/>
      <c r="AX33" s="101"/>
      <c r="AY33" s="99"/>
      <c r="AZ33" s="102"/>
      <c r="BA33" s="102"/>
      <c r="BB33" s="103"/>
      <c r="BC33" s="104"/>
      <c r="BD33" s="98"/>
      <c r="BE33" s="105"/>
      <c r="BF33" s="104"/>
      <c r="BG33" s="115"/>
      <c r="BH33" s="104"/>
      <c r="BI33" s="98"/>
      <c r="BJ33" s="105"/>
      <c r="BK33" s="104"/>
      <c r="BL33" s="104"/>
      <c r="BM33" s="107"/>
      <c r="BN33" s="108"/>
      <c r="BO33" s="108"/>
      <c r="BP33" s="109"/>
      <c r="BQ33" s="110"/>
      <c r="BR33" s="108"/>
      <c r="BS33" s="109"/>
      <c r="BT33" s="109"/>
      <c r="BU33" s="107"/>
      <c r="BV33" s="111"/>
      <c r="BW33" s="98"/>
      <c r="BX33" s="113"/>
      <c r="BY33" s="113"/>
      <c r="BZ33" s="114"/>
      <c r="CA33" s="114"/>
      <c r="CB33" s="114"/>
      <c r="CC33" s="99"/>
      <c r="CD33" s="115"/>
      <c r="CE33" s="116"/>
      <c r="CF33" s="90"/>
      <c r="CG33" s="90"/>
      <c r="CH33" s="90"/>
      <c r="CI33" s="90"/>
      <c r="CJ33" s="90"/>
      <c r="CK33" s="90"/>
      <c r="CL33" s="90"/>
      <c r="CM33" s="90"/>
      <c r="CN33" s="90"/>
      <c r="CO33" s="90"/>
      <c r="CP33" s="121"/>
      <c r="CQ33" s="121"/>
      <c r="CR33" s="100"/>
      <c r="CS33" s="121"/>
      <c r="CT33" s="90"/>
      <c r="CU33" s="90"/>
      <c r="CV33" s="90"/>
      <c r="CW33" s="90"/>
      <c r="CX33" s="90"/>
      <c r="CY33" s="90"/>
      <c r="CZ33" s="90"/>
      <c r="DA33" s="90"/>
      <c r="DB33" s="90"/>
      <c r="DC33" s="90"/>
      <c r="DD33" s="90"/>
      <c r="DE33" s="90"/>
      <c r="DF33" s="90"/>
    </row>
    <row r="34" spans="1:110" ht="24" customHeight="1" x14ac:dyDescent="0.25">
      <c r="A34" s="83" t="s">
        <v>103</v>
      </c>
      <c r="B34" s="442">
        <v>42523.5</v>
      </c>
      <c r="C34" s="443"/>
      <c r="D34" s="84"/>
      <c r="E34" s="23"/>
      <c r="F34" s="15"/>
      <c r="G34" s="213"/>
      <c r="H34" s="27" t="str">
        <f t="shared" si="2"/>
        <v/>
      </c>
      <c r="I34" s="216" t="str">
        <f t="shared" si="3"/>
        <v/>
      </c>
      <c r="J34" s="29" t="e">
        <f ca="1">IF($J$5&gt;=B34,"N/A",SUM(INDIRECT(ADDRESS(6+(MATCH($J$5,$B$6:$B$59,0)),8)):H34))</f>
        <v>#N/A</v>
      </c>
      <c r="K34" s="10"/>
      <c r="L34" s="88"/>
      <c r="M34" s="4" t="str">
        <f t="shared" si="4"/>
        <v/>
      </c>
      <c r="N34" s="220" t="str">
        <f t="shared" si="0"/>
        <v/>
      </c>
      <c r="O34" s="30" t="e">
        <f ca="1">IF($O$5&gt;=B34,"N/A",SUM(INDIRECT(ADDRESS(6+(MATCH($O$5,$B$6:$B$59,0)),13)):M34))</f>
        <v>#N/A</v>
      </c>
      <c r="P34" s="325"/>
      <c r="Q34" s="325"/>
      <c r="R34" s="325"/>
      <c r="S34" s="70" t="str">
        <f t="shared" si="5"/>
        <v>PNOON</v>
      </c>
      <c r="T34" s="241">
        <f t="shared" si="6"/>
        <v>42523.5</v>
      </c>
      <c r="U34" s="296"/>
      <c r="V34" s="297">
        <v>3.47</v>
      </c>
      <c r="W34" s="297">
        <v>2.61</v>
      </c>
      <c r="X34" s="199">
        <f t="shared" si="7"/>
        <v>6.08</v>
      </c>
      <c r="Y34" s="159">
        <f t="shared" si="8"/>
        <v>713.3299999999997</v>
      </c>
      <c r="Z34" s="298"/>
      <c r="AA34" s="299"/>
      <c r="AB34" s="300"/>
      <c r="AC34" s="300"/>
      <c r="AD34" s="203">
        <f t="shared" si="1"/>
        <v>0</v>
      </c>
      <c r="AE34" s="150">
        <f t="shared" si="9"/>
        <v>74.599999999999994</v>
      </c>
      <c r="AF34" s="301"/>
      <c r="AG34" s="302">
        <v>3</v>
      </c>
      <c r="AH34" s="303"/>
      <c r="AI34" s="141">
        <f t="shared" si="13"/>
        <v>103</v>
      </c>
      <c r="AJ34" s="304">
        <v>57780</v>
      </c>
      <c r="AK34" s="316">
        <v>31900</v>
      </c>
      <c r="AL34" s="317">
        <v>7470</v>
      </c>
      <c r="AM34" s="237" t="e">
        <f t="shared" si="14"/>
        <v>#VALUE!</v>
      </c>
      <c r="AN34" s="70" t="str">
        <f t="shared" si="11"/>
        <v>PNOON</v>
      </c>
      <c r="AO34" s="241">
        <f t="shared" si="12"/>
        <v>42523.5</v>
      </c>
      <c r="AP34" s="45" t="s">
        <v>40</v>
      </c>
      <c r="AQ34" s="98"/>
      <c r="AR34" s="99"/>
      <c r="AS34" s="99"/>
      <c r="AT34" s="100"/>
      <c r="AU34" s="101"/>
      <c r="AV34" s="100"/>
      <c r="AW34" s="101"/>
      <c r="AX34" s="101"/>
      <c r="AY34" s="99"/>
      <c r="AZ34" s="102"/>
      <c r="BA34" s="102"/>
      <c r="BB34" s="103"/>
      <c r="BC34" s="104"/>
      <c r="BD34" s="98"/>
      <c r="BE34" s="105"/>
      <c r="BF34" s="104"/>
      <c r="BG34" s="115"/>
      <c r="BH34" s="104"/>
      <c r="BI34" s="98"/>
      <c r="BJ34" s="105"/>
      <c r="BK34" s="104"/>
      <c r="BL34" s="104"/>
      <c r="BM34" s="107"/>
      <c r="BN34" s="108"/>
      <c r="BO34" s="108"/>
      <c r="BP34" s="109"/>
      <c r="BQ34" s="110"/>
      <c r="BR34" s="108"/>
      <c r="BS34" s="109"/>
      <c r="BT34" s="109"/>
      <c r="BU34" s="107"/>
      <c r="BV34" s="111"/>
      <c r="BW34" s="98"/>
      <c r="BX34" s="113"/>
      <c r="BY34" s="113"/>
      <c r="BZ34" s="114"/>
      <c r="CA34" s="114"/>
      <c r="CB34" s="114"/>
      <c r="CC34" s="99"/>
      <c r="CD34" s="115"/>
      <c r="CE34" s="116"/>
      <c r="CF34" s="90"/>
      <c r="CG34" s="90"/>
      <c r="CH34" s="90"/>
      <c r="CI34" s="90"/>
      <c r="CJ34" s="90"/>
      <c r="CK34" s="90"/>
      <c r="CL34" s="90"/>
      <c r="CM34" s="90"/>
      <c r="CN34" s="90"/>
      <c r="CO34" s="90"/>
      <c r="CP34" s="121"/>
      <c r="CQ34" s="121"/>
      <c r="CR34" s="100"/>
      <c r="CS34" s="121"/>
      <c r="CT34" s="90"/>
      <c r="CU34" s="90"/>
      <c r="CV34" s="90"/>
      <c r="CW34" s="90"/>
      <c r="CX34" s="90"/>
      <c r="CY34" s="90"/>
      <c r="CZ34" s="90"/>
      <c r="DA34" s="90"/>
      <c r="DB34" s="90"/>
      <c r="DC34" s="90"/>
      <c r="DD34" s="90"/>
      <c r="DE34" s="90"/>
      <c r="DF34" s="90"/>
    </row>
    <row r="35" spans="1:110" ht="24" customHeight="1" x14ac:dyDescent="0.25">
      <c r="A35" s="83" t="s">
        <v>103</v>
      </c>
      <c r="B35" s="442">
        <v>42524.5</v>
      </c>
      <c r="C35" s="443"/>
      <c r="D35" s="84"/>
      <c r="E35" s="23"/>
      <c r="F35" s="15"/>
      <c r="G35" s="213"/>
      <c r="H35" s="27" t="str">
        <f t="shared" si="2"/>
        <v/>
      </c>
      <c r="I35" s="216" t="str">
        <f t="shared" si="3"/>
        <v/>
      </c>
      <c r="J35" s="29" t="e">
        <f ca="1">IF($J$5&gt;=B35,"N/A",SUM(INDIRECT(ADDRESS(6+(MATCH($J$5,$B$6:$B$59,0)),8)):H35))</f>
        <v>#N/A</v>
      </c>
      <c r="K35" s="10"/>
      <c r="L35" s="88"/>
      <c r="M35" s="4" t="str">
        <f t="shared" si="4"/>
        <v/>
      </c>
      <c r="N35" s="220" t="str">
        <f t="shared" si="0"/>
        <v/>
      </c>
      <c r="O35" s="30" t="e">
        <f ca="1">IF($O$5&gt;=B35,"N/A",SUM(INDIRECT(ADDRESS(6+(MATCH($O$5,$B$6:$B$59,0)),13)):M35))</f>
        <v>#N/A</v>
      </c>
      <c r="P35" s="325"/>
      <c r="Q35" s="325"/>
      <c r="R35" s="325"/>
      <c r="S35" s="70" t="str">
        <f t="shared" si="5"/>
        <v>PNOON</v>
      </c>
      <c r="T35" s="241">
        <f t="shared" si="6"/>
        <v>42524.5</v>
      </c>
      <c r="U35" s="296"/>
      <c r="V35" s="297">
        <v>3.54</v>
      </c>
      <c r="W35" s="297">
        <v>2.5</v>
      </c>
      <c r="X35" s="199">
        <f t="shared" si="7"/>
        <v>6.04</v>
      </c>
      <c r="Y35" s="159">
        <f t="shared" si="8"/>
        <v>707.28999999999974</v>
      </c>
      <c r="Z35" s="298"/>
      <c r="AA35" s="299"/>
      <c r="AB35" s="300"/>
      <c r="AC35" s="300"/>
      <c r="AD35" s="203">
        <f t="shared" si="1"/>
        <v>0</v>
      </c>
      <c r="AE35" s="150">
        <f t="shared" si="9"/>
        <v>74.599999999999994</v>
      </c>
      <c r="AF35" s="301"/>
      <c r="AG35" s="302">
        <v>3</v>
      </c>
      <c r="AH35" s="303"/>
      <c r="AI35" s="141">
        <f t="shared" si="13"/>
        <v>100</v>
      </c>
      <c r="AJ35" s="304">
        <v>57780</v>
      </c>
      <c r="AK35" s="316">
        <v>31900</v>
      </c>
      <c r="AL35" s="317">
        <v>7440</v>
      </c>
      <c r="AM35" s="237" t="e">
        <f t="shared" si="14"/>
        <v>#VALUE!</v>
      </c>
      <c r="AN35" s="70" t="str">
        <f t="shared" si="11"/>
        <v>PNOON</v>
      </c>
      <c r="AO35" s="241">
        <f t="shared" si="12"/>
        <v>42524.5</v>
      </c>
      <c r="AP35" s="45" t="s">
        <v>40</v>
      </c>
      <c r="AQ35" s="98"/>
      <c r="AR35" s="99"/>
      <c r="AS35" s="99"/>
      <c r="AT35" s="100"/>
      <c r="AU35" s="101"/>
      <c r="AV35" s="100"/>
      <c r="AW35" s="101"/>
      <c r="AX35" s="101"/>
      <c r="AY35" s="99"/>
      <c r="AZ35" s="102"/>
      <c r="BA35" s="102"/>
      <c r="BB35" s="103"/>
      <c r="BC35" s="104"/>
      <c r="BD35" s="98"/>
      <c r="BE35" s="105"/>
      <c r="BF35" s="104"/>
      <c r="BG35" s="115"/>
      <c r="BH35" s="104"/>
      <c r="BI35" s="98"/>
      <c r="BJ35" s="105"/>
      <c r="BK35" s="104"/>
      <c r="BL35" s="104"/>
      <c r="BM35" s="107"/>
      <c r="BN35" s="108"/>
      <c r="BO35" s="108"/>
      <c r="BP35" s="109"/>
      <c r="BQ35" s="110"/>
      <c r="BR35" s="108"/>
      <c r="BS35" s="109"/>
      <c r="BT35" s="109"/>
      <c r="BU35" s="107"/>
      <c r="BV35" s="111"/>
      <c r="BW35" s="98"/>
      <c r="BX35" s="113"/>
      <c r="BY35" s="113"/>
      <c r="BZ35" s="114"/>
      <c r="CA35" s="114"/>
      <c r="CB35" s="114"/>
      <c r="CC35" s="99"/>
      <c r="CD35" s="115"/>
      <c r="CE35" s="116"/>
      <c r="CF35" s="90"/>
      <c r="CG35" s="90"/>
      <c r="CH35" s="90"/>
      <c r="CI35" s="90"/>
      <c r="CJ35" s="90"/>
      <c r="CK35" s="90"/>
      <c r="CL35" s="90"/>
      <c r="CM35" s="90"/>
      <c r="CN35" s="90"/>
      <c r="CO35" s="90"/>
      <c r="CP35" s="121"/>
      <c r="CQ35" s="121"/>
      <c r="CR35" s="100"/>
      <c r="CS35" s="121"/>
      <c r="CT35" s="90"/>
      <c r="CU35" s="90"/>
      <c r="CV35" s="90"/>
      <c r="CW35" s="90"/>
      <c r="CX35" s="90"/>
      <c r="CY35" s="90"/>
      <c r="CZ35" s="90"/>
      <c r="DA35" s="90"/>
      <c r="DB35" s="90"/>
      <c r="DC35" s="90"/>
      <c r="DD35" s="90"/>
      <c r="DE35" s="90"/>
      <c r="DF35" s="90"/>
    </row>
    <row r="36" spans="1:110" ht="24" customHeight="1" x14ac:dyDescent="0.25">
      <c r="A36" s="83" t="s">
        <v>103</v>
      </c>
      <c r="B36" s="442">
        <v>42525.5</v>
      </c>
      <c r="C36" s="453"/>
      <c r="D36" s="84"/>
      <c r="E36" s="23"/>
      <c r="F36" s="15"/>
      <c r="G36" s="213"/>
      <c r="H36" s="27" t="str">
        <f t="shared" si="2"/>
        <v/>
      </c>
      <c r="I36" s="216" t="str">
        <f t="shared" si="3"/>
        <v/>
      </c>
      <c r="J36" s="29" t="e">
        <f ca="1">IF($J$5&gt;=B36,"N/A",SUM(INDIRECT(ADDRESS(6+(MATCH($J$5,$B$6:$B$59,0)),8)):H36))</f>
        <v>#N/A</v>
      </c>
      <c r="K36" s="10"/>
      <c r="L36" s="88"/>
      <c r="M36" s="4" t="str">
        <f t="shared" si="4"/>
        <v/>
      </c>
      <c r="N36" s="220" t="str">
        <f t="shared" si="0"/>
        <v/>
      </c>
      <c r="O36" s="30" t="e">
        <f ca="1">IF($O$5&gt;=B36,"N/A",SUM(INDIRECT(ADDRESS(6+(MATCH($O$5,$B$6:$B$59,0)),13)):M36))</f>
        <v>#N/A</v>
      </c>
      <c r="P36" s="325"/>
      <c r="Q36" s="325"/>
      <c r="R36" s="325"/>
      <c r="S36" s="70" t="str">
        <f t="shared" si="5"/>
        <v>PNOON</v>
      </c>
      <c r="T36" s="241">
        <f t="shared" si="6"/>
        <v>42525.5</v>
      </c>
      <c r="U36" s="296"/>
      <c r="V36" s="297">
        <v>3.5</v>
      </c>
      <c r="W36" s="297">
        <v>2.6</v>
      </c>
      <c r="X36" s="199">
        <f t="shared" si="7"/>
        <v>6.1</v>
      </c>
      <c r="Y36" s="159">
        <f t="shared" si="8"/>
        <v>701.18999999999971</v>
      </c>
      <c r="Z36" s="298"/>
      <c r="AA36" s="299"/>
      <c r="AB36" s="300"/>
      <c r="AC36" s="300"/>
      <c r="AD36" s="203">
        <f t="shared" si="1"/>
        <v>0</v>
      </c>
      <c r="AE36" s="150">
        <f t="shared" si="9"/>
        <v>74.599999999999994</v>
      </c>
      <c r="AF36" s="301"/>
      <c r="AG36" s="302">
        <v>3</v>
      </c>
      <c r="AH36" s="303"/>
      <c r="AI36" s="141">
        <f t="shared" si="13"/>
        <v>97</v>
      </c>
      <c r="AJ36" s="304">
        <v>57780</v>
      </c>
      <c r="AK36" s="316">
        <v>31900</v>
      </c>
      <c r="AL36" s="317">
        <v>7410</v>
      </c>
      <c r="AM36" s="237" t="e">
        <f t="shared" si="14"/>
        <v>#VALUE!</v>
      </c>
      <c r="AN36" s="70" t="str">
        <f t="shared" si="11"/>
        <v>PNOON</v>
      </c>
      <c r="AO36" s="241">
        <f t="shared" si="12"/>
        <v>42525.5</v>
      </c>
      <c r="AP36" s="45" t="s">
        <v>40</v>
      </c>
      <c r="AQ36" s="98"/>
      <c r="AR36" s="99"/>
      <c r="AS36" s="99"/>
      <c r="AT36" s="100"/>
      <c r="AU36" s="101"/>
      <c r="AV36" s="100"/>
      <c r="AW36" s="101"/>
      <c r="AX36" s="101"/>
      <c r="AY36" s="99"/>
      <c r="AZ36" s="102"/>
      <c r="BA36" s="102"/>
      <c r="BB36" s="103"/>
      <c r="BC36" s="104"/>
      <c r="BD36" s="98"/>
      <c r="BE36" s="105"/>
      <c r="BF36" s="104"/>
      <c r="BG36" s="115"/>
      <c r="BH36" s="104"/>
      <c r="BI36" s="98"/>
      <c r="BJ36" s="105"/>
      <c r="BK36" s="104"/>
      <c r="BL36" s="104"/>
      <c r="BM36" s="107"/>
      <c r="BN36" s="108"/>
      <c r="BO36" s="108"/>
      <c r="BP36" s="109"/>
      <c r="BQ36" s="110"/>
      <c r="BR36" s="108"/>
      <c r="BS36" s="109"/>
      <c r="BT36" s="109"/>
      <c r="BU36" s="107"/>
      <c r="BV36" s="111"/>
      <c r="BW36" s="98"/>
      <c r="BX36" s="113"/>
      <c r="BY36" s="113"/>
      <c r="BZ36" s="114"/>
      <c r="CA36" s="114"/>
      <c r="CB36" s="114"/>
      <c r="CC36" s="99"/>
      <c r="CD36" s="115"/>
      <c r="CE36" s="116"/>
      <c r="CF36" s="90"/>
      <c r="CG36" s="90"/>
      <c r="CH36" s="90"/>
      <c r="CI36" s="90"/>
      <c r="CJ36" s="90"/>
      <c r="CK36" s="90"/>
      <c r="CL36" s="90"/>
      <c r="CM36" s="90"/>
      <c r="CN36" s="90"/>
      <c r="CO36" s="90"/>
      <c r="CP36" s="121"/>
      <c r="CQ36" s="121"/>
      <c r="CR36" s="100"/>
      <c r="CS36" s="121"/>
      <c r="CT36" s="90"/>
      <c r="CU36" s="90"/>
      <c r="CV36" s="90"/>
      <c r="CW36" s="90"/>
      <c r="CX36" s="90"/>
      <c r="CY36" s="90"/>
      <c r="CZ36" s="90"/>
      <c r="DA36" s="90"/>
      <c r="DB36" s="90"/>
      <c r="DC36" s="90"/>
      <c r="DD36" s="90"/>
      <c r="DE36" s="90"/>
      <c r="DF36" s="90"/>
    </row>
    <row r="37" spans="1:110" ht="24" customHeight="1" x14ac:dyDescent="0.25">
      <c r="A37" s="83" t="s">
        <v>103</v>
      </c>
      <c r="B37" s="442">
        <v>42526.5</v>
      </c>
      <c r="C37" s="453"/>
      <c r="D37" s="84"/>
      <c r="E37" s="23"/>
      <c r="F37" s="15"/>
      <c r="G37" s="213"/>
      <c r="H37" s="27" t="str">
        <f t="shared" si="2"/>
        <v/>
      </c>
      <c r="I37" s="216" t="str">
        <f t="shared" si="3"/>
        <v/>
      </c>
      <c r="J37" s="29" t="e">
        <f ca="1">IF($J$5&gt;=B37,"N/A",SUM(INDIRECT(ADDRESS(6+(MATCH($J$5,$B$6:$B$59,0)),8)):H37))</f>
        <v>#N/A</v>
      </c>
      <c r="K37" s="10"/>
      <c r="L37" s="88"/>
      <c r="M37" s="4" t="str">
        <f t="shared" si="4"/>
        <v/>
      </c>
      <c r="N37" s="220" t="str">
        <f t="shared" si="0"/>
        <v/>
      </c>
      <c r="O37" s="30" t="e">
        <f ca="1">IF($O$5&gt;=B37,"N/A",SUM(INDIRECT(ADDRESS(6+(MATCH($O$5,$B$6:$B$59,0)),13)):M37))</f>
        <v>#N/A</v>
      </c>
      <c r="P37" s="325"/>
      <c r="Q37" s="325"/>
      <c r="R37" s="325"/>
      <c r="S37" s="70" t="str">
        <f t="shared" si="5"/>
        <v>PNOON</v>
      </c>
      <c r="T37" s="241">
        <f t="shared" si="6"/>
        <v>42526.5</v>
      </c>
      <c r="U37" s="296"/>
      <c r="V37" s="297">
        <v>3.5</v>
      </c>
      <c r="W37" s="297">
        <v>2.59</v>
      </c>
      <c r="X37" s="199">
        <f t="shared" si="7"/>
        <v>6.09</v>
      </c>
      <c r="Y37" s="159">
        <f t="shared" si="8"/>
        <v>695.09999999999968</v>
      </c>
      <c r="Z37" s="298"/>
      <c r="AA37" s="299"/>
      <c r="AB37" s="300"/>
      <c r="AC37" s="300"/>
      <c r="AD37" s="203">
        <f t="shared" si="1"/>
        <v>0</v>
      </c>
      <c r="AE37" s="150">
        <f t="shared" si="9"/>
        <v>74.599999999999994</v>
      </c>
      <c r="AF37" s="301"/>
      <c r="AG37" s="302">
        <v>3</v>
      </c>
      <c r="AH37" s="303"/>
      <c r="AI37" s="141">
        <f t="shared" si="13"/>
        <v>94</v>
      </c>
      <c r="AJ37" s="304">
        <v>57780</v>
      </c>
      <c r="AK37" s="316">
        <v>31900</v>
      </c>
      <c r="AL37" s="317">
        <v>7380</v>
      </c>
      <c r="AM37" s="237" t="e">
        <f t="shared" si="14"/>
        <v>#VALUE!</v>
      </c>
      <c r="AN37" s="70" t="str">
        <f t="shared" si="11"/>
        <v>PNOON</v>
      </c>
      <c r="AO37" s="241">
        <f t="shared" si="12"/>
        <v>42526.5</v>
      </c>
      <c r="AP37" s="45" t="s">
        <v>40</v>
      </c>
      <c r="AQ37" s="98"/>
      <c r="AR37" s="99"/>
      <c r="AS37" s="99"/>
      <c r="AT37" s="100"/>
      <c r="AU37" s="101"/>
      <c r="AV37" s="100"/>
      <c r="AW37" s="101"/>
      <c r="AX37" s="101"/>
      <c r="AY37" s="99"/>
      <c r="AZ37" s="102"/>
      <c r="BA37" s="102"/>
      <c r="BB37" s="103"/>
      <c r="BC37" s="104"/>
      <c r="BD37" s="98"/>
      <c r="BE37" s="105"/>
      <c r="BF37" s="104"/>
      <c r="BG37" s="115"/>
      <c r="BH37" s="104"/>
      <c r="BI37" s="98"/>
      <c r="BJ37" s="105"/>
      <c r="BK37" s="104"/>
      <c r="BL37" s="104"/>
      <c r="BM37" s="107"/>
      <c r="BN37" s="108"/>
      <c r="BO37" s="108"/>
      <c r="BP37" s="109"/>
      <c r="BQ37" s="110"/>
      <c r="BR37" s="108"/>
      <c r="BS37" s="109"/>
      <c r="BT37" s="109"/>
      <c r="BU37" s="107"/>
      <c r="BV37" s="111"/>
      <c r="BW37" s="98"/>
      <c r="BX37" s="113"/>
      <c r="BY37" s="113"/>
      <c r="BZ37" s="114"/>
      <c r="CA37" s="114"/>
      <c r="CB37" s="114"/>
      <c r="CC37" s="99"/>
      <c r="CD37" s="115"/>
      <c r="CE37" s="116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121"/>
      <c r="CQ37" s="121"/>
      <c r="CR37" s="100"/>
      <c r="CS37" s="121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</row>
    <row r="38" spans="1:110" ht="24" customHeight="1" x14ac:dyDescent="0.25">
      <c r="A38" s="83" t="s">
        <v>103</v>
      </c>
      <c r="B38" s="442">
        <v>42527.5</v>
      </c>
      <c r="C38" s="453"/>
      <c r="D38" s="84"/>
      <c r="E38" s="23"/>
      <c r="F38" s="15"/>
      <c r="G38" s="213"/>
      <c r="H38" s="27" t="str">
        <f t="shared" si="2"/>
        <v/>
      </c>
      <c r="I38" s="216" t="str">
        <f t="shared" si="3"/>
        <v/>
      </c>
      <c r="J38" s="29" t="e">
        <f ca="1">IF($J$5&gt;=B38,"N/A",SUM(INDIRECT(ADDRESS(6+(MATCH($J$5,$B$6:$B$59,0)),8)):H38))</f>
        <v>#N/A</v>
      </c>
      <c r="K38" s="10"/>
      <c r="L38" s="88"/>
      <c r="M38" s="4" t="str">
        <f t="shared" si="4"/>
        <v/>
      </c>
      <c r="N38" s="220" t="str">
        <f t="shared" si="0"/>
        <v/>
      </c>
      <c r="O38" s="30" t="e">
        <f ca="1">IF($O$5&gt;=B38,"N/A",SUM(INDIRECT(ADDRESS(6+(MATCH($O$5,$B$6:$B$59,0)),13)):M38))</f>
        <v>#N/A</v>
      </c>
      <c r="P38" s="325"/>
      <c r="Q38" s="325"/>
      <c r="R38" s="325"/>
      <c r="S38" s="70" t="str">
        <f t="shared" si="5"/>
        <v>PNOON</v>
      </c>
      <c r="T38" s="241">
        <f t="shared" si="6"/>
        <v>42527.5</v>
      </c>
      <c r="U38" s="296"/>
      <c r="V38" s="297">
        <v>3.5</v>
      </c>
      <c r="W38" s="297">
        <v>2.6</v>
      </c>
      <c r="X38" s="199">
        <f t="shared" si="7"/>
        <v>6.1</v>
      </c>
      <c r="Y38" s="159">
        <f t="shared" si="8"/>
        <v>688.99999999999966</v>
      </c>
      <c r="Z38" s="298"/>
      <c r="AA38" s="299"/>
      <c r="AB38" s="300"/>
      <c r="AC38" s="300"/>
      <c r="AD38" s="203">
        <f t="shared" si="1"/>
        <v>0</v>
      </c>
      <c r="AE38" s="150">
        <f t="shared" si="9"/>
        <v>74.599999999999994</v>
      </c>
      <c r="AF38" s="301"/>
      <c r="AG38" s="302">
        <v>3</v>
      </c>
      <c r="AH38" s="303"/>
      <c r="AI38" s="141">
        <f t="shared" si="13"/>
        <v>91</v>
      </c>
      <c r="AJ38" s="304">
        <v>57780</v>
      </c>
      <c r="AK38" s="316">
        <v>31900</v>
      </c>
      <c r="AL38" s="317">
        <v>7350</v>
      </c>
      <c r="AM38" s="237" t="e">
        <f t="shared" si="14"/>
        <v>#VALUE!</v>
      </c>
      <c r="AN38" s="70" t="str">
        <f t="shared" si="11"/>
        <v>PNOON</v>
      </c>
      <c r="AO38" s="241">
        <f t="shared" si="12"/>
        <v>42527.5</v>
      </c>
      <c r="AP38" s="45" t="s">
        <v>40</v>
      </c>
      <c r="AQ38" s="98"/>
      <c r="AR38" s="99"/>
      <c r="AS38" s="99"/>
      <c r="AT38" s="100"/>
      <c r="AU38" s="101"/>
      <c r="AV38" s="100"/>
      <c r="AW38" s="101"/>
      <c r="AX38" s="101"/>
      <c r="AY38" s="99"/>
      <c r="AZ38" s="102"/>
      <c r="BA38" s="102"/>
      <c r="BB38" s="103"/>
      <c r="BC38" s="104"/>
      <c r="BD38" s="98"/>
      <c r="BE38" s="105"/>
      <c r="BF38" s="104"/>
      <c r="BG38" s="115"/>
      <c r="BH38" s="104"/>
      <c r="BI38" s="98"/>
      <c r="BJ38" s="105"/>
      <c r="BK38" s="104"/>
      <c r="BL38" s="104"/>
      <c r="BM38" s="107"/>
      <c r="BN38" s="108"/>
      <c r="BO38" s="108"/>
      <c r="BP38" s="109"/>
      <c r="BQ38" s="110"/>
      <c r="BR38" s="108"/>
      <c r="BS38" s="109"/>
      <c r="BT38" s="109"/>
      <c r="BU38" s="107"/>
      <c r="BV38" s="111"/>
      <c r="BW38" s="98"/>
      <c r="BX38" s="113"/>
      <c r="BY38" s="113"/>
      <c r="BZ38" s="114"/>
      <c r="CA38" s="114"/>
      <c r="CB38" s="114"/>
      <c r="CC38" s="99"/>
      <c r="CD38" s="115"/>
      <c r="CE38" s="116"/>
      <c r="CF38" s="90"/>
      <c r="CG38" s="90"/>
      <c r="CH38" s="90"/>
      <c r="CI38" s="90"/>
      <c r="CJ38" s="90"/>
      <c r="CK38" s="90"/>
      <c r="CL38" s="90"/>
      <c r="CM38" s="90"/>
      <c r="CN38" s="90"/>
      <c r="CO38" s="90"/>
      <c r="CP38" s="121"/>
      <c r="CQ38" s="121"/>
      <c r="CR38" s="100"/>
      <c r="CS38" s="121"/>
      <c r="CT38" s="90"/>
      <c r="CU38" s="90"/>
      <c r="CV38" s="90"/>
      <c r="CW38" s="90"/>
      <c r="CX38" s="90"/>
      <c r="CY38" s="90"/>
      <c r="CZ38" s="90"/>
      <c r="DA38" s="90"/>
      <c r="DB38" s="90"/>
      <c r="DC38" s="90"/>
      <c r="DD38" s="90"/>
      <c r="DE38" s="90"/>
      <c r="DF38" s="90"/>
    </row>
    <row r="39" spans="1:110" ht="24" customHeight="1" x14ac:dyDescent="0.25">
      <c r="A39" s="83" t="s">
        <v>103</v>
      </c>
      <c r="B39" s="442">
        <v>42528.5</v>
      </c>
      <c r="C39" s="453"/>
      <c r="D39" s="84"/>
      <c r="E39" s="23"/>
      <c r="F39" s="15"/>
      <c r="G39" s="213"/>
      <c r="H39" s="27" t="str">
        <f t="shared" si="2"/>
        <v/>
      </c>
      <c r="I39" s="216" t="str">
        <f t="shared" si="3"/>
        <v/>
      </c>
      <c r="J39" s="29" t="e">
        <f ca="1">IF($J$5&gt;=B39,"N/A",SUM(INDIRECT(ADDRESS(6+(MATCH($J$5,$B$6:$B$59,0)),8)):H39))</f>
        <v>#N/A</v>
      </c>
      <c r="K39" s="10"/>
      <c r="L39" s="88"/>
      <c r="M39" s="4" t="str">
        <f t="shared" si="4"/>
        <v/>
      </c>
      <c r="N39" s="220" t="str">
        <f t="shared" si="0"/>
        <v/>
      </c>
      <c r="O39" s="30" t="e">
        <f ca="1">IF($O$5&gt;=B39,"N/A",SUM(INDIRECT(ADDRESS(6+(MATCH($O$5,$B$6:$B$59,0)),13)):M39))</f>
        <v>#N/A</v>
      </c>
      <c r="P39" s="325"/>
      <c r="Q39" s="325"/>
      <c r="R39" s="325"/>
      <c r="S39" s="70" t="str">
        <f t="shared" si="5"/>
        <v>PNOON</v>
      </c>
      <c r="T39" s="241">
        <f t="shared" si="6"/>
        <v>42528.5</v>
      </c>
      <c r="U39" s="296"/>
      <c r="V39" s="297">
        <v>3.53</v>
      </c>
      <c r="W39" s="297">
        <v>2.7</v>
      </c>
      <c r="X39" s="199">
        <f t="shared" si="7"/>
        <v>6.23</v>
      </c>
      <c r="Y39" s="159">
        <f t="shared" si="8"/>
        <v>682.76999999999964</v>
      </c>
      <c r="Z39" s="298"/>
      <c r="AA39" s="299"/>
      <c r="AB39" s="300"/>
      <c r="AC39" s="300"/>
      <c r="AD39" s="203">
        <f t="shared" si="1"/>
        <v>0</v>
      </c>
      <c r="AE39" s="150">
        <f t="shared" si="9"/>
        <v>74.599999999999994</v>
      </c>
      <c r="AF39" s="301"/>
      <c r="AG39" s="302">
        <v>3</v>
      </c>
      <c r="AH39" s="303"/>
      <c r="AI39" s="141">
        <f t="shared" si="13"/>
        <v>88</v>
      </c>
      <c r="AJ39" s="304">
        <v>57780</v>
      </c>
      <c r="AK39" s="316">
        <v>31900</v>
      </c>
      <c r="AL39" s="317">
        <v>7320</v>
      </c>
      <c r="AM39" s="237" t="e">
        <f t="shared" si="14"/>
        <v>#VALUE!</v>
      </c>
      <c r="AN39" s="70" t="str">
        <f t="shared" si="11"/>
        <v>PNOON</v>
      </c>
      <c r="AO39" s="241">
        <f t="shared" si="12"/>
        <v>42528.5</v>
      </c>
      <c r="AP39" s="45" t="s">
        <v>40</v>
      </c>
      <c r="AQ39" s="98"/>
      <c r="AR39" s="99"/>
      <c r="AS39" s="99"/>
      <c r="AT39" s="100"/>
      <c r="AU39" s="101"/>
      <c r="AV39" s="100"/>
      <c r="AW39" s="101"/>
      <c r="AX39" s="101"/>
      <c r="AY39" s="99"/>
      <c r="AZ39" s="102"/>
      <c r="BA39" s="102"/>
      <c r="BB39" s="103"/>
      <c r="BC39" s="104"/>
      <c r="BD39" s="98"/>
      <c r="BE39" s="105"/>
      <c r="BF39" s="104"/>
      <c r="BG39" s="115"/>
      <c r="BH39" s="104"/>
      <c r="BI39" s="98"/>
      <c r="BJ39" s="105"/>
      <c r="BK39" s="104"/>
      <c r="BL39" s="104"/>
      <c r="BM39" s="107"/>
      <c r="BN39" s="108"/>
      <c r="BO39" s="108"/>
      <c r="BP39" s="109"/>
      <c r="BQ39" s="110"/>
      <c r="BR39" s="108"/>
      <c r="BS39" s="109"/>
      <c r="BT39" s="109"/>
      <c r="BU39" s="107"/>
      <c r="BV39" s="111"/>
      <c r="BW39" s="98"/>
      <c r="BX39" s="113"/>
      <c r="BY39" s="113"/>
      <c r="BZ39" s="114"/>
      <c r="CA39" s="114"/>
      <c r="CB39" s="114"/>
      <c r="CC39" s="99"/>
      <c r="CD39" s="115"/>
      <c r="CE39" s="116"/>
      <c r="CF39" s="90"/>
      <c r="CG39" s="90"/>
      <c r="CH39" s="90"/>
      <c r="CI39" s="90"/>
      <c r="CJ39" s="90"/>
      <c r="CK39" s="90"/>
      <c r="CL39" s="90"/>
      <c r="CM39" s="90"/>
      <c r="CN39" s="90"/>
      <c r="CO39" s="90"/>
      <c r="CP39" s="121"/>
      <c r="CQ39" s="121"/>
      <c r="CR39" s="100"/>
      <c r="CS39" s="121"/>
      <c r="CT39" s="90"/>
      <c r="CU39" s="90"/>
      <c r="CV39" s="90"/>
      <c r="CW39" s="90"/>
      <c r="CX39" s="90"/>
      <c r="CY39" s="90"/>
      <c r="CZ39" s="90"/>
      <c r="DA39" s="90"/>
      <c r="DB39" s="90"/>
      <c r="DC39" s="90"/>
      <c r="DD39" s="90"/>
      <c r="DE39" s="90"/>
      <c r="DF39" s="90"/>
    </row>
    <row r="40" spans="1:110" ht="24" customHeight="1" x14ac:dyDescent="0.25">
      <c r="A40" s="83" t="s">
        <v>103</v>
      </c>
      <c r="B40" s="442">
        <v>42529.5</v>
      </c>
      <c r="C40" s="453"/>
      <c r="D40" s="84"/>
      <c r="E40" s="23"/>
      <c r="F40" s="15"/>
      <c r="G40" s="213"/>
      <c r="H40" s="27" t="str">
        <f t="shared" si="2"/>
        <v/>
      </c>
      <c r="I40" s="216" t="str">
        <f t="shared" si="3"/>
        <v/>
      </c>
      <c r="J40" s="29" t="e">
        <f ca="1">IF($J$5&gt;=B40,"N/A",SUM(INDIRECT(ADDRESS(6+(MATCH($J$5,$B$6:$B$59,0)),8)):H40))</f>
        <v>#N/A</v>
      </c>
      <c r="K40" s="10"/>
      <c r="L40" s="88"/>
      <c r="M40" s="4" t="str">
        <f t="shared" si="4"/>
        <v/>
      </c>
      <c r="N40" s="220" t="str">
        <f t="shared" si="0"/>
        <v/>
      </c>
      <c r="O40" s="30" t="e">
        <f ca="1">IF($O$5&gt;=B40,"N/A",SUM(INDIRECT(ADDRESS(6+(MATCH($O$5,$B$6:$B$59,0)),13)):M40))</f>
        <v>#N/A</v>
      </c>
      <c r="P40" s="325"/>
      <c r="Q40" s="325"/>
      <c r="R40" s="325"/>
      <c r="S40" s="70" t="str">
        <f t="shared" si="5"/>
        <v>PNOON</v>
      </c>
      <c r="T40" s="241">
        <f t="shared" si="6"/>
        <v>42529.5</v>
      </c>
      <c r="U40" s="296"/>
      <c r="V40" s="297">
        <v>3.56</v>
      </c>
      <c r="W40" s="297">
        <v>2.54</v>
      </c>
      <c r="X40" s="199">
        <f t="shared" si="7"/>
        <v>6.1</v>
      </c>
      <c r="Y40" s="159">
        <f t="shared" si="8"/>
        <v>676.66999999999962</v>
      </c>
      <c r="Z40" s="298"/>
      <c r="AA40" s="299"/>
      <c r="AB40" s="300"/>
      <c r="AC40" s="300"/>
      <c r="AD40" s="203">
        <f t="shared" si="1"/>
        <v>0</v>
      </c>
      <c r="AE40" s="150">
        <f t="shared" si="9"/>
        <v>74.599999999999994</v>
      </c>
      <c r="AF40" s="301"/>
      <c r="AG40" s="302">
        <v>3</v>
      </c>
      <c r="AH40" s="303">
        <v>150</v>
      </c>
      <c r="AI40" s="141">
        <f t="shared" si="13"/>
        <v>235</v>
      </c>
      <c r="AJ40" s="304">
        <v>57780</v>
      </c>
      <c r="AK40" s="316">
        <v>31900</v>
      </c>
      <c r="AL40" s="317">
        <v>7290</v>
      </c>
      <c r="AM40" s="237" t="e">
        <f t="shared" si="14"/>
        <v>#VALUE!</v>
      </c>
      <c r="AN40" s="70" t="str">
        <f t="shared" si="11"/>
        <v>PNOON</v>
      </c>
      <c r="AO40" s="241">
        <f t="shared" si="12"/>
        <v>42529.5</v>
      </c>
      <c r="AP40" s="45" t="s">
        <v>40</v>
      </c>
      <c r="AQ40" s="98"/>
      <c r="AR40" s="99"/>
      <c r="AS40" s="99"/>
      <c r="AT40" s="100"/>
      <c r="AU40" s="101"/>
      <c r="AV40" s="100"/>
      <c r="AW40" s="101"/>
      <c r="AX40" s="101"/>
      <c r="AY40" s="99"/>
      <c r="AZ40" s="102"/>
      <c r="BA40" s="102"/>
      <c r="BB40" s="103"/>
      <c r="BC40" s="104"/>
      <c r="BD40" s="98"/>
      <c r="BE40" s="105"/>
      <c r="BF40" s="104"/>
      <c r="BG40" s="115"/>
      <c r="BH40" s="104"/>
      <c r="BI40" s="98"/>
      <c r="BJ40" s="105"/>
      <c r="BK40" s="104"/>
      <c r="BL40" s="104"/>
      <c r="BM40" s="107"/>
      <c r="BN40" s="108"/>
      <c r="BO40" s="108"/>
      <c r="BP40" s="109"/>
      <c r="BQ40" s="110"/>
      <c r="BR40" s="108"/>
      <c r="BS40" s="109"/>
      <c r="BT40" s="109"/>
      <c r="BU40" s="107"/>
      <c r="BV40" s="111"/>
      <c r="BW40" s="98"/>
      <c r="BX40" s="113"/>
      <c r="BY40" s="113"/>
      <c r="BZ40" s="114"/>
      <c r="CA40" s="114"/>
      <c r="CB40" s="114"/>
      <c r="CC40" s="99"/>
      <c r="CD40" s="115"/>
      <c r="CE40" s="116"/>
      <c r="CF40" s="90"/>
      <c r="CG40" s="90"/>
      <c r="CH40" s="90"/>
      <c r="CI40" s="90"/>
      <c r="CJ40" s="90"/>
      <c r="CK40" s="90"/>
      <c r="CL40" s="90"/>
      <c r="CM40" s="90"/>
      <c r="CN40" s="90"/>
      <c r="CO40" s="90"/>
      <c r="CP40" s="121"/>
      <c r="CQ40" s="121"/>
      <c r="CR40" s="100"/>
      <c r="CS40" s="121"/>
      <c r="CT40" s="90"/>
      <c r="CU40" s="90"/>
      <c r="CV40" s="90"/>
      <c r="CW40" s="90"/>
      <c r="CX40" s="90"/>
      <c r="CY40" s="90"/>
      <c r="CZ40" s="90"/>
      <c r="DA40" s="90"/>
      <c r="DB40" s="90"/>
      <c r="DC40" s="90"/>
      <c r="DD40" s="90"/>
      <c r="DE40" s="90"/>
      <c r="DF40" s="90"/>
    </row>
    <row r="41" spans="1:110" ht="24" customHeight="1" x14ac:dyDescent="0.25">
      <c r="A41" s="83" t="s">
        <v>103</v>
      </c>
      <c r="B41" s="442">
        <v>42530.5</v>
      </c>
      <c r="C41" s="453"/>
      <c r="D41" s="84"/>
      <c r="E41" s="23"/>
      <c r="F41" s="15"/>
      <c r="G41" s="213"/>
      <c r="H41" s="27" t="str">
        <f t="shared" si="2"/>
        <v/>
      </c>
      <c r="I41" s="216" t="str">
        <f t="shared" si="3"/>
        <v/>
      </c>
      <c r="J41" s="29" t="e">
        <f ca="1">IF($J$5&gt;=B41,"N/A",SUM(INDIRECT(ADDRESS(6+(MATCH($J$5,$B$6:$B$59,0)),8)):H41))</f>
        <v>#N/A</v>
      </c>
      <c r="K41" s="10"/>
      <c r="L41" s="88"/>
      <c r="M41" s="4" t="str">
        <f t="shared" si="4"/>
        <v/>
      </c>
      <c r="N41" s="220" t="str">
        <f t="shared" si="0"/>
        <v/>
      </c>
      <c r="O41" s="30" t="e">
        <f ca="1">IF($O$5&gt;=B41,"N/A",SUM(INDIRECT(ADDRESS(6+(MATCH($O$5,$B$6:$B$59,0)),13)):M41))</f>
        <v>#N/A</v>
      </c>
      <c r="P41" s="325"/>
      <c r="Q41" s="325"/>
      <c r="R41" s="325"/>
      <c r="S41" s="70" t="str">
        <f t="shared" si="5"/>
        <v>PNOON</v>
      </c>
      <c r="T41" s="241">
        <f t="shared" si="6"/>
        <v>42530.5</v>
      </c>
      <c r="U41" s="296"/>
      <c r="V41" s="297">
        <v>3.46</v>
      </c>
      <c r="W41" s="297">
        <v>2.54</v>
      </c>
      <c r="X41" s="199">
        <f t="shared" si="7"/>
        <v>6</v>
      </c>
      <c r="Y41" s="159">
        <f t="shared" si="8"/>
        <v>670.66999999999962</v>
      </c>
      <c r="Z41" s="298"/>
      <c r="AA41" s="299"/>
      <c r="AB41" s="300"/>
      <c r="AC41" s="300"/>
      <c r="AD41" s="203">
        <f t="shared" si="1"/>
        <v>0</v>
      </c>
      <c r="AE41" s="150">
        <f t="shared" si="9"/>
        <v>74.599999999999994</v>
      </c>
      <c r="AF41" s="301"/>
      <c r="AG41" s="302">
        <v>3</v>
      </c>
      <c r="AH41" s="303"/>
      <c r="AI41" s="141">
        <f t="shared" si="13"/>
        <v>232</v>
      </c>
      <c r="AJ41" s="304">
        <v>57780</v>
      </c>
      <c r="AK41" s="316">
        <v>31900</v>
      </c>
      <c r="AL41" s="317">
        <v>7260</v>
      </c>
      <c r="AM41" s="237" t="e">
        <f t="shared" si="14"/>
        <v>#VALUE!</v>
      </c>
      <c r="AN41" s="70" t="str">
        <f t="shared" si="11"/>
        <v>PNOON</v>
      </c>
      <c r="AO41" s="241">
        <f t="shared" si="12"/>
        <v>42530.5</v>
      </c>
      <c r="AP41" s="45" t="s">
        <v>40</v>
      </c>
      <c r="AQ41" s="98"/>
      <c r="AR41" s="99"/>
      <c r="AS41" s="99"/>
      <c r="AT41" s="100"/>
      <c r="AU41" s="101"/>
      <c r="AV41" s="100"/>
      <c r="AW41" s="101"/>
      <c r="AX41" s="101"/>
      <c r="AY41" s="99"/>
      <c r="AZ41" s="102"/>
      <c r="BA41" s="102"/>
      <c r="BB41" s="103"/>
      <c r="BC41" s="104"/>
      <c r="BD41" s="98"/>
      <c r="BE41" s="105"/>
      <c r="BF41" s="104"/>
      <c r="BG41" s="115"/>
      <c r="BH41" s="104"/>
      <c r="BI41" s="98"/>
      <c r="BJ41" s="105"/>
      <c r="BK41" s="104"/>
      <c r="BL41" s="104"/>
      <c r="BM41" s="107"/>
      <c r="BN41" s="108"/>
      <c r="BO41" s="108"/>
      <c r="BP41" s="109"/>
      <c r="BQ41" s="110"/>
      <c r="BR41" s="108"/>
      <c r="BS41" s="109"/>
      <c r="BT41" s="109"/>
      <c r="BU41" s="107"/>
      <c r="BV41" s="111"/>
      <c r="BW41" s="98"/>
      <c r="BX41" s="113"/>
      <c r="BY41" s="113"/>
      <c r="BZ41" s="114"/>
      <c r="CA41" s="114"/>
      <c r="CB41" s="114"/>
      <c r="CC41" s="99"/>
      <c r="CD41" s="115"/>
      <c r="CE41" s="116"/>
      <c r="CF41" s="90"/>
      <c r="CG41" s="90"/>
      <c r="CH41" s="90"/>
      <c r="CI41" s="90"/>
      <c r="CJ41" s="90"/>
      <c r="CK41" s="90"/>
      <c r="CL41" s="90"/>
      <c r="CM41" s="90"/>
      <c r="CN41" s="90"/>
      <c r="CO41" s="90"/>
      <c r="CP41" s="121"/>
      <c r="CQ41" s="121"/>
      <c r="CR41" s="100"/>
      <c r="CS41" s="121"/>
      <c r="CT41" s="90"/>
      <c r="CU41" s="90"/>
      <c r="CV41" s="90"/>
      <c r="CW41" s="90"/>
      <c r="CX41" s="90"/>
      <c r="CY41" s="90"/>
      <c r="CZ41" s="90"/>
      <c r="DA41" s="90"/>
      <c r="DB41" s="90"/>
      <c r="DC41" s="90"/>
      <c r="DD41" s="90"/>
      <c r="DE41" s="90"/>
      <c r="DF41" s="90"/>
    </row>
    <row r="42" spans="1:110" ht="24" customHeight="1" x14ac:dyDescent="0.25">
      <c r="A42" s="83" t="s">
        <v>103</v>
      </c>
      <c r="B42" s="442">
        <v>42531.5</v>
      </c>
      <c r="C42" s="453"/>
      <c r="D42" s="84"/>
      <c r="E42" s="23"/>
      <c r="F42" s="15"/>
      <c r="G42" s="213"/>
      <c r="H42" s="27" t="str">
        <f t="shared" si="2"/>
        <v/>
      </c>
      <c r="I42" s="216" t="str">
        <f t="shared" si="3"/>
        <v/>
      </c>
      <c r="J42" s="29" t="e">
        <f ca="1">IF($J$5&gt;=B42,"N/A",SUM(INDIRECT(ADDRESS(6+(MATCH($J$5,$B$6:$B$59,0)),8)):H42))</f>
        <v>#N/A</v>
      </c>
      <c r="K42" s="10"/>
      <c r="L42" s="88"/>
      <c r="M42" s="4" t="str">
        <f t="shared" si="4"/>
        <v/>
      </c>
      <c r="N42" s="220" t="str">
        <f t="shared" si="0"/>
        <v/>
      </c>
      <c r="O42" s="30" t="e">
        <f ca="1">IF($O$5&gt;=B42,"N/A",SUM(INDIRECT(ADDRESS(6+(MATCH($O$5,$B$6:$B$59,0)),13)):M42))</f>
        <v>#N/A</v>
      </c>
      <c r="P42" s="325"/>
      <c r="Q42" s="325"/>
      <c r="R42" s="325"/>
      <c r="S42" s="70" t="str">
        <f t="shared" si="5"/>
        <v>PNOON</v>
      </c>
      <c r="T42" s="241">
        <f t="shared" si="6"/>
        <v>42531.5</v>
      </c>
      <c r="U42" s="296"/>
      <c r="V42" s="297">
        <v>3.51</v>
      </c>
      <c r="W42" s="297">
        <v>2.61</v>
      </c>
      <c r="X42" s="199">
        <f t="shared" si="7"/>
        <v>6.1199999999999992</v>
      </c>
      <c r="Y42" s="159">
        <f t="shared" si="8"/>
        <v>664.54999999999961</v>
      </c>
      <c r="Z42" s="298"/>
      <c r="AA42" s="299"/>
      <c r="AB42" s="300"/>
      <c r="AC42" s="300"/>
      <c r="AD42" s="203">
        <f t="shared" si="1"/>
        <v>0</v>
      </c>
      <c r="AE42" s="150">
        <f t="shared" si="9"/>
        <v>74.599999999999994</v>
      </c>
      <c r="AF42" s="301"/>
      <c r="AG42" s="302">
        <v>3</v>
      </c>
      <c r="AH42" s="303"/>
      <c r="AI42" s="141">
        <f t="shared" si="13"/>
        <v>229</v>
      </c>
      <c r="AJ42" s="304">
        <v>57780</v>
      </c>
      <c r="AK42" s="316">
        <v>31900</v>
      </c>
      <c r="AL42" s="317">
        <v>7230</v>
      </c>
      <c r="AM42" s="237" t="e">
        <f t="shared" si="14"/>
        <v>#VALUE!</v>
      </c>
      <c r="AN42" s="70" t="str">
        <f t="shared" si="11"/>
        <v>PNOON</v>
      </c>
      <c r="AO42" s="241">
        <f t="shared" si="12"/>
        <v>42531.5</v>
      </c>
      <c r="AP42" s="45" t="s">
        <v>40</v>
      </c>
      <c r="AQ42" s="98"/>
      <c r="AR42" s="99"/>
      <c r="AS42" s="99"/>
      <c r="AT42" s="100"/>
      <c r="AU42" s="101"/>
      <c r="AV42" s="100"/>
      <c r="AW42" s="101"/>
      <c r="AX42" s="101"/>
      <c r="AY42" s="99"/>
      <c r="AZ42" s="102"/>
      <c r="BA42" s="102"/>
      <c r="BB42" s="103"/>
      <c r="BC42" s="104"/>
      <c r="BD42" s="98"/>
      <c r="BE42" s="105"/>
      <c r="BF42" s="104"/>
      <c r="BG42" s="115"/>
      <c r="BH42" s="104"/>
      <c r="BI42" s="98"/>
      <c r="BJ42" s="105"/>
      <c r="BK42" s="104"/>
      <c r="BL42" s="104"/>
      <c r="BM42" s="107"/>
      <c r="BN42" s="108"/>
      <c r="BO42" s="108"/>
      <c r="BP42" s="109"/>
      <c r="BQ42" s="110"/>
      <c r="BR42" s="108"/>
      <c r="BS42" s="109"/>
      <c r="BT42" s="109"/>
      <c r="BU42" s="107"/>
      <c r="BV42" s="111"/>
      <c r="BW42" s="98"/>
      <c r="BX42" s="113"/>
      <c r="BY42" s="113"/>
      <c r="BZ42" s="114"/>
      <c r="CA42" s="114"/>
      <c r="CB42" s="114"/>
      <c r="CC42" s="99"/>
      <c r="CD42" s="115"/>
      <c r="CE42" s="116"/>
      <c r="CF42" s="90"/>
      <c r="CG42" s="90"/>
      <c r="CH42" s="90"/>
      <c r="CI42" s="90"/>
      <c r="CJ42" s="90"/>
      <c r="CK42" s="90"/>
      <c r="CL42" s="90"/>
      <c r="CM42" s="90"/>
      <c r="CN42" s="90"/>
      <c r="CO42" s="90"/>
      <c r="CP42" s="121"/>
      <c r="CQ42" s="121"/>
      <c r="CR42" s="100"/>
      <c r="CS42" s="121"/>
      <c r="CT42" s="90"/>
      <c r="CU42" s="90"/>
      <c r="CV42" s="90"/>
      <c r="CW42" s="90"/>
      <c r="CX42" s="90"/>
      <c r="CY42" s="90"/>
      <c r="CZ42" s="90"/>
      <c r="DA42" s="90"/>
      <c r="DB42" s="90"/>
      <c r="DC42" s="90"/>
      <c r="DD42" s="90"/>
      <c r="DE42" s="90"/>
      <c r="DF42" s="90"/>
    </row>
    <row r="43" spans="1:110" ht="24" customHeight="1" x14ac:dyDescent="0.25">
      <c r="A43" s="83" t="s">
        <v>103</v>
      </c>
      <c r="B43" s="442">
        <v>42532.5</v>
      </c>
      <c r="C43" s="453"/>
      <c r="D43" s="84"/>
      <c r="E43" s="23"/>
      <c r="F43" s="15"/>
      <c r="G43" s="213"/>
      <c r="H43" s="27" t="str">
        <f t="shared" si="2"/>
        <v/>
      </c>
      <c r="I43" s="216" t="str">
        <f t="shared" si="3"/>
        <v/>
      </c>
      <c r="J43" s="29" t="e">
        <f ca="1">IF($J$5&gt;=B43,"N/A",SUM(INDIRECT(ADDRESS(6+(MATCH($J$5,$B$6:$B$59,0)),8)):H43))</f>
        <v>#N/A</v>
      </c>
      <c r="K43" s="10"/>
      <c r="L43" s="88"/>
      <c r="M43" s="4" t="str">
        <f t="shared" si="4"/>
        <v/>
      </c>
      <c r="N43" s="220" t="str">
        <f t="shared" si="0"/>
        <v/>
      </c>
      <c r="O43" s="30" t="e">
        <f ca="1">IF($O$5&gt;=B43,"N/A",SUM(INDIRECT(ADDRESS(6+(MATCH($O$5,$B$6:$B$59,0)),13)):M43))</f>
        <v>#N/A</v>
      </c>
      <c r="P43" s="325"/>
      <c r="Q43" s="325"/>
      <c r="R43" s="325"/>
      <c r="S43" s="70" t="str">
        <f t="shared" si="5"/>
        <v>PNOON</v>
      </c>
      <c r="T43" s="241">
        <f t="shared" si="6"/>
        <v>42532.5</v>
      </c>
      <c r="U43" s="296"/>
      <c r="V43" s="297">
        <v>3.5</v>
      </c>
      <c r="W43" s="297">
        <v>2.5</v>
      </c>
      <c r="X43" s="199">
        <f t="shared" si="7"/>
        <v>6</v>
      </c>
      <c r="Y43" s="159">
        <f t="shared" si="8"/>
        <v>658.54999999999961</v>
      </c>
      <c r="Z43" s="298"/>
      <c r="AA43" s="299"/>
      <c r="AB43" s="300"/>
      <c r="AC43" s="300"/>
      <c r="AD43" s="203">
        <f t="shared" si="1"/>
        <v>0</v>
      </c>
      <c r="AE43" s="150">
        <f t="shared" si="9"/>
        <v>74.599999999999994</v>
      </c>
      <c r="AF43" s="301"/>
      <c r="AG43" s="302">
        <v>3</v>
      </c>
      <c r="AH43" s="303"/>
      <c r="AI43" s="141">
        <f t="shared" si="13"/>
        <v>226</v>
      </c>
      <c r="AJ43" s="304">
        <v>57780</v>
      </c>
      <c r="AK43" s="316">
        <v>31900</v>
      </c>
      <c r="AL43" s="317">
        <v>7200</v>
      </c>
      <c r="AM43" s="237" t="e">
        <f t="shared" si="14"/>
        <v>#VALUE!</v>
      </c>
      <c r="AN43" s="70" t="str">
        <f t="shared" si="11"/>
        <v>PNOON</v>
      </c>
      <c r="AO43" s="241">
        <f t="shared" si="12"/>
        <v>42532.5</v>
      </c>
      <c r="AP43" s="45" t="s">
        <v>40</v>
      </c>
      <c r="AQ43" s="98"/>
      <c r="AR43" s="99"/>
      <c r="AS43" s="99"/>
      <c r="AT43" s="100"/>
      <c r="AU43" s="101"/>
      <c r="AV43" s="100"/>
      <c r="AW43" s="101"/>
      <c r="AX43" s="101"/>
      <c r="AY43" s="99"/>
      <c r="AZ43" s="102"/>
      <c r="BA43" s="102"/>
      <c r="BB43" s="103"/>
      <c r="BC43" s="104"/>
      <c r="BD43" s="98"/>
      <c r="BE43" s="105"/>
      <c r="BF43" s="104"/>
      <c r="BG43" s="115"/>
      <c r="BH43" s="104"/>
      <c r="BI43" s="98"/>
      <c r="BJ43" s="105"/>
      <c r="BK43" s="104"/>
      <c r="BL43" s="104"/>
      <c r="BM43" s="107"/>
      <c r="BN43" s="108"/>
      <c r="BO43" s="108"/>
      <c r="BP43" s="109"/>
      <c r="BQ43" s="110"/>
      <c r="BR43" s="108"/>
      <c r="BS43" s="109"/>
      <c r="BT43" s="109"/>
      <c r="BU43" s="107"/>
      <c r="BV43" s="111"/>
      <c r="BW43" s="98"/>
      <c r="BX43" s="113"/>
      <c r="BY43" s="113"/>
      <c r="BZ43" s="114"/>
      <c r="CA43" s="114"/>
      <c r="CB43" s="114"/>
      <c r="CC43" s="99"/>
      <c r="CD43" s="115"/>
      <c r="CE43" s="116"/>
      <c r="CF43" s="90"/>
      <c r="CG43" s="90"/>
      <c r="CH43" s="90"/>
      <c r="CI43" s="90"/>
      <c r="CJ43" s="90"/>
      <c r="CK43" s="90"/>
      <c r="CL43" s="90"/>
      <c r="CM43" s="90"/>
      <c r="CN43" s="90"/>
      <c r="CO43" s="90"/>
      <c r="CP43" s="121"/>
      <c r="CQ43" s="121"/>
      <c r="CR43" s="100"/>
      <c r="CS43" s="121"/>
      <c r="CT43" s="90"/>
      <c r="CU43" s="90"/>
      <c r="CV43" s="90"/>
      <c r="CW43" s="90"/>
      <c r="CX43" s="90"/>
      <c r="CY43" s="90"/>
      <c r="CZ43" s="90"/>
      <c r="DA43" s="90"/>
      <c r="DB43" s="90"/>
      <c r="DC43" s="90"/>
      <c r="DD43" s="90"/>
      <c r="DE43" s="90"/>
      <c r="DF43" s="90"/>
    </row>
    <row r="44" spans="1:110" ht="24" customHeight="1" x14ac:dyDescent="0.25">
      <c r="A44" s="83" t="s">
        <v>103</v>
      </c>
      <c r="B44" s="442">
        <v>42533.5</v>
      </c>
      <c r="C44" s="453"/>
      <c r="D44" s="84"/>
      <c r="E44" s="23"/>
      <c r="F44" s="15"/>
      <c r="G44" s="213"/>
      <c r="H44" s="27" t="str">
        <f t="shared" si="2"/>
        <v/>
      </c>
      <c r="I44" s="216" t="str">
        <f t="shared" si="3"/>
        <v/>
      </c>
      <c r="J44" s="29" t="e">
        <f ca="1">IF($J$5&gt;=B44,"N/A",SUM(INDIRECT(ADDRESS(6+(MATCH($J$5,$B$6:$B$59,0)),8)):H44))</f>
        <v>#N/A</v>
      </c>
      <c r="K44" s="10"/>
      <c r="L44" s="88"/>
      <c r="M44" s="4" t="str">
        <f t="shared" si="4"/>
        <v/>
      </c>
      <c r="N44" s="220" t="str">
        <f t="shared" si="0"/>
        <v/>
      </c>
      <c r="O44" s="30" t="e">
        <f ca="1">IF($O$5&gt;=B44,"N/A",SUM(INDIRECT(ADDRESS(6+(MATCH($O$5,$B$6:$B$59,0)),13)):M44))</f>
        <v>#N/A</v>
      </c>
      <c r="P44" s="325"/>
      <c r="Q44" s="325"/>
      <c r="R44" s="325"/>
      <c r="S44" s="70" t="str">
        <f t="shared" si="5"/>
        <v>PNOON</v>
      </c>
      <c r="T44" s="241">
        <f t="shared" si="6"/>
        <v>42533.5</v>
      </c>
      <c r="U44" s="296"/>
      <c r="V44" s="297">
        <v>3.56</v>
      </c>
      <c r="W44" s="297">
        <v>2.4500000000000002</v>
      </c>
      <c r="X44" s="199">
        <f t="shared" si="7"/>
        <v>6.01</v>
      </c>
      <c r="Y44" s="159">
        <f t="shared" si="8"/>
        <v>652.53999999999962</v>
      </c>
      <c r="Z44" s="298"/>
      <c r="AA44" s="299"/>
      <c r="AB44" s="300"/>
      <c r="AC44" s="300"/>
      <c r="AD44" s="203">
        <f t="shared" si="1"/>
        <v>0</v>
      </c>
      <c r="AE44" s="150">
        <f t="shared" si="9"/>
        <v>74.599999999999994</v>
      </c>
      <c r="AF44" s="301"/>
      <c r="AG44" s="302">
        <v>3</v>
      </c>
      <c r="AH44" s="303"/>
      <c r="AI44" s="141">
        <f t="shared" si="13"/>
        <v>223</v>
      </c>
      <c r="AJ44" s="304">
        <v>57780</v>
      </c>
      <c r="AK44" s="316">
        <v>31900</v>
      </c>
      <c r="AL44" s="317">
        <v>7170</v>
      </c>
      <c r="AM44" s="237" t="e">
        <f t="shared" si="14"/>
        <v>#VALUE!</v>
      </c>
      <c r="AN44" s="70" t="str">
        <f t="shared" si="11"/>
        <v>PNOON</v>
      </c>
      <c r="AO44" s="241">
        <f t="shared" si="12"/>
        <v>42533.5</v>
      </c>
      <c r="AP44" s="45" t="s">
        <v>40</v>
      </c>
      <c r="AQ44" s="98"/>
      <c r="AR44" s="99"/>
      <c r="AS44" s="99"/>
      <c r="AT44" s="100"/>
      <c r="AU44" s="101"/>
      <c r="AV44" s="100"/>
      <c r="AW44" s="101"/>
      <c r="AX44" s="101"/>
      <c r="AY44" s="99"/>
      <c r="AZ44" s="102"/>
      <c r="BA44" s="102"/>
      <c r="BB44" s="103"/>
      <c r="BC44" s="104"/>
      <c r="BD44" s="98"/>
      <c r="BE44" s="105"/>
      <c r="BF44" s="104"/>
      <c r="BG44" s="115"/>
      <c r="BH44" s="104"/>
      <c r="BI44" s="98"/>
      <c r="BJ44" s="105"/>
      <c r="BK44" s="104"/>
      <c r="BL44" s="104"/>
      <c r="BM44" s="107"/>
      <c r="BN44" s="108"/>
      <c r="BO44" s="108"/>
      <c r="BP44" s="109"/>
      <c r="BQ44" s="110"/>
      <c r="BR44" s="108"/>
      <c r="BS44" s="109"/>
      <c r="BT44" s="109"/>
      <c r="BU44" s="107"/>
      <c r="BV44" s="111"/>
      <c r="BW44" s="98"/>
      <c r="BX44" s="113"/>
      <c r="BY44" s="113"/>
      <c r="BZ44" s="114"/>
      <c r="CA44" s="114"/>
      <c r="CB44" s="114"/>
      <c r="CC44" s="99"/>
      <c r="CD44" s="115"/>
      <c r="CE44" s="116"/>
      <c r="CF44" s="90"/>
      <c r="CG44" s="90"/>
      <c r="CH44" s="90"/>
      <c r="CI44" s="90"/>
      <c r="CJ44" s="90"/>
      <c r="CK44" s="90"/>
      <c r="CL44" s="90"/>
      <c r="CM44" s="90"/>
      <c r="CN44" s="90"/>
      <c r="CO44" s="90"/>
      <c r="CP44" s="121"/>
      <c r="CQ44" s="121"/>
      <c r="CR44" s="100"/>
      <c r="CS44" s="121"/>
      <c r="CT44" s="90"/>
      <c r="CU44" s="90"/>
      <c r="CV44" s="90"/>
      <c r="CW44" s="90"/>
      <c r="CX44" s="90"/>
      <c r="CY44" s="90"/>
      <c r="CZ44" s="90"/>
      <c r="DA44" s="90"/>
      <c r="DB44" s="90"/>
      <c r="DC44" s="90"/>
      <c r="DD44" s="90"/>
      <c r="DE44" s="90"/>
      <c r="DF44" s="90"/>
    </row>
    <row r="45" spans="1:110" ht="24" customHeight="1" x14ac:dyDescent="0.25">
      <c r="A45" s="83" t="s">
        <v>103</v>
      </c>
      <c r="B45" s="442">
        <v>42534.5</v>
      </c>
      <c r="C45" s="453"/>
      <c r="D45" s="84"/>
      <c r="E45" s="23"/>
      <c r="F45" s="15"/>
      <c r="G45" s="213"/>
      <c r="H45" s="27" t="str">
        <f t="shared" si="2"/>
        <v/>
      </c>
      <c r="I45" s="216" t="str">
        <f t="shared" si="3"/>
        <v/>
      </c>
      <c r="J45" s="29" t="e">
        <f ca="1">IF($J$5&gt;=B45,"N/A",SUM(INDIRECT(ADDRESS(6+(MATCH($J$5,$B$6:$B$59,0)),8)):H45))</f>
        <v>#N/A</v>
      </c>
      <c r="K45" s="10"/>
      <c r="L45" s="88"/>
      <c r="M45" s="4" t="str">
        <f t="shared" si="4"/>
        <v/>
      </c>
      <c r="N45" s="220" t="str">
        <f t="shared" si="0"/>
        <v/>
      </c>
      <c r="O45" s="30" t="e">
        <f ca="1">IF($O$5&gt;=B45,"N/A",SUM(INDIRECT(ADDRESS(6+(MATCH($O$5,$B$6:$B$59,0)),13)):M45))</f>
        <v>#N/A</v>
      </c>
      <c r="P45" s="325"/>
      <c r="Q45" s="325"/>
      <c r="R45" s="325"/>
      <c r="S45" s="70" t="str">
        <f t="shared" si="5"/>
        <v>PNOON</v>
      </c>
      <c r="T45" s="241">
        <f t="shared" si="6"/>
        <v>42534.5</v>
      </c>
      <c r="U45" s="296"/>
      <c r="V45" s="297">
        <v>3.54</v>
      </c>
      <c r="W45" s="297">
        <v>2.48</v>
      </c>
      <c r="X45" s="199">
        <f t="shared" si="7"/>
        <v>6.02</v>
      </c>
      <c r="Y45" s="159">
        <f t="shared" si="8"/>
        <v>646.51999999999964</v>
      </c>
      <c r="Z45" s="298"/>
      <c r="AA45" s="299"/>
      <c r="AB45" s="300"/>
      <c r="AC45" s="300"/>
      <c r="AD45" s="203">
        <f t="shared" si="1"/>
        <v>0</v>
      </c>
      <c r="AE45" s="150">
        <f t="shared" si="9"/>
        <v>74.599999999999994</v>
      </c>
      <c r="AF45" s="301"/>
      <c r="AG45" s="302">
        <v>3</v>
      </c>
      <c r="AH45" s="303"/>
      <c r="AI45" s="141">
        <f t="shared" si="13"/>
        <v>220</v>
      </c>
      <c r="AJ45" s="304">
        <v>57780</v>
      </c>
      <c r="AK45" s="316">
        <v>31900</v>
      </c>
      <c r="AL45" s="317">
        <v>7140</v>
      </c>
      <c r="AM45" s="237" t="e">
        <f t="shared" si="14"/>
        <v>#VALUE!</v>
      </c>
      <c r="AN45" s="70" t="str">
        <f t="shared" si="11"/>
        <v>PNOON</v>
      </c>
      <c r="AO45" s="241">
        <f t="shared" si="12"/>
        <v>42534.5</v>
      </c>
      <c r="AP45" s="45" t="s">
        <v>40</v>
      </c>
      <c r="AQ45" s="98"/>
      <c r="AR45" s="99"/>
      <c r="AS45" s="99"/>
      <c r="AT45" s="100"/>
      <c r="AU45" s="101"/>
      <c r="AV45" s="100"/>
      <c r="AW45" s="101"/>
      <c r="AX45" s="101"/>
      <c r="AY45" s="99"/>
      <c r="AZ45" s="102"/>
      <c r="BA45" s="102"/>
      <c r="BB45" s="103"/>
      <c r="BC45" s="104"/>
      <c r="BD45" s="98"/>
      <c r="BE45" s="105"/>
      <c r="BF45" s="104"/>
      <c r="BG45" s="115"/>
      <c r="BH45" s="104"/>
      <c r="BI45" s="98"/>
      <c r="BJ45" s="105"/>
      <c r="BK45" s="104"/>
      <c r="BL45" s="104"/>
      <c r="BM45" s="107"/>
      <c r="BN45" s="108"/>
      <c r="BO45" s="108"/>
      <c r="BP45" s="109"/>
      <c r="BQ45" s="110"/>
      <c r="BR45" s="108"/>
      <c r="BS45" s="109"/>
      <c r="BT45" s="109"/>
      <c r="BU45" s="107"/>
      <c r="BV45" s="111"/>
      <c r="BW45" s="98"/>
      <c r="BX45" s="113"/>
      <c r="BY45" s="113"/>
      <c r="BZ45" s="114"/>
      <c r="CA45" s="114"/>
      <c r="CB45" s="114"/>
      <c r="CC45" s="99"/>
      <c r="CD45" s="115"/>
      <c r="CE45" s="116"/>
      <c r="CF45" s="90"/>
      <c r="CG45" s="90"/>
      <c r="CH45" s="90"/>
      <c r="CI45" s="90"/>
      <c r="CJ45" s="90"/>
      <c r="CK45" s="90"/>
      <c r="CL45" s="90"/>
      <c r="CM45" s="90"/>
      <c r="CN45" s="90"/>
      <c r="CO45" s="90"/>
      <c r="CP45" s="121"/>
      <c r="CQ45" s="121"/>
      <c r="CR45" s="100"/>
      <c r="CS45" s="121"/>
      <c r="CT45" s="90"/>
      <c r="CU45" s="90"/>
      <c r="CV45" s="90"/>
      <c r="CW45" s="90"/>
      <c r="CX45" s="90"/>
      <c r="CY45" s="90"/>
      <c r="CZ45" s="90"/>
      <c r="DA45" s="90"/>
      <c r="DB45" s="90"/>
      <c r="DC45" s="90"/>
      <c r="DD45" s="90"/>
      <c r="DE45" s="90"/>
      <c r="DF45" s="90"/>
    </row>
    <row r="46" spans="1:110" ht="24" customHeight="1" x14ac:dyDescent="0.25">
      <c r="A46" s="83" t="s">
        <v>103</v>
      </c>
      <c r="B46" s="442">
        <v>42535.5</v>
      </c>
      <c r="C46" s="453"/>
      <c r="D46" s="84"/>
      <c r="E46" s="23"/>
      <c r="F46" s="15"/>
      <c r="G46" s="213"/>
      <c r="H46" s="27" t="str">
        <f t="shared" si="2"/>
        <v/>
      </c>
      <c r="I46" s="216" t="str">
        <f t="shared" si="3"/>
        <v/>
      </c>
      <c r="J46" s="29" t="e">
        <f ca="1">IF($J$5&gt;=B46,"N/A",SUM(INDIRECT(ADDRESS(6+(MATCH($J$5,$B$6:$B$59,0)),8)):H46))</f>
        <v>#N/A</v>
      </c>
      <c r="K46" s="10"/>
      <c r="L46" s="88"/>
      <c r="M46" s="4" t="str">
        <f t="shared" si="4"/>
        <v/>
      </c>
      <c r="N46" s="220" t="str">
        <f t="shared" si="0"/>
        <v/>
      </c>
      <c r="O46" s="30" t="e">
        <f ca="1">IF($O$5&gt;=B46,"N/A",SUM(INDIRECT(ADDRESS(6+(MATCH($O$5,$B$6:$B$59,0)),13)):M46))</f>
        <v>#N/A</v>
      </c>
      <c r="P46" s="325"/>
      <c r="Q46" s="325"/>
      <c r="R46" s="325"/>
      <c r="S46" s="70" t="str">
        <f t="shared" si="5"/>
        <v>PNOON</v>
      </c>
      <c r="T46" s="241">
        <f t="shared" si="6"/>
        <v>42535.5</v>
      </c>
      <c r="U46" s="296"/>
      <c r="V46" s="297">
        <v>3.54</v>
      </c>
      <c r="W46" s="297">
        <v>2.48</v>
      </c>
      <c r="X46" s="199">
        <f t="shared" si="7"/>
        <v>6.02</v>
      </c>
      <c r="Y46" s="159">
        <f t="shared" si="8"/>
        <v>640.49999999999966</v>
      </c>
      <c r="Z46" s="298"/>
      <c r="AA46" s="299"/>
      <c r="AB46" s="300"/>
      <c r="AC46" s="300"/>
      <c r="AD46" s="203">
        <f t="shared" si="1"/>
        <v>0</v>
      </c>
      <c r="AE46" s="150">
        <f t="shared" si="9"/>
        <v>74.599999999999994</v>
      </c>
      <c r="AF46" s="301"/>
      <c r="AG46" s="302">
        <v>3</v>
      </c>
      <c r="AH46" s="303"/>
      <c r="AI46" s="141">
        <f t="shared" si="13"/>
        <v>217</v>
      </c>
      <c r="AJ46" s="304">
        <v>57780</v>
      </c>
      <c r="AK46" s="316">
        <v>31900</v>
      </c>
      <c r="AL46" s="317">
        <v>7110</v>
      </c>
      <c r="AM46" s="237" t="e">
        <f t="shared" si="14"/>
        <v>#VALUE!</v>
      </c>
      <c r="AN46" s="70" t="str">
        <f t="shared" si="11"/>
        <v>PNOON</v>
      </c>
      <c r="AO46" s="241">
        <f t="shared" si="12"/>
        <v>42535.5</v>
      </c>
      <c r="AP46" s="45" t="s">
        <v>40</v>
      </c>
      <c r="AQ46" s="98"/>
      <c r="AR46" s="99"/>
      <c r="AS46" s="99"/>
      <c r="AT46" s="100"/>
      <c r="AU46" s="101"/>
      <c r="AV46" s="100"/>
      <c r="AW46" s="101"/>
      <c r="AX46" s="101"/>
      <c r="AY46" s="99"/>
      <c r="AZ46" s="102"/>
      <c r="BA46" s="102"/>
      <c r="BB46" s="103"/>
      <c r="BC46" s="104"/>
      <c r="BD46" s="98"/>
      <c r="BE46" s="105"/>
      <c r="BF46" s="104"/>
      <c r="BG46" s="115"/>
      <c r="BH46" s="104"/>
      <c r="BI46" s="98"/>
      <c r="BJ46" s="105"/>
      <c r="BK46" s="104"/>
      <c r="BL46" s="104"/>
      <c r="BM46" s="107"/>
      <c r="BN46" s="108"/>
      <c r="BO46" s="108"/>
      <c r="BP46" s="109"/>
      <c r="BQ46" s="110"/>
      <c r="BR46" s="108"/>
      <c r="BS46" s="109"/>
      <c r="BT46" s="109"/>
      <c r="BU46" s="107"/>
      <c r="BV46" s="111"/>
      <c r="BW46" s="98"/>
      <c r="BX46" s="113"/>
      <c r="BY46" s="113"/>
      <c r="BZ46" s="114"/>
      <c r="CA46" s="114"/>
      <c r="CB46" s="114"/>
      <c r="CC46" s="99"/>
      <c r="CD46" s="115"/>
      <c r="CE46" s="116"/>
      <c r="CF46" s="90"/>
      <c r="CG46" s="90"/>
      <c r="CH46" s="90"/>
      <c r="CI46" s="90"/>
      <c r="CJ46" s="90"/>
      <c r="CK46" s="90"/>
      <c r="CL46" s="90"/>
      <c r="CM46" s="90"/>
      <c r="CN46" s="90"/>
      <c r="CO46" s="90"/>
      <c r="CP46" s="121"/>
      <c r="CQ46" s="121"/>
      <c r="CR46" s="100"/>
      <c r="CS46" s="121"/>
      <c r="CT46" s="90"/>
      <c r="CU46" s="90"/>
      <c r="CV46" s="90"/>
      <c r="CW46" s="90"/>
      <c r="CX46" s="90"/>
      <c r="CY46" s="90"/>
      <c r="CZ46" s="90"/>
      <c r="DA46" s="90"/>
      <c r="DB46" s="90"/>
      <c r="DC46" s="90"/>
      <c r="DD46" s="90"/>
      <c r="DE46" s="90"/>
      <c r="DF46" s="90"/>
    </row>
    <row r="47" spans="1:110" ht="24" customHeight="1" x14ac:dyDescent="0.25">
      <c r="A47" s="83" t="s">
        <v>103</v>
      </c>
      <c r="B47" s="442">
        <v>42536.5</v>
      </c>
      <c r="C47" s="453"/>
      <c r="D47" s="84"/>
      <c r="E47" s="23"/>
      <c r="F47" s="15"/>
      <c r="G47" s="213"/>
      <c r="H47" s="27" t="str">
        <f t="shared" si="2"/>
        <v/>
      </c>
      <c r="I47" s="216" t="str">
        <f t="shared" si="3"/>
        <v/>
      </c>
      <c r="J47" s="29" t="e">
        <f ca="1">IF($J$5&gt;=B47,"N/A",SUM(INDIRECT(ADDRESS(6+(MATCH($J$5,$B$6:$B$59,0)),8)):H47))</f>
        <v>#N/A</v>
      </c>
      <c r="K47" s="10"/>
      <c r="L47" s="88"/>
      <c r="M47" s="4" t="str">
        <f t="shared" si="4"/>
        <v/>
      </c>
      <c r="N47" s="220" t="str">
        <f t="shared" si="0"/>
        <v/>
      </c>
      <c r="O47" s="30" t="e">
        <f ca="1">IF($O$5&gt;=B47,"N/A",SUM(INDIRECT(ADDRESS(6+(MATCH($O$5,$B$6:$B$59,0)),13)):M47))</f>
        <v>#N/A</v>
      </c>
      <c r="P47" s="325"/>
      <c r="Q47" s="325"/>
      <c r="R47" s="325"/>
      <c r="S47" s="70" t="str">
        <f t="shared" si="5"/>
        <v>PNOON</v>
      </c>
      <c r="T47" s="241">
        <f t="shared" si="6"/>
        <v>42536.5</v>
      </c>
      <c r="U47" s="296"/>
      <c r="V47" s="297">
        <v>3.52</v>
      </c>
      <c r="W47" s="297">
        <v>2.5299999999999998</v>
      </c>
      <c r="X47" s="199">
        <f t="shared" si="7"/>
        <v>6.05</v>
      </c>
      <c r="Y47" s="159">
        <f t="shared" si="8"/>
        <v>634.4499999999997</v>
      </c>
      <c r="Z47" s="298"/>
      <c r="AA47" s="299"/>
      <c r="AB47" s="300"/>
      <c r="AC47" s="300"/>
      <c r="AD47" s="203">
        <f t="shared" si="1"/>
        <v>0</v>
      </c>
      <c r="AE47" s="150">
        <f t="shared" si="9"/>
        <v>74.599999999999994</v>
      </c>
      <c r="AF47" s="301"/>
      <c r="AG47" s="302">
        <v>3</v>
      </c>
      <c r="AH47" s="303"/>
      <c r="AI47" s="141">
        <f t="shared" si="13"/>
        <v>214</v>
      </c>
      <c r="AJ47" s="304">
        <v>57780</v>
      </c>
      <c r="AK47" s="316">
        <v>31900</v>
      </c>
      <c r="AL47" s="317">
        <v>7080</v>
      </c>
      <c r="AM47" s="237" t="e">
        <f t="shared" si="14"/>
        <v>#VALUE!</v>
      </c>
      <c r="AN47" s="70" t="str">
        <f t="shared" si="11"/>
        <v>PNOON</v>
      </c>
      <c r="AO47" s="241">
        <f t="shared" si="12"/>
        <v>42536.5</v>
      </c>
      <c r="AP47" s="45" t="s">
        <v>40</v>
      </c>
      <c r="AQ47" s="98"/>
      <c r="AR47" s="99"/>
      <c r="AS47" s="99"/>
      <c r="AT47" s="100"/>
      <c r="AU47" s="101"/>
      <c r="AV47" s="100"/>
      <c r="AW47" s="101"/>
      <c r="AX47" s="101"/>
      <c r="AY47" s="99"/>
      <c r="AZ47" s="102"/>
      <c r="BA47" s="102"/>
      <c r="BB47" s="103"/>
      <c r="BC47" s="104"/>
      <c r="BD47" s="98"/>
      <c r="BE47" s="105"/>
      <c r="BF47" s="104"/>
      <c r="BG47" s="115"/>
      <c r="BH47" s="104"/>
      <c r="BI47" s="98"/>
      <c r="BJ47" s="105"/>
      <c r="BK47" s="104"/>
      <c r="BL47" s="104"/>
      <c r="BM47" s="107"/>
      <c r="BN47" s="108"/>
      <c r="BO47" s="108"/>
      <c r="BP47" s="109"/>
      <c r="BQ47" s="110"/>
      <c r="BR47" s="108"/>
      <c r="BS47" s="109"/>
      <c r="BT47" s="109"/>
      <c r="BU47" s="107"/>
      <c r="BV47" s="111"/>
      <c r="BW47" s="98"/>
      <c r="BX47" s="113"/>
      <c r="BY47" s="113"/>
      <c r="BZ47" s="114"/>
      <c r="CA47" s="114"/>
      <c r="CB47" s="114"/>
      <c r="CC47" s="99"/>
      <c r="CD47" s="115"/>
      <c r="CE47" s="116"/>
      <c r="CF47" s="90"/>
      <c r="CG47" s="90"/>
      <c r="CH47" s="90"/>
      <c r="CI47" s="90"/>
      <c r="CJ47" s="90"/>
      <c r="CK47" s="90"/>
      <c r="CL47" s="90"/>
      <c r="CM47" s="90"/>
      <c r="CN47" s="90"/>
      <c r="CO47" s="90"/>
      <c r="CP47" s="121"/>
      <c r="CQ47" s="121"/>
      <c r="CR47" s="100"/>
      <c r="CS47" s="121"/>
      <c r="CT47" s="90"/>
      <c r="CU47" s="90"/>
      <c r="CV47" s="90"/>
      <c r="CW47" s="90"/>
      <c r="CX47" s="90"/>
      <c r="CY47" s="90"/>
      <c r="CZ47" s="90"/>
      <c r="DA47" s="90"/>
      <c r="DB47" s="90"/>
      <c r="DC47" s="90"/>
      <c r="DD47" s="90"/>
      <c r="DE47" s="90"/>
      <c r="DF47" s="90"/>
    </row>
    <row r="48" spans="1:110" ht="24" customHeight="1" x14ac:dyDescent="0.25">
      <c r="A48" s="83" t="s">
        <v>103</v>
      </c>
      <c r="B48" s="442">
        <v>42537.5</v>
      </c>
      <c r="C48" s="453"/>
      <c r="D48" s="84"/>
      <c r="E48" s="23"/>
      <c r="F48" s="15"/>
      <c r="G48" s="213"/>
      <c r="H48" s="27" t="str">
        <f t="shared" si="2"/>
        <v/>
      </c>
      <c r="I48" s="216" t="str">
        <f t="shared" si="3"/>
        <v/>
      </c>
      <c r="J48" s="29" t="e">
        <f ca="1">IF($J$5&gt;=B48,"N/A",SUM(INDIRECT(ADDRESS(6+(MATCH($J$5,$B$6:$B$59,0)),8)):H48))</f>
        <v>#N/A</v>
      </c>
      <c r="K48" s="10"/>
      <c r="L48" s="88"/>
      <c r="M48" s="4" t="str">
        <f t="shared" si="4"/>
        <v/>
      </c>
      <c r="N48" s="220" t="str">
        <f t="shared" si="0"/>
        <v/>
      </c>
      <c r="O48" s="30" t="e">
        <f ca="1">IF($O$5&gt;=B48,"N/A",SUM(INDIRECT(ADDRESS(6+(MATCH($O$5,$B$6:$B$59,0)),13)):M48))</f>
        <v>#N/A</v>
      </c>
      <c r="P48" s="325"/>
      <c r="Q48" s="325"/>
      <c r="R48" s="325"/>
      <c r="S48" s="70" t="str">
        <f t="shared" si="5"/>
        <v>PNOON</v>
      </c>
      <c r="T48" s="241">
        <f t="shared" si="6"/>
        <v>42537.5</v>
      </c>
      <c r="U48" s="296"/>
      <c r="V48" s="297">
        <v>3.54</v>
      </c>
      <c r="W48" s="297">
        <v>2.5</v>
      </c>
      <c r="X48" s="199">
        <f t="shared" si="7"/>
        <v>6.04</v>
      </c>
      <c r="Y48" s="159">
        <f t="shared" si="8"/>
        <v>628.40999999999974</v>
      </c>
      <c r="Z48" s="298"/>
      <c r="AA48" s="299"/>
      <c r="AB48" s="300"/>
      <c r="AC48" s="300"/>
      <c r="AD48" s="203">
        <f t="shared" si="1"/>
        <v>0</v>
      </c>
      <c r="AE48" s="150">
        <f t="shared" si="9"/>
        <v>74.599999999999994</v>
      </c>
      <c r="AF48" s="301"/>
      <c r="AG48" s="302">
        <v>3</v>
      </c>
      <c r="AH48" s="303"/>
      <c r="AI48" s="141">
        <f t="shared" si="13"/>
        <v>211</v>
      </c>
      <c r="AJ48" s="304">
        <v>57780</v>
      </c>
      <c r="AK48" s="316">
        <v>31900</v>
      </c>
      <c r="AL48" s="317">
        <v>7050</v>
      </c>
      <c r="AM48" s="237" t="e">
        <f t="shared" si="14"/>
        <v>#VALUE!</v>
      </c>
      <c r="AN48" s="70" t="str">
        <f t="shared" si="11"/>
        <v>PNOON</v>
      </c>
      <c r="AO48" s="241">
        <f t="shared" si="12"/>
        <v>42537.5</v>
      </c>
      <c r="AP48" s="45" t="s">
        <v>40</v>
      </c>
      <c r="AQ48" s="98"/>
      <c r="AR48" s="99"/>
      <c r="AS48" s="99"/>
      <c r="AT48" s="100"/>
      <c r="AU48" s="101"/>
      <c r="AV48" s="100"/>
      <c r="AW48" s="101"/>
      <c r="AX48" s="101"/>
      <c r="AY48" s="99"/>
      <c r="AZ48" s="102"/>
      <c r="BA48" s="102"/>
      <c r="BB48" s="103"/>
      <c r="BC48" s="104"/>
      <c r="BD48" s="98"/>
      <c r="BE48" s="105"/>
      <c r="BF48" s="104"/>
      <c r="BG48" s="115"/>
      <c r="BH48" s="104"/>
      <c r="BI48" s="98"/>
      <c r="BJ48" s="105"/>
      <c r="BK48" s="104"/>
      <c r="BL48" s="104"/>
      <c r="BM48" s="107"/>
      <c r="BN48" s="108"/>
      <c r="BO48" s="108"/>
      <c r="BP48" s="109"/>
      <c r="BQ48" s="110"/>
      <c r="BR48" s="108"/>
      <c r="BS48" s="109"/>
      <c r="BT48" s="109"/>
      <c r="BU48" s="107"/>
      <c r="BV48" s="111"/>
      <c r="BW48" s="98"/>
      <c r="BX48" s="113"/>
      <c r="BY48" s="113"/>
      <c r="BZ48" s="114"/>
      <c r="CA48" s="114"/>
      <c r="CB48" s="114"/>
      <c r="CC48" s="99"/>
      <c r="CD48" s="115"/>
      <c r="CE48" s="116"/>
      <c r="CF48" s="90"/>
      <c r="CG48" s="90"/>
      <c r="CH48" s="90"/>
      <c r="CI48" s="90"/>
      <c r="CJ48" s="90"/>
      <c r="CK48" s="90"/>
      <c r="CL48" s="90"/>
      <c r="CM48" s="90"/>
      <c r="CN48" s="90"/>
      <c r="CO48" s="90"/>
      <c r="CP48" s="121"/>
      <c r="CQ48" s="121"/>
      <c r="CR48" s="100"/>
      <c r="CS48" s="121"/>
      <c r="CT48" s="90"/>
      <c r="CU48" s="90"/>
      <c r="CV48" s="90"/>
      <c r="CW48" s="90"/>
      <c r="CX48" s="90"/>
      <c r="CY48" s="90"/>
      <c r="CZ48" s="90"/>
      <c r="DA48" s="90"/>
      <c r="DB48" s="90"/>
      <c r="DC48" s="90"/>
      <c r="DD48" s="90"/>
      <c r="DE48" s="90"/>
      <c r="DF48" s="90"/>
    </row>
    <row r="49" spans="1:110" ht="24" customHeight="1" x14ac:dyDescent="0.25">
      <c r="A49" s="83" t="s">
        <v>103</v>
      </c>
      <c r="B49" s="442">
        <v>42538.5</v>
      </c>
      <c r="C49" s="453"/>
      <c r="D49" s="84"/>
      <c r="E49" s="23"/>
      <c r="F49" s="15"/>
      <c r="G49" s="213"/>
      <c r="H49" s="27" t="str">
        <f t="shared" si="2"/>
        <v/>
      </c>
      <c r="I49" s="216" t="str">
        <f t="shared" si="3"/>
        <v/>
      </c>
      <c r="J49" s="29" t="e">
        <f ca="1">IF($J$5&gt;=B49,"N/A",SUM(INDIRECT(ADDRESS(6+(MATCH($J$5,$B$6:$B$59,0)),8)):H49))</f>
        <v>#N/A</v>
      </c>
      <c r="K49" s="10"/>
      <c r="L49" s="88"/>
      <c r="M49" s="4" t="str">
        <f t="shared" si="4"/>
        <v/>
      </c>
      <c r="N49" s="220" t="str">
        <f t="shared" si="0"/>
        <v/>
      </c>
      <c r="O49" s="30" t="e">
        <f ca="1">IF($O$5&gt;=B49,"N/A",SUM(INDIRECT(ADDRESS(6+(MATCH($O$5,$B$6:$B$59,0)),13)):M49))</f>
        <v>#N/A</v>
      </c>
      <c r="P49" s="325"/>
      <c r="Q49" s="325"/>
      <c r="R49" s="325"/>
      <c r="S49" s="70" t="str">
        <f t="shared" si="5"/>
        <v>PNOON</v>
      </c>
      <c r="T49" s="241">
        <f t="shared" si="6"/>
        <v>42538.5</v>
      </c>
      <c r="U49" s="296"/>
      <c r="V49" s="297">
        <v>3.54</v>
      </c>
      <c r="W49" s="297">
        <v>2.48</v>
      </c>
      <c r="X49" s="199">
        <f t="shared" si="7"/>
        <v>6.02</v>
      </c>
      <c r="Y49" s="159">
        <f t="shared" si="8"/>
        <v>622.38999999999976</v>
      </c>
      <c r="Z49" s="298"/>
      <c r="AA49" s="299"/>
      <c r="AB49" s="300"/>
      <c r="AC49" s="300"/>
      <c r="AD49" s="203">
        <f t="shared" si="1"/>
        <v>0</v>
      </c>
      <c r="AE49" s="150">
        <f t="shared" si="9"/>
        <v>74.599999999999994</v>
      </c>
      <c r="AF49" s="301"/>
      <c r="AG49" s="302">
        <v>3</v>
      </c>
      <c r="AH49" s="303"/>
      <c r="AI49" s="141">
        <f t="shared" si="13"/>
        <v>208</v>
      </c>
      <c r="AJ49" s="304">
        <v>57780</v>
      </c>
      <c r="AK49" s="316">
        <v>31900</v>
      </c>
      <c r="AL49" s="317">
        <v>7020</v>
      </c>
      <c r="AM49" s="237" t="e">
        <f t="shared" si="14"/>
        <v>#VALUE!</v>
      </c>
      <c r="AN49" s="70" t="str">
        <f t="shared" si="11"/>
        <v>PNOON</v>
      </c>
      <c r="AO49" s="241">
        <f t="shared" si="12"/>
        <v>42538.5</v>
      </c>
      <c r="AP49" s="45" t="s">
        <v>40</v>
      </c>
      <c r="AQ49" s="98"/>
      <c r="AR49" s="99"/>
      <c r="AS49" s="99"/>
      <c r="AT49" s="100"/>
      <c r="AU49" s="101"/>
      <c r="AV49" s="100"/>
      <c r="AW49" s="101"/>
      <c r="AX49" s="101"/>
      <c r="AY49" s="99"/>
      <c r="AZ49" s="102"/>
      <c r="BA49" s="102"/>
      <c r="BB49" s="103"/>
      <c r="BC49" s="104"/>
      <c r="BD49" s="98"/>
      <c r="BE49" s="105"/>
      <c r="BF49" s="104"/>
      <c r="BG49" s="115"/>
      <c r="BH49" s="104"/>
      <c r="BI49" s="98"/>
      <c r="BJ49" s="105"/>
      <c r="BK49" s="104"/>
      <c r="BL49" s="104"/>
      <c r="BM49" s="107"/>
      <c r="BN49" s="108"/>
      <c r="BO49" s="108"/>
      <c r="BP49" s="109"/>
      <c r="BQ49" s="110"/>
      <c r="BR49" s="108"/>
      <c r="BS49" s="109"/>
      <c r="BT49" s="109"/>
      <c r="BU49" s="107"/>
      <c r="BV49" s="111"/>
      <c r="BW49" s="98"/>
      <c r="BX49" s="113"/>
      <c r="BY49" s="113"/>
      <c r="BZ49" s="114"/>
      <c r="CA49" s="114"/>
      <c r="CB49" s="114"/>
      <c r="CC49" s="99"/>
      <c r="CD49" s="115"/>
      <c r="CE49" s="116"/>
      <c r="CF49" s="90"/>
      <c r="CG49" s="90"/>
      <c r="CH49" s="90"/>
      <c r="CI49" s="90"/>
      <c r="CJ49" s="90"/>
      <c r="CK49" s="90"/>
      <c r="CL49" s="90"/>
      <c r="CM49" s="90"/>
      <c r="CN49" s="90"/>
      <c r="CO49" s="90"/>
      <c r="CP49" s="121"/>
      <c r="CQ49" s="121"/>
      <c r="CR49" s="100"/>
      <c r="CS49" s="121"/>
      <c r="CT49" s="90"/>
      <c r="CU49" s="90"/>
      <c r="CV49" s="90"/>
      <c r="CW49" s="90"/>
      <c r="CX49" s="90"/>
      <c r="CY49" s="90"/>
      <c r="CZ49" s="90"/>
      <c r="DA49" s="90"/>
      <c r="DB49" s="90"/>
      <c r="DC49" s="90"/>
      <c r="DD49" s="90"/>
      <c r="DE49" s="90"/>
      <c r="DF49" s="90"/>
    </row>
    <row r="50" spans="1:110" ht="24" customHeight="1" x14ac:dyDescent="0.25">
      <c r="A50" s="83" t="s">
        <v>103</v>
      </c>
      <c r="B50" s="442">
        <v>42539.5</v>
      </c>
      <c r="C50" s="453"/>
      <c r="D50" s="84"/>
      <c r="E50" s="23"/>
      <c r="F50" s="15"/>
      <c r="G50" s="213"/>
      <c r="H50" s="27" t="str">
        <f t="shared" si="2"/>
        <v/>
      </c>
      <c r="I50" s="216" t="str">
        <f t="shared" si="3"/>
        <v/>
      </c>
      <c r="J50" s="29" t="e">
        <f ca="1">IF($J$5&gt;=B50,"N/A",SUM(INDIRECT(ADDRESS(6+(MATCH($J$5,$B$6:$B$59,0)),8)):H50))</f>
        <v>#N/A</v>
      </c>
      <c r="K50" s="10"/>
      <c r="L50" s="88"/>
      <c r="M50" s="4" t="str">
        <f t="shared" si="4"/>
        <v/>
      </c>
      <c r="N50" s="220" t="str">
        <f t="shared" si="0"/>
        <v/>
      </c>
      <c r="O50" s="30" t="e">
        <f ca="1">IF($O$5&gt;=B50,"N/A",SUM(INDIRECT(ADDRESS(6+(MATCH($O$5,$B$6:$B$59,0)),13)):M50))</f>
        <v>#N/A</v>
      </c>
      <c r="P50" s="325"/>
      <c r="Q50" s="325"/>
      <c r="R50" s="325"/>
      <c r="S50" s="70" t="str">
        <f t="shared" si="5"/>
        <v>PNOON</v>
      </c>
      <c r="T50" s="241">
        <f t="shared" si="6"/>
        <v>42539.5</v>
      </c>
      <c r="U50" s="296"/>
      <c r="V50" s="297">
        <v>3.52</v>
      </c>
      <c r="W50" s="297">
        <v>2.5</v>
      </c>
      <c r="X50" s="199">
        <f t="shared" si="7"/>
        <v>6.02</v>
      </c>
      <c r="Y50" s="159">
        <f t="shared" si="8"/>
        <v>616.36999999999978</v>
      </c>
      <c r="Z50" s="298"/>
      <c r="AA50" s="299"/>
      <c r="AB50" s="300"/>
      <c r="AC50" s="300"/>
      <c r="AD50" s="203">
        <f t="shared" si="1"/>
        <v>0</v>
      </c>
      <c r="AE50" s="150">
        <f t="shared" si="9"/>
        <v>74.599999999999994</v>
      </c>
      <c r="AF50" s="301"/>
      <c r="AG50" s="302">
        <v>3</v>
      </c>
      <c r="AH50" s="303"/>
      <c r="AI50" s="141">
        <f t="shared" si="13"/>
        <v>205</v>
      </c>
      <c r="AJ50" s="304">
        <v>57780</v>
      </c>
      <c r="AK50" s="316">
        <v>31900</v>
      </c>
      <c r="AL50" s="317">
        <v>6990</v>
      </c>
      <c r="AM50" s="237" t="e">
        <f t="shared" si="14"/>
        <v>#VALUE!</v>
      </c>
      <c r="AN50" s="70" t="str">
        <f t="shared" si="11"/>
        <v>PNOON</v>
      </c>
      <c r="AO50" s="241">
        <f t="shared" si="12"/>
        <v>42539.5</v>
      </c>
      <c r="AP50" s="45" t="s">
        <v>40</v>
      </c>
      <c r="AQ50" s="98"/>
      <c r="AR50" s="99"/>
      <c r="AS50" s="99"/>
      <c r="AT50" s="100"/>
      <c r="AU50" s="101"/>
      <c r="AV50" s="100"/>
      <c r="AW50" s="101"/>
      <c r="AX50" s="101"/>
      <c r="AY50" s="99"/>
      <c r="AZ50" s="102"/>
      <c r="BA50" s="102"/>
      <c r="BB50" s="103"/>
      <c r="BC50" s="104"/>
      <c r="BD50" s="98"/>
      <c r="BE50" s="105"/>
      <c r="BF50" s="104"/>
      <c r="BG50" s="115"/>
      <c r="BH50" s="104"/>
      <c r="BI50" s="98"/>
      <c r="BJ50" s="105"/>
      <c r="BK50" s="104"/>
      <c r="BL50" s="104"/>
      <c r="BM50" s="107"/>
      <c r="BN50" s="108"/>
      <c r="BO50" s="108"/>
      <c r="BP50" s="109"/>
      <c r="BQ50" s="110"/>
      <c r="BR50" s="108"/>
      <c r="BS50" s="109"/>
      <c r="BT50" s="109"/>
      <c r="BU50" s="107"/>
      <c r="BV50" s="111"/>
      <c r="BW50" s="98"/>
      <c r="BX50" s="113"/>
      <c r="BY50" s="113"/>
      <c r="BZ50" s="114"/>
      <c r="CA50" s="114"/>
      <c r="CB50" s="114"/>
      <c r="CC50" s="99"/>
      <c r="CD50" s="115"/>
      <c r="CE50" s="116"/>
      <c r="CF50" s="90"/>
      <c r="CG50" s="90"/>
      <c r="CH50" s="90"/>
      <c r="CI50" s="90"/>
      <c r="CJ50" s="90"/>
      <c r="CK50" s="90"/>
      <c r="CL50" s="90"/>
      <c r="CM50" s="90"/>
      <c r="CN50" s="90"/>
      <c r="CO50" s="90"/>
      <c r="CP50" s="121"/>
      <c r="CQ50" s="121"/>
      <c r="CR50" s="100"/>
      <c r="CS50" s="121"/>
      <c r="CT50" s="90"/>
      <c r="CU50" s="90"/>
      <c r="CV50" s="90"/>
      <c r="CW50" s="90"/>
      <c r="CX50" s="90"/>
      <c r="CY50" s="90"/>
      <c r="CZ50" s="90"/>
      <c r="DA50" s="90"/>
      <c r="DB50" s="90"/>
      <c r="DC50" s="90"/>
      <c r="DD50" s="90"/>
      <c r="DE50" s="90"/>
      <c r="DF50" s="90"/>
    </row>
    <row r="51" spans="1:110" ht="24" customHeight="1" x14ac:dyDescent="0.25">
      <c r="A51" s="83" t="s">
        <v>103</v>
      </c>
      <c r="B51" s="442">
        <v>42540.5</v>
      </c>
      <c r="C51" s="453"/>
      <c r="D51" s="84"/>
      <c r="E51" s="23"/>
      <c r="F51" s="15"/>
      <c r="G51" s="213"/>
      <c r="H51" s="27" t="str">
        <f t="shared" si="2"/>
        <v/>
      </c>
      <c r="I51" s="216" t="str">
        <f t="shared" si="3"/>
        <v/>
      </c>
      <c r="J51" s="29" t="e">
        <f ca="1">IF($J$5&gt;=B51,"N/A",SUM(INDIRECT(ADDRESS(6+(MATCH($J$5,$B$6:$B$59,0)),8)):H51))</f>
        <v>#N/A</v>
      </c>
      <c r="K51" s="10"/>
      <c r="L51" s="88"/>
      <c r="M51" s="4" t="str">
        <f t="shared" si="4"/>
        <v/>
      </c>
      <c r="N51" s="220" t="str">
        <f t="shared" si="0"/>
        <v/>
      </c>
      <c r="O51" s="30" t="e">
        <f ca="1">IF($O$5&gt;=B51,"N/A",SUM(INDIRECT(ADDRESS(6+(MATCH($O$5,$B$6:$B$59,0)),13)):M51))</f>
        <v>#N/A</v>
      </c>
      <c r="P51" s="325"/>
      <c r="Q51" s="325"/>
      <c r="R51" s="325"/>
      <c r="S51" s="70" t="str">
        <f t="shared" si="5"/>
        <v>PNOON</v>
      </c>
      <c r="T51" s="241">
        <f t="shared" si="6"/>
        <v>42540.5</v>
      </c>
      <c r="U51" s="296"/>
      <c r="V51" s="297">
        <v>3.5</v>
      </c>
      <c r="W51" s="297">
        <v>2.5</v>
      </c>
      <c r="X51" s="199">
        <f t="shared" si="7"/>
        <v>6</v>
      </c>
      <c r="Y51" s="159">
        <f t="shared" si="8"/>
        <v>610.36999999999978</v>
      </c>
      <c r="Z51" s="298"/>
      <c r="AA51" s="299"/>
      <c r="AB51" s="300"/>
      <c r="AC51" s="300"/>
      <c r="AD51" s="203">
        <f t="shared" si="1"/>
        <v>0</v>
      </c>
      <c r="AE51" s="150">
        <f t="shared" si="9"/>
        <v>74.599999999999994</v>
      </c>
      <c r="AF51" s="301"/>
      <c r="AG51" s="302">
        <v>3</v>
      </c>
      <c r="AH51" s="303"/>
      <c r="AI51" s="141">
        <f t="shared" si="13"/>
        <v>202</v>
      </c>
      <c r="AJ51" s="304">
        <v>57780</v>
      </c>
      <c r="AK51" s="316">
        <v>31900</v>
      </c>
      <c r="AL51" s="317">
        <v>6960</v>
      </c>
      <c r="AM51" s="237" t="e">
        <f t="shared" si="14"/>
        <v>#VALUE!</v>
      </c>
      <c r="AN51" s="70" t="str">
        <f t="shared" si="11"/>
        <v>PNOON</v>
      </c>
      <c r="AO51" s="241">
        <f t="shared" si="12"/>
        <v>42540.5</v>
      </c>
      <c r="AP51" s="45" t="s">
        <v>40</v>
      </c>
      <c r="AQ51" s="98"/>
      <c r="AR51" s="99"/>
      <c r="AS51" s="99"/>
      <c r="AT51" s="100"/>
      <c r="AU51" s="101"/>
      <c r="AV51" s="100"/>
      <c r="AW51" s="101"/>
      <c r="AX51" s="101"/>
      <c r="AY51" s="99"/>
      <c r="AZ51" s="102"/>
      <c r="BA51" s="102"/>
      <c r="BB51" s="103"/>
      <c r="BC51" s="104"/>
      <c r="BD51" s="98"/>
      <c r="BE51" s="105"/>
      <c r="BF51" s="104"/>
      <c r="BG51" s="115"/>
      <c r="BH51" s="104"/>
      <c r="BI51" s="98"/>
      <c r="BJ51" s="105"/>
      <c r="BK51" s="104"/>
      <c r="BL51" s="104"/>
      <c r="BM51" s="107"/>
      <c r="BN51" s="108"/>
      <c r="BO51" s="108"/>
      <c r="BP51" s="109"/>
      <c r="BQ51" s="110"/>
      <c r="BR51" s="108"/>
      <c r="BS51" s="109"/>
      <c r="BT51" s="109"/>
      <c r="BU51" s="107"/>
      <c r="BV51" s="111"/>
      <c r="BW51" s="98"/>
      <c r="BX51" s="113"/>
      <c r="BY51" s="113"/>
      <c r="BZ51" s="114"/>
      <c r="CA51" s="114"/>
      <c r="CB51" s="114"/>
      <c r="CC51" s="99"/>
      <c r="CD51" s="115"/>
      <c r="CE51" s="116"/>
      <c r="CF51" s="90"/>
      <c r="CG51" s="90"/>
      <c r="CH51" s="90"/>
      <c r="CI51" s="90"/>
      <c r="CJ51" s="90"/>
      <c r="CK51" s="90"/>
      <c r="CL51" s="90"/>
      <c r="CM51" s="90"/>
      <c r="CN51" s="90"/>
      <c r="CO51" s="90"/>
      <c r="CP51" s="121"/>
      <c r="CQ51" s="121"/>
      <c r="CR51" s="100"/>
      <c r="CS51" s="121"/>
      <c r="CT51" s="90"/>
      <c r="CU51" s="90"/>
      <c r="CV51" s="90"/>
      <c r="CW51" s="90"/>
      <c r="CX51" s="90"/>
      <c r="CY51" s="90"/>
      <c r="CZ51" s="90"/>
      <c r="DA51" s="90"/>
      <c r="DB51" s="90"/>
      <c r="DC51" s="90"/>
      <c r="DD51" s="90"/>
      <c r="DE51" s="90"/>
      <c r="DF51" s="90"/>
    </row>
    <row r="52" spans="1:110" ht="24" customHeight="1" x14ac:dyDescent="0.25">
      <c r="A52" s="83" t="s">
        <v>103</v>
      </c>
      <c r="B52" s="442">
        <v>42541.5</v>
      </c>
      <c r="C52" s="453"/>
      <c r="D52" s="84"/>
      <c r="E52" s="23"/>
      <c r="F52" s="15"/>
      <c r="G52" s="213"/>
      <c r="H52" s="27" t="str">
        <f t="shared" si="2"/>
        <v/>
      </c>
      <c r="I52" s="216" t="str">
        <f t="shared" si="3"/>
        <v/>
      </c>
      <c r="J52" s="29" t="e">
        <f ca="1">IF($J$5&gt;=B52,"N/A",SUM(INDIRECT(ADDRESS(6+(MATCH($J$5,$B$6:$B$59,0)),8)):H52))</f>
        <v>#N/A</v>
      </c>
      <c r="K52" s="10"/>
      <c r="L52" s="88"/>
      <c r="M52" s="4" t="str">
        <f t="shared" si="4"/>
        <v/>
      </c>
      <c r="N52" s="220" t="str">
        <f t="shared" si="0"/>
        <v/>
      </c>
      <c r="O52" s="30" t="e">
        <f ca="1">IF($O$5&gt;=B52,"N/A",SUM(INDIRECT(ADDRESS(6+(MATCH($O$5,$B$6:$B$59,0)),13)):M52))</f>
        <v>#N/A</v>
      </c>
      <c r="P52" s="325"/>
      <c r="Q52" s="325"/>
      <c r="R52" s="325"/>
      <c r="S52" s="70" t="str">
        <f t="shared" si="5"/>
        <v>PNOON</v>
      </c>
      <c r="T52" s="241">
        <f t="shared" si="6"/>
        <v>42541.5</v>
      </c>
      <c r="U52" s="296"/>
      <c r="V52" s="297">
        <v>3.53</v>
      </c>
      <c r="W52" s="297">
        <v>2.54</v>
      </c>
      <c r="X52" s="199">
        <f t="shared" si="7"/>
        <v>6.07</v>
      </c>
      <c r="Y52" s="159">
        <f t="shared" si="8"/>
        <v>604.29999999999973</v>
      </c>
      <c r="Z52" s="298"/>
      <c r="AA52" s="299"/>
      <c r="AB52" s="300"/>
      <c r="AC52" s="300"/>
      <c r="AD52" s="203">
        <f t="shared" si="1"/>
        <v>0</v>
      </c>
      <c r="AE52" s="150">
        <f t="shared" si="9"/>
        <v>74.599999999999994</v>
      </c>
      <c r="AF52" s="301"/>
      <c r="AG52" s="302">
        <v>3</v>
      </c>
      <c r="AH52" s="303"/>
      <c r="AI52" s="141">
        <f t="shared" si="13"/>
        <v>199</v>
      </c>
      <c r="AJ52" s="304">
        <v>57780</v>
      </c>
      <c r="AK52" s="316">
        <v>31900</v>
      </c>
      <c r="AL52" s="317">
        <v>6930</v>
      </c>
      <c r="AM52" s="237" t="e">
        <f t="shared" si="14"/>
        <v>#VALUE!</v>
      </c>
      <c r="AN52" s="70" t="str">
        <f t="shared" si="11"/>
        <v>PNOON</v>
      </c>
      <c r="AO52" s="241">
        <f t="shared" si="12"/>
        <v>42541.5</v>
      </c>
      <c r="AP52" s="45" t="s">
        <v>40</v>
      </c>
      <c r="AQ52" s="98"/>
      <c r="AR52" s="99"/>
      <c r="AS52" s="99"/>
      <c r="AT52" s="100"/>
      <c r="AU52" s="101"/>
      <c r="AV52" s="100"/>
      <c r="AW52" s="101"/>
      <c r="AX52" s="101"/>
      <c r="AY52" s="99"/>
      <c r="AZ52" s="102"/>
      <c r="BA52" s="102"/>
      <c r="BB52" s="103"/>
      <c r="BC52" s="104"/>
      <c r="BD52" s="98"/>
      <c r="BE52" s="105"/>
      <c r="BF52" s="104"/>
      <c r="BG52" s="115"/>
      <c r="BH52" s="104"/>
      <c r="BI52" s="98"/>
      <c r="BJ52" s="105"/>
      <c r="BK52" s="104"/>
      <c r="BL52" s="104"/>
      <c r="BM52" s="107"/>
      <c r="BN52" s="108"/>
      <c r="BO52" s="108"/>
      <c r="BP52" s="109"/>
      <c r="BQ52" s="110"/>
      <c r="BR52" s="108"/>
      <c r="BS52" s="109"/>
      <c r="BT52" s="109"/>
      <c r="BU52" s="107"/>
      <c r="BV52" s="111"/>
      <c r="BW52" s="98"/>
      <c r="BX52" s="113"/>
      <c r="BY52" s="113"/>
      <c r="BZ52" s="114"/>
      <c r="CA52" s="114"/>
      <c r="CB52" s="114"/>
      <c r="CC52" s="99"/>
      <c r="CD52" s="115"/>
      <c r="CE52" s="116"/>
      <c r="CF52" s="90"/>
      <c r="CG52" s="90"/>
      <c r="CH52" s="90"/>
      <c r="CI52" s="90"/>
      <c r="CJ52" s="90"/>
      <c r="CK52" s="90"/>
      <c r="CL52" s="90"/>
      <c r="CM52" s="90"/>
      <c r="CN52" s="90"/>
      <c r="CO52" s="90"/>
      <c r="CP52" s="121"/>
      <c r="CQ52" s="121"/>
      <c r="CR52" s="100"/>
      <c r="CS52" s="121"/>
      <c r="CT52" s="90"/>
      <c r="CU52" s="90"/>
      <c r="CV52" s="90"/>
      <c r="CW52" s="90"/>
      <c r="CX52" s="90"/>
      <c r="CY52" s="90"/>
      <c r="CZ52" s="90"/>
      <c r="DA52" s="90"/>
      <c r="DB52" s="90"/>
      <c r="DC52" s="90"/>
      <c r="DD52" s="90"/>
      <c r="DE52" s="90"/>
      <c r="DF52" s="90"/>
    </row>
    <row r="53" spans="1:110" ht="24" customHeight="1" x14ac:dyDescent="0.25">
      <c r="A53" s="83" t="s">
        <v>103</v>
      </c>
      <c r="B53" s="442">
        <v>42542.5</v>
      </c>
      <c r="C53" s="453"/>
      <c r="D53" s="84"/>
      <c r="E53" s="23"/>
      <c r="F53" s="15"/>
      <c r="G53" s="213"/>
      <c r="H53" s="27" t="str">
        <f t="shared" si="2"/>
        <v/>
      </c>
      <c r="I53" s="216" t="str">
        <f t="shared" si="3"/>
        <v/>
      </c>
      <c r="J53" s="29" t="e">
        <f ca="1">IF($J$5&gt;=B53,"N/A",SUM(INDIRECT(ADDRESS(6+(MATCH($J$5,$B$6:$B$59,0)),8)):H53))</f>
        <v>#N/A</v>
      </c>
      <c r="K53" s="10"/>
      <c r="L53" s="88"/>
      <c r="M53" s="4" t="str">
        <f t="shared" si="4"/>
        <v/>
      </c>
      <c r="N53" s="220" t="str">
        <f t="shared" si="0"/>
        <v/>
      </c>
      <c r="O53" s="30" t="e">
        <f ca="1">IF($O$5&gt;=B53,"N/A",SUM(INDIRECT(ADDRESS(6+(MATCH($O$5,$B$6:$B$59,0)),13)):M53))</f>
        <v>#N/A</v>
      </c>
      <c r="P53" s="325"/>
      <c r="Q53" s="325"/>
      <c r="R53" s="325"/>
      <c r="S53" s="70" t="str">
        <f t="shared" si="5"/>
        <v>PNOON</v>
      </c>
      <c r="T53" s="241">
        <f t="shared" si="6"/>
        <v>42542.5</v>
      </c>
      <c r="U53" s="296"/>
      <c r="V53" s="297">
        <v>3.63</v>
      </c>
      <c r="W53" s="297">
        <v>2.56</v>
      </c>
      <c r="X53" s="199">
        <f t="shared" si="7"/>
        <v>6.1899999999999995</v>
      </c>
      <c r="Y53" s="159">
        <f t="shared" si="8"/>
        <v>598.10999999999967</v>
      </c>
      <c r="Z53" s="298"/>
      <c r="AA53" s="299"/>
      <c r="AB53" s="300"/>
      <c r="AC53" s="300"/>
      <c r="AD53" s="203">
        <f t="shared" si="1"/>
        <v>0</v>
      </c>
      <c r="AE53" s="150">
        <f t="shared" si="9"/>
        <v>74.599999999999994</v>
      </c>
      <c r="AF53" s="301"/>
      <c r="AG53" s="302">
        <v>3</v>
      </c>
      <c r="AH53" s="303"/>
      <c r="AI53" s="141">
        <f t="shared" si="13"/>
        <v>196</v>
      </c>
      <c r="AJ53" s="304">
        <v>57780</v>
      </c>
      <c r="AK53" s="316">
        <v>31900</v>
      </c>
      <c r="AL53" s="317">
        <v>6900</v>
      </c>
      <c r="AM53" s="237" t="e">
        <f t="shared" si="14"/>
        <v>#VALUE!</v>
      </c>
      <c r="AN53" s="70" t="str">
        <f t="shared" si="11"/>
        <v>PNOON</v>
      </c>
      <c r="AO53" s="241">
        <f t="shared" si="12"/>
        <v>42542.5</v>
      </c>
      <c r="AP53" s="45" t="s">
        <v>40</v>
      </c>
      <c r="AQ53" s="98"/>
      <c r="AR53" s="99"/>
      <c r="AS53" s="99"/>
      <c r="AT53" s="100"/>
      <c r="AU53" s="101"/>
      <c r="AV53" s="100"/>
      <c r="AW53" s="101"/>
      <c r="AX53" s="101"/>
      <c r="AY53" s="99"/>
      <c r="AZ53" s="102"/>
      <c r="BA53" s="102"/>
      <c r="BB53" s="103"/>
      <c r="BC53" s="104"/>
      <c r="BD53" s="98"/>
      <c r="BE53" s="105"/>
      <c r="BF53" s="104"/>
      <c r="BG53" s="115"/>
      <c r="BH53" s="104"/>
      <c r="BI53" s="98"/>
      <c r="BJ53" s="105"/>
      <c r="BK53" s="104"/>
      <c r="BL53" s="104"/>
      <c r="BM53" s="107"/>
      <c r="BN53" s="108"/>
      <c r="BO53" s="108"/>
      <c r="BP53" s="109"/>
      <c r="BQ53" s="110"/>
      <c r="BR53" s="108"/>
      <c r="BS53" s="109"/>
      <c r="BT53" s="109"/>
      <c r="BU53" s="107"/>
      <c r="BV53" s="111"/>
      <c r="BW53" s="98"/>
      <c r="BX53" s="113"/>
      <c r="BY53" s="113"/>
      <c r="BZ53" s="114"/>
      <c r="CA53" s="114"/>
      <c r="CB53" s="114"/>
      <c r="CC53" s="99"/>
      <c r="CD53" s="115"/>
      <c r="CE53" s="116"/>
      <c r="CF53" s="90"/>
      <c r="CG53" s="90"/>
      <c r="CH53" s="90"/>
      <c r="CI53" s="90"/>
      <c r="CJ53" s="90"/>
      <c r="CK53" s="90"/>
      <c r="CL53" s="90"/>
      <c r="CM53" s="90"/>
      <c r="CN53" s="90"/>
      <c r="CO53" s="90"/>
      <c r="CP53" s="121"/>
      <c r="CQ53" s="121"/>
      <c r="CR53" s="100"/>
      <c r="CS53" s="121"/>
      <c r="CT53" s="90"/>
      <c r="CU53" s="90"/>
      <c r="CV53" s="90"/>
      <c r="CW53" s="90"/>
      <c r="CX53" s="90"/>
      <c r="CY53" s="90"/>
      <c r="CZ53" s="90"/>
      <c r="DA53" s="90"/>
      <c r="DB53" s="90"/>
      <c r="DC53" s="90"/>
      <c r="DD53" s="90"/>
      <c r="DE53" s="90"/>
      <c r="DF53" s="90"/>
    </row>
    <row r="54" spans="1:110" ht="24" customHeight="1" x14ac:dyDescent="0.25">
      <c r="A54" s="83" t="s">
        <v>103</v>
      </c>
      <c r="B54" s="442">
        <v>42543.5</v>
      </c>
      <c r="C54" s="453"/>
      <c r="D54" s="84"/>
      <c r="E54" s="23"/>
      <c r="F54" s="15"/>
      <c r="G54" s="213"/>
      <c r="H54" s="27" t="str">
        <f t="shared" si="2"/>
        <v/>
      </c>
      <c r="I54" s="216" t="str">
        <f t="shared" si="3"/>
        <v/>
      </c>
      <c r="J54" s="29" t="e">
        <f ca="1">IF($J$5&gt;=B54,"N/A",SUM(INDIRECT(ADDRESS(6+(MATCH($J$5,$B$6:$B$59,0)),8)):H54))</f>
        <v>#N/A</v>
      </c>
      <c r="K54" s="10"/>
      <c r="L54" s="88"/>
      <c r="M54" s="4" t="str">
        <f t="shared" si="4"/>
        <v/>
      </c>
      <c r="N54" s="220" t="str">
        <f t="shared" si="0"/>
        <v/>
      </c>
      <c r="O54" s="30" t="e">
        <f ca="1">IF($O$5&gt;=B54,"N/A",SUM(INDIRECT(ADDRESS(6+(MATCH($O$5,$B$6:$B$59,0)),13)):M54))</f>
        <v>#N/A</v>
      </c>
      <c r="P54" s="325"/>
      <c r="Q54" s="325"/>
      <c r="R54" s="325"/>
      <c r="S54" s="70" t="str">
        <f t="shared" si="5"/>
        <v>PNOON</v>
      </c>
      <c r="T54" s="241">
        <f t="shared" si="6"/>
        <v>42543.5</v>
      </c>
      <c r="U54" s="296"/>
      <c r="V54" s="297">
        <v>3.62</v>
      </c>
      <c r="W54" s="297">
        <v>2.5</v>
      </c>
      <c r="X54" s="199">
        <f t="shared" si="7"/>
        <v>6.12</v>
      </c>
      <c r="Y54" s="159">
        <f t="shared" si="8"/>
        <v>591.98999999999967</v>
      </c>
      <c r="Z54" s="298"/>
      <c r="AA54" s="299"/>
      <c r="AB54" s="300"/>
      <c r="AC54" s="300"/>
      <c r="AD54" s="203">
        <f t="shared" si="1"/>
        <v>0</v>
      </c>
      <c r="AE54" s="150">
        <f t="shared" si="9"/>
        <v>74.599999999999994</v>
      </c>
      <c r="AF54" s="301"/>
      <c r="AG54" s="302">
        <v>3</v>
      </c>
      <c r="AH54" s="303"/>
      <c r="AI54" s="141">
        <f t="shared" si="13"/>
        <v>193</v>
      </c>
      <c r="AJ54" s="304">
        <v>57780</v>
      </c>
      <c r="AK54" s="316">
        <v>31900</v>
      </c>
      <c r="AL54" s="317">
        <v>6870</v>
      </c>
      <c r="AM54" s="237" t="e">
        <f t="shared" si="14"/>
        <v>#VALUE!</v>
      </c>
      <c r="AN54" s="70" t="str">
        <f t="shared" si="11"/>
        <v>PNOON</v>
      </c>
      <c r="AO54" s="241">
        <f t="shared" si="12"/>
        <v>42543.5</v>
      </c>
      <c r="AP54" s="45" t="s">
        <v>40</v>
      </c>
      <c r="AQ54" s="98"/>
      <c r="AR54" s="99"/>
      <c r="AS54" s="99"/>
      <c r="AT54" s="100"/>
      <c r="AU54" s="101"/>
      <c r="AV54" s="100"/>
      <c r="AW54" s="101"/>
      <c r="AX54" s="101"/>
      <c r="AY54" s="99"/>
      <c r="AZ54" s="102"/>
      <c r="BA54" s="102"/>
      <c r="BB54" s="103"/>
      <c r="BC54" s="104"/>
      <c r="BD54" s="98"/>
      <c r="BE54" s="105"/>
      <c r="BF54" s="104"/>
      <c r="BG54" s="115"/>
      <c r="BH54" s="104"/>
      <c r="BI54" s="98"/>
      <c r="BJ54" s="105"/>
      <c r="BK54" s="104"/>
      <c r="BL54" s="104"/>
      <c r="BM54" s="107"/>
      <c r="BN54" s="108"/>
      <c r="BO54" s="108"/>
      <c r="BP54" s="109"/>
      <c r="BQ54" s="110"/>
      <c r="BR54" s="108"/>
      <c r="BS54" s="109"/>
      <c r="BT54" s="109"/>
      <c r="BU54" s="107"/>
      <c r="BV54" s="111"/>
      <c r="BW54" s="98"/>
      <c r="BX54" s="113"/>
      <c r="BY54" s="113"/>
      <c r="BZ54" s="114"/>
      <c r="CA54" s="114"/>
      <c r="CB54" s="114"/>
      <c r="CC54" s="99"/>
      <c r="CD54" s="115"/>
      <c r="CE54" s="116"/>
      <c r="CF54" s="90"/>
      <c r="CG54" s="90"/>
      <c r="CH54" s="90"/>
      <c r="CI54" s="90"/>
      <c r="CJ54" s="90"/>
      <c r="CK54" s="90"/>
      <c r="CL54" s="90"/>
      <c r="CM54" s="90"/>
      <c r="CN54" s="90"/>
      <c r="CO54" s="90"/>
      <c r="CP54" s="121"/>
      <c r="CQ54" s="121"/>
      <c r="CR54" s="100"/>
      <c r="CS54" s="121"/>
      <c r="CT54" s="90"/>
      <c r="CU54" s="90"/>
      <c r="CV54" s="90"/>
      <c r="CW54" s="90"/>
      <c r="CX54" s="90"/>
      <c r="CY54" s="90"/>
      <c r="CZ54" s="90"/>
      <c r="DA54" s="90"/>
      <c r="DB54" s="90"/>
      <c r="DC54" s="90"/>
      <c r="DD54" s="90"/>
      <c r="DE54" s="90"/>
      <c r="DF54" s="90"/>
    </row>
    <row r="55" spans="1:110" ht="24" customHeight="1" x14ac:dyDescent="0.25">
      <c r="A55" s="83" t="s">
        <v>103</v>
      </c>
      <c r="B55" s="442">
        <v>42544.5</v>
      </c>
      <c r="C55" s="453"/>
      <c r="D55" s="84"/>
      <c r="E55" s="23"/>
      <c r="F55" s="15"/>
      <c r="G55" s="213"/>
      <c r="H55" s="27" t="str">
        <f t="shared" si="2"/>
        <v/>
      </c>
      <c r="I55" s="216" t="str">
        <f t="shared" si="3"/>
        <v/>
      </c>
      <c r="J55" s="29" t="e">
        <f ca="1">IF($J$5&gt;=B55,"N/A",SUM(INDIRECT(ADDRESS(6+(MATCH($J$5,$B$6:$B$59,0)),8)):H55))</f>
        <v>#N/A</v>
      </c>
      <c r="K55" s="10"/>
      <c r="L55" s="88"/>
      <c r="M55" s="4" t="str">
        <f t="shared" si="4"/>
        <v/>
      </c>
      <c r="N55" s="220" t="str">
        <f t="shared" si="0"/>
        <v/>
      </c>
      <c r="O55" s="30" t="e">
        <f ca="1">IF($O$5&gt;=B55,"N/A",SUM(INDIRECT(ADDRESS(6+(MATCH($O$5,$B$6:$B$59,0)),13)):M55))</f>
        <v>#N/A</v>
      </c>
      <c r="P55" s="325"/>
      <c r="Q55" s="325"/>
      <c r="R55" s="325"/>
      <c r="S55" s="70" t="str">
        <f t="shared" si="5"/>
        <v>PNOON</v>
      </c>
      <c r="T55" s="241">
        <f t="shared" si="6"/>
        <v>42544.5</v>
      </c>
      <c r="U55" s="296"/>
      <c r="V55" s="297">
        <v>3.51</v>
      </c>
      <c r="W55" s="297">
        <v>2.5099999999999998</v>
      </c>
      <c r="X55" s="199">
        <f t="shared" si="7"/>
        <v>6.02</v>
      </c>
      <c r="Y55" s="159">
        <f t="shared" si="8"/>
        <v>585.96999999999969</v>
      </c>
      <c r="Z55" s="298"/>
      <c r="AA55" s="299"/>
      <c r="AB55" s="300"/>
      <c r="AC55" s="300"/>
      <c r="AD55" s="203">
        <f t="shared" si="1"/>
        <v>0</v>
      </c>
      <c r="AE55" s="150">
        <f t="shared" si="9"/>
        <v>74.599999999999994</v>
      </c>
      <c r="AF55" s="301"/>
      <c r="AG55" s="302">
        <v>3</v>
      </c>
      <c r="AH55" s="303"/>
      <c r="AI55" s="141">
        <f t="shared" si="13"/>
        <v>190</v>
      </c>
      <c r="AJ55" s="304">
        <v>57780</v>
      </c>
      <c r="AK55" s="316">
        <v>31900</v>
      </c>
      <c r="AL55" s="317">
        <v>6840</v>
      </c>
      <c r="AM55" s="237" t="e">
        <f t="shared" si="14"/>
        <v>#VALUE!</v>
      </c>
      <c r="AN55" s="70" t="str">
        <f t="shared" si="11"/>
        <v>PNOON</v>
      </c>
      <c r="AO55" s="241">
        <f t="shared" si="12"/>
        <v>42544.5</v>
      </c>
      <c r="AP55" s="45" t="s">
        <v>40</v>
      </c>
      <c r="AQ55" s="98"/>
      <c r="AR55" s="99"/>
      <c r="AS55" s="99"/>
      <c r="AT55" s="100"/>
      <c r="AU55" s="101"/>
      <c r="AV55" s="100"/>
      <c r="AW55" s="101"/>
      <c r="AX55" s="101"/>
      <c r="AY55" s="99"/>
      <c r="AZ55" s="102"/>
      <c r="BA55" s="102"/>
      <c r="BB55" s="103"/>
      <c r="BC55" s="104"/>
      <c r="BD55" s="98"/>
      <c r="BE55" s="105"/>
      <c r="BF55" s="104"/>
      <c r="BG55" s="115"/>
      <c r="BH55" s="104"/>
      <c r="BI55" s="98"/>
      <c r="BJ55" s="105"/>
      <c r="BK55" s="104"/>
      <c r="BL55" s="104"/>
      <c r="BM55" s="107"/>
      <c r="BN55" s="108"/>
      <c r="BO55" s="108"/>
      <c r="BP55" s="109"/>
      <c r="BQ55" s="110"/>
      <c r="BR55" s="108"/>
      <c r="BS55" s="109"/>
      <c r="BT55" s="109"/>
      <c r="BU55" s="107"/>
      <c r="BV55" s="111"/>
      <c r="BW55" s="98"/>
      <c r="BX55" s="113"/>
      <c r="BY55" s="113"/>
      <c r="BZ55" s="114"/>
      <c r="CA55" s="114"/>
      <c r="CB55" s="114"/>
      <c r="CC55" s="99"/>
      <c r="CD55" s="115"/>
      <c r="CE55" s="116"/>
      <c r="CF55" s="90"/>
      <c r="CG55" s="90"/>
      <c r="CH55" s="90"/>
      <c r="CI55" s="90"/>
      <c r="CJ55" s="90"/>
      <c r="CK55" s="90"/>
      <c r="CL55" s="90"/>
      <c r="CM55" s="90"/>
      <c r="CN55" s="90"/>
      <c r="CO55" s="90"/>
      <c r="CP55" s="121"/>
      <c r="CQ55" s="121"/>
      <c r="CR55" s="100"/>
      <c r="CS55" s="121"/>
      <c r="CT55" s="90"/>
      <c r="CU55" s="90"/>
      <c r="CV55" s="90"/>
      <c r="CW55" s="90"/>
      <c r="CX55" s="90"/>
      <c r="CY55" s="90"/>
      <c r="CZ55" s="90"/>
      <c r="DA55" s="90"/>
      <c r="DB55" s="90"/>
      <c r="DC55" s="90"/>
      <c r="DD55" s="90"/>
      <c r="DE55" s="90"/>
      <c r="DF55" s="90"/>
    </row>
    <row r="56" spans="1:110" ht="24" customHeight="1" x14ac:dyDescent="0.25">
      <c r="A56" s="83" t="s">
        <v>103</v>
      </c>
      <c r="B56" s="442">
        <v>42545.5</v>
      </c>
      <c r="C56" s="453"/>
      <c r="D56" s="84"/>
      <c r="E56" s="23"/>
      <c r="F56" s="15"/>
      <c r="G56" s="213"/>
      <c r="H56" s="27" t="str">
        <f t="shared" si="2"/>
        <v/>
      </c>
      <c r="I56" s="216" t="str">
        <f t="shared" si="3"/>
        <v/>
      </c>
      <c r="J56" s="29" t="e">
        <f ca="1">IF($J$5&gt;=B56,"N/A",SUM(INDIRECT(ADDRESS(6+(MATCH($J$5,$B$6:$B$59,0)),8)):H56))</f>
        <v>#N/A</v>
      </c>
      <c r="K56" s="10"/>
      <c r="L56" s="88"/>
      <c r="M56" s="4" t="str">
        <f t="shared" si="4"/>
        <v/>
      </c>
      <c r="N56" s="220" t="str">
        <f t="shared" si="0"/>
        <v/>
      </c>
      <c r="O56" s="30" t="e">
        <f ca="1">IF($O$5&gt;=B56,"N/A",SUM(INDIRECT(ADDRESS(6+(MATCH($O$5,$B$6:$B$59,0)),13)):M56))</f>
        <v>#N/A</v>
      </c>
      <c r="P56" s="325"/>
      <c r="Q56" s="325"/>
      <c r="R56" s="325"/>
      <c r="S56" s="70" t="str">
        <f t="shared" si="5"/>
        <v>PNOON</v>
      </c>
      <c r="T56" s="241">
        <f t="shared" si="6"/>
        <v>42545.5</v>
      </c>
      <c r="U56" s="296"/>
      <c r="V56" s="297">
        <v>3.56</v>
      </c>
      <c r="W56" s="297">
        <v>2.5499999999999998</v>
      </c>
      <c r="X56" s="199">
        <f t="shared" si="7"/>
        <v>6.1099999999999994</v>
      </c>
      <c r="Y56" s="159">
        <f t="shared" si="8"/>
        <v>579.85999999999967</v>
      </c>
      <c r="Z56" s="298"/>
      <c r="AA56" s="299"/>
      <c r="AB56" s="300"/>
      <c r="AC56" s="300"/>
      <c r="AD56" s="203">
        <f t="shared" si="1"/>
        <v>0</v>
      </c>
      <c r="AE56" s="150">
        <f t="shared" si="9"/>
        <v>74.599999999999994</v>
      </c>
      <c r="AF56" s="301"/>
      <c r="AG56" s="302">
        <v>3</v>
      </c>
      <c r="AH56" s="303"/>
      <c r="AI56" s="141">
        <f t="shared" si="13"/>
        <v>187</v>
      </c>
      <c r="AJ56" s="304">
        <v>57780</v>
      </c>
      <c r="AK56" s="316">
        <v>31900</v>
      </c>
      <c r="AL56" s="317">
        <v>6810</v>
      </c>
      <c r="AM56" s="237" t="e">
        <f t="shared" si="14"/>
        <v>#VALUE!</v>
      </c>
      <c r="AN56" s="70" t="str">
        <f t="shared" si="11"/>
        <v>PNOON</v>
      </c>
      <c r="AO56" s="241">
        <f t="shared" si="12"/>
        <v>42545.5</v>
      </c>
      <c r="AP56" s="45" t="s">
        <v>40</v>
      </c>
      <c r="AQ56" s="98"/>
      <c r="AR56" s="99"/>
      <c r="AS56" s="99"/>
      <c r="AT56" s="100"/>
      <c r="AU56" s="101"/>
      <c r="AV56" s="100"/>
      <c r="AW56" s="101"/>
      <c r="AX56" s="101"/>
      <c r="AY56" s="99"/>
      <c r="AZ56" s="102"/>
      <c r="BA56" s="102"/>
      <c r="BB56" s="103"/>
      <c r="BC56" s="104"/>
      <c r="BD56" s="98"/>
      <c r="BE56" s="105"/>
      <c r="BF56" s="104"/>
      <c r="BG56" s="115"/>
      <c r="BH56" s="104"/>
      <c r="BI56" s="98"/>
      <c r="BJ56" s="105"/>
      <c r="BK56" s="104"/>
      <c r="BL56" s="104"/>
      <c r="BM56" s="107"/>
      <c r="BN56" s="108"/>
      <c r="BO56" s="108"/>
      <c r="BP56" s="109"/>
      <c r="BQ56" s="110"/>
      <c r="BR56" s="108"/>
      <c r="BS56" s="109"/>
      <c r="BT56" s="109"/>
      <c r="BU56" s="107"/>
      <c r="BV56" s="111"/>
      <c r="BW56" s="98"/>
      <c r="BX56" s="113"/>
      <c r="BY56" s="113"/>
      <c r="BZ56" s="114"/>
      <c r="CA56" s="114"/>
      <c r="CB56" s="114"/>
      <c r="CC56" s="99"/>
      <c r="CD56" s="115"/>
      <c r="CE56" s="116"/>
      <c r="CF56" s="90"/>
      <c r="CG56" s="90"/>
      <c r="CH56" s="90"/>
      <c r="CI56" s="90"/>
      <c r="CJ56" s="90"/>
      <c r="CK56" s="90"/>
      <c r="CL56" s="90"/>
      <c r="CM56" s="90"/>
      <c r="CN56" s="90"/>
      <c r="CO56" s="90"/>
      <c r="CP56" s="121"/>
      <c r="CQ56" s="121"/>
      <c r="CR56" s="100"/>
      <c r="CS56" s="121"/>
      <c r="CT56" s="90"/>
      <c r="CU56" s="90"/>
      <c r="CV56" s="90"/>
      <c r="CW56" s="90"/>
      <c r="CX56" s="90"/>
      <c r="CY56" s="90"/>
      <c r="CZ56" s="90"/>
      <c r="DA56" s="90"/>
      <c r="DB56" s="90"/>
      <c r="DC56" s="90"/>
      <c r="DD56" s="90"/>
      <c r="DE56" s="90"/>
      <c r="DF56" s="90"/>
    </row>
    <row r="57" spans="1:110" ht="24" customHeight="1" x14ac:dyDescent="0.25">
      <c r="A57" s="83" t="s">
        <v>103</v>
      </c>
      <c r="B57" s="442">
        <v>42546.5</v>
      </c>
      <c r="C57" s="453"/>
      <c r="D57" s="84"/>
      <c r="E57" s="23"/>
      <c r="F57" s="15"/>
      <c r="G57" s="213"/>
      <c r="H57" s="27" t="str">
        <f t="shared" si="2"/>
        <v/>
      </c>
      <c r="I57" s="216" t="str">
        <f t="shared" si="3"/>
        <v/>
      </c>
      <c r="J57" s="29" t="e">
        <f ca="1">IF($J$5&gt;=B57,"N/A",SUM(INDIRECT(ADDRESS(6+(MATCH($J$5,$B$6:$B$59,0)),8)):H57))</f>
        <v>#N/A</v>
      </c>
      <c r="K57" s="10"/>
      <c r="L57" s="88"/>
      <c r="M57" s="4" t="str">
        <f t="shared" si="4"/>
        <v/>
      </c>
      <c r="N57" s="220" t="str">
        <f t="shared" si="0"/>
        <v/>
      </c>
      <c r="O57" s="30" t="e">
        <f ca="1">IF($O$5&gt;=B57,"N/A",SUM(INDIRECT(ADDRESS(6+(MATCH($O$5,$B$6:$B$59,0)),13)):M57))</f>
        <v>#N/A</v>
      </c>
      <c r="P57" s="325"/>
      <c r="Q57" s="325"/>
      <c r="R57" s="325"/>
      <c r="S57" s="70" t="str">
        <f t="shared" si="5"/>
        <v>PNOON</v>
      </c>
      <c r="T57" s="241">
        <f t="shared" si="6"/>
        <v>42546.5</v>
      </c>
      <c r="U57" s="296"/>
      <c r="V57" s="297">
        <v>3.55</v>
      </c>
      <c r="W57" s="297">
        <v>2.56</v>
      </c>
      <c r="X57" s="199">
        <f t="shared" si="7"/>
        <v>6.1099999999999994</v>
      </c>
      <c r="Y57" s="159">
        <f t="shared" si="8"/>
        <v>573.74999999999966</v>
      </c>
      <c r="Z57" s="298"/>
      <c r="AA57" s="299"/>
      <c r="AB57" s="300"/>
      <c r="AC57" s="300"/>
      <c r="AD57" s="203">
        <f t="shared" si="1"/>
        <v>0</v>
      </c>
      <c r="AE57" s="150">
        <f t="shared" si="9"/>
        <v>74.599999999999994</v>
      </c>
      <c r="AF57" s="301"/>
      <c r="AG57" s="302">
        <v>3</v>
      </c>
      <c r="AH57" s="303"/>
      <c r="AI57" s="141">
        <f t="shared" si="13"/>
        <v>184</v>
      </c>
      <c r="AJ57" s="304">
        <v>57780</v>
      </c>
      <c r="AK57" s="316">
        <v>31900</v>
      </c>
      <c r="AL57" s="317">
        <v>6780</v>
      </c>
      <c r="AM57" s="237" t="e">
        <f t="shared" si="14"/>
        <v>#VALUE!</v>
      </c>
      <c r="AN57" s="70" t="str">
        <f t="shared" si="11"/>
        <v>PNOON</v>
      </c>
      <c r="AO57" s="241">
        <f t="shared" si="12"/>
        <v>42546.5</v>
      </c>
      <c r="AP57" s="45" t="s">
        <v>40</v>
      </c>
      <c r="AQ57" s="98"/>
      <c r="AR57" s="99"/>
      <c r="AS57" s="99"/>
      <c r="AT57" s="100"/>
      <c r="AU57" s="101"/>
      <c r="AV57" s="100"/>
      <c r="AW57" s="101"/>
      <c r="AX57" s="101"/>
      <c r="AY57" s="99"/>
      <c r="AZ57" s="102"/>
      <c r="BA57" s="102"/>
      <c r="BB57" s="103"/>
      <c r="BC57" s="104"/>
      <c r="BD57" s="98"/>
      <c r="BE57" s="105"/>
      <c r="BF57" s="104"/>
      <c r="BG57" s="115"/>
      <c r="BH57" s="104"/>
      <c r="BI57" s="98"/>
      <c r="BJ57" s="105"/>
      <c r="BK57" s="104"/>
      <c r="BL57" s="104"/>
      <c r="BM57" s="107"/>
      <c r="BN57" s="108"/>
      <c r="BO57" s="108"/>
      <c r="BP57" s="109"/>
      <c r="BQ57" s="110"/>
      <c r="BR57" s="108"/>
      <c r="BS57" s="109"/>
      <c r="BT57" s="109"/>
      <c r="BU57" s="107"/>
      <c r="BV57" s="111"/>
      <c r="BW57" s="98"/>
      <c r="BX57" s="113"/>
      <c r="BY57" s="113"/>
      <c r="BZ57" s="114"/>
      <c r="CA57" s="114"/>
      <c r="CB57" s="114"/>
      <c r="CC57" s="99"/>
      <c r="CD57" s="115"/>
      <c r="CE57" s="116"/>
      <c r="CF57" s="90"/>
      <c r="CG57" s="90"/>
      <c r="CH57" s="90"/>
      <c r="CI57" s="90"/>
      <c r="CJ57" s="90"/>
      <c r="CK57" s="90"/>
      <c r="CL57" s="90"/>
      <c r="CM57" s="90"/>
      <c r="CN57" s="90"/>
      <c r="CO57" s="90"/>
      <c r="CP57" s="121"/>
      <c r="CQ57" s="121"/>
      <c r="CR57" s="100"/>
      <c r="CS57" s="121"/>
      <c r="CT57" s="90"/>
      <c r="CU57" s="90"/>
      <c r="CV57" s="90"/>
      <c r="CW57" s="90"/>
      <c r="CX57" s="90"/>
      <c r="CY57" s="90"/>
      <c r="CZ57" s="90"/>
      <c r="DA57" s="90"/>
      <c r="DB57" s="90"/>
      <c r="DC57" s="90"/>
      <c r="DD57" s="90"/>
      <c r="DE57" s="90"/>
      <c r="DF57" s="90"/>
    </row>
    <row r="58" spans="1:110" ht="24" customHeight="1" x14ac:dyDescent="0.25">
      <c r="A58" s="83" t="s">
        <v>103</v>
      </c>
      <c r="B58" s="442">
        <v>42547.5</v>
      </c>
      <c r="C58" s="453"/>
      <c r="D58" s="84"/>
      <c r="E58" s="23"/>
      <c r="F58" s="15"/>
      <c r="G58" s="213"/>
      <c r="H58" s="27" t="str">
        <f t="shared" si="2"/>
        <v/>
      </c>
      <c r="I58" s="216" t="str">
        <f t="shared" si="3"/>
        <v/>
      </c>
      <c r="J58" s="29" t="e">
        <f ca="1">IF($J$5&gt;=B58,"N/A",SUM(INDIRECT(ADDRESS(6+(MATCH($J$5,$B$6:$B$59,0)),8)):H58))</f>
        <v>#N/A</v>
      </c>
      <c r="K58" s="10"/>
      <c r="L58" s="88"/>
      <c r="M58" s="4" t="str">
        <f t="shared" si="4"/>
        <v/>
      </c>
      <c r="N58" s="220" t="str">
        <f t="shared" si="0"/>
        <v/>
      </c>
      <c r="O58" s="30" t="e">
        <f ca="1">IF($O$5&gt;=B58,"N/A",SUM(INDIRECT(ADDRESS(6+(MATCH($O$5,$B$6:$B$59,0)),13)):M58))</f>
        <v>#N/A</v>
      </c>
      <c r="P58" s="325"/>
      <c r="Q58" s="325"/>
      <c r="R58" s="325"/>
      <c r="S58" s="70" t="str">
        <f t="shared" si="5"/>
        <v>PNOON</v>
      </c>
      <c r="T58" s="241">
        <f t="shared" si="6"/>
        <v>42547.5</v>
      </c>
      <c r="U58" s="296"/>
      <c r="V58" s="297">
        <v>3.68</v>
      </c>
      <c r="W58" s="297">
        <v>2.5099999999999998</v>
      </c>
      <c r="X58" s="199">
        <f t="shared" si="7"/>
        <v>6.1899999999999995</v>
      </c>
      <c r="Y58" s="159">
        <f t="shared" si="8"/>
        <v>567.5599999999996</v>
      </c>
      <c r="Z58" s="298"/>
      <c r="AA58" s="299"/>
      <c r="AB58" s="300"/>
      <c r="AC58" s="300"/>
      <c r="AD58" s="203">
        <f t="shared" si="1"/>
        <v>0</v>
      </c>
      <c r="AE58" s="150">
        <f t="shared" si="9"/>
        <v>74.599999999999994</v>
      </c>
      <c r="AF58" s="301"/>
      <c r="AG58" s="302">
        <v>3</v>
      </c>
      <c r="AH58" s="303"/>
      <c r="AI58" s="141">
        <f t="shared" si="13"/>
        <v>181</v>
      </c>
      <c r="AJ58" s="304">
        <v>57780</v>
      </c>
      <c r="AK58" s="316">
        <v>31900</v>
      </c>
      <c r="AL58" s="317">
        <v>6750</v>
      </c>
      <c r="AM58" s="237" t="e">
        <f t="shared" si="14"/>
        <v>#VALUE!</v>
      </c>
      <c r="AN58" s="70" t="str">
        <f t="shared" si="11"/>
        <v>PNOON</v>
      </c>
      <c r="AO58" s="241">
        <f t="shared" si="12"/>
        <v>42547.5</v>
      </c>
      <c r="AP58" s="45" t="s">
        <v>40</v>
      </c>
      <c r="AQ58" s="98"/>
      <c r="AR58" s="99"/>
      <c r="AS58" s="99"/>
      <c r="AT58" s="100"/>
      <c r="AU58" s="101"/>
      <c r="AV58" s="100"/>
      <c r="AW58" s="101"/>
      <c r="AX58" s="101"/>
      <c r="AY58" s="99"/>
      <c r="AZ58" s="102"/>
      <c r="BA58" s="102"/>
      <c r="BB58" s="103"/>
      <c r="BC58" s="104"/>
      <c r="BD58" s="98"/>
      <c r="BE58" s="105"/>
      <c r="BF58" s="104"/>
      <c r="BG58" s="115"/>
      <c r="BH58" s="104"/>
      <c r="BI58" s="98"/>
      <c r="BJ58" s="105"/>
      <c r="BK58" s="104"/>
      <c r="BL58" s="104"/>
      <c r="BM58" s="107"/>
      <c r="BN58" s="108"/>
      <c r="BO58" s="108"/>
      <c r="BP58" s="109"/>
      <c r="BQ58" s="110"/>
      <c r="BR58" s="108"/>
      <c r="BS58" s="109"/>
      <c r="BT58" s="109"/>
      <c r="BU58" s="107"/>
      <c r="BV58" s="111"/>
      <c r="BW58" s="98"/>
      <c r="BX58" s="113"/>
      <c r="BY58" s="113"/>
      <c r="BZ58" s="114"/>
      <c r="CA58" s="114"/>
      <c r="CB58" s="114"/>
      <c r="CC58" s="99"/>
      <c r="CD58" s="115"/>
      <c r="CE58" s="116"/>
      <c r="CF58" s="90"/>
      <c r="CG58" s="90"/>
      <c r="CH58" s="90"/>
      <c r="CI58" s="90"/>
      <c r="CJ58" s="90"/>
      <c r="CK58" s="90"/>
      <c r="CL58" s="90"/>
      <c r="CM58" s="90"/>
      <c r="CN58" s="90"/>
      <c r="CO58" s="90"/>
      <c r="CP58" s="121"/>
      <c r="CQ58" s="121"/>
      <c r="CR58" s="100"/>
      <c r="CS58" s="121"/>
      <c r="CT58" s="90"/>
      <c r="CU58" s="90"/>
      <c r="CV58" s="90"/>
      <c r="CW58" s="90"/>
      <c r="CX58" s="90"/>
      <c r="CY58" s="90"/>
      <c r="CZ58" s="90"/>
      <c r="DA58" s="90"/>
      <c r="DB58" s="90"/>
      <c r="DC58" s="90"/>
      <c r="DD58" s="90"/>
      <c r="DE58" s="90"/>
      <c r="DF58" s="90"/>
    </row>
    <row r="59" spans="1:110" ht="24" customHeight="1" thickBot="1" x14ac:dyDescent="0.3">
      <c r="A59" s="267" t="s">
        <v>103</v>
      </c>
      <c r="B59" s="454">
        <v>42548.5</v>
      </c>
      <c r="C59" s="455"/>
      <c r="D59" s="86"/>
      <c r="E59" s="24"/>
      <c r="F59" s="95"/>
      <c r="G59" s="214"/>
      <c r="H59" s="27" t="str">
        <f t="shared" si="2"/>
        <v/>
      </c>
      <c r="I59" s="217" t="str">
        <f t="shared" si="3"/>
        <v/>
      </c>
      <c r="J59" s="29" t="e">
        <f ca="1">IF($J$5&gt;=B59,"N/A",SUM(INDIRECT(ADDRESS(6+(MATCH($J$5,$B$6:$B$59,0)),8)):H59))</f>
        <v>#N/A</v>
      </c>
      <c r="K59" s="10"/>
      <c r="L59" s="89"/>
      <c r="M59" s="4" t="str">
        <f t="shared" si="4"/>
        <v/>
      </c>
      <c r="N59" s="221" t="str">
        <f t="shared" si="0"/>
        <v/>
      </c>
      <c r="O59" s="30" t="e">
        <f ca="1">IF($O$5&gt;=B59,"N/A",SUM(INDIRECT(ADDRESS(6+(MATCH($O$5,$B$6:$B$59,0)),13)):M59))</f>
        <v>#N/A</v>
      </c>
      <c r="P59" s="326"/>
      <c r="Q59" s="326"/>
      <c r="R59" s="326"/>
      <c r="S59" s="71" t="str">
        <f t="shared" si="5"/>
        <v>PNOON</v>
      </c>
      <c r="T59" s="242">
        <f t="shared" si="6"/>
        <v>42548.5</v>
      </c>
      <c r="U59" s="305"/>
      <c r="V59" s="306">
        <v>3.56</v>
      </c>
      <c r="W59" s="306">
        <v>2.56</v>
      </c>
      <c r="X59" s="200">
        <f t="shared" si="7"/>
        <v>6.12</v>
      </c>
      <c r="Y59" s="185">
        <f t="shared" si="8"/>
        <v>561.4399999999996</v>
      </c>
      <c r="Z59" s="307"/>
      <c r="AA59" s="308"/>
      <c r="AB59" s="309"/>
      <c r="AC59" s="309"/>
      <c r="AD59" s="204">
        <f t="shared" si="1"/>
        <v>0</v>
      </c>
      <c r="AE59" s="189">
        <f t="shared" si="9"/>
        <v>74.599999999999994</v>
      </c>
      <c r="AF59" s="310"/>
      <c r="AG59" s="311">
        <v>3</v>
      </c>
      <c r="AH59" s="312"/>
      <c r="AI59" s="193">
        <f t="shared" si="13"/>
        <v>178</v>
      </c>
      <c r="AJ59" s="313">
        <v>57780</v>
      </c>
      <c r="AK59" s="318">
        <v>31900</v>
      </c>
      <c r="AL59" s="319">
        <v>6720</v>
      </c>
      <c r="AM59" s="237" t="e">
        <f t="shared" si="14"/>
        <v>#VALUE!</v>
      </c>
      <c r="AN59" s="71" t="str">
        <f t="shared" si="11"/>
        <v>PNOON</v>
      </c>
      <c r="AO59" s="242">
        <f t="shared" si="12"/>
        <v>42548.5</v>
      </c>
      <c r="AP59" s="45" t="s">
        <v>40</v>
      </c>
      <c r="AQ59" s="98"/>
      <c r="AR59" s="99"/>
      <c r="AS59" s="99"/>
      <c r="AT59" s="100"/>
      <c r="AU59" s="101"/>
      <c r="AV59" s="100"/>
      <c r="AW59" s="101"/>
      <c r="AX59" s="101"/>
      <c r="AY59" s="99"/>
      <c r="AZ59" s="102"/>
      <c r="BA59" s="102"/>
      <c r="BB59" s="103"/>
      <c r="BC59" s="104"/>
      <c r="BD59" s="98"/>
      <c r="BE59" s="105"/>
      <c r="BF59" s="104"/>
      <c r="BG59" s="115"/>
      <c r="BH59" s="104"/>
      <c r="BI59" s="98"/>
      <c r="BJ59" s="105"/>
      <c r="BK59" s="104"/>
      <c r="BL59" s="104"/>
      <c r="BM59" s="107"/>
      <c r="BN59" s="108"/>
      <c r="BO59" s="108"/>
      <c r="BP59" s="109"/>
      <c r="BQ59" s="110"/>
      <c r="BR59" s="108"/>
      <c r="BS59" s="109"/>
      <c r="BT59" s="109"/>
      <c r="BU59" s="107"/>
      <c r="BV59" s="111"/>
      <c r="BW59" s="98"/>
      <c r="BX59" s="113"/>
      <c r="BY59" s="113"/>
      <c r="BZ59" s="114"/>
      <c r="CA59" s="114"/>
      <c r="CB59" s="114"/>
      <c r="CC59" s="99"/>
      <c r="CD59" s="115"/>
      <c r="CE59" s="116"/>
      <c r="CF59" s="90"/>
      <c r="CG59" s="90"/>
      <c r="CH59" s="90"/>
      <c r="CI59" s="90"/>
      <c r="CJ59" s="90"/>
      <c r="CK59" s="90"/>
      <c r="CL59" s="90"/>
      <c r="CM59" s="90"/>
      <c r="CN59" s="90"/>
      <c r="CO59" s="90"/>
      <c r="CP59" s="121"/>
      <c r="CQ59" s="121"/>
      <c r="CR59" s="100"/>
      <c r="CS59" s="121"/>
      <c r="CT59" s="90"/>
      <c r="CU59" s="90"/>
      <c r="CV59" s="90"/>
      <c r="CW59" s="90"/>
      <c r="CX59" s="90"/>
      <c r="CY59" s="90"/>
      <c r="CZ59" s="90"/>
      <c r="DA59" s="90"/>
      <c r="DB59" s="90"/>
      <c r="DC59" s="90"/>
      <c r="DD59" s="90"/>
      <c r="DE59" s="90"/>
      <c r="DF59" s="90"/>
    </row>
    <row r="60" spans="1:110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</row>
    <row r="61" spans="1:110" ht="24.95" customHeight="1" thickBot="1" x14ac:dyDescent="0.3">
      <c r="A61" s="74"/>
      <c r="C61" s="75" t="s">
        <v>93</v>
      </c>
      <c r="D61" s="73" t="s">
        <v>94</v>
      </c>
      <c r="E61" s="73"/>
      <c r="F61" s="461" t="s">
        <v>96</v>
      </c>
      <c r="G61" s="461"/>
      <c r="H61" s="461"/>
      <c r="I61" s="75" t="s">
        <v>95</v>
      </c>
      <c r="J61" s="75"/>
      <c r="K61" s="74" t="str">
        <f ca="1">INDIRECT(ADDRESS(5+$U$61,1))</f>
        <v>PNOON</v>
      </c>
      <c r="L61" s="462">
        <v>42547.5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>
        <f>MATCH(L61,B6:B59,0)</f>
        <v>53</v>
      </c>
      <c r="V61" s="72"/>
      <c r="W61" s="72"/>
      <c r="X61" s="72"/>
      <c r="Y61" s="72"/>
      <c r="Z61" s="72"/>
      <c r="AA61" s="72"/>
      <c r="AB61" s="72"/>
      <c r="AC61" s="72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</row>
    <row r="62" spans="1:110" ht="24.95" customHeight="1" thickBot="1" x14ac:dyDescent="0.3">
      <c r="A62" s="72"/>
      <c r="B62" s="72">
        <f>MATCH(B6,B6:B59,0)</f>
        <v>1</v>
      </c>
      <c r="C62" s="72">
        <f>MATCH(L61,B6:B59,0)</f>
        <v>53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25</v>
      </c>
      <c r="V62" s="418"/>
      <c r="W62" s="418"/>
      <c r="X62" s="418"/>
      <c r="Y62" s="418"/>
      <c r="Z62" s="423"/>
      <c r="AA62" s="417" t="s">
        <v>24</v>
      </c>
      <c r="AB62" s="418"/>
      <c r="AC62" s="418"/>
      <c r="AD62" s="418"/>
      <c r="AE62" s="418"/>
      <c r="AF62" s="423"/>
      <c r="AG62" s="417" t="s">
        <v>37</v>
      </c>
      <c r="AH62" s="418"/>
      <c r="AI62" s="424"/>
      <c r="AJ62" s="417" t="s">
        <v>38</v>
      </c>
      <c r="AK62" s="418"/>
      <c r="AL62" s="424"/>
      <c r="AM62" s="72"/>
      <c r="AN62" s="72"/>
      <c r="AO62" s="72"/>
      <c r="AP62" s="72"/>
    </row>
    <row r="63" spans="1:110" ht="52.5" customHeight="1" thickBot="1" x14ac:dyDescent="0.3">
      <c r="A63" s="72"/>
      <c r="B63" s="72"/>
      <c r="C63" s="72"/>
      <c r="D63" s="72"/>
      <c r="E63" s="76" t="s">
        <v>5</v>
      </c>
      <c r="F63" s="32"/>
      <c r="G63" s="328"/>
      <c r="H63" s="33" t="s">
        <v>2</v>
      </c>
      <c r="I63" s="210" t="s">
        <v>4</v>
      </c>
      <c r="J63" s="77"/>
      <c r="K63" s="327"/>
      <c r="L63" s="78"/>
      <c r="M63" s="78" t="s">
        <v>28</v>
      </c>
      <c r="N63" s="210" t="s">
        <v>4</v>
      </c>
      <c r="O63" s="77"/>
      <c r="P63" s="332" t="s">
        <v>0</v>
      </c>
      <c r="Q63" s="331" t="s">
        <v>1</v>
      </c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23</v>
      </c>
      <c r="AD63" s="33" t="s">
        <v>20</v>
      </c>
      <c r="AE63" s="33" t="s">
        <v>15</v>
      </c>
      <c r="AF63" s="80" t="s">
        <v>19</v>
      </c>
      <c r="AG63" s="32" t="s">
        <v>13</v>
      </c>
      <c r="AH63" s="33" t="s">
        <v>14</v>
      </c>
      <c r="AI63" s="77" t="s">
        <v>7</v>
      </c>
      <c r="AJ63" s="32" t="s">
        <v>91</v>
      </c>
      <c r="AK63" s="33" t="s">
        <v>92</v>
      </c>
      <c r="AL63" s="77" t="s">
        <v>26</v>
      </c>
      <c r="AM63" s="72"/>
      <c r="AN63" s="72"/>
      <c r="AO63" s="72"/>
      <c r="AP63" s="72"/>
    </row>
    <row r="64" spans="1:110" ht="24.95" customHeight="1" thickBot="1" x14ac:dyDescent="0.3">
      <c r="A64" s="72"/>
      <c r="B64" s="72"/>
      <c r="C64" s="72"/>
      <c r="D64" s="72"/>
      <c r="E64" s="21">
        <f ca="1">SUM(E6:INDIRECT(ADDRESS(5+$C$62,5)))</f>
        <v>0</v>
      </c>
      <c r="F64" s="13"/>
      <c r="G64" s="223"/>
      <c r="H64" s="16">
        <f ca="1">SUM(H6:INDIRECT(ADDRESS(5+$C$62,8)))</f>
        <v>0</v>
      </c>
      <c r="I64" s="222" t="e">
        <f ca="1">H64/E64</f>
        <v>#DIV/0!</v>
      </c>
      <c r="J64" s="17"/>
      <c r="K64" s="8"/>
      <c r="L64" s="171"/>
      <c r="M64" s="11">
        <f ca="1">SUM(M6:INDIRECT(ADDRESS(5+$C$62,13)))</f>
        <v>0</v>
      </c>
      <c r="N64" s="12" t="e">
        <f ca="1">M64/E64</f>
        <v>#DIV/0!</v>
      </c>
      <c r="O64" s="172"/>
      <c r="P64" s="173"/>
      <c r="Q64" s="173"/>
      <c r="R64" s="174">
        <f ca="1">SUM(R6:INDIRECT(ADDRESS(5+$C$62,18)))</f>
        <v>0</v>
      </c>
      <c r="S64" s="458">
        <f>L61</f>
        <v>42547.5</v>
      </c>
      <c r="T64" s="459"/>
      <c r="U64" s="151">
        <f ca="1">SUM(U6:INDIRECT(ADDRESS(5+$C$62,21)))</f>
        <v>0</v>
      </c>
      <c r="V64" s="152">
        <f ca="1">SUM(V6:INDIRECT(ADDRESS(5+$C$62,22)))</f>
        <v>193.64999999999998</v>
      </c>
      <c r="W64" s="152">
        <f ca="1">SUM(W6:INDIRECT(ADDRESS(5+$C$62,23)))</f>
        <v>139.29000000000002</v>
      </c>
      <c r="X64" s="197">
        <f ca="1">SUM(X6:INDIRECT(ADDRESS(5+$C$62,24)))</f>
        <v>332.93999999999994</v>
      </c>
      <c r="Y64" s="153">
        <f ca="1">INDIRECT(ADDRESS(5+$C$62,25))</f>
        <v>567.5599999999996</v>
      </c>
      <c r="Z64" s="169">
        <f ca="1">SUM(Z6:INDIRECT(ADDRESS(5+$C$62,26)))</f>
        <v>0</v>
      </c>
      <c r="AA64" s="142">
        <f ca="1">SUM(AA6:INDIRECT(ADDRESS(5+$C$62,27)))</f>
        <v>0</v>
      </c>
      <c r="AB64" s="143">
        <f ca="1">SUM(AB6:INDIRECT(ADDRESS(5+$C$62,28)))</f>
        <v>0</v>
      </c>
      <c r="AC64" s="143">
        <f ca="1">SUM(AC6:INDIRECT(ADDRESS(5+$C$62,29)))</f>
        <v>0</v>
      </c>
      <c r="AD64" s="201">
        <f ca="1">SUM(AD6:INDIRECT(ADDRESS(5+$C$62,30)))</f>
        <v>0</v>
      </c>
      <c r="AE64" s="144">
        <f ca="1">INDIRECT(ADDRESS(5+$C$62,31))</f>
        <v>74.599999999999994</v>
      </c>
      <c r="AF64" s="170">
        <f ca="1">SUM(AF6:INDIRECT(ADDRESS(5+$C$62,32)))</f>
        <v>0</v>
      </c>
      <c r="AG64" s="133">
        <f ca="1">SUM(AG6:INDIRECT(ADDRESS(5+$C$62,33)))</f>
        <v>168</v>
      </c>
      <c r="AH64" s="134">
        <f ca="1">SUM(AH6:INDIRECT(ADDRESS(5+$C$62,34)))</f>
        <v>150</v>
      </c>
      <c r="AI64" s="135">
        <f ca="1">INDIRECT(ADDRESS(5+$C$62,35))</f>
        <v>181</v>
      </c>
      <c r="AJ64" s="160">
        <f ca="1">INDIRECT(ADDRESS(5+$C$62,36))</f>
        <v>57780</v>
      </c>
      <c r="AK64" s="161">
        <f ca="1">INDIRECT(ADDRESS(5+$C$62,37))</f>
        <v>31900</v>
      </c>
      <c r="AL64" s="162">
        <f ca="1">INDIRECT(ADDRESS(5+$C$62,38))</f>
        <v>6750</v>
      </c>
      <c r="AM64" s="72"/>
      <c r="AN64" s="72"/>
      <c r="AO64" s="72"/>
      <c r="AP64" s="72"/>
    </row>
    <row r="65" spans="1:42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6"/>
      <c r="AB65" s="96"/>
      <c r="AC65" s="96"/>
      <c r="AD65" s="96"/>
      <c r="AE65" s="96"/>
      <c r="AF65" s="96"/>
      <c r="AG65" s="94"/>
      <c r="AH65" s="94"/>
      <c r="AI65" s="94"/>
      <c r="AJ65" s="97"/>
      <c r="AK65" s="97"/>
      <c r="AL65" s="94"/>
      <c r="AM65" s="72"/>
      <c r="AN65" s="72"/>
      <c r="AO65" s="72"/>
      <c r="AP65" s="72"/>
    </row>
    <row r="66" spans="1:42" ht="24.95" customHeight="1" thickBot="1" x14ac:dyDescent="0.3">
      <c r="A66" s="74"/>
      <c r="C66" s="75" t="s">
        <v>93</v>
      </c>
      <c r="D66" s="73" t="s">
        <v>94</v>
      </c>
      <c r="E66" s="73" t="str">
        <f ca="1">INDIRECT(ADDRESS(5+$T$66,1))</f>
        <v>PNOON</v>
      </c>
      <c r="F66" s="462">
        <v>42547.5</v>
      </c>
      <c r="G66" s="462"/>
      <c r="H66" s="462"/>
      <c r="I66" s="75" t="s">
        <v>95</v>
      </c>
      <c r="J66" s="75"/>
      <c r="K66" s="74" t="str">
        <f ca="1">INDIRECT(ADDRESS(5+$U$66,1))</f>
        <v>PNOON</v>
      </c>
      <c r="L66" s="462">
        <v>42548.5</v>
      </c>
      <c r="M66" s="462"/>
      <c r="N66" s="462"/>
      <c r="O66" s="211"/>
      <c r="P66" s="72"/>
      <c r="Q66" s="72"/>
      <c r="R66" s="72"/>
      <c r="S66" s="94"/>
      <c r="T66" s="207">
        <f>MATCH(F66,B6:B59,0)</f>
        <v>53</v>
      </c>
      <c r="U66" s="206">
        <f>MATCH(L66,B6:B59,0)</f>
        <v>54</v>
      </c>
      <c r="V66" s="72"/>
      <c r="W66" s="72"/>
      <c r="X66" s="72"/>
      <c r="Y66" s="72"/>
      <c r="Z66" s="72"/>
      <c r="AA66" s="129"/>
      <c r="AB66" s="129"/>
      <c r="AC66" s="129"/>
      <c r="AD66" s="129"/>
      <c r="AE66" s="129"/>
      <c r="AF66" s="129"/>
      <c r="AG66" s="72"/>
      <c r="AH66" s="72"/>
      <c r="AI66" s="72"/>
      <c r="AJ66" s="72"/>
      <c r="AK66" s="72"/>
      <c r="AL66" s="72"/>
      <c r="AM66" s="72"/>
      <c r="AN66" s="72"/>
      <c r="AO66" s="72"/>
      <c r="AP66" s="72"/>
    </row>
    <row r="67" spans="1:42" ht="24.95" customHeight="1" thickBot="1" x14ac:dyDescent="0.3">
      <c r="A67" s="72"/>
      <c r="B67" s="72">
        <f>MATCH(F66,B6:B59,0)</f>
        <v>53</v>
      </c>
      <c r="C67" s="72">
        <f>MATCH(L66,B6:B59,0)</f>
        <v>54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42547.5</v>
      </c>
      <c r="T67" s="467"/>
      <c r="U67" s="417" t="s">
        <v>25</v>
      </c>
      <c r="V67" s="418"/>
      <c r="W67" s="418"/>
      <c r="X67" s="418"/>
      <c r="Y67" s="418"/>
      <c r="Z67" s="423"/>
      <c r="AA67" s="463" t="s">
        <v>24</v>
      </c>
      <c r="AB67" s="464"/>
      <c r="AC67" s="464"/>
      <c r="AD67" s="464"/>
      <c r="AE67" s="464"/>
      <c r="AF67" s="465"/>
      <c r="AG67" s="417" t="s">
        <v>37</v>
      </c>
      <c r="AH67" s="418"/>
      <c r="AI67" s="424"/>
      <c r="AJ67" s="417" t="s">
        <v>38</v>
      </c>
      <c r="AK67" s="418"/>
      <c r="AL67" s="424"/>
      <c r="AM67" s="72"/>
      <c r="AN67" s="72"/>
      <c r="AO67" s="72"/>
      <c r="AP67" s="72"/>
    </row>
    <row r="68" spans="1:42" ht="49.5" customHeight="1" thickBot="1" x14ac:dyDescent="0.3">
      <c r="A68" s="72"/>
      <c r="B68" s="72"/>
      <c r="C68" s="72"/>
      <c r="D68" s="72"/>
      <c r="E68" s="76" t="s">
        <v>5</v>
      </c>
      <c r="F68" s="32"/>
      <c r="G68" s="328"/>
      <c r="H68" s="33" t="s">
        <v>2</v>
      </c>
      <c r="I68" s="210" t="s">
        <v>4</v>
      </c>
      <c r="J68" s="77"/>
      <c r="K68" s="327"/>
      <c r="L68" s="78"/>
      <c r="M68" s="78" t="s">
        <v>28</v>
      </c>
      <c r="N68" s="210" t="s">
        <v>4</v>
      </c>
      <c r="O68" s="77"/>
      <c r="P68" s="332" t="s">
        <v>0</v>
      </c>
      <c r="Q68" s="331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130" t="s">
        <v>21</v>
      </c>
      <c r="AB68" s="131" t="s">
        <v>22</v>
      </c>
      <c r="AC68" s="131" t="s">
        <v>23</v>
      </c>
      <c r="AD68" s="131" t="s">
        <v>20</v>
      </c>
      <c r="AE68" s="131" t="s">
        <v>15</v>
      </c>
      <c r="AF68" s="132" t="s">
        <v>19</v>
      </c>
      <c r="AG68" s="32" t="s">
        <v>13</v>
      </c>
      <c r="AH68" s="33" t="s">
        <v>14</v>
      </c>
      <c r="AI68" s="77" t="s">
        <v>7</v>
      </c>
      <c r="AJ68" s="32" t="s">
        <v>91</v>
      </c>
      <c r="AK68" s="33" t="s">
        <v>92</v>
      </c>
      <c r="AL68" s="77" t="s">
        <v>26</v>
      </c>
      <c r="AM68" s="72"/>
      <c r="AN68" s="72"/>
      <c r="AO68" s="72"/>
      <c r="AP68" s="72"/>
    </row>
    <row r="69" spans="1:42" ht="24.95" customHeight="1" thickBot="1" x14ac:dyDescent="0.3">
      <c r="A69" s="72"/>
      <c r="B69" s="72"/>
      <c r="C69" s="72"/>
      <c r="D69" s="72"/>
      <c r="E69" s="21">
        <f ca="1">SUM(INDIRECT(ADDRESS(6+$B$67,5)):INDIRECT(ADDRESS(5+$C$67,5)))</f>
        <v>0</v>
      </c>
      <c r="F69" s="13"/>
      <c r="G69" s="223"/>
      <c r="H69" s="16">
        <f ca="1">SUM(INDIRECT(ADDRESS(6+$B$67,8)):INDIRECT(ADDRESS(5+$C$67,8)))</f>
        <v>0</v>
      </c>
      <c r="I69" s="222" t="e">
        <f ca="1">H69/E69</f>
        <v>#DIV/0!</v>
      </c>
      <c r="J69" s="17"/>
      <c r="K69" s="8"/>
      <c r="L69" s="171"/>
      <c r="M69" s="11">
        <f ca="1">SUM(INDIRECT(ADDRESS(6+$B$67,13)):INDIRECT(ADDRESS(5+$C$67,13)))</f>
        <v>0</v>
      </c>
      <c r="N69" s="12" t="e">
        <f ca="1">M69/E69</f>
        <v>#DIV/0!</v>
      </c>
      <c r="O69" s="172"/>
      <c r="P69" s="173"/>
      <c r="Q69" s="173"/>
      <c r="R69" s="174">
        <f ca="1">SUM(INDIRECT(ADDRESS(6+$B$67,18)):INDIRECT(ADDRESS(5+$C$67,18)))</f>
        <v>0</v>
      </c>
      <c r="S69" s="458">
        <f>L66</f>
        <v>42548.5</v>
      </c>
      <c r="T69" s="459"/>
      <c r="U69" s="151">
        <f ca="1">SUM(INDIRECT(ADDRESS(6+$B$67,21)):INDIRECT(ADDRESS(5+$C$67,21)))</f>
        <v>0</v>
      </c>
      <c r="V69" s="152">
        <f ca="1">SUM(INDIRECT(ADDRESS(6+$B$67,22)):INDIRECT(ADDRESS(5+$C$67,22)))</f>
        <v>3.56</v>
      </c>
      <c r="W69" s="152">
        <f ca="1">SUM(INDIRECT(ADDRESS(6+$B$67,23)):INDIRECT(ADDRESS(5+$C$67,23)))</f>
        <v>2.56</v>
      </c>
      <c r="X69" s="197">
        <f ca="1">SUM(INDIRECT(ADDRESS(6+$B$67,24)):INDIRECT(ADDRESS(5+$C$67,24)))</f>
        <v>6.12</v>
      </c>
      <c r="Y69" s="153">
        <f ca="1">INDIRECT(ADDRESS(5+$C$67,25))</f>
        <v>561.4399999999996</v>
      </c>
      <c r="Z69" s="169">
        <f ca="1">SUM(INDIRECT(ADDRESS(6+$B$67,26)):INDIRECT(ADDRESS(5+$C$67,26)))</f>
        <v>0</v>
      </c>
      <c r="AA69" s="142">
        <f ca="1">SUM(INDIRECT(ADDRESS(6+$B$67,27)):INDIRECT(ADDRESS(5+$C$67,27)))</f>
        <v>0</v>
      </c>
      <c r="AB69" s="143">
        <f ca="1">SUM(INDIRECT(ADDRESS(6+$B$67,28)):INDIRECT(ADDRESS(5+$C$67,28)))</f>
        <v>0</v>
      </c>
      <c r="AC69" s="143">
        <f ca="1">SUM(INDIRECT(ADDRESS(6+$B$67,29)):INDIRECT(ADDRESS(5+$C$67,29)))</f>
        <v>0</v>
      </c>
      <c r="AD69" s="201">
        <f ca="1">SUM(INDIRECT(ADDRESS(6+$B$67,30)):INDIRECT(ADDRESS(5+$C$67,30)))</f>
        <v>0</v>
      </c>
      <c r="AE69" s="144">
        <f ca="1">INDIRECT(ADDRESS(5+$C$67,31))</f>
        <v>74.599999999999994</v>
      </c>
      <c r="AF69" s="170">
        <f ca="1">SUM(INDIRECT(ADDRESS(6+$B$67,32)):INDIRECT(ADDRESS(5+$C$67,32)))</f>
        <v>0</v>
      </c>
      <c r="AG69" s="133">
        <f ca="1">SUM(INDIRECT(ADDRESS(6+$B$67,33)):INDIRECT(ADDRESS(5+$C$67,33)))</f>
        <v>3</v>
      </c>
      <c r="AH69" s="134">
        <f ca="1">SUM(INDIRECT(ADDRESS(6+$B$67,34)):INDIRECT(ADDRESS(5+$C$67,34)))</f>
        <v>0</v>
      </c>
      <c r="AI69" s="135">
        <f ca="1">INDIRECT(ADDRESS(5+$C$67,35))</f>
        <v>178</v>
      </c>
      <c r="AJ69" s="160">
        <f ca="1">INDIRECT(ADDRESS(5+$C$67,36))</f>
        <v>57780</v>
      </c>
      <c r="AK69" s="161">
        <f ca="1">INDIRECT(ADDRESS(5+$C$67,37))</f>
        <v>31900</v>
      </c>
      <c r="AL69" s="162">
        <f ca="1">INDIRECT(ADDRESS(5+$C$67,38))</f>
        <v>6720</v>
      </c>
      <c r="AM69" s="72"/>
      <c r="AN69" s="72"/>
      <c r="AO69" s="72"/>
      <c r="AP69" s="72"/>
    </row>
    <row r="70" spans="1:42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6"/>
      <c r="AB70" s="96"/>
      <c r="AC70" s="96"/>
      <c r="AD70" s="96"/>
      <c r="AE70" s="96"/>
      <c r="AF70" s="96"/>
      <c r="AG70" s="94"/>
      <c r="AH70" s="94"/>
      <c r="AI70" s="94"/>
      <c r="AJ70" s="97"/>
      <c r="AK70" s="97"/>
      <c r="AL70" s="94"/>
      <c r="AM70" s="72"/>
      <c r="AN70" s="72"/>
      <c r="AO70" s="72"/>
      <c r="AP70" s="72"/>
    </row>
    <row r="71" spans="1:42" ht="24.95" customHeight="1" thickBot="1" x14ac:dyDescent="0.3">
      <c r="A71" s="72"/>
      <c r="C71" s="75" t="s">
        <v>93</v>
      </c>
      <c r="D71" s="73" t="s">
        <v>94</v>
      </c>
      <c r="E71" s="73" t="str">
        <f ca="1">INDIRECT(ADDRESS(5+$T$71,1))</f>
        <v>PNOON</v>
      </c>
      <c r="F71" s="462">
        <v>42495.5</v>
      </c>
      <c r="G71" s="462"/>
      <c r="H71" s="462"/>
      <c r="I71" s="75" t="s">
        <v>95</v>
      </c>
      <c r="J71" s="75"/>
      <c r="K71" s="74" t="str">
        <f ca="1">INDIRECT(ADDRESS(5+$U$71,1))</f>
        <v>PNOON</v>
      </c>
      <c r="L71" s="462">
        <v>42548.5</v>
      </c>
      <c r="M71" s="462"/>
      <c r="N71" s="462"/>
      <c r="O71" s="211"/>
      <c r="P71" s="72"/>
      <c r="Q71" s="72"/>
      <c r="R71" s="72"/>
      <c r="S71" s="94"/>
      <c r="T71" s="207">
        <f>MATCH(F71,B6:B59,0)</f>
        <v>1</v>
      </c>
      <c r="U71" s="206">
        <f>MATCH(L71,B6:B59,0)</f>
        <v>54</v>
      </c>
      <c r="V71" s="72"/>
      <c r="W71" s="72"/>
      <c r="X71" s="72"/>
      <c r="Y71" s="72"/>
      <c r="Z71" s="72"/>
      <c r="AA71" s="129"/>
      <c r="AB71" s="129"/>
      <c r="AC71" s="129"/>
      <c r="AD71" s="129"/>
      <c r="AE71" s="129"/>
      <c r="AF71" s="129"/>
      <c r="AG71" s="72"/>
      <c r="AH71" s="72"/>
      <c r="AI71" s="72"/>
      <c r="AJ71" s="72"/>
      <c r="AK71" s="72"/>
      <c r="AL71" s="72"/>
      <c r="AM71" s="72"/>
      <c r="AN71" s="72"/>
      <c r="AO71" s="72"/>
      <c r="AP71" s="72"/>
    </row>
    <row r="72" spans="1:42" ht="24.95" customHeight="1" thickBot="1" x14ac:dyDescent="0.3">
      <c r="A72" s="72"/>
      <c r="B72" s="72">
        <f>MATCH(F71,B6:B59,0)</f>
        <v>1</v>
      </c>
      <c r="C72" s="72">
        <f>MATCH(L71,B6:B59,0)</f>
        <v>54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42495.5</v>
      </c>
      <c r="T72" s="467"/>
      <c r="U72" s="417" t="s">
        <v>25</v>
      </c>
      <c r="V72" s="418"/>
      <c r="W72" s="418"/>
      <c r="X72" s="418"/>
      <c r="Y72" s="418"/>
      <c r="Z72" s="423"/>
      <c r="AA72" s="463" t="s">
        <v>24</v>
      </c>
      <c r="AB72" s="464"/>
      <c r="AC72" s="464"/>
      <c r="AD72" s="464"/>
      <c r="AE72" s="464"/>
      <c r="AF72" s="465"/>
      <c r="AG72" s="417" t="s">
        <v>37</v>
      </c>
      <c r="AH72" s="418"/>
      <c r="AI72" s="424"/>
      <c r="AJ72" s="417" t="s">
        <v>38</v>
      </c>
      <c r="AK72" s="418"/>
      <c r="AL72" s="424"/>
      <c r="AM72" s="72"/>
      <c r="AN72" s="72"/>
      <c r="AO72" s="72"/>
      <c r="AP72" s="72"/>
    </row>
    <row r="73" spans="1:42" ht="49.5" customHeight="1" thickBot="1" x14ac:dyDescent="0.3">
      <c r="A73" s="72"/>
      <c r="B73" s="72"/>
      <c r="C73" s="72"/>
      <c r="D73" s="72"/>
      <c r="E73" s="76" t="s">
        <v>5</v>
      </c>
      <c r="F73" s="32"/>
      <c r="G73" s="328"/>
      <c r="H73" s="33" t="s">
        <v>2</v>
      </c>
      <c r="I73" s="210" t="s">
        <v>4</v>
      </c>
      <c r="J73" s="77"/>
      <c r="K73" s="327"/>
      <c r="L73" s="78"/>
      <c r="M73" s="78" t="s">
        <v>28</v>
      </c>
      <c r="N73" s="210" t="s">
        <v>4</v>
      </c>
      <c r="O73" s="77"/>
      <c r="P73" s="332" t="s">
        <v>0</v>
      </c>
      <c r="Q73" s="331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130" t="s">
        <v>21</v>
      </c>
      <c r="AB73" s="131" t="s">
        <v>22</v>
      </c>
      <c r="AC73" s="131" t="s">
        <v>23</v>
      </c>
      <c r="AD73" s="131" t="s">
        <v>20</v>
      </c>
      <c r="AE73" s="131" t="s">
        <v>15</v>
      </c>
      <c r="AF73" s="132" t="s">
        <v>19</v>
      </c>
      <c r="AG73" s="32" t="s">
        <v>13</v>
      </c>
      <c r="AH73" s="33" t="s">
        <v>14</v>
      </c>
      <c r="AI73" s="77" t="s">
        <v>7</v>
      </c>
      <c r="AJ73" s="32" t="s">
        <v>91</v>
      </c>
      <c r="AK73" s="33" t="s">
        <v>92</v>
      </c>
      <c r="AL73" s="77" t="s">
        <v>26</v>
      </c>
      <c r="AM73" s="72"/>
      <c r="AN73" s="72"/>
      <c r="AO73" s="72"/>
      <c r="AP73" s="72"/>
    </row>
    <row r="74" spans="1:42" ht="24.95" customHeight="1" thickBot="1" x14ac:dyDescent="0.3">
      <c r="A74" s="72"/>
      <c r="B74" s="72"/>
      <c r="C74" s="72"/>
      <c r="D74" s="72"/>
      <c r="E74" s="21">
        <f ca="1">SUM(INDIRECT(ADDRESS(6+$B$72,5)):INDIRECT(ADDRESS(5+$C$72,5)))</f>
        <v>0</v>
      </c>
      <c r="F74" s="13"/>
      <c r="G74" s="223"/>
      <c r="H74" s="16">
        <f ca="1">SUM(INDIRECT(ADDRESS(6+$B$72,8)):INDIRECT(ADDRESS(5+$C$72,8)))</f>
        <v>0</v>
      </c>
      <c r="I74" s="222" t="e">
        <f ca="1">H74/E74</f>
        <v>#DIV/0!</v>
      </c>
      <c r="J74" s="17"/>
      <c r="K74" s="8"/>
      <c r="L74" s="171"/>
      <c r="M74" s="11">
        <f ca="1">SUM(INDIRECT(ADDRESS(6+$B$72,13)):INDIRECT(ADDRESS(5+$C$72,13)))</f>
        <v>0</v>
      </c>
      <c r="N74" s="12" t="e">
        <f ca="1">M74/E74</f>
        <v>#DIV/0!</v>
      </c>
      <c r="O74" s="172"/>
      <c r="P74" s="173"/>
      <c r="Q74" s="173"/>
      <c r="R74" s="174">
        <f ca="1">SUM(INDIRECT(ADDRESS(6+$B$72,18)):INDIRECT(ADDRESS(5+$C$72,18)))</f>
        <v>0</v>
      </c>
      <c r="S74" s="458">
        <f>L71</f>
        <v>42548.5</v>
      </c>
      <c r="T74" s="459"/>
      <c r="U74" s="151">
        <f ca="1">SUM(INDIRECT(ADDRESS(6+$B$72,21)):INDIRECT(ADDRESS(5+$C$72,21)))</f>
        <v>0</v>
      </c>
      <c r="V74" s="152">
        <f ca="1">SUM(INDIRECT(ADDRESS(6+$B$72,22)):INDIRECT(ADDRESS(5+$C$72,22)))</f>
        <v>193.41</v>
      </c>
      <c r="W74" s="152">
        <f ca="1">SUM(INDIRECT(ADDRESS(6+$B$72,23)):INDIRECT(ADDRESS(5+$C$72,23)))</f>
        <v>139.05000000000004</v>
      </c>
      <c r="X74" s="197">
        <f ca="1">SUM(INDIRECT(ADDRESS(6+$B$72,24)):INDIRECT(ADDRESS(5+$C$72,24)))</f>
        <v>332.46</v>
      </c>
      <c r="Y74" s="153">
        <f ca="1">INDIRECT(ADDRESS(5+$C$72,25))</f>
        <v>561.4399999999996</v>
      </c>
      <c r="Z74" s="169">
        <f ca="1">SUM(INDIRECT(ADDRESS(6+$B$72,26)):INDIRECT(ADDRESS(5+$C$72,26)))</f>
        <v>0</v>
      </c>
      <c r="AA74" s="142">
        <f ca="1">SUM(INDIRECT(ADDRESS(6+$B$72,27)):INDIRECT(ADDRESS(5+$C$72,27)))</f>
        <v>0</v>
      </c>
      <c r="AB74" s="143">
        <f ca="1">SUM(INDIRECT(ADDRESS(6+$B$72,28)):INDIRECT(ADDRESS(5+$C$72,28)))</f>
        <v>0</v>
      </c>
      <c r="AC74" s="143">
        <f ca="1">SUM(INDIRECT(ADDRESS(6+$B$72,29)):INDIRECT(ADDRESS(5+$C$72,29)))</f>
        <v>0</v>
      </c>
      <c r="AD74" s="201">
        <f ca="1">SUM(INDIRECT(ADDRESS(6+$B$72,30)):INDIRECT(ADDRESS(5+$C$72,30)))</f>
        <v>0</v>
      </c>
      <c r="AE74" s="144">
        <f ca="1">INDIRECT(ADDRESS(5+$C$72,31))</f>
        <v>74.599999999999994</v>
      </c>
      <c r="AF74" s="170">
        <f ca="1">SUM(INDIRECT(ADDRESS(6+$B$72,32)):INDIRECT(ADDRESS(5+$C$72,32)))</f>
        <v>0</v>
      </c>
      <c r="AG74" s="133">
        <f ca="1">SUM(INDIRECT(ADDRESS(6+$B$72,33)):INDIRECT(ADDRESS(5+$C$72,33)))</f>
        <v>166</v>
      </c>
      <c r="AH74" s="134">
        <f ca="1">SUM(INDIRECT(ADDRESS(6+$B$72,34)):INDIRECT(ADDRESS(5+$C$72,34)))</f>
        <v>150</v>
      </c>
      <c r="AI74" s="135">
        <f ca="1">INDIRECT(ADDRESS(5+$C$72,35))</f>
        <v>178</v>
      </c>
      <c r="AJ74" s="160">
        <f ca="1">INDIRECT(ADDRESS(5+$C$72,36))</f>
        <v>57780</v>
      </c>
      <c r="AK74" s="161">
        <f ca="1">INDIRECT(ADDRESS(5+$C$72,37))</f>
        <v>31900</v>
      </c>
      <c r="AL74" s="162">
        <f ca="1">INDIRECT(ADDRESS(5+$C$72,38))</f>
        <v>6720</v>
      </c>
      <c r="AM74" s="72"/>
      <c r="AN74" s="72"/>
      <c r="AO74" s="72"/>
      <c r="AP74" s="72"/>
    </row>
    <row r="75" spans="1:42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4"/>
      <c r="AF75" s="94"/>
      <c r="AG75" s="94"/>
      <c r="AH75" s="94"/>
      <c r="AI75" s="94"/>
      <c r="AJ75" s="97"/>
      <c r="AK75" s="97"/>
      <c r="AL75" s="94"/>
      <c r="AM75" s="72"/>
      <c r="AN75" s="72"/>
      <c r="AO75" s="72"/>
      <c r="AP75" s="72"/>
    </row>
    <row r="76" spans="1:42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</row>
    <row r="77" spans="1:42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/>
      <c r="AN77" s="72"/>
      <c r="AO77" s="72"/>
      <c r="AP77" s="72"/>
    </row>
    <row r="78" spans="1:42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</row>
    <row r="79" spans="1:42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</row>
    <row r="80" spans="1:42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</row>
    <row r="81" spans="1:42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</row>
    <row r="82" spans="1:42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</row>
    <row r="83" spans="1:42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</row>
    <row r="84" spans="1:42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</row>
    <row r="85" spans="1:42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</row>
    <row r="86" spans="1:42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</row>
    <row r="87" spans="1:42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</row>
    <row r="88" spans="1:42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</row>
    <row r="89" spans="1:42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</row>
    <row r="90" spans="1:42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</row>
    <row r="91" spans="1:42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</row>
    <row r="92" spans="1:42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</row>
    <row r="93" spans="1:42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</row>
  </sheetData>
  <sheetProtection sheet="1" objects="1" scenarios="1" selectLockedCells="1"/>
  <dataConsolidate/>
  <mergeCells count="141">
    <mergeCell ref="AG72:AI72"/>
    <mergeCell ref="AJ72:AL72"/>
    <mergeCell ref="S74:T74"/>
    <mergeCell ref="F72:I72"/>
    <mergeCell ref="K72:N72"/>
    <mergeCell ref="P72:R72"/>
    <mergeCell ref="S72:T72"/>
    <mergeCell ref="U72:Z72"/>
    <mergeCell ref="AA72:AF72"/>
    <mergeCell ref="U67:Z67"/>
    <mergeCell ref="AA67:AF67"/>
    <mergeCell ref="AG67:AI67"/>
    <mergeCell ref="AJ67:AL67"/>
    <mergeCell ref="S69:T69"/>
    <mergeCell ref="F71:H71"/>
    <mergeCell ref="L71:N71"/>
    <mergeCell ref="F66:H66"/>
    <mergeCell ref="L66:N66"/>
    <mergeCell ref="F67:I67"/>
    <mergeCell ref="K67:N67"/>
    <mergeCell ref="P67:R67"/>
    <mergeCell ref="S67:T67"/>
    <mergeCell ref="S62:T62"/>
    <mergeCell ref="U62:Z62"/>
    <mergeCell ref="AA62:AF62"/>
    <mergeCell ref="AG62:AI62"/>
    <mergeCell ref="AJ62:AL62"/>
    <mergeCell ref="S64:T64"/>
    <mergeCell ref="C60:E60"/>
    <mergeCell ref="F61:H61"/>
    <mergeCell ref="L61:N61"/>
    <mergeCell ref="F62:I62"/>
    <mergeCell ref="K62:N62"/>
    <mergeCell ref="P62:R62"/>
    <mergeCell ref="B54:C54"/>
    <mergeCell ref="B55:C55"/>
    <mergeCell ref="B56:C56"/>
    <mergeCell ref="B57:C57"/>
    <mergeCell ref="B58:C58"/>
    <mergeCell ref="B59:C59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12:C12"/>
    <mergeCell ref="B13:C13"/>
    <mergeCell ref="B14:C14"/>
    <mergeCell ref="B15:C15"/>
    <mergeCell ref="B16:C16"/>
    <mergeCell ref="B17:C17"/>
    <mergeCell ref="B6:C6"/>
    <mergeCell ref="B7:C7"/>
    <mergeCell ref="AP7:AP11"/>
    <mergeCell ref="B8:C8"/>
    <mergeCell ref="B9:C9"/>
    <mergeCell ref="B10:C10"/>
    <mergeCell ref="B11:C11"/>
    <mergeCell ref="CO4:CO5"/>
    <mergeCell ref="CP4:CP5"/>
    <mergeCell ref="BP4:BP5"/>
    <mergeCell ref="BQ4:BQ5"/>
    <mergeCell ref="BR4:BR5"/>
    <mergeCell ref="BS4:BS5"/>
    <mergeCell ref="BG4:BG5"/>
    <mergeCell ref="BH4:BH5"/>
    <mergeCell ref="BI4:BI5"/>
    <mergeCell ref="BJ4:BJ5"/>
    <mergeCell ref="BK4:BK5"/>
    <mergeCell ref="BL4:BL5"/>
    <mergeCell ref="AJ4:AL4"/>
    <mergeCell ref="AX4:AY4"/>
    <mergeCell ref="BB4:BB5"/>
    <mergeCell ref="BC4:BC5"/>
    <mergeCell ref="BE4:BE5"/>
    <mergeCell ref="CQ4:CQ5"/>
    <mergeCell ref="CR4:CR5"/>
    <mergeCell ref="CS4:CS5"/>
    <mergeCell ref="B5:C5"/>
    <mergeCell ref="CH4:CH5"/>
    <mergeCell ref="CI4:CI5"/>
    <mergeCell ref="CJ4:CJ5"/>
    <mergeCell ref="CK4:CK5"/>
    <mergeCell ref="CM4:CM5"/>
    <mergeCell ref="CN4:CN5"/>
    <mergeCell ref="CA4:CA5"/>
    <mergeCell ref="CB4:CB5"/>
    <mergeCell ref="CC4:CC5"/>
    <mergeCell ref="CD4:CD5"/>
    <mergeCell ref="CF4:CF5"/>
    <mergeCell ref="CG4:CG5"/>
    <mergeCell ref="BT4:BT5"/>
    <mergeCell ref="BV4:BV5"/>
    <mergeCell ref="BW4:BW5"/>
    <mergeCell ref="BX4:BX5"/>
    <mergeCell ref="BY4:BY5"/>
    <mergeCell ref="BZ4:BZ5"/>
    <mergeCell ref="BN4:BN5"/>
    <mergeCell ref="BO4:BO5"/>
    <mergeCell ref="BF4:BF5"/>
    <mergeCell ref="A2:E2"/>
    <mergeCell ref="CE3:CE5"/>
    <mergeCell ref="B4:D4"/>
    <mergeCell ref="F4:I4"/>
    <mergeCell ref="K4:N4"/>
    <mergeCell ref="P4:R4"/>
    <mergeCell ref="S4:T4"/>
    <mergeCell ref="U4:Z4"/>
    <mergeCell ref="AA4:AF4"/>
    <mergeCell ref="AG4:AI4"/>
  </mergeCells>
  <conditionalFormatting sqref="X6:X59">
    <cfRule type="cellIs" dxfId="85" priority="18" operator="notEqual">
      <formula>$U6+$V6+$W6</formula>
    </cfRule>
  </conditionalFormatting>
  <conditionalFormatting sqref="Y7:Y59">
    <cfRule type="cellIs" dxfId="84" priority="17" operator="notEqual">
      <formula>$Y6-$X7+$Z7</formula>
    </cfRule>
  </conditionalFormatting>
  <conditionalFormatting sqref="AD6:AD59">
    <cfRule type="cellIs" dxfId="83" priority="16" operator="notEqual">
      <formula>$AA6+$AB6+$AC6</formula>
    </cfRule>
  </conditionalFormatting>
  <conditionalFormatting sqref="AE7:AE59">
    <cfRule type="cellIs" dxfId="82" priority="15" operator="notEqual">
      <formula>$AE6-$AD7+$AF7</formula>
    </cfRule>
  </conditionalFormatting>
  <conditionalFormatting sqref="L66">
    <cfRule type="cellIs" dxfId="81" priority="14" operator="lessThan">
      <formula>$F$66</formula>
    </cfRule>
  </conditionalFormatting>
  <conditionalFormatting sqref="L71">
    <cfRule type="cellIs" dxfId="80" priority="13" operator="lessThan">
      <formula>$F$71</formula>
    </cfRule>
  </conditionalFormatting>
  <conditionalFormatting sqref="X64">
    <cfRule type="cellIs" dxfId="79" priority="12" operator="notEqual">
      <formula>$U64+$V64+$W64</formula>
    </cfRule>
  </conditionalFormatting>
  <conditionalFormatting sqref="Y64">
    <cfRule type="cellIs" dxfId="78" priority="11" operator="notEqual">
      <formula>$Y63-$X64+$Z64</formula>
    </cfRule>
  </conditionalFormatting>
  <conditionalFormatting sqref="AD64">
    <cfRule type="cellIs" dxfId="77" priority="10" operator="notEqual">
      <formula>$AA64+$AB64+$AC64</formula>
    </cfRule>
  </conditionalFormatting>
  <conditionalFormatting sqref="AE64">
    <cfRule type="cellIs" dxfId="76" priority="9" operator="notEqual">
      <formula>$AE63-$AD64+$AF64</formula>
    </cfRule>
  </conditionalFormatting>
  <conditionalFormatting sqref="X69">
    <cfRule type="cellIs" dxfId="75" priority="8" operator="notEqual">
      <formula>$U69+$V69+$W69</formula>
    </cfRule>
  </conditionalFormatting>
  <conditionalFormatting sqref="Y69">
    <cfRule type="cellIs" dxfId="74" priority="7" operator="notEqual">
      <formula>$Y68-$X69+$Z69</formula>
    </cfRule>
  </conditionalFormatting>
  <conditionalFormatting sqref="AD69">
    <cfRule type="cellIs" dxfId="73" priority="6" operator="notEqual">
      <formula>$AA69+$AB69+$AC69</formula>
    </cfRule>
  </conditionalFormatting>
  <conditionalFormatting sqref="AE69">
    <cfRule type="cellIs" dxfId="72" priority="5" operator="notEqual">
      <formula>$AE68-$AD69+$AF69</formula>
    </cfRule>
  </conditionalFormatting>
  <conditionalFormatting sqref="X74">
    <cfRule type="cellIs" dxfId="71" priority="4" operator="notEqual">
      <formula>$U74+$V74+$W74</formula>
    </cfRule>
  </conditionalFormatting>
  <conditionalFormatting sqref="Y74">
    <cfRule type="cellIs" dxfId="70" priority="3" operator="notEqual">
      <formula>$Y73-$X74+$Z74</formula>
    </cfRule>
  </conditionalFormatting>
  <conditionalFormatting sqref="AD74">
    <cfRule type="cellIs" dxfId="69" priority="2" operator="notEqual">
      <formula>$AA74+$AB74+$AC74</formula>
    </cfRule>
  </conditionalFormatting>
  <conditionalFormatting sqref="AE74">
    <cfRule type="cellIs" dxfId="68" priority="1" operator="notEqual">
      <formula>$AE73-$AD74+$AF74</formula>
    </cfRule>
  </conditionalFormatting>
  <dataValidations count="1">
    <dataValidation type="list" allowBlank="1" showInputMessage="1" showErrorMessage="1" sqref="L71 L61 F66:G66 L66 F71:G71 J5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1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3"/>
  <sheetViews>
    <sheetView zoomScale="75" zoomScaleNormal="75" workbookViewId="0">
      <pane xSplit="1" ySplit="5" topLeftCell="B52" activePane="bottomRight" state="frozen"/>
      <selection pane="topRight" activeCell="B1" sqref="B1"/>
      <selection pane="bottomLeft" activeCell="A6" sqref="A6"/>
      <selection pane="bottomRight" activeCell="F71" sqref="F71:H71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0.85546875" style="1" customWidth="1"/>
    <col min="22" max="22" width="10.7109375" style="1" customWidth="1"/>
    <col min="23" max="24" width="10.85546875" style="1" customWidth="1"/>
    <col min="25" max="25" width="15" style="1" customWidth="1"/>
    <col min="26" max="26" width="11.7109375" style="1" customWidth="1"/>
    <col min="27" max="30" width="10.7109375" style="1" customWidth="1"/>
    <col min="31" max="32" width="11.7109375" style="1" customWidth="1"/>
    <col min="33" max="36" width="10.7109375" style="1" customWidth="1"/>
    <col min="37" max="37" width="13.140625" style="1" customWidth="1"/>
    <col min="38" max="38" width="11.7109375" style="1" customWidth="1"/>
    <col min="39" max="39" width="10.85546875" style="1" customWidth="1"/>
    <col min="40" max="41" width="10.7109375" style="1" customWidth="1"/>
    <col min="42" max="42" width="10.85546875" style="1" customWidth="1"/>
    <col min="43" max="43" width="15" style="1" customWidth="1"/>
    <col min="44" max="44" width="11.7109375" style="1" customWidth="1"/>
    <col min="45" max="45" width="10.7109375" style="1" customWidth="1"/>
    <col min="46" max="46" width="10.85546875" style="1" customWidth="1"/>
    <col min="47" max="47" width="13.5703125" style="1" customWidth="1"/>
    <col min="48" max="49" width="10.28515625" style="1" customWidth="1"/>
    <col min="50" max="50" width="9.7109375" style="1" customWidth="1"/>
    <col min="51" max="51" width="9.140625" style="1"/>
    <col min="52" max="52" width="15" style="1" customWidth="1"/>
    <col min="53" max="53" width="18.85546875" style="1" customWidth="1"/>
    <col min="54" max="54" width="19.42578125" style="1" customWidth="1"/>
    <col min="55" max="55" width="9.140625" style="1"/>
    <col min="56" max="56" width="9.140625" style="1" customWidth="1"/>
    <col min="57" max="57" width="0" style="1" hidden="1" customWidth="1"/>
    <col min="58" max="58" width="9.140625" style="1" hidden="1" customWidth="1"/>
    <col min="59" max="59" width="0" style="1" hidden="1" customWidth="1"/>
    <col min="60" max="62" width="9.140625" style="1" hidden="1" customWidth="1"/>
    <col min="63" max="63" width="9.140625" style="1"/>
    <col min="64" max="66" width="0" style="1" hidden="1" customWidth="1"/>
    <col min="67" max="68" width="9.140625" style="1"/>
    <col min="69" max="69" width="0" style="1" hidden="1" customWidth="1"/>
    <col min="70" max="70" width="9.140625" style="1"/>
    <col min="71" max="71" width="0" style="1" hidden="1" customWidth="1"/>
    <col min="72" max="73" width="9.140625" style="1"/>
    <col min="74" max="74" width="0" style="1" hidden="1" customWidth="1"/>
    <col min="75" max="76" width="9.140625" style="1"/>
    <col min="77" max="77" width="0" style="1" hidden="1" customWidth="1"/>
    <col min="78" max="80" width="9.140625" style="1"/>
    <col min="81" max="81" width="0" style="1" hidden="1" customWidth="1"/>
    <col min="82" max="85" width="9.140625" style="1"/>
    <col min="86" max="86" width="0" style="1" hidden="1" customWidth="1"/>
    <col min="87" max="87" width="9.140625" style="1"/>
    <col min="88" max="92" width="0" style="1" hidden="1" customWidth="1"/>
    <col min="93" max="93" width="9.140625" style="1"/>
    <col min="94" max="94" width="0" style="1" hidden="1" customWidth="1"/>
    <col min="95" max="95" width="9.140625" style="1"/>
    <col min="96" max="101" width="0" style="1" hidden="1" customWidth="1"/>
    <col min="102" max="102" width="9.140625" style="1"/>
    <col min="103" max="105" width="0" style="1" hidden="1" customWidth="1"/>
    <col min="106" max="107" width="9.140625" style="1"/>
    <col min="108" max="108" width="0" style="1" hidden="1" customWidth="1"/>
    <col min="109" max="16384" width="9.140625" style="1"/>
  </cols>
  <sheetData>
    <row r="1" spans="1:123" ht="3" customHeight="1" x14ac:dyDescent="0.25"/>
    <row r="2" spans="1:123" ht="9" customHeight="1" thickBot="1" x14ac:dyDescent="0.3">
      <c r="A2" s="411"/>
      <c r="B2" s="411"/>
      <c r="C2" s="411"/>
      <c r="D2" s="411"/>
      <c r="E2" s="411"/>
    </row>
    <row r="3" spans="1:123" ht="12.75" customHeight="1" thickBot="1" x14ac:dyDescent="0.3">
      <c r="BC3" s="46"/>
      <c r="BD3" s="47"/>
      <c r="BE3" s="47"/>
      <c r="BF3" s="48"/>
      <c r="BG3" s="49"/>
      <c r="BH3" s="48"/>
      <c r="BI3" s="49"/>
      <c r="BJ3" s="49"/>
      <c r="BK3" s="46"/>
      <c r="BL3" s="50"/>
      <c r="BM3" s="50"/>
      <c r="BN3" s="51"/>
      <c r="BO3" s="49"/>
      <c r="BP3" s="47"/>
      <c r="BQ3" s="51"/>
      <c r="BR3" s="49"/>
      <c r="BS3" s="52"/>
      <c r="BT3" s="49"/>
      <c r="BU3" s="47"/>
      <c r="BV3" s="51"/>
      <c r="BW3" s="49"/>
      <c r="BX3" s="49"/>
      <c r="BY3" s="53"/>
      <c r="BZ3" s="54"/>
      <c r="CA3" s="54"/>
      <c r="CB3" s="54"/>
      <c r="CC3" s="48"/>
      <c r="CD3" s="54"/>
      <c r="CE3" s="54"/>
      <c r="CF3" s="54"/>
      <c r="CG3" s="53"/>
      <c r="CH3" s="52"/>
      <c r="CI3" s="47"/>
      <c r="CJ3" s="47"/>
      <c r="CK3" s="47"/>
      <c r="CL3" s="47"/>
      <c r="CM3" s="47"/>
      <c r="CN3" s="47"/>
      <c r="CO3" s="46"/>
      <c r="CP3" s="52"/>
      <c r="CQ3" s="412" t="s">
        <v>41</v>
      </c>
      <c r="CR3" s="55"/>
      <c r="CS3" s="55"/>
      <c r="CT3" s="55"/>
      <c r="CU3" s="55"/>
      <c r="CV3" s="55"/>
      <c r="CW3" s="55"/>
      <c r="CX3" s="50"/>
      <c r="CY3" s="56"/>
      <c r="CZ3" s="48"/>
      <c r="DA3" s="56"/>
      <c r="DB3" s="48"/>
      <c r="DC3" s="48"/>
      <c r="DD3" s="48"/>
      <c r="DE3" s="48"/>
    </row>
    <row r="4" spans="1:123" ht="25.5" customHeight="1" thickBot="1" x14ac:dyDescent="0.3">
      <c r="A4" s="224">
        <v>0</v>
      </c>
      <c r="B4" s="415" t="s">
        <v>142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139</v>
      </c>
      <c r="V4" s="418"/>
      <c r="W4" s="418"/>
      <c r="X4" s="418"/>
      <c r="Y4" s="418"/>
      <c r="Z4" s="423"/>
      <c r="AA4" s="417" t="s">
        <v>141</v>
      </c>
      <c r="AB4" s="418"/>
      <c r="AC4" s="418"/>
      <c r="AD4" s="418"/>
      <c r="AE4" s="418"/>
      <c r="AF4" s="423"/>
      <c r="AG4" s="417" t="s">
        <v>140</v>
      </c>
      <c r="AH4" s="418"/>
      <c r="AI4" s="418"/>
      <c r="AJ4" s="418"/>
      <c r="AK4" s="418"/>
      <c r="AL4" s="423"/>
      <c r="AM4" s="417" t="s">
        <v>24</v>
      </c>
      <c r="AN4" s="418"/>
      <c r="AO4" s="418"/>
      <c r="AP4" s="418"/>
      <c r="AQ4" s="418"/>
      <c r="AR4" s="423"/>
      <c r="AS4" s="417" t="s">
        <v>37</v>
      </c>
      <c r="AT4" s="418"/>
      <c r="AU4" s="424"/>
      <c r="AV4" s="417" t="s">
        <v>38</v>
      </c>
      <c r="AW4" s="418"/>
      <c r="AX4" s="424"/>
      <c r="BC4" s="336" t="s">
        <v>0</v>
      </c>
      <c r="BD4" s="57" t="s">
        <v>42</v>
      </c>
      <c r="BE4" s="57" t="s">
        <v>42</v>
      </c>
      <c r="BF4" s="58" t="s">
        <v>43</v>
      </c>
      <c r="BG4" s="59" t="s">
        <v>32</v>
      </c>
      <c r="BH4" s="58" t="s">
        <v>44</v>
      </c>
      <c r="BI4" s="59" t="s">
        <v>45</v>
      </c>
      <c r="BJ4" s="451" t="s">
        <v>46</v>
      </c>
      <c r="BK4" s="452"/>
      <c r="BL4" s="60"/>
      <c r="BM4" s="60"/>
      <c r="BN4" s="449" t="s">
        <v>47</v>
      </c>
      <c r="BO4" s="409" t="s">
        <v>48</v>
      </c>
      <c r="BP4" s="336" t="s">
        <v>49</v>
      </c>
      <c r="BQ4" s="449" t="s">
        <v>50</v>
      </c>
      <c r="BR4" s="409" t="s">
        <v>51</v>
      </c>
      <c r="BS4" s="445" t="s">
        <v>52</v>
      </c>
      <c r="BT4" s="409" t="s">
        <v>53</v>
      </c>
      <c r="BU4" s="447" t="s">
        <v>54</v>
      </c>
      <c r="BV4" s="449" t="s">
        <v>55</v>
      </c>
      <c r="BW4" s="409" t="s">
        <v>56</v>
      </c>
      <c r="BX4" s="409" t="s">
        <v>57</v>
      </c>
      <c r="BY4" s="61"/>
      <c r="BZ4" s="435" t="s">
        <v>58</v>
      </c>
      <c r="CA4" s="435" t="s">
        <v>59</v>
      </c>
      <c r="CB4" s="435" t="s">
        <v>60</v>
      </c>
      <c r="CC4" s="444"/>
      <c r="CD4" s="435" t="s">
        <v>61</v>
      </c>
      <c r="CE4" s="435" t="s">
        <v>62</v>
      </c>
      <c r="CF4" s="435" t="s">
        <v>63</v>
      </c>
      <c r="CG4" s="61"/>
      <c r="CH4" s="427" t="s">
        <v>64</v>
      </c>
      <c r="CI4" s="425" t="s">
        <v>65</v>
      </c>
      <c r="CJ4" s="427" t="s">
        <v>66</v>
      </c>
      <c r="CK4" s="427" t="s">
        <v>67</v>
      </c>
      <c r="CL4" s="425" t="s">
        <v>68</v>
      </c>
      <c r="CM4" s="425" t="s">
        <v>69</v>
      </c>
      <c r="CN4" s="425" t="s">
        <v>70</v>
      </c>
      <c r="CO4" s="427" t="s">
        <v>71</v>
      </c>
      <c r="CP4" s="431" t="s">
        <v>72</v>
      </c>
      <c r="CQ4" s="413"/>
      <c r="CR4" s="433" t="s">
        <v>73</v>
      </c>
      <c r="CS4" s="427" t="s">
        <v>74</v>
      </c>
      <c r="CT4" s="427" t="s">
        <v>75</v>
      </c>
      <c r="CU4" s="427" t="s">
        <v>76</v>
      </c>
      <c r="CV4" s="427" t="s">
        <v>77</v>
      </c>
      <c r="CW4" s="427" t="s">
        <v>78</v>
      </c>
      <c r="CX4" s="50"/>
      <c r="CY4" s="427" t="s">
        <v>79</v>
      </c>
      <c r="CZ4" s="425" t="s">
        <v>80</v>
      </c>
      <c r="DA4" s="427" t="s">
        <v>81</v>
      </c>
      <c r="DB4" s="425" t="s">
        <v>82</v>
      </c>
      <c r="DC4" s="425" t="s">
        <v>83</v>
      </c>
      <c r="DD4" s="427" t="s">
        <v>84</v>
      </c>
      <c r="DE4" s="425" t="s">
        <v>85</v>
      </c>
    </row>
    <row r="5" spans="1:123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42586.4375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42586.4375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35</v>
      </c>
      <c r="AD5" s="2" t="s">
        <v>36</v>
      </c>
      <c r="AE5" s="2" t="s">
        <v>15</v>
      </c>
      <c r="AF5" s="44" t="s">
        <v>19</v>
      </c>
      <c r="AG5" s="32" t="s">
        <v>21</v>
      </c>
      <c r="AH5" s="2" t="s">
        <v>22</v>
      </c>
      <c r="AI5" s="2" t="s">
        <v>35</v>
      </c>
      <c r="AJ5" s="2" t="s">
        <v>36</v>
      </c>
      <c r="AK5" s="2" t="s">
        <v>15</v>
      </c>
      <c r="AL5" s="44" t="s">
        <v>19</v>
      </c>
      <c r="AM5" s="7" t="s">
        <v>21</v>
      </c>
      <c r="AN5" s="2" t="s">
        <v>22</v>
      </c>
      <c r="AO5" s="2" t="s">
        <v>23</v>
      </c>
      <c r="AP5" s="2" t="s">
        <v>20</v>
      </c>
      <c r="AQ5" s="2" t="s">
        <v>15</v>
      </c>
      <c r="AR5" s="44" t="s">
        <v>19</v>
      </c>
      <c r="AS5" s="7" t="s">
        <v>13</v>
      </c>
      <c r="AT5" s="2" t="s">
        <v>14</v>
      </c>
      <c r="AU5" s="28" t="s">
        <v>7</v>
      </c>
      <c r="AV5" s="7" t="s">
        <v>91</v>
      </c>
      <c r="AW5" s="2" t="s">
        <v>92</v>
      </c>
      <c r="AX5" s="28" t="s">
        <v>26</v>
      </c>
      <c r="AY5" s="238" t="s">
        <v>102</v>
      </c>
      <c r="AZ5" s="34" t="s">
        <v>17</v>
      </c>
      <c r="BA5" s="35" t="s">
        <v>16</v>
      </c>
      <c r="BC5" s="62" t="s">
        <v>32</v>
      </c>
      <c r="BD5" s="63" t="s">
        <v>86</v>
      </c>
      <c r="BE5" s="63" t="s">
        <v>4</v>
      </c>
      <c r="BF5" s="64" t="s">
        <v>87</v>
      </c>
      <c r="BG5" s="65" t="s">
        <v>4</v>
      </c>
      <c r="BH5" s="64" t="s">
        <v>88</v>
      </c>
      <c r="BI5" s="65" t="s">
        <v>4</v>
      </c>
      <c r="BJ5" s="65" t="s">
        <v>32</v>
      </c>
      <c r="BK5" s="66" t="s">
        <v>89</v>
      </c>
      <c r="BL5" s="60"/>
      <c r="BM5" s="60"/>
      <c r="BN5" s="450"/>
      <c r="BO5" s="410"/>
      <c r="BP5" s="337" t="s">
        <v>32</v>
      </c>
      <c r="BQ5" s="450"/>
      <c r="BR5" s="410"/>
      <c r="BS5" s="446"/>
      <c r="BT5" s="410"/>
      <c r="BU5" s="448"/>
      <c r="BV5" s="450"/>
      <c r="BW5" s="410"/>
      <c r="BX5" s="410"/>
      <c r="BY5" s="67"/>
      <c r="BZ5" s="436"/>
      <c r="CA5" s="436"/>
      <c r="CB5" s="436"/>
      <c r="CC5" s="444"/>
      <c r="CD5" s="436"/>
      <c r="CE5" s="436"/>
      <c r="CF5" s="436"/>
      <c r="CG5" s="67"/>
      <c r="CH5" s="428"/>
      <c r="CI5" s="426"/>
      <c r="CJ5" s="428"/>
      <c r="CK5" s="428"/>
      <c r="CL5" s="426"/>
      <c r="CM5" s="426"/>
      <c r="CN5" s="426"/>
      <c r="CO5" s="428"/>
      <c r="CP5" s="432"/>
      <c r="CQ5" s="414"/>
      <c r="CR5" s="434"/>
      <c r="CS5" s="428"/>
      <c r="CT5" s="428"/>
      <c r="CU5" s="428"/>
      <c r="CV5" s="428"/>
      <c r="CW5" s="428"/>
      <c r="CX5" s="50"/>
      <c r="CY5" s="428"/>
      <c r="CZ5" s="426"/>
      <c r="DA5" s="428"/>
      <c r="DB5" s="426"/>
      <c r="DC5" s="426"/>
      <c r="DD5" s="428"/>
      <c r="DE5" s="426"/>
    </row>
    <row r="6" spans="1:123" ht="24" customHeight="1" thickBot="1" x14ac:dyDescent="0.3">
      <c r="A6" s="335" t="s">
        <v>103</v>
      </c>
      <c r="B6" s="437">
        <v>42548.5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0</v>
      </c>
      <c r="L6" s="38" t="s">
        <v>3</v>
      </c>
      <c r="M6" s="38" t="s">
        <v>3</v>
      </c>
      <c r="N6" s="219" t="s">
        <v>3</v>
      </c>
      <c r="O6" s="37" t="s">
        <v>3</v>
      </c>
      <c r="P6" s="339" t="s">
        <v>3</v>
      </c>
      <c r="Q6" s="338" t="s">
        <v>3</v>
      </c>
      <c r="R6" s="26" t="s">
        <v>3</v>
      </c>
      <c r="S6" s="40" t="str">
        <f>$A6</f>
        <v>PNOON</v>
      </c>
      <c r="T6" s="239">
        <f>$B6</f>
        <v>42548.5</v>
      </c>
      <c r="U6" s="340"/>
      <c r="V6" s="341"/>
      <c r="W6" s="341"/>
      <c r="X6" s="342">
        <f>U6+V6+W6</f>
        <v>0</v>
      </c>
      <c r="Y6" s="351">
        <v>561.44000000000005</v>
      </c>
      <c r="Z6" s="355"/>
      <c r="AA6" s="282"/>
      <c r="AB6" s="283"/>
      <c r="AC6" s="283"/>
      <c r="AD6" s="198">
        <f>AA6+AB6+AC6</f>
        <v>0</v>
      </c>
      <c r="AE6" s="153">
        <v>0</v>
      </c>
      <c r="AF6" s="284"/>
      <c r="AG6" s="366" t="str">
        <f t="shared" ref="AG6:AG59" si="0">IF(U6+AA6=0,"",U6+AA6)</f>
        <v/>
      </c>
      <c r="AH6" s="361" t="str">
        <f t="shared" ref="AH6" si="1">IF(V6+AB6=0,"",V6+AB6)</f>
        <v/>
      </c>
      <c r="AI6" s="361" t="str">
        <f t="shared" ref="AI6" si="2">IF(W6+AC6=0,"",W6+AC6)</f>
        <v/>
      </c>
      <c r="AJ6" s="367">
        <f>SUM(AG6:AI6)</f>
        <v>0</v>
      </c>
      <c r="AK6" s="368">
        <f>Y6+AE6</f>
        <v>561.44000000000005</v>
      </c>
      <c r="AL6" s="378">
        <f>Z6+AF6</f>
        <v>0</v>
      </c>
      <c r="AM6" s="285"/>
      <c r="AN6" s="286"/>
      <c r="AO6" s="286"/>
      <c r="AP6" s="201">
        <f>AM6+AN6+AO6</f>
        <v>0</v>
      </c>
      <c r="AQ6" s="144">
        <v>74.599999999999994</v>
      </c>
      <c r="AR6" s="287"/>
      <c r="AS6" s="288"/>
      <c r="AT6" s="289"/>
      <c r="AU6" s="135">
        <v>178</v>
      </c>
      <c r="AV6" s="290">
        <v>57780</v>
      </c>
      <c r="AW6" s="333">
        <v>31900</v>
      </c>
      <c r="AX6" s="334">
        <v>6720</v>
      </c>
      <c r="AY6" s="237"/>
      <c r="AZ6" s="399" t="str">
        <f>$A6</f>
        <v>PNOON</v>
      </c>
      <c r="BA6" s="243">
        <f>$B6</f>
        <v>42548.5</v>
      </c>
      <c r="BB6" s="45" t="s">
        <v>40</v>
      </c>
      <c r="BC6" s="98"/>
      <c r="BD6" s="99"/>
      <c r="BE6" s="99"/>
      <c r="BF6" s="100"/>
      <c r="BG6" s="101"/>
      <c r="BH6" s="100"/>
      <c r="BI6" s="101"/>
      <c r="BJ6" s="101"/>
      <c r="BK6" s="99"/>
      <c r="BL6" s="102"/>
      <c r="BM6" s="102"/>
      <c r="BN6" s="103"/>
      <c r="BO6" s="104"/>
      <c r="BP6" s="98"/>
      <c r="BQ6" s="105"/>
      <c r="BR6" s="104"/>
      <c r="BS6" s="106"/>
      <c r="BT6" s="104"/>
      <c r="BU6" s="98"/>
      <c r="BV6" s="105"/>
      <c r="BW6" s="104"/>
      <c r="BX6" s="104"/>
      <c r="BY6" s="107"/>
      <c r="BZ6" s="108"/>
      <c r="CA6" s="108"/>
      <c r="CB6" s="109"/>
      <c r="CC6" s="110"/>
      <c r="CD6" s="108"/>
      <c r="CE6" s="109"/>
      <c r="CF6" s="109"/>
      <c r="CG6" s="107"/>
      <c r="CH6" s="111"/>
      <c r="CI6" s="98"/>
      <c r="CJ6" s="112"/>
      <c r="CK6" s="113"/>
      <c r="CL6" s="114"/>
      <c r="CM6" s="114"/>
      <c r="CN6" s="114"/>
      <c r="CO6" s="99"/>
      <c r="CP6" s="115"/>
      <c r="CQ6" s="116"/>
      <c r="CR6" s="117"/>
      <c r="CS6" s="118"/>
      <c r="CT6" s="117"/>
      <c r="CU6" s="118"/>
      <c r="CV6" s="117"/>
      <c r="CW6" s="118"/>
      <c r="CX6" s="119"/>
      <c r="CY6" s="120"/>
      <c r="CZ6" s="121"/>
      <c r="DA6" s="120"/>
      <c r="DB6" s="121"/>
      <c r="DC6" s="121"/>
      <c r="DD6" s="100"/>
      <c r="DE6" s="121"/>
      <c r="DF6" s="91"/>
      <c r="DG6" s="230"/>
      <c r="DH6" s="231"/>
      <c r="DI6" s="232"/>
      <c r="DJ6" s="232"/>
      <c r="DK6" s="232"/>
      <c r="DL6" s="232"/>
      <c r="DM6" s="233"/>
      <c r="DN6" s="233"/>
      <c r="DO6" s="90"/>
      <c r="DP6" s="90"/>
      <c r="DQ6" s="90"/>
      <c r="DR6" s="90"/>
    </row>
    <row r="7" spans="1:123" ht="24" customHeight="1" x14ac:dyDescent="0.25">
      <c r="A7" s="83" t="s">
        <v>103</v>
      </c>
      <c r="B7" s="442">
        <v>42549.5</v>
      </c>
      <c r="C7" s="443"/>
      <c r="D7" s="84"/>
      <c r="E7" s="23"/>
      <c r="F7" s="15"/>
      <c r="G7" s="213"/>
      <c r="H7" s="27" t="str">
        <f>IF(F7=0,"",F7-F6+G7)</f>
        <v/>
      </c>
      <c r="I7" s="216" t="str">
        <f>IF(E7=0,"",$H7/$E7)</f>
        <v/>
      </c>
      <c r="J7" s="29" t="str">
        <f ca="1">IF($J$5&gt;=B7,"N/A",SUM(INDIRECT(ADDRESS(6+(MATCH($J$5,$B$6:$B$59,0)),8)):H7))</f>
        <v>N/A</v>
      </c>
      <c r="K7" s="10"/>
      <c r="L7" s="87"/>
      <c r="M7" s="4" t="str">
        <f>IF(K7="","",K6-K7+L7)</f>
        <v/>
      </c>
      <c r="N7" s="220" t="str">
        <f t="shared" ref="N7:N59" si="3">IF(E7=0,"",M7/E7)</f>
        <v/>
      </c>
      <c r="O7" s="30" t="str">
        <f ca="1">IF($O$5&gt;=B7,"N/A",SUM(INDIRECT(ADDRESS(6+(MATCH($O$5,$B$6:$B$59,0)),13)):M7))</f>
        <v>N/A</v>
      </c>
      <c r="P7" s="325"/>
      <c r="Q7" s="325"/>
      <c r="R7" s="325"/>
      <c r="S7" s="43" t="str">
        <f>IF($A7="","",$A7)</f>
        <v>PNOON</v>
      </c>
      <c r="T7" s="240">
        <f>IF($B7="","",$B7)</f>
        <v>42549.5</v>
      </c>
      <c r="U7" s="343"/>
      <c r="V7" s="344">
        <v>3.75</v>
      </c>
      <c r="W7" s="344">
        <v>2.62</v>
      </c>
      <c r="X7" s="342">
        <f>U7+V7+W7</f>
        <v>6.37</v>
      </c>
      <c r="Y7" s="352">
        <f>Y6-X7+Z7</f>
        <v>2555.0700000000002</v>
      </c>
      <c r="Z7" s="356">
        <v>2000</v>
      </c>
      <c r="AA7" s="291"/>
      <c r="AB7" s="292"/>
      <c r="AC7" s="292"/>
      <c r="AD7" s="198">
        <f>AA7+AB7+AC7</f>
        <v>0</v>
      </c>
      <c r="AE7" s="156">
        <f>AE6-AD7+AF7</f>
        <v>600</v>
      </c>
      <c r="AF7" s="320">
        <v>600</v>
      </c>
      <c r="AG7" s="373" t="str">
        <f t="shared" si="0"/>
        <v/>
      </c>
      <c r="AH7" s="374">
        <f t="shared" ref="AH7:AH59" si="4">IF(V7+AB7=0,"",V7+AB7)</f>
        <v>3.75</v>
      </c>
      <c r="AI7" s="374">
        <f t="shared" ref="AI7:AI59" si="5">IF(W7+AC7=0,"",W7+AC7)</f>
        <v>2.62</v>
      </c>
      <c r="AJ7" s="379">
        <f t="shared" ref="AJ7:AJ59" si="6">SUM(AG7:AI7)</f>
        <v>6.37</v>
      </c>
      <c r="AK7" s="369">
        <f>AK6-AJ7+AL7</f>
        <v>3155.07</v>
      </c>
      <c r="AL7" s="377">
        <f t="shared" ref="AL7:AL59" si="7">Z7+AF7</f>
        <v>2600</v>
      </c>
      <c r="AM7" s="321"/>
      <c r="AN7" s="322"/>
      <c r="AO7" s="322"/>
      <c r="AP7" s="323">
        <f t="shared" ref="AP7:AP59" si="8">AM7+AN7+AO7</f>
        <v>0</v>
      </c>
      <c r="AQ7" s="147">
        <f>AQ6-AP7+AR7</f>
        <v>74.599999999999994</v>
      </c>
      <c r="AR7" s="324"/>
      <c r="AS7" s="293">
        <v>3</v>
      </c>
      <c r="AT7" s="294"/>
      <c r="AU7" s="138">
        <f>AU6-AS7+AT7</f>
        <v>175</v>
      </c>
      <c r="AV7" s="295">
        <v>57780</v>
      </c>
      <c r="AW7" s="314">
        <v>31900</v>
      </c>
      <c r="AX7" s="315">
        <v>6690</v>
      </c>
      <c r="AY7" s="237" t="e">
        <f>((R7-H7)/H7)</f>
        <v>#VALUE!</v>
      </c>
      <c r="AZ7" s="400" t="str">
        <f>IF($A7="","",$A7)</f>
        <v>PNOON</v>
      </c>
      <c r="BA7" s="241">
        <f>IF($B7="","",$B7)</f>
        <v>42549.5</v>
      </c>
      <c r="BB7" s="441" t="s">
        <v>90</v>
      </c>
      <c r="BC7" s="98"/>
      <c r="BD7" s="99"/>
      <c r="BE7" s="99"/>
      <c r="BF7" s="100"/>
      <c r="BG7" s="101"/>
      <c r="BH7" s="100"/>
      <c r="BI7" s="101"/>
      <c r="BJ7" s="101"/>
      <c r="BK7" s="99"/>
      <c r="BL7" s="102"/>
      <c r="BM7" s="102"/>
      <c r="BN7" s="105"/>
      <c r="BO7" s="104"/>
      <c r="BP7" s="98"/>
      <c r="BQ7" s="105"/>
      <c r="BR7" s="104"/>
      <c r="BS7" s="106"/>
      <c r="BT7" s="104"/>
      <c r="BU7" s="98"/>
      <c r="BV7" s="105"/>
      <c r="BW7" s="104"/>
      <c r="BX7" s="104"/>
      <c r="BY7" s="107"/>
      <c r="BZ7" s="108"/>
      <c r="CA7" s="108"/>
      <c r="CB7" s="109"/>
      <c r="CC7" s="110"/>
      <c r="CD7" s="108"/>
      <c r="CE7" s="109"/>
      <c r="CF7" s="109"/>
      <c r="CG7" s="107"/>
      <c r="CH7" s="111"/>
      <c r="CI7" s="98"/>
      <c r="CJ7" s="113"/>
      <c r="CK7" s="113"/>
      <c r="CL7" s="114"/>
      <c r="CM7" s="114"/>
      <c r="CN7" s="114"/>
      <c r="CO7" s="99"/>
      <c r="CP7" s="111"/>
      <c r="CQ7" s="116"/>
      <c r="CR7" s="117"/>
      <c r="CS7" s="118"/>
      <c r="CT7" s="117"/>
      <c r="CU7" s="118"/>
      <c r="CV7" s="117"/>
      <c r="CW7" s="118"/>
      <c r="CX7" s="119"/>
      <c r="CY7" s="122"/>
      <c r="CZ7" s="121"/>
      <c r="DA7" s="120"/>
      <c r="DB7" s="121"/>
      <c r="DC7" s="121"/>
      <c r="DD7" s="100"/>
      <c r="DE7" s="121"/>
      <c r="DF7" s="91"/>
      <c r="DG7" s="234"/>
      <c r="DH7" s="235"/>
      <c r="DI7" s="232"/>
      <c r="DJ7" s="232"/>
      <c r="DK7" s="232"/>
      <c r="DL7" s="232"/>
      <c r="DM7" s="233"/>
      <c r="DN7" s="233"/>
      <c r="DO7" s="92"/>
      <c r="DP7" s="92"/>
      <c r="DQ7" s="92"/>
      <c r="DR7" s="92"/>
      <c r="DS7" s="68"/>
    </row>
    <row r="8" spans="1:123" ht="24" customHeight="1" x14ac:dyDescent="0.25">
      <c r="A8" s="83" t="s">
        <v>103</v>
      </c>
      <c r="B8" s="442">
        <v>42550.5</v>
      </c>
      <c r="C8" s="453"/>
      <c r="D8" s="84"/>
      <c r="E8" s="23"/>
      <c r="F8" s="15"/>
      <c r="G8" s="213"/>
      <c r="H8" s="27" t="str">
        <f t="shared" ref="H8:H59" si="9">IF(F8=0,"",F8-F7+G8)</f>
        <v/>
      </c>
      <c r="I8" s="216" t="str">
        <f t="shared" ref="I8:I59" si="10">IF(E8=0,"",$H8/$E8)</f>
        <v/>
      </c>
      <c r="J8" s="29" t="str">
        <f ca="1">IF($J$5&gt;=B8,"N/A",SUM(INDIRECT(ADDRESS(6+(MATCH($J$5,$B$6:$B$59,0)),8)):H8))</f>
        <v>N/A</v>
      </c>
      <c r="K8" s="10"/>
      <c r="L8" s="87"/>
      <c r="M8" s="4" t="str">
        <f t="shared" ref="M8:M59" si="11">IF(K8="","",K7-K8+L8)</f>
        <v/>
      </c>
      <c r="N8" s="220" t="str">
        <f t="shared" si="3"/>
        <v/>
      </c>
      <c r="O8" s="30" t="str">
        <f ca="1">IF($O$5&gt;=B8,"N/A",SUM(INDIRECT(ADDRESS(6+(MATCH($O$5,$B$6:$B$59,0)),13)):M8))</f>
        <v>N/A</v>
      </c>
      <c r="P8" s="325"/>
      <c r="Q8" s="325"/>
      <c r="R8" s="325"/>
      <c r="S8" s="70" t="str">
        <f t="shared" ref="S8:S59" si="12">IF($A8="","",$A8)</f>
        <v>PNOON</v>
      </c>
      <c r="T8" s="241">
        <f t="shared" ref="T8:T59" si="13">IF($B8="","",$B8)</f>
        <v>42550.5</v>
      </c>
      <c r="U8" s="345"/>
      <c r="V8" s="346">
        <v>3.6</v>
      </c>
      <c r="W8" s="346">
        <v>2.6</v>
      </c>
      <c r="X8" s="347">
        <f t="shared" ref="X8:X59" si="14">U8+V8+W8</f>
        <v>6.2</v>
      </c>
      <c r="Y8" s="353">
        <f t="shared" ref="Y8:Y59" si="15">Y7-X8+Z8</f>
        <v>2548.8700000000003</v>
      </c>
      <c r="Z8" s="357"/>
      <c r="AA8" s="296"/>
      <c r="AB8" s="297"/>
      <c r="AC8" s="297"/>
      <c r="AD8" s="199">
        <f t="shared" ref="AD8:AD14" si="16">AA8+AB8+AC8</f>
        <v>0</v>
      </c>
      <c r="AE8" s="159">
        <f t="shared" ref="AE8:AE59" si="17">AE7-AD8+AF8</f>
        <v>600</v>
      </c>
      <c r="AF8" s="298"/>
      <c r="AG8" s="372" t="str">
        <f t="shared" si="0"/>
        <v/>
      </c>
      <c r="AH8" s="363">
        <f t="shared" si="4"/>
        <v>3.6</v>
      </c>
      <c r="AI8" s="363">
        <f t="shared" si="5"/>
        <v>2.6</v>
      </c>
      <c r="AJ8" s="362">
        <f t="shared" si="6"/>
        <v>6.2</v>
      </c>
      <c r="AK8" s="370">
        <f t="shared" ref="AK8:AK59" si="18">AK7-AJ8+AL8</f>
        <v>3148.8700000000003</v>
      </c>
      <c r="AL8" s="375">
        <f t="shared" si="7"/>
        <v>0</v>
      </c>
      <c r="AM8" s="299"/>
      <c r="AN8" s="300"/>
      <c r="AO8" s="300"/>
      <c r="AP8" s="203">
        <f t="shared" si="8"/>
        <v>0</v>
      </c>
      <c r="AQ8" s="150">
        <f t="shared" ref="AQ8:AQ59" si="19">AQ7-AP8+AR8</f>
        <v>74.599999999999994</v>
      </c>
      <c r="AR8" s="301"/>
      <c r="AS8" s="302">
        <v>3</v>
      </c>
      <c r="AT8" s="303"/>
      <c r="AU8" s="141">
        <f>AU7-AS8+AT8</f>
        <v>172</v>
      </c>
      <c r="AV8" s="304">
        <v>57780</v>
      </c>
      <c r="AW8" s="316">
        <v>31900</v>
      </c>
      <c r="AX8" s="317">
        <v>6660</v>
      </c>
      <c r="AY8" s="237" t="e">
        <f t="shared" ref="AY8:AY20" si="20">((R8-H8)/H8)</f>
        <v>#VALUE!</v>
      </c>
      <c r="AZ8" s="400" t="str">
        <f t="shared" ref="AZ8:AZ59" si="21">IF($A8="","",$A8)</f>
        <v>PNOON</v>
      </c>
      <c r="BA8" s="241">
        <f t="shared" ref="BA8:BA59" si="22">IF($B8="","",$B8)</f>
        <v>42550.5</v>
      </c>
      <c r="BB8" s="441"/>
      <c r="BC8" s="98"/>
      <c r="BD8" s="99"/>
      <c r="BE8" s="99"/>
      <c r="BF8" s="100"/>
      <c r="BG8" s="101"/>
      <c r="BH8" s="100"/>
      <c r="BI8" s="101"/>
      <c r="BJ8" s="101"/>
      <c r="BK8" s="99"/>
      <c r="BL8" s="102"/>
      <c r="BM8" s="102"/>
      <c r="BN8" s="105"/>
      <c r="BO8" s="104"/>
      <c r="BP8" s="98"/>
      <c r="BQ8" s="105"/>
      <c r="BR8" s="104"/>
      <c r="BS8" s="106"/>
      <c r="BT8" s="104"/>
      <c r="BU8" s="98"/>
      <c r="BV8" s="105"/>
      <c r="BW8" s="104"/>
      <c r="BX8" s="104"/>
      <c r="BY8" s="107"/>
      <c r="BZ8" s="108"/>
      <c r="CA8" s="108"/>
      <c r="CB8" s="109"/>
      <c r="CC8" s="110"/>
      <c r="CD8" s="108"/>
      <c r="CE8" s="109"/>
      <c r="CF8" s="109"/>
      <c r="CG8" s="107"/>
      <c r="CH8" s="111"/>
      <c r="CI8" s="98"/>
      <c r="CJ8" s="113"/>
      <c r="CK8" s="113"/>
      <c r="CL8" s="114"/>
      <c r="CM8" s="114"/>
      <c r="CN8" s="114"/>
      <c r="CO8" s="99"/>
      <c r="CP8" s="115"/>
      <c r="CQ8" s="116"/>
      <c r="CR8" s="117"/>
      <c r="CS8" s="118"/>
      <c r="CT8" s="117"/>
      <c r="CU8" s="118"/>
      <c r="CV8" s="117"/>
      <c r="CW8" s="118"/>
      <c r="CX8" s="119"/>
      <c r="CY8" s="122"/>
      <c r="CZ8" s="121"/>
      <c r="DA8" s="120"/>
      <c r="DB8" s="121"/>
      <c r="DC8" s="121"/>
      <c r="DD8" s="100"/>
      <c r="DE8" s="121"/>
      <c r="DF8" s="91"/>
      <c r="DG8" s="230"/>
      <c r="DH8" s="231"/>
      <c r="DI8" s="232"/>
      <c r="DJ8" s="232"/>
      <c r="DK8" s="232"/>
      <c r="DL8" s="232"/>
      <c r="DM8" s="236"/>
      <c r="DN8" s="236"/>
      <c r="DO8" s="90"/>
      <c r="DP8" s="90"/>
      <c r="DQ8" s="90"/>
      <c r="DR8" s="90"/>
    </row>
    <row r="9" spans="1:123" ht="24" customHeight="1" x14ac:dyDescent="0.25">
      <c r="A9" s="83" t="s">
        <v>103</v>
      </c>
      <c r="B9" s="442">
        <v>42551.5</v>
      </c>
      <c r="C9" s="443"/>
      <c r="D9" s="84"/>
      <c r="E9" s="23"/>
      <c r="F9" s="15"/>
      <c r="G9" s="213"/>
      <c r="H9" s="27" t="str">
        <f t="shared" si="9"/>
        <v/>
      </c>
      <c r="I9" s="216" t="str">
        <f t="shared" si="10"/>
        <v/>
      </c>
      <c r="J9" s="29" t="str">
        <f ca="1">IF($J$5&gt;=B9,"N/A",SUM(INDIRECT(ADDRESS(6+(MATCH($J$5,$B$6:$B$59,0)),8)):H9))</f>
        <v>N/A</v>
      </c>
      <c r="K9" s="10"/>
      <c r="L9" s="87"/>
      <c r="M9" s="4" t="str">
        <f t="shared" si="11"/>
        <v/>
      </c>
      <c r="N9" s="220" t="str">
        <f t="shared" si="3"/>
        <v/>
      </c>
      <c r="O9" s="30" t="str">
        <f ca="1">IF($O$5&gt;=B9,"N/A",SUM(INDIRECT(ADDRESS(6+(MATCH($O$5,$B$6:$B$59,0)),13)):M9))</f>
        <v>N/A</v>
      </c>
      <c r="P9" s="325"/>
      <c r="Q9" s="325"/>
      <c r="R9" s="325"/>
      <c r="S9" s="70" t="str">
        <f t="shared" si="12"/>
        <v>PNOON</v>
      </c>
      <c r="T9" s="241">
        <f t="shared" si="13"/>
        <v>42551.5</v>
      </c>
      <c r="U9" s="345"/>
      <c r="V9" s="346">
        <v>3.6</v>
      </c>
      <c r="W9" s="346">
        <v>2.54</v>
      </c>
      <c r="X9" s="347">
        <f t="shared" si="14"/>
        <v>6.1400000000000006</v>
      </c>
      <c r="Y9" s="353">
        <f t="shared" si="15"/>
        <v>2542.7300000000005</v>
      </c>
      <c r="Z9" s="357"/>
      <c r="AA9" s="296"/>
      <c r="AB9" s="297"/>
      <c r="AC9" s="297"/>
      <c r="AD9" s="199">
        <f t="shared" si="16"/>
        <v>0</v>
      </c>
      <c r="AE9" s="159">
        <f t="shared" si="17"/>
        <v>600</v>
      </c>
      <c r="AF9" s="298"/>
      <c r="AG9" s="372" t="str">
        <f t="shared" si="0"/>
        <v/>
      </c>
      <c r="AH9" s="363">
        <f t="shared" si="4"/>
        <v>3.6</v>
      </c>
      <c r="AI9" s="363">
        <f t="shared" si="5"/>
        <v>2.54</v>
      </c>
      <c r="AJ9" s="362">
        <f t="shared" si="6"/>
        <v>6.1400000000000006</v>
      </c>
      <c r="AK9" s="370">
        <f t="shared" si="18"/>
        <v>3142.7300000000005</v>
      </c>
      <c r="AL9" s="375">
        <f t="shared" si="7"/>
        <v>0</v>
      </c>
      <c r="AM9" s="299"/>
      <c r="AN9" s="300"/>
      <c r="AO9" s="300"/>
      <c r="AP9" s="203">
        <f t="shared" si="8"/>
        <v>0</v>
      </c>
      <c r="AQ9" s="150">
        <f t="shared" si="19"/>
        <v>74.599999999999994</v>
      </c>
      <c r="AR9" s="301"/>
      <c r="AS9" s="302">
        <v>3</v>
      </c>
      <c r="AT9" s="303"/>
      <c r="AU9" s="141">
        <f t="shared" ref="AU9:AU59" si="23">AU8-AS9+AT9</f>
        <v>169</v>
      </c>
      <c r="AV9" s="304">
        <v>57780</v>
      </c>
      <c r="AW9" s="316">
        <v>31900</v>
      </c>
      <c r="AX9" s="317">
        <v>6630</v>
      </c>
      <c r="AY9" s="237" t="e">
        <f t="shared" si="20"/>
        <v>#VALUE!</v>
      </c>
      <c r="AZ9" s="400" t="str">
        <f t="shared" si="21"/>
        <v>PNOON</v>
      </c>
      <c r="BA9" s="241">
        <f t="shared" si="22"/>
        <v>42551.5</v>
      </c>
      <c r="BB9" s="441"/>
      <c r="BC9" s="98"/>
      <c r="BD9" s="99"/>
      <c r="BE9" s="99"/>
      <c r="BF9" s="100"/>
      <c r="BG9" s="101"/>
      <c r="BH9" s="100"/>
      <c r="BI9" s="101"/>
      <c r="BJ9" s="101"/>
      <c r="BK9" s="99"/>
      <c r="BL9" s="102"/>
      <c r="BM9" s="102"/>
      <c r="BN9" s="105"/>
      <c r="BO9" s="104"/>
      <c r="BP9" s="98"/>
      <c r="BQ9" s="105"/>
      <c r="BR9" s="104"/>
      <c r="BS9" s="106"/>
      <c r="BT9" s="104"/>
      <c r="BU9" s="98"/>
      <c r="BV9" s="105"/>
      <c r="BW9" s="104"/>
      <c r="BX9" s="104"/>
      <c r="BY9" s="107"/>
      <c r="BZ9" s="108"/>
      <c r="CA9" s="108"/>
      <c r="CB9" s="109"/>
      <c r="CC9" s="110"/>
      <c r="CD9" s="108"/>
      <c r="CE9" s="109"/>
      <c r="CF9" s="109"/>
      <c r="CG9" s="107"/>
      <c r="CH9" s="111"/>
      <c r="CI9" s="98"/>
      <c r="CJ9" s="113"/>
      <c r="CK9" s="113"/>
      <c r="CL9" s="114"/>
      <c r="CM9" s="114"/>
      <c r="CN9" s="114"/>
      <c r="CO9" s="99"/>
      <c r="CP9" s="111"/>
      <c r="CQ9" s="116"/>
      <c r="CR9" s="117"/>
      <c r="CS9" s="118"/>
      <c r="CT9" s="117"/>
      <c r="CU9" s="118"/>
      <c r="CV9" s="117"/>
      <c r="CW9" s="118"/>
      <c r="CX9" s="119"/>
      <c r="CY9" s="122"/>
      <c r="CZ9" s="121"/>
      <c r="DA9" s="120"/>
      <c r="DB9" s="121"/>
      <c r="DC9" s="121"/>
      <c r="DD9" s="100"/>
      <c r="DE9" s="121"/>
      <c r="DF9" s="91"/>
      <c r="DG9" s="230"/>
      <c r="DH9" s="231"/>
      <c r="DI9" s="232"/>
      <c r="DJ9" s="232"/>
      <c r="DK9" s="232"/>
      <c r="DL9" s="232"/>
      <c r="DM9" s="236"/>
      <c r="DN9" s="236"/>
      <c r="DO9" s="90"/>
      <c r="DP9" s="90"/>
      <c r="DQ9" s="90"/>
      <c r="DR9" s="90"/>
    </row>
    <row r="10" spans="1:123" ht="24" customHeight="1" x14ac:dyDescent="0.25">
      <c r="A10" s="83" t="s">
        <v>103</v>
      </c>
      <c r="B10" s="442">
        <v>42552.5</v>
      </c>
      <c r="C10" s="443"/>
      <c r="D10" s="84"/>
      <c r="E10" s="23"/>
      <c r="F10" s="15"/>
      <c r="G10" s="213"/>
      <c r="H10" s="27" t="str">
        <f t="shared" si="9"/>
        <v/>
      </c>
      <c r="I10" s="216" t="str">
        <f t="shared" si="10"/>
        <v/>
      </c>
      <c r="J10" s="29" t="str">
        <f ca="1">IF($J$5&gt;=B10,"N/A",SUM(INDIRECT(ADDRESS(6+(MATCH($J$5,$B$6:$B$59,0)),8)):H10))</f>
        <v>N/A</v>
      </c>
      <c r="K10" s="10"/>
      <c r="L10" s="88"/>
      <c r="M10" s="4" t="str">
        <f t="shared" si="11"/>
        <v/>
      </c>
      <c r="N10" s="220" t="str">
        <f t="shared" si="3"/>
        <v/>
      </c>
      <c r="O10" s="30" t="str">
        <f ca="1">IF($O$5&gt;=B10,"N/A",SUM(INDIRECT(ADDRESS(6+(MATCH($O$5,$B$6:$B$59,0)),13)):M10))</f>
        <v>N/A</v>
      </c>
      <c r="P10" s="325"/>
      <c r="Q10" s="325"/>
      <c r="R10" s="325"/>
      <c r="S10" s="70" t="str">
        <f t="shared" si="12"/>
        <v>PNOON</v>
      </c>
      <c r="T10" s="241">
        <f t="shared" si="13"/>
        <v>42552.5</v>
      </c>
      <c r="U10" s="345"/>
      <c r="V10" s="346">
        <v>3.51</v>
      </c>
      <c r="W10" s="346">
        <v>2.56</v>
      </c>
      <c r="X10" s="347">
        <f t="shared" si="14"/>
        <v>6.07</v>
      </c>
      <c r="Y10" s="353">
        <f t="shared" si="15"/>
        <v>2536.6600000000003</v>
      </c>
      <c r="Z10" s="357"/>
      <c r="AA10" s="296"/>
      <c r="AB10" s="297"/>
      <c r="AC10" s="297"/>
      <c r="AD10" s="199">
        <f t="shared" si="16"/>
        <v>0</v>
      </c>
      <c r="AE10" s="159">
        <f t="shared" si="17"/>
        <v>600</v>
      </c>
      <c r="AF10" s="298"/>
      <c r="AG10" s="372" t="str">
        <f t="shared" si="0"/>
        <v/>
      </c>
      <c r="AH10" s="363">
        <f t="shared" si="4"/>
        <v>3.51</v>
      </c>
      <c r="AI10" s="363">
        <f t="shared" si="5"/>
        <v>2.56</v>
      </c>
      <c r="AJ10" s="362">
        <f t="shared" si="6"/>
        <v>6.07</v>
      </c>
      <c r="AK10" s="370">
        <f t="shared" si="18"/>
        <v>3136.6600000000003</v>
      </c>
      <c r="AL10" s="375">
        <f t="shared" si="7"/>
        <v>0</v>
      </c>
      <c r="AM10" s="299"/>
      <c r="AN10" s="300"/>
      <c r="AO10" s="300"/>
      <c r="AP10" s="203">
        <f t="shared" si="8"/>
        <v>0</v>
      </c>
      <c r="AQ10" s="150">
        <f t="shared" si="19"/>
        <v>74.599999999999994</v>
      </c>
      <c r="AR10" s="301"/>
      <c r="AS10" s="302">
        <v>3</v>
      </c>
      <c r="AT10" s="303"/>
      <c r="AU10" s="141">
        <f t="shared" si="23"/>
        <v>166</v>
      </c>
      <c r="AV10" s="304">
        <v>57780</v>
      </c>
      <c r="AW10" s="316">
        <v>31900</v>
      </c>
      <c r="AX10" s="317">
        <v>6600</v>
      </c>
      <c r="AY10" s="237" t="e">
        <f t="shared" si="20"/>
        <v>#VALUE!</v>
      </c>
      <c r="AZ10" s="400" t="str">
        <f t="shared" si="21"/>
        <v>PNOON</v>
      </c>
      <c r="BA10" s="241">
        <f t="shared" si="22"/>
        <v>42552.5</v>
      </c>
      <c r="BB10" s="441"/>
      <c r="BC10" s="98"/>
      <c r="BD10" s="99"/>
      <c r="BE10" s="99"/>
      <c r="BF10" s="100"/>
      <c r="BG10" s="101"/>
      <c r="BH10" s="100"/>
      <c r="BI10" s="101"/>
      <c r="BJ10" s="101"/>
      <c r="BK10" s="99"/>
      <c r="BL10" s="102"/>
      <c r="BM10" s="102"/>
      <c r="BN10" s="103"/>
      <c r="BO10" s="104"/>
      <c r="BP10" s="98"/>
      <c r="BQ10" s="105"/>
      <c r="BR10" s="104"/>
      <c r="BS10" s="115"/>
      <c r="BT10" s="104"/>
      <c r="BU10" s="98"/>
      <c r="BV10" s="105"/>
      <c r="BW10" s="104"/>
      <c r="BX10" s="104"/>
      <c r="BY10" s="107"/>
      <c r="BZ10" s="108"/>
      <c r="CA10" s="108"/>
      <c r="CB10" s="109"/>
      <c r="CC10" s="110"/>
      <c r="CD10" s="108"/>
      <c r="CE10" s="109"/>
      <c r="CF10" s="109"/>
      <c r="CG10" s="107"/>
      <c r="CH10" s="111"/>
      <c r="CI10" s="98"/>
      <c r="CJ10" s="113"/>
      <c r="CK10" s="113"/>
      <c r="CL10" s="114"/>
      <c r="CM10" s="114"/>
      <c r="CN10" s="114"/>
      <c r="CO10" s="99"/>
      <c r="CP10" s="115"/>
      <c r="CQ10" s="116"/>
      <c r="CR10" s="117"/>
      <c r="CS10" s="118"/>
      <c r="CT10" s="117"/>
      <c r="CU10" s="118"/>
      <c r="CV10" s="117"/>
      <c r="CW10" s="118"/>
      <c r="CX10" s="119"/>
      <c r="CY10" s="120"/>
      <c r="CZ10" s="121"/>
      <c r="DA10" s="120"/>
      <c r="DB10" s="121"/>
      <c r="DC10" s="121"/>
      <c r="DD10" s="100"/>
      <c r="DE10" s="121"/>
      <c r="DF10" s="91"/>
      <c r="DG10" s="230"/>
      <c r="DH10" s="231"/>
      <c r="DI10" s="232"/>
      <c r="DJ10" s="232"/>
      <c r="DK10" s="232"/>
      <c r="DL10" s="232"/>
      <c r="DM10" s="236"/>
      <c r="DN10" s="236"/>
      <c r="DO10" s="90"/>
      <c r="DP10" s="90"/>
      <c r="DQ10" s="90"/>
      <c r="DR10" s="90"/>
    </row>
    <row r="11" spans="1:123" ht="24" customHeight="1" x14ac:dyDescent="0.25">
      <c r="A11" s="83" t="s">
        <v>103</v>
      </c>
      <c r="B11" s="442">
        <v>42553.5</v>
      </c>
      <c r="C11" s="443"/>
      <c r="D11" s="84"/>
      <c r="E11" s="23"/>
      <c r="F11" s="15"/>
      <c r="G11" s="213"/>
      <c r="H11" s="27" t="str">
        <f t="shared" si="9"/>
        <v/>
      </c>
      <c r="I11" s="216" t="str">
        <f t="shared" si="10"/>
        <v/>
      </c>
      <c r="J11" s="29" t="str">
        <f ca="1">IF($J$5&gt;=B11,"N/A",SUM(INDIRECT(ADDRESS(6+(MATCH($J$5,$B$6:$B$59,0)),8)):H11))</f>
        <v>N/A</v>
      </c>
      <c r="K11" s="10"/>
      <c r="L11" s="88"/>
      <c r="M11" s="4" t="str">
        <f t="shared" si="11"/>
        <v/>
      </c>
      <c r="N11" s="220" t="str">
        <f t="shared" si="3"/>
        <v/>
      </c>
      <c r="O11" s="30" t="str">
        <f ca="1">IF($O$5&gt;=B11,"N/A",SUM(INDIRECT(ADDRESS(6+(MATCH($O$5,$B$6:$B$59,0)),13)):M11))</f>
        <v>N/A</v>
      </c>
      <c r="P11" s="325"/>
      <c r="Q11" s="325"/>
      <c r="R11" s="325"/>
      <c r="S11" s="70" t="str">
        <f t="shared" si="12"/>
        <v>PNOON</v>
      </c>
      <c r="T11" s="241">
        <f t="shared" si="13"/>
        <v>42553.5</v>
      </c>
      <c r="U11" s="345"/>
      <c r="V11" s="346">
        <v>4.84</v>
      </c>
      <c r="W11" s="346">
        <v>2.6</v>
      </c>
      <c r="X11" s="347">
        <f t="shared" si="14"/>
        <v>7.4399999999999995</v>
      </c>
      <c r="Y11" s="353">
        <f t="shared" si="15"/>
        <v>2529.2200000000003</v>
      </c>
      <c r="Z11" s="357"/>
      <c r="AA11" s="296"/>
      <c r="AB11" s="297"/>
      <c r="AC11" s="297"/>
      <c r="AD11" s="199">
        <f t="shared" si="16"/>
        <v>0</v>
      </c>
      <c r="AE11" s="159">
        <f t="shared" si="17"/>
        <v>600</v>
      </c>
      <c r="AF11" s="298"/>
      <c r="AG11" s="372" t="str">
        <f t="shared" si="0"/>
        <v/>
      </c>
      <c r="AH11" s="363">
        <f t="shared" si="4"/>
        <v>4.84</v>
      </c>
      <c r="AI11" s="363">
        <f t="shared" si="5"/>
        <v>2.6</v>
      </c>
      <c r="AJ11" s="362">
        <f t="shared" si="6"/>
        <v>7.4399999999999995</v>
      </c>
      <c r="AK11" s="370">
        <f t="shared" si="18"/>
        <v>3129.2200000000003</v>
      </c>
      <c r="AL11" s="375">
        <f t="shared" si="7"/>
        <v>0</v>
      </c>
      <c r="AM11" s="299"/>
      <c r="AN11" s="300"/>
      <c r="AO11" s="300"/>
      <c r="AP11" s="203">
        <f t="shared" si="8"/>
        <v>0</v>
      </c>
      <c r="AQ11" s="150">
        <f t="shared" si="19"/>
        <v>74.599999999999994</v>
      </c>
      <c r="AR11" s="301"/>
      <c r="AS11" s="302">
        <v>3</v>
      </c>
      <c r="AT11" s="303"/>
      <c r="AU11" s="141">
        <f t="shared" si="23"/>
        <v>163</v>
      </c>
      <c r="AV11" s="304">
        <v>57780</v>
      </c>
      <c r="AW11" s="316">
        <v>31900</v>
      </c>
      <c r="AX11" s="317">
        <v>6575</v>
      </c>
      <c r="AY11" s="237" t="e">
        <f t="shared" si="20"/>
        <v>#VALUE!</v>
      </c>
      <c r="AZ11" s="400" t="str">
        <f t="shared" si="21"/>
        <v>PNOON</v>
      </c>
      <c r="BA11" s="241">
        <f t="shared" si="22"/>
        <v>42553.5</v>
      </c>
      <c r="BB11" s="441"/>
      <c r="BC11" s="98"/>
      <c r="BD11" s="99"/>
      <c r="BE11" s="99"/>
      <c r="BF11" s="100"/>
      <c r="BG11" s="101"/>
      <c r="BH11" s="100"/>
      <c r="BI11" s="101"/>
      <c r="BJ11" s="101"/>
      <c r="BK11" s="99"/>
      <c r="BL11" s="102"/>
      <c r="BM11" s="102"/>
      <c r="BN11" s="103"/>
      <c r="BO11" s="104"/>
      <c r="BP11" s="98"/>
      <c r="BQ11" s="105"/>
      <c r="BR11" s="104"/>
      <c r="BS11" s="115"/>
      <c r="BT11" s="104"/>
      <c r="BU11" s="98"/>
      <c r="BV11" s="105"/>
      <c r="BW11" s="104"/>
      <c r="BX11" s="104"/>
      <c r="BY11" s="107"/>
      <c r="BZ11" s="108"/>
      <c r="CA11" s="108"/>
      <c r="CB11" s="109"/>
      <c r="CC11" s="110"/>
      <c r="CD11" s="108"/>
      <c r="CE11" s="109"/>
      <c r="CF11" s="109"/>
      <c r="CG11" s="107"/>
      <c r="CH11" s="111"/>
      <c r="CI11" s="98"/>
      <c r="CJ11" s="113"/>
      <c r="CK11" s="113"/>
      <c r="CL11" s="114"/>
      <c r="CM11" s="114"/>
      <c r="CN11" s="114"/>
      <c r="CO11" s="99"/>
      <c r="CP11" s="115"/>
      <c r="CQ11" s="116"/>
      <c r="CR11" s="117"/>
      <c r="CS11" s="118"/>
      <c r="CT11" s="117"/>
      <c r="CU11" s="118"/>
      <c r="CV11" s="117"/>
      <c r="CW11" s="118"/>
      <c r="CX11" s="119"/>
      <c r="CY11" s="120"/>
      <c r="CZ11" s="121"/>
      <c r="DA11" s="120"/>
      <c r="DB11" s="121"/>
      <c r="DC11" s="121"/>
      <c r="DD11" s="100"/>
      <c r="DE11" s="121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</row>
    <row r="12" spans="1:123" ht="24" customHeight="1" x14ac:dyDescent="0.25">
      <c r="A12" s="83" t="s">
        <v>103</v>
      </c>
      <c r="B12" s="442">
        <v>42554.5</v>
      </c>
      <c r="C12" s="443"/>
      <c r="D12" s="84"/>
      <c r="E12" s="23"/>
      <c r="F12" s="15"/>
      <c r="G12" s="213"/>
      <c r="H12" s="27" t="str">
        <f t="shared" si="9"/>
        <v/>
      </c>
      <c r="I12" s="216" t="str">
        <f t="shared" si="10"/>
        <v/>
      </c>
      <c r="J12" s="29" t="str">
        <f ca="1">IF($J$5&gt;=B12,"N/A",SUM(INDIRECT(ADDRESS(6+(MATCH($J$5,$B$6:$B$59,0)),8)):H12))</f>
        <v>N/A</v>
      </c>
      <c r="K12" s="10"/>
      <c r="L12" s="88"/>
      <c r="M12" s="4" t="str">
        <f t="shared" si="11"/>
        <v/>
      </c>
      <c r="N12" s="220" t="str">
        <f t="shared" si="3"/>
        <v/>
      </c>
      <c r="O12" s="30" t="str">
        <f ca="1">IF($O$5&gt;=B12,"N/A",SUM(INDIRECT(ADDRESS(6+(MATCH($O$5,$B$6:$B$59,0)),13)):M12))</f>
        <v>N/A</v>
      </c>
      <c r="P12" s="325"/>
      <c r="Q12" s="325"/>
      <c r="R12" s="325"/>
      <c r="S12" s="70" t="str">
        <f t="shared" si="12"/>
        <v>PNOON</v>
      </c>
      <c r="T12" s="241">
        <f t="shared" si="13"/>
        <v>42554.5</v>
      </c>
      <c r="U12" s="345"/>
      <c r="V12" s="346">
        <v>3.68</v>
      </c>
      <c r="W12" s="346">
        <v>2.61</v>
      </c>
      <c r="X12" s="347">
        <f t="shared" si="14"/>
        <v>6.29</v>
      </c>
      <c r="Y12" s="353">
        <f t="shared" si="15"/>
        <v>2522.9300000000003</v>
      </c>
      <c r="Z12" s="357"/>
      <c r="AA12" s="296"/>
      <c r="AB12" s="297"/>
      <c r="AC12" s="297"/>
      <c r="AD12" s="199">
        <f t="shared" si="16"/>
        <v>0</v>
      </c>
      <c r="AE12" s="159">
        <f t="shared" si="17"/>
        <v>600</v>
      </c>
      <c r="AF12" s="298"/>
      <c r="AG12" s="372" t="str">
        <f t="shared" si="0"/>
        <v/>
      </c>
      <c r="AH12" s="363">
        <f t="shared" si="4"/>
        <v>3.68</v>
      </c>
      <c r="AI12" s="363">
        <f t="shared" si="5"/>
        <v>2.61</v>
      </c>
      <c r="AJ12" s="362">
        <f t="shared" si="6"/>
        <v>6.29</v>
      </c>
      <c r="AK12" s="370">
        <f t="shared" si="18"/>
        <v>3122.9300000000003</v>
      </c>
      <c r="AL12" s="375">
        <f t="shared" si="7"/>
        <v>0</v>
      </c>
      <c r="AM12" s="299"/>
      <c r="AN12" s="300"/>
      <c r="AO12" s="300"/>
      <c r="AP12" s="203">
        <f t="shared" si="8"/>
        <v>0</v>
      </c>
      <c r="AQ12" s="150">
        <f t="shared" si="19"/>
        <v>74.599999999999994</v>
      </c>
      <c r="AR12" s="301"/>
      <c r="AS12" s="302">
        <v>3</v>
      </c>
      <c r="AT12" s="303"/>
      <c r="AU12" s="141">
        <f t="shared" si="23"/>
        <v>160</v>
      </c>
      <c r="AV12" s="304">
        <v>57780</v>
      </c>
      <c r="AW12" s="316">
        <v>31900</v>
      </c>
      <c r="AX12" s="317">
        <v>6550</v>
      </c>
      <c r="AY12" s="237" t="e">
        <f t="shared" si="20"/>
        <v>#VALUE!</v>
      </c>
      <c r="AZ12" s="400" t="str">
        <f t="shared" si="21"/>
        <v>PNOON</v>
      </c>
      <c r="BA12" s="241">
        <f t="shared" si="22"/>
        <v>42554.5</v>
      </c>
      <c r="BB12" s="45" t="s">
        <v>40</v>
      </c>
      <c r="BC12" s="98"/>
      <c r="BD12" s="99"/>
      <c r="BE12" s="99"/>
      <c r="BF12" s="100"/>
      <c r="BG12" s="101"/>
      <c r="BH12" s="100"/>
      <c r="BI12" s="101"/>
      <c r="BJ12" s="101"/>
      <c r="BK12" s="99"/>
      <c r="BL12" s="102"/>
      <c r="BM12" s="102"/>
      <c r="BN12" s="103"/>
      <c r="BO12" s="104"/>
      <c r="BP12" s="98"/>
      <c r="BQ12" s="105"/>
      <c r="BR12" s="104"/>
      <c r="BS12" s="115"/>
      <c r="BT12" s="104"/>
      <c r="BU12" s="98"/>
      <c r="BV12" s="105"/>
      <c r="BW12" s="104"/>
      <c r="BX12" s="104"/>
      <c r="BY12" s="107"/>
      <c r="BZ12" s="108"/>
      <c r="CA12" s="108"/>
      <c r="CB12" s="109"/>
      <c r="CC12" s="110"/>
      <c r="CD12" s="108"/>
      <c r="CE12" s="109"/>
      <c r="CF12" s="109"/>
      <c r="CG12" s="107"/>
      <c r="CH12" s="111"/>
      <c r="CI12" s="98"/>
      <c r="CJ12" s="113"/>
      <c r="CK12" s="113"/>
      <c r="CL12" s="114"/>
      <c r="CM12" s="114"/>
      <c r="CN12" s="114"/>
      <c r="CO12" s="99"/>
      <c r="CP12" s="115"/>
      <c r="CQ12" s="116"/>
      <c r="CR12" s="117"/>
      <c r="CS12" s="118"/>
      <c r="CT12" s="117"/>
      <c r="CU12" s="118"/>
      <c r="CV12" s="117"/>
      <c r="CW12" s="118"/>
      <c r="CX12" s="119"/>
      <c r="CY12" s="120"/>
      <c r="CZ12" s="121"/>
      <c r="DA12" s="120"/>
      <c r="DB12" s="121"/>
      <c r="DC12" s="121"/>
      <c r="DD12" s="100"/>
      <c r="DE12" s="121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</row>
    <row r="13" spans="1:123" ht="24" customHeight="1" x14ac:dyDescent="0.25">
      <c r="A13" s="83" t="s">
        <v>103</v>
      </c>
      <c r="B13" s="442">
        <v>42555.5</v>
      </c>
      <c r="C13" s="443"/>
      <c r="D13" s="84"/>
      <c r="E13" s="23"/>
      <c r="F13" s="15"/>
      <c r="G13" s="213"/>
      <c r="H13" s="27" t="str">
        <f t="shared" si="9"/>
        <v/>
      </c>
      <c r="I13" s="216" t="str">
        <f t="shared" si="10"/>
        <v/>
      </c>
      <c r="J13" s="29" t="str">
        <f ca="1">IF($J$5&gt;=B13,"N/A",SUM(INDIRECT(ADDRESS(6+(MATCH($J$5,$B$6:$B$59,0)),8)):H13))</f>
        <v>N/A</v>
      </c>
      <c r="K13" s="10"/>
      <c r="L13" s="88"/>
      <c r="M13" s="4" t="str">
        <f t="shared" si="11"/>
        <v/>
      </c>
      <c r="N13" s="220" t="str">
        <f t="shared" si="3"/>
        <v/>
      </c>
      <c r="O13" s="30" t="str">
        <f ca="1">IF($O$5&gt;=B13,"N/A",SUM(INDIRECT(ADDRESS(6+(MATCH($O$5,$B$6:$B$59,0)),13)):M13))</f>
        <v>N/A</v>
      </c>
      <c r="P13" s="325"/>
      <c r="Q13" s="325"/>
      <c r="R13" s="325"/>
      <c r="S13" s="70" t="str">
        <f t="shared" si="12"/>
        <v>PNOON</v>
      </c>
      <c r="T13" s="241">
        <f t="shared" si="13"/>
        <v>42555.5</v>
      </c>
      <c r="U13" s="345"/>
      <c r="V13" s="346">
        <v>3.63</v>
      </c>
      <c r="W13" s="346">
        <v>2.56</v>
      </c>
      <c r="X13" s="347">
        <f t="shared" si="14"/>
        <v>6.1899999999999995</v>
      </c>
      <c r="Y13" s="353">
        <f t="shared" si="15"/>
        <v>2516.7400000000002</v>
      </c>
      <c r="Z13" s="357"/>
      <c r="AA13" s="296"/>
      <c r="AB13" s="297"/>
      <c r="AC13" s="297"/>
      <c r="AD13" s="199">
        <f t="shared" si="16"/>
        <v>0</v>
      </c>
      <c r="AE13" s="159">
        <f t="shared" si="17"/>
        <v>600</v>
      </c>
      <c r="AF13" s="298"/>
      <c r="AG13" s="372" t="str">
        <f t="shared" si="0"/>
        <v/>
      </c>
      <c r="AH13" s="363">
        <f t="shared" si="4"/>
        <v>3.63</v>
      </c>
      <c r="AI13" s="363">
        <f t="shared" si="5"/>
        <v>2.56</v>
      </c>
      <c r="AJ13" s="362">
        <f t="shared" si="6"/>
        <v>6.1899999999999995</v>
      </c>
      <c r="AK13" s="370">
        <f t="shared" si="18"/>
        <v>3116.7400000000002</v>
      </c>
      <c r="AL13" s="375">
        <f t="shared" si="7"/>
        <v>0</v>
      </c>
      <c r="AM13" s="299"/>
      <c r="AN13" s="300"/>
      <c r="AO13" s="300"/>
      <c r="AP13" s="203">
        <f t="shared" si="8"/>
        <v>0</v>
      </c>
      <c r="AQ13" s="150">
        <f t="shared" si="19"/>
        <v>74.599999999999994</v>
      </c>
      <c r="AR13" s="301"/>
      <c r="AS13" s="302">
        <v>3</v>
      </c>
      <c r="AT13" s="303"/>
      <c r="AU13" s="141">
        <f t="shared" si="23"/>
        <v>157</v>
      </c>
      <c r="AV13" s="304">
        <v>57780</v>
      </c>
      <c r="AW13" s="316">
        <v>31900</v>
      </c>
      <c r="AX13" s="317">
        <v>6525</v>
      </c>
      <c r="AY13" s="237" t="e">
        <f t="shared" si="20"/>
        <v>#VALUE!</v>
      </c>
      <c r="AZ13" s="400" t="str">
        <f t="shared" si="21"/>
        <v>PNOON</v>
      </c>
      <c r="BA13" s="241">
        <f t="shared" si="22"/>
        <v>42555.5</v>
      </c>
      <c r="BB13" s="45" t="s">
        <v>40</v>
      </c>
      <c r="BC13" s="98"/>
      <c r="BD13" s="99"/>
      <c r="BE13" s="99"/>
      <c r="BF13" s="100"/>
      <c r="BG13" s="101"/>
      <c r="BH13" s="100"/>
      <c r="BI13" s="101"/>
      <c r="BJ13" s="101"/>
      <c r="BK13" s="99"/>
      <c r="BL13" s="102"/>
      <c r="BM13" s="102"/>
      <c r="BN13" s="103"/>
      <c r="BO13" s="104"/>
      <c r="BP13" s="98"/>
      <c r="BQ13" s="105"/>
      <c r="BR13" s="104"/>
      <c r="BS13" s="115"/>
      <c r="BT13" s="104"/>
      <c r="BU13" s="98"/>
      <c r="BV13" s="105"/>
      <c r="BW13" s="104"/>
      <c r="BX13" s="104"/>
      <c r="BY13" s="107"/>
      <c r="BZ13" s="108"/>
      <c r="CA13" s="108"/>
      <c r="CB13" s="109"/>
      <c r="CC13" s="110"/>
      <c r="CD13" s="108"/>
      <c r="CE13" s="109"/>
      <c r="CF13" s="109"/>
      <c r="CG13" s="107"/>
      <c r="CH13" s="111"/>
      <c r="CI13" s="98"/>
      <c r="CJ13" s="113"/>
      <c r="CK13" s="113"/>
      <c r="CL13" s="114"/>
      <c r="CM13" s="114"/>
      <c r="CN13" s="114"/>
      <c r="CO13" s="99"/>
      <c r="CP13" s="115"/>
      <c r="CQ13" s="116"/>
      <c r="CR13" s="117"/>
      <c r="CS13" s="118"/>
      <c r="CT13" s="117"/>
      <c r="CU13" s="118"/>
      <c r="CV13" s="117"/>
      <c r="CW13" s="118"/>
      <c r="CX13" s="119"/>
      <c r="CY13" s="120"/>
      <c r="CZ13" s="121"/>
      <c r="DA13" s="120"/>
      <c r="DB13" s="121"/>
      <c r="DC13" s="121"/>
      <c r="DD13" s="100"/>
      <c r="DE13" s="121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</row>
    <row r="14" spans="1:123" ht="24" customHeight="1" x14ac:dyDescent="0.25">
      <c r="A14" s="83" t="s">
        <v>103</v>
      </c>
      <c r="B14" s="442">
        <v>42556.5</v>
      </c>
      <c r="C14" s="443"/>
      <c r="D14" s="84"/>
      <c r="E14" s="23"/>
      <c r="F14" s="15"/>
      <c r="G14" s="213"/>
      <c r="H14" s="27" t="str">
        <f t="shared" si="9"/>
        <v/>
      </c>
      <c r="I14" s="216" t="str">
        <f t="shared" si="10"/>
        <v/>
      </c>
      <c r="J14" s="29" t="str">
        <f ca="1">IF($J$5&gt;=B14,"N/A",SUM(INDIRECT(ADDRESS(6+(MATCH($J$5,$B$6:$B$59,0)),8)):H14))</f>
        <v>N/A</v>
      </c>
      <c r="K14" s="10"/>
      <c r="L14" s="88"/>
      <c r="M14" s="4" t="str">
        <f t="shared" si="11"/>
        <v/>
      </c>
      <c r="N14" s="220" t="str">
        <f t="shared" si="3"/>
        <v/>
      </c>
      <c r="O14" s="30" t="str">
        <f ca="1">IF($O$5&gt;=B14,"N/A",SUM(INDIRECT(ADDRESS(6+(MATCH($O$5,$B$6:$B$59,0)),13)):M14))</f>
        <v>N/A</v>
      </c>
      <c r="P14" s="325"/>
      <c r="Q14" s="325"/>
      <c r="R14" s="325"/>
      <c r="S14" s="70" t="str">
        <f t="shared" si="12"/>
        <v>PNOON</v>
      </c>
      <c r="T14" s="241">
        <f t="shared" si="13"/>
        <v>42556.5</v>
      </c>
      <c r="U14" s="345"/>
      <c r="V14" s="346">
        <v>3.7</v>
      </c>
      <c r="W14" s="346">
        <v>2.66</v>
      </c>
      <c r="X14" s="347">
        <f t="shared" si="14"/>
        <v>6.36</v>
      </c>
      <c r="Y14" s="353">
        <f t="shared" si="15"/>
        <v>2510.38</v>
      </c>
      <c r="Z14" s="357"/>
      <c r="AA14" s="296"/>
      <c r="AB14" s="297"/>
      <c r="AC14" s="297"/>
      <c r="AD14" s="199">
        <f t="shared" si="16"/>
        <v>0</v>
      </c>
      <c r="AE14" s="159">
        <f t="shared" si="17"/>
        <v>600</v>
      </c>
      <c r="AF14" s="298"/>
      <c r="AG14" s="372" t="str">
        <f t="shared" si="0"/>
        <v/>
      </c>
      <c r="AH14" s="363">
        <f t="shared" si="4"/>
        <v>3.7</v>
      </c>
      <c r="AI14" s="363">
        <f t="shared" si="5"/>
        <v>2.66</v>
      </c>
      <c r="AJ14" s="362">
        <f t="shared" si="6"/>
        <v>6.36</v>
      </c>
      <c r="AK14" s="370">
        <f t="shared" si="18"/>
        <v>3110.38</v>
      </c>
      <c r="AL14" s="375">
        <f t="shared" si="7"/>
        <v>0</v>
      </c>
      <c r="AM14" s="299"/>
      <c r="AN14" s="300"/>
      <c r="AO14" s="300"/>
      <c r="AP14" s="203">
        <f t="shared" si="8"/>
        <v>0</v>
      </c>
      <c r="AQ14" s="150">
        <f t="shared" si="19"/>
        <v>74.599999999999994</v>
      </c>
      <c r="AR14" s="301"/>
      <c r="AS14" s="302">
        <v>3</v>
      </c>
      <c r="AT14" s="303"/>
      <c r="AU14" s="141">
        <f t="shared" si="23"/>
        <v>154</v>
      </c>
      <c r="AV14" s="304">
        <v>57780</v>
      </c>
      <c r="AW14" s="316">
        <v>31900</v>
      </c>
      <c r="AX14" s="317">
        <v>6500</v>
      </c>
      <c r="AY14" s="237" t="e">
        <f t="shared" si="20"/>
        <v>#VALUE!</v>
      </c>
      <c r="AZ14" s="400" t="str">
        <f t="shared" si="21"/>
        <v>PNOON</v>
      </c>
      <c r="BA14" s="241">
        <f t="shared" si="22"/>
        <v>42556.5</v>
      </c>
      <c r="BB14" s="45" t="s">
        <v>40</v>
      </c>
      <c r="BC14" s="98"/>
      <c r="BD14" s="99"/>
      <c r="BE14" s="99"/>
      <c r="BF14" s="100"/>
      <c r="BG14" s="101"/>
      <c r="BH14" s="100"/>
      <c r="BI14" s="101"/>
      <c r="BJ14" s="101"/>
      <c r="BK14" s="99"/>
      <c r="BL14" s="102"/>
      <c r="BM14" s="102"/>
      <c r="BN14" s="103"/>
      <c r="BO14" s="104"/>
      <c r="BP14" s="98"/>
      <c r="BQ14" s="105"/>
      <c r="BR14" s="104"/>
      <c r="BS14" s="115"/>
      <c r="BT14" s="104"/>
      <c r="BU14" s="98"/>
      <c r="BV14" s="105"/>
      <c r="BW14" s="104"/>
      <c r="BX14" s="104"/>
      <c r="BY14" s="107"/>
      <c r="BZ14" s="108"/>
      <c r="CA14" s="108"/>
      <c r="CB14" s="109"/>
      <c r="CC14" s="110"/>
      <c r="CD14" s="108"/>
      <c r="CE14" s="109"/>
      <c r="CF14" s="109"/>
      <c r="CG14" s="107"/>
      <c r="CH14" s="111"/>
      <c r="CI14" s="98"/>
      <c r="CJ14" s="113"/>
      <c r="CK14" s="113"/>
      <c r="CL14" s="114"/>
      <c r="CM14" s="114"/>
      <c r="CN14" s="114"/>
      <c r="CO14" s="99"/>
      <c r="CP14" s="115"/>
      <c r="CQ14" s="116"/>
      <c r="CR14" s="117"/>
      <c r="CS14" s="118"/>
      <c r="CT14" s="117"/>
      <c r="CU14" s="118"/>
      <c r="CV14" s="117"/>
      <c r="CW14" s="118"/>
      <c r="CX14" s="119"/>
      <c r="CY14" s="120"/>
      <c r="CZ14" s="121"/>
      <c r="DA14" s="120"/>
      <c r="DB14" s="121"/>
      <c r="DC14" s="121"/>
      <c r="DD14" s="100"/>
      <c r="DE14" s="121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</row>
    <row r="15" spans="1:123" ht="24" customHeight="1" x14ac:dyDescent="0.25">
      <c r="A15" s="83" t="s">
        <v>103</v>
      </c>
      <c r="B15" s="442">
        <v>42557.5</v>
      </c>
      <c r="C15" s="453"/>
      <c r="D15" s="84"/>
      <c r="E15" s="23"/>
      <c r="F15" s="15"/>
      <c r="G15" s="213"/>
      <c r="H15" s="27" t="str">
        <f t="shared" si="9"/>
        <v/>
      </c>
      <c r="I15" s="216" t="str">
        <f t="shared" si="10"/>
        <v/>
      </c>
      <c r="J15" s="29" t="str">
        <f ca="1">IF($J$5&gt;=B15,"N/A",SUM(INDIRECT(ADDRESS(6+(MATCH($J$5,$B$6:$B$59,0)),8)):H15))</f>
        <v>N/A</v>
      </c>
      <c r="K15" s="10"/>
      <c r="L15" s="88"/>
      <c r="M15" s="4" t="str">
        <f t="shared" si="11"/>
        <v/>
      </c>
      <c r="N15" s="220" t="str">
        <f t="shared" si="3"/>
        <v/>
      </c>
      <c r="O15" s="30" t="str">
        <f ca="1">IF($O$5&gt;=B15,"N/A",SUM(INDIRECT(ADDRESS(6+(MATCH($O$5,$B$6:$B$59,0)),13)):M15))</f>
        <v>N/A</v>
      </c>
      <c r="P15" s="325"/>
      <c r="Q15" s="325"/>
      <c r="R15" s="325"/>
      <c r="S15" s="70" t="str">
        <f t="shared" si="12"/>
        <v>PNOON</v>
      </c>
      <c r="T15" s="241">
        <f t="shared" si="13"/>
        <v>42557.5</v>
      </c>
      <c r="U15" s="345"/>
      <c r="V15" s="346">
        <v>3.68</v>
      </c>
      <c r="W15" s="346">
        <v>2.7</v>
      </c>
      <c r="X15" s="347">
        <f>U15+V15+W15</f>
        <v>6.3800000000000008</v>
      </c>
      <c r="Y15" s="353">
        <f t="shared" si="15"/>
        <v>2504</v>
      </c>
      <c r="Z15" s="357"/>
      <c r="AA15" s="296"/>
      <c r="AB15" s="297"/>
      <c r="AC15" s="297"/>
      <c r="AD15" s="199">
        <f>AA15+AB15+AC15</f>
        <v>0</v>
      </c>
      <c r="AE15" s="159">
        <f t="shared" si="17"/>
        <v>600</v>
      </c>
      <c r="AF15" s="298"/>
      <c r="AG15" s="372" t="str">
        <f t="shared" si="0"/>
        <v/>
      </c>
      <c r="AH15" s="363">
        <f t="shared" si="4"/>
        <v>3.68</v>
      </c>
      <c r="AI15" s="363">
        <f t="shared" si="5"/>
        <v>2.7</v>
      </c>
      <c r="AJ15" s="362">
        <f t="shared" si="6"/>
        <v>6.3800000000000008</v>
      </c>
      <c r="AK15" s="370">
        <f t="shared" si="18"/>
        <v>3104</v>
      </c>
      <c r="AL15" s="375">
        <f t="shared" si="7"/>
        <v>0</v>
      </c>
      <c r="AM15" s="299"/>
      <c r="AN15" s="300"/>
      <c r="AO15" s="300"/>
      <c r="AP15" s="203">
        <f t="shared" si="8"/>
        <v>0</v>
      </c>
      <c r="AQ15" s="150">
        <f t="shared" si="19"/>
        <v>74.599999999999994</v>
      </c>
      <c r="AR15" s="301"/>
      <c r="AS15" s="302">
        <v>3</v>
      </c>
      <c r="AT15" s="303"/>
      <c r="AU15" s="141">
        <f t="shared" si="23"/>
        <v>151</v>
      </c>
      <c r="AV15" s="304">
        <v>57780</v>
      </c>
      <c r="AW15" s="316">
        <v>31900</v>
      </c>
      <c r="AX15" s="317">
        <v>6475</v>
      </c>
      <c r="AY15" s="237" t="e">
        <f t="shared" si="20"/>
        <v>#VALUE!</v>
      </c>
      <c r="AZ15" s="400" t="str">
        <f t="shared" si="21"/>
        <v>PNOON</v>
      </c>
      <c r="BA15" s="241">
        <f t="shared" si="22"/>
        <v>42557.5</v>
      </c>
      <c r="BB15" s="45" t="s">
        <v>40</v>
      </c>
      <c r="BC15" s="98"/>
      <c r="BD15" s="99"/>
      <c r="BE15" s="99"/>
      <c r="BF15" s="100"/>
      <c r="BG15" s="101"/>
      <c r="BH15" s="100"/>
      <c r="BI15" s="101"/>
      <c r="BJ15" s="101"/>
      <c r="BK15" s="99"/>
      <c r="BL15" s="102"/>
      <c r="BM15" s="102"/>
      <c r="BN15" s="103"/>
      <c r="BO15" s="104"/>
      <c r="BP15" s="98"/>
      <c r="BQ15" s="105"/>
      <c r="BR15" s="104"/>
      <c r="BS15" s="115"/>
      <c r="BT15" s="104"/>
      <c r="BU15" s="98"/>
      <c r="BV15" s="105"/>
      <c r="BW15" s="104"/>
      <c r="BX15" s="104"/>
      <c r="BY15" s="107"/>
      <c r="BZ15" s="108"/>
      <c r="CA15" s="108"/>
      <c r="CB15" s="109"/>
      <c r="CC15" s="110"/>
      <c r="CD15" s="108"/>
      <c r="CE15" s="109"/>
      <c r="CF15" s="109"/>
      <c r="CG15" s="107"/>
      <c r="CH15" s="111"/>
      <c r="CI15" s="98"/>
      <c r="CJ15" s="113"/>
      <c r="CK15" s="113"/>
      <c r="CL15" s="114"/>
      <c r="CM15" s="114"/>
      <c r="CN15" s="114"/>
      <c r="CO15" s="99"/>
      <c r="CP15" s="115"/>
      <c r="CQ15" s="116"/>
      <c r="CR15" s="117"/>
      <c r="CS15" s="118"/>
      <c r="CT15" s="117"/>
      <c r="CU15" s="118"/>
      <c r="CV15" s="117"/>
      <c r="CW15" s="118"/>
      <c r="CX15" s="119"/>
      <c r="CY15" s="120"/>
      <c r="CZ15" s="121"/>
      <c r="DA15" s="120"/>
      <c r="DB15" s="121"/>
      <c r="DC15" s="121"/>
      <c r="DD15" s="100"/>
      <c r="DE15" s="121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</row>
    <row r="16" spans="1:123" ht="24" customHeight="1" x14ac:dyDescent="0.25">
      <c r="A16" s="83" t="s">
        <v>103</v>
      </c>
      <c r="B16" s="442">
        <v>42558.5</v>
      </c>
      <c r="C16" s="453"/>
      <c r="D16" s="84"/>
      <c r="E16" s="23"/>
      <c r="F16" s="15"/>
      <c r="G16" s="213"/>
      <c r="H16" s="27" t="str">
        <f t="shared" si="9"/>
        <v/>
      </c>
      <c r="I16" s="216" t="str">
        <f t="shared" si="10"/>
        <v/>
      </c>
      <c r="J16" s="29" t="str">
        <f ca="1">IF($J$5&gt;=B16,"N/A",SUM(INDIRECT(ADDRESS(6+(MATCH($J$5,$B$6:$B$59,0)),8)):H16))</f>
        <v>N/A</v>
      </c>
      <c r="K16" s="10"/>
      <c r="L16" s="88"/>
      <c r="M16" s="4" t="str">
        <f t="shared" si="11"/>
        <v/>
      </c>
      <c r="N16" s="220" t="str">
        <f t="shared" si="3"/>
        <v/>
      </c>
      <c r="O16" s="30" t="str">
        <f ca="1">IF($O$5&gt;=B16,"N/A",SUM(INDIRECT(ADDRESS(6+(MATCH($O$5,$B$6:$B$59,0)),13)):M16))</f>
        <v>N/A</v>
      </c>
      <c r="P16" s="325"/>
      <c r="Q16" s="325"/>
      <c r="R16" s="325"/>
      <c r="S16" s="70" t="str">
        <f t="shared" si="12"/>
        <v>PNOON</v>
      </c>
      <c r="T16" s="241">
        <f t="shared" si="13"/>
        <v>42558.5</v>
      </c>
      <c r="U16" s="345"/>
      <c r="V16" s="346">
        <v>3.77</v>
      </c>
      <c r="W16" s="346">
        <v>2.61</v>
      </c>
      <c r="X16" s="347">
        <f t="shared" si="14"/>
        <v>6.38</v>
      </c>
      <c r="Y16" s="353">
        <f t="shared" si="15"/>
        <v>2497.62</v>
      </c>
      <c r="Z16" s="357"/>
      <c r="AA16" s="296"/>
      <c r="AB16" s="297"/>
      <c r="AC16" s="297"/>
      <c r="AD16" s="199">
        <f t="shared" ref="AD16:AD59" si="24">AA16+AB16+AC16</f>
        <v>0</v>
      </c>
      <c r="AE16" s="159">
        <f t="shared" si="17"/>
        <v>600</v>
      </c>
      <c r="AF16" s="298"/>
      <c r="AG16" s="372" t="str">
        <f t="shared" si="0"/>
        <v/>
      </c>
      <c r="AH16" s="363">
        <f t="shared" si="4"/>
        <v>3.77</v>
      </c>
      <c r="AI16" s="363">
        <f t="shared" si="5"/>
        <v>2.61</v>
      </c>
      <c r="AJ16" s="362">
        <f t="shared" si="6"/>
        <v>6.38</v>
      </c>
      <c r="AK16" s="370">
        <f t="shared" si="18"/>
        <v>3097.62</v>
      </c>
      <c r="AL16" s="375">
        <f t="shared" si="7"/>
        <v>0</v>
      </c>
      <c r="AM16" s="299"/>
      <c r="AN16" s="300"/>
      <c r="AO16" s="300"/>
      <c r="AP16" s="203">
        <f t="shared" si="8"/>
        <v>0</v>
      </c>
      <c r="AQ16" s="150">
        <f t="shared" si="19"/>
        <v>74.599999999999994</v>
      </c>
      <c r="AR16" s="301"/>
      <c r="AS16" s="302">
        <v>3</v>
      </c>
      <c r="AT16" s="303"/>
      <c r="AU16" s="141">
        <f t="shared" si="23"/>
        <v>148</v>
      </c>
      <c r="AV16" s="304">
        <v>57780</v>
      </c>
      <c r="AW16" s="316">
        <v>31900</v>
      </c>
      <c r="AX16" s="317">
        <v>6450</v>
      </c>
      <c r="AY16" s="237" t="e">
        <f t="shared" si="20"/>
        <v>#VALUE!</v>
      </c>
      <c r="AZ16" s="400" t="str">
        <f t="shared" si="21"/>
        <v>PNOON</v>
      </c>
      <c r="BA16" s="241">
        <f t="shared" si="22"/>
        <v>42558.5</v>
      </c>
      <c r="BB16" s="45" t="s">
        <v>40</v>
      </c>
      <c r="BC16" s="98"/>
      <c r="BD16" s="99"/>
      <c r="BE16" s="99"/>
      <c r="BF16" s="100"/>
      <c r="BG16" s="101"/>
      <c r="BH16" s="100"/>
      <c r="BI16" s="101"/>
      <c r="BJ16" s="101"/>
      <c r="BK16" s="99"/>
      <c r="BL16" s="102"/>
      <c r="BM16" s="102"/>
      <c r="BN16" s="103"/>
      <c r="BO16" s="104"/>
      <c r="BP16" s="98"/>
      <c r="BQ16" s="105"/>
      <c r="BR16" s="104"/>
      <c r="BS16" s="115"/>
      <c r="BT16" s="104"/>
      <c r="BU16" s="98"/>
      <c r="BV16" s="105"/>
      <c r="BW16" s="104"/>
      <c r="BX16" s="104"/>
      <c r="BY16" s="107"/>
      <c r="BZ16" s="108"/>
      <c r="CA16" s="108"/>
      <c r="CB16" s="109"/>
      <c r="CC16" s="110"/>
      <c r="CD16" s="108"/>
      <c r="CE16" s="109"/>
      <c r="CF16" s="109"/>
      <c r="CG16" s="107"/>
      <c r="CH16" s="111"/>
      <c r="CI16" s="98"/>
      <c r="CJ16" s="113"/>
      <c r="CK16" s="113"/>
      <c r="CL16" s="114"/>
      <c r="CM16" s="114"/>
      <c r="CN16" s="114"/>
      <c r="CO16" s="99"/>
      <c r="CP16" s="115"/>
      <c r="CQ16" s="116"/>
      <c r="CR16" s="117"/>
      <c r="CS16" s="118"/>
      <c r="CT16" s="117"/>
      <c r="CU16" s="118"/>
      <c r="CV16" s="117"/>
      <c r="CW16" s="118"/>
      <c r="CX16" s="119"/>
      <c r="CY16" s="120"/>
      <c r="CZ16" s="121"/>
      <c r="DA16" s="120"/>
      <c r="DB16" s="121"/>
      <c r="DC16" s="121"/>
      <c r="DD16" s="100"/>
      <c r="DE16" s="121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</row>
    <row r="17" spans="1:122" ht="24" customHeight="1" x14ac:dyDescent="0.25">
      <c r="A17" s="83" t="s">
        <v>103</v>
      </c>
      <c r="B17" s="442">
        <v>42559.5</v>
      </c>
      <c r="C17" s="453"/>
      <c r="D17" s="84"/>
      <c r="E17" s="23"/>
      <c r="F17" s="15"/>
      <c r="G17" s="213"/>
      <c r="H17" s="27" t="str">
        <f t="shared" si="9"/>
        <v/>
      </c>
      <c r="I17" s="216" t="str">
        <f t="shared" si="10"/>
        <v/>
      </c>
      <c r="J17" s="29" t="str">
        <f ca="1">IF($J$5&gt;=B17,"N/A",SUM(INDIRECT(ADDRESS(6+(MATCH($J$5,$B$6:$B$59,0)),8)):H17))</f>
        <v>N/A</v>
      </c>
      <c r="K17" s="10"/>
      <c r="L17" s="88"/>
      <c r="M17" s="4" t="str">
        <f t="shared" si="11"/>
        <v/>
      </c>
      <c r="N17" s="220" t="str">
        <f t="shared" si="3"/>
        <v/>
      </c>
      <c r="O17" s="30" t="str">
        <f ca="1">IF($O$5&gt;=B17,"N/A",SUM(INDIRECT(ADDRESS(6+(MATCH($O$5,$B$6:$B$59,0)),13)):M17))</f>
        <v>N/A</v>
      </c>
      <c r="P17" s="325"/>
      <c r="Q17" s="325"/>
      <c r="R17" s="325"/>
      <c r="S17" s="70" t="str">
        <f t="shared" si="12"/>
        <v>PNOON</v>
      </c>
      <c r="T17" s="241">
        <f t="shared" si="13"/>
        <v>42559.5</v>
      </c>
      <c r="U17" s="345"/>
      <c r="V17" s="346">
        <v>3.73</v>
      </c>
      <c r="W17" s="346">
        <v>2.68</v>
      </c>
      <c r="X17" s="347">
        <f t="shared" si="14"/>
        <v>6.41</v>
      </c>
      <c r="Y17" s="353">
        <f t="shared" si="15"/>
        <v>2491.21</v>
      </c>
      <c r="Z17" s="357"/>
      <c r="AA17" s="296"/>
      <c r="AB17" s="297"/>
      <c r="AC17" s="297"/>
      <c r="AD17" s="199">
        <f t="shared" si="24"/>
        <v>0</v>
      </c>
      <c r="AE17" s="159">
        <f t="shared" si="17"/>
        <v>600</v>
      </c>
      <c r="AF17" s="298"/>
      <c r="AG17" s="372" t="str">
        <f t="shared" si="0"/>
        <v/>
      </c>
      <c r="AH17" s="363">
        <f t="shared" si="4"/>
        <v>3.73</v>
      </c>
      <c r="AI17" s="363">
        <f t="shared" si="5"/>
        <v>2.68</v>
      </c>
      <c r="AJ17" s="362">
        <f t="shared" si="6"/>
        <v>6.41</v>
      </c>
      <c r="AK17" s="370">
        <f t="shared" si="18"/>
        <v>3091.21</v>
      </c>
      <c r="AL17" s="375">
        <f t="shared" si="7"/>
        <v>0</v>
      </c>
      <c r="AM17" s="299"/>
      <c r="AN17" s="300"/>
      <c r="AO17" s="300"/>
      <c r="AP17" s="203">
        <f t="shared" si="8"/>
        <v>0</v>
      </c>
      <c r="AQ17" s="150">
        <f t="shared" si="19"/>
        <v>74.599999999999994</v>
      </c>
      <c r="AR17" s="301"/>
      <c r="AS17" s="302">
        <v>3</v>
      </c>
      <c r="AT17" s="303"/>
      <c r="AU17" s="141">
        <f t="shared" si="23"/>
        <v>145</v>
      </c>
      <c r="AV17" s="304">
        <v>57780</v>
      </c>
      <c r="AW17" s="316">
        <v>31900</v>
      </c>
      <c r="AX17" s="317">
        <v>6425</v>
      </c>
      <c r="AY17" s="237" t="e">
        <f t="shared" si="20"/>
        <v>#VALUE!</v>
      </c>
      <c r="AZ17" s="400" t="str">
        <f t="shared" si="21"/>
        <v>PNOON</v>
      </c>
      <c r="BA17" s="241">
        <f t="shared" si="22"/>
        <v>42559.5</v>
      </c>
      <c r="BB17" s="45" t="s">
        <v>40</v>
      </c>
      <c r="BC17" s="98"/>
      <c r="BD17" s="99"/>
      <c r="BE17" s="99"/>
      <c r="BF17" s="100"/>
      <c r="BG17" s="101"/>
      <c r="BH17" s="100"/>
      <c r="BI17" s="101"/>
      <c r="BJ17" s="101"/>
      <c r="BK17" s="99"/>
      <c r="BL17" s="102"/>
      <c r="BM17" s="102"/>
      <c r="BN17" s="103"/>
      <c r="BO17" s="104"/>
      <c r="BP17" s="98"/>
      <c r="BQ17" s="105"/>
      <c r="BR17" s="104"/>
      <c r="BS17" s="115"/>
      <c r="BT17" s="104"/>
      <c r="BU17" s="98"/>
      <c r="BV17" s="105"/>
      <c r="BW17" s="104"/>
      <c r="BX17" s="104"/>
      <c r="BY17" s="107"/>
      <c r="BZ17" s="108"/>
      <c r="CA17" s="108"/>
      <c r="CB17" s="109"/>
      <c r="CC17" s="110"/>
      <c r="CD17" s="108"/>
      <c r="CE17" s="109"/>
      <c r="CF17" s="109"/>
      <c r="CG17" s="107"/>
      <c r="CH17" s="111"/>
      <c r="CI17" s="98"/>
      <c r="CJ17" s="113"/>
      <c r="CK17" s="113"/>
      <c r="CL17" s="114"/>
      <c r="CM17" s="114"/>
      <c r="CN17" s="114"/>
      <c r="CO17" s="99"/>
      <c r="CP17" s="115"/>
      <c r="CQ17" s="116"/>
      <c r="CR17" s="117"/>
      <c r="CS17" s="118"/>
      <c r="CT17" s="117"/>
      <c r="CU17" s="118"/>
      <c r="CV17" s="117"/>
      <c r="CW17" s="118"/>
      <c r="CX17" s="119"/>
      <c r="CY17" s="120"/>
      <c r="CZ17" s="121"/>
      <c r="DA17" s="120"/>
      <c r="DB17" s="121"/>
      <c r="DC17" s="121"/>
      <c r="DD17" s="100"/>
      <c r="DE17" s="121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</row>
    <row r="18" spans="1:122" ht="24" customHeight="1" x14ac:dyDescent="0.25">
      <c r="A18" s="83" t="s">
        <v>103</v>
      </c>
      <c r="B18" s="442">
        <v>42560.5</v>
      </c>
      <c r="C18" s="453"/>
      <c r="D18" s="84"/>
      <c r="E18" s="23"/>
      <c r="F18" s="15"/>
      <c r="G18" s="213"/>
      <c r="H18" s="27" t="str">
        <f t="shared" si="9"/>
        <v/>
      </c>
      <c r="I18" s="216" t="str">
        <f t="shared" si="10"/>
        <v/>
      </c>
      <c r="J18" s="29" t="str">
        <f ca="1">IF($J$5&gt;=B18,"N/A",SUM(INDIRECT(ADDRESS(6+(MATCH($J$5,$B$6:$B$59,0)),8)):H18))</f>
        <v>N/A</v>
      </c>
      <c r="K18" s="10"/>
      <c r="L18" s="88"/>
      <c r="M18" s="4" t="str">
        <f t="shared" si="11"/>
        <v/>
      </c>
      <c r="N18" s="220" t="str">
        <f t="shared" si="3"/>
        <v/>
      </c>
      <c r="O18" s="30" t="str">
        <f ca="1">IF($O$5&gt;=B18,"N/A",SUM(INDIRECT(ADDRESS(6+(MATCH($O$5,$B$6:$B$59,0)),13)):M18))</f>
        <v>N/A</v>
      </c>
      <c r="P18" s="325"/>
      <c r="Q18" s="325"/>
      <c r="R18" s="325"/>
      <c r="S18" s="70" t="str">
        <f t="shared" si="12"/>
        <v>PNOON</v>
      </c>
      <c r="T18" s="241">
        <f t="shared" si="13"/>
        <v>42560.5</v>
      </c>
      <c r="U18" s="345"/>
      <c r="V18" s="346">
        <v>3.68</v>
      </c>
      <c r="W18" s="346">
        <v>2.57</v>
      </c>
      <c r="X18" s="347">
        <f t="shared" si="14"/>
        <v>6.25</v>
      </c>
      <c r="Y18" s="353">
        <f t="shared" si="15"/>
        <v>2484.96</v>
      </c>
      <c r="Z18" s="357"/>
      <c r="AA18" s="296"/>
      <c r="AB18" s="297"/>
      <c r="AC18" s="297"/>
      <c r="AD18" s="199">
        <f t="shared" si="24"/>
        <v>0</v>
      </c>
      <c r="AE18" s="159">
        <f t="shared" si="17"/>
        <v>600</v>
      </c>
      <c r="AF18" s="298"/>
      <c r="AG18" s="372" t="str">
        <f t="shared" si="0"/>
        <v/>
      </c>
      <c r="AH18" s="363">
        <f t="shared" si="4"/>
        <v>3.68</v>
      </c>
      <c r="AI18" s="363">
        <f t="shared" si="5"/>
        <v>2.57</v>
      </c>
      <c r="AJ18" s="362">
        <f t="shared" si="6"/>
        <v>6.25</v>
      </c>
      <c r="AK18" s="370">
        <f t="shared" si="18"/>
        <v>3084.96</v>
      </c>
      <c r="AL18" s="375">
        <f t="shared" si="7"/>
        <v>0</v>
      </c>
      <c r="AM18" s="299"/>
      <c r="AN18" s="300"/>
      <c r="AO18" s="300"/>
      <c r="AP18" s="203">
        <f t="shared" si="8"/>
        <v>0</v>
      </c>
      <c r="AQ18" s="150">
        <f t="shared" si="19"/>
        <v>74.599999999999994</v>
      </c>
      <c r="AR18" s="301"/>
      <c r="AS18" s="302">
        <v>3</v>
      </c>
      <c r="AT18" s="303"/>
      <c r="AU18" s="141">
        <f t="shared" si="23"/>
        <v>142</v>
      </c>
      <c r="AV18" s="304">
        <v>57780</v>
      </c>
      <c r="AW18" s="316">
        <v>31900</v>
      </c>
      <c r="AX18" s="317">
        <v>6400</v>
      </c>
      <c r="AY18" s="237" t="e">
        <f t="shared" si="20"/>
        <v>#VALUE!</v>
      </c>
      <c r="AZ18" s="400" t="str">
        <f t="shared" si="21"/>
        <v>PNOON</v>
      </c>
      <c r="BA18" s="241">
        <f t="shared" si="22"/>
        <v>42560.5</v>
      </c>
      <c r="BB18" s="45" t="s">
        <v>40</v>
      </c>
      <c r="BC18" s="98"/>
      <c r="BD18" s="99"/>
      <c r="BE18" s="99"/>
      <c r="BF18" s="100"/>
      <c r="BG18" s="101"/>
      <c r="BH18" s="100"/>
      <c r="BI18" s="101"/>
      <c r="BJ18" s="101"/>
      <c r="BK18" s="99"/>
      <c r="BL18" s="102"/>
      <c r="BM18" s="102"/>
      <c r="BN18" s="103"/>
      <c r="BO18" s="104"/>
      <c r="BP18" s="98"/>
      <c r="BQ18" s="105"/>
      <c r="BR18" s="104"/>
      <c r="BS18" s="115"/>
      <c r="BT18" s="104"/>
      <c r="BU18" s="98"/>
      <c r="BV18" s="105"/>
      <c r="BW18" s="104"/>
      <c r="BX18" s="104"/>
      <c r="BY18" s="107"/>
      <c r="BZ18" s="108"/>
      <c r="CA18" s="108"/>
      <c r="CB18" s="109"/>
      <c r="CC18" s="110"/>
      <c r="CD18" s="108"/>
      <c r="CE18" s="109"/>
      <c r="CF18" s="109"/>
      <c r="CG18" s="107"/>
      <c r="CH18" s="111"/>
      <c r="CI18" s="98"/>
      <c r="CJ18" s="113"/>
      <c r="CK18" s="113"/>
      <c r="CL18" s="114"/>
      <c r="CM18" s="114"/>
      <c r="CN18" s="114"/>
      <c r="CO18" s="99"/>
      <c r="CP18" s="115"/>
      <c r="CQ18" s="116"/>
      <c r="CR18" s="117"/>
      <c r="CS18" s="118"/>
      <c r="CT18" s="117"/>
      <c r="CU18" s="118"/>
      <c r="CV18" s="117"/>
      <c r="CW18" s="118"/>
      <c r="CX18" s="119"/>
      <c r="CY18" s="120"/>
      <c r="CZ18" s="121"/>
      <c r="DA18" s="120"/>
      <c r="DB18" s="121"/>
      <c r="DC18" s="121"/>
      <c r="DD18" s="100"/>
      <c r="DE18" s="121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</row>
    <row r="19" spans="1:122" ht="24" customHeight="1" x14ac:dyDescent="0.25">
      <c r="A19" s="83" t="s">
        <v>103</v>
      </c>
      <c r="B19" s="442">
        <v>42561.5</v>
      </c>
      <c r="C19" s="453"/>
      <c r="D19" s="84"/>
      <c r="E19" s="23"/>
      <c r="F19" s="15"/>
      <c r="G19" s="213"/>
      <c r="H19" s="27" t="str">
        <f t="shared" si="9"/>
        <v/>
      </c>
      <c r="I19" s="216" t="str">
        <f t="shared" si="10"/>
        <v/>
      </c>
      <c r="J19" s="29" t="str">
        <f ca="1">IF($J$5&gt;=B19,"N/A",SUM(INDIRECT(ADDRESS(6+(MATCH($J$5,$B$6:$B$59,0)),8)):H19))</f>
        <v>N/A</v>
      </c>
      <c r="K19" s="10"/>
      <c r="L19" s="88"/>
      <c r="M19" s="4" t="str">
        <f t="shared" si="11"/>
        <v/>
      </c>
      <c r="N19" s="220" t="str">
        <f t="shared" si="3"/>
        <v/>
      </c>
      <c r="O19" s="30" t="str">
        <f ca="1">IF($O$5&gt;=B19,"N/A",SUM(INDIRECT(ADDRESS(6+(MATCH($O$5,$B$6:$B$59,0)),13)):M19))</f>
        <v>N/A</v>
      </c>
      <c r="P19" s="325"/>
      <c r="Q19" s="325"/>
      <c r="R19" s="325"/>
      <c r="S19" s="70" t="str">
        <f t="shared" si="12"/>
        <v>PNOON</v>
      </c>
      <c r="T19" s="241">
        <f t="shared" si="13"/>
        <v>42561.5</v>
      </c>
      <c r="U19" s="345"/>
      <c r="V19" s="346">
        <v>3.69</v>
      </c>
      <c r="W19" s="346">
        <v>2.59</v>
      </c>
      <c r="X19" s="347">
        <f t="shared" si="14"/>
        <v>6.2799999999999994</v>
      </c>
      <c r="Y19" s="353">
        <f t="shared" si="15"/>
        <v>2478.6799999999998</v>
      </c>
      <c r="Z19" s="357"/>
      <c r="AA19" s="296"/>
      <c r="AB19" s="297"/>
      <c r="AC19" s="297"/>
      <c r="AD19" s="199">
        <f t="shared" si="24"/>
        <v>0</v>
      </c>
      <c r="AE19" s="159">
        <f t="shared" si="17"/>
        <v>600</v>
      </c>
      <c r="AF19" s="298"/>
      <c r="AG19" s="372" t="str">
        <f t="shared" si="0"/>
        <v/>
      </c>
      <c r="AH19" s="363">
        <f t="shared" si="4"/>
        <v>3.69</v>
      </c>
      <c r="AI19" s="363">
        <f t="shared" si="5"/>
        <v>2.59</v>
      </c>
      <c r="AJ19" s="362">
        <f t="shared" si="6"/>
        <v>6.2799999999999994</v>
      </c>
      <c r="AK19" s="370">
        <f t="shared" si="18"/>
        <v>3078.68</v>
      </c>
      <c r="AL19" s="375">
        <f t="shared" si="7"/>
        <v>0</v>
      </c>
      <c r="AM19" s="299"/>
      <c r="AN19" s="300"/>
      <c r="AO19" s="300"/>
      <c r="AP19" s="203">
        <f t="shared" si="8"/>
        <v>0</v>
      </c>
      <c r="AQ19" s="150">
        <f t="shared" si="19"/>
        <v>74.599999999999994</v>
      </c>
      <c r="AR19" s="301"/>
      <c r="AS19" s="302">
        <v>3</v>
      </c>
      <c r="AT19" s="303"/>
      <c r="AU19" s="141">
        <f t="shared" si="23"/>
        <v>139</v>
      </c>
      <c r="AV19" s="304">
        <v>57780</v>
      </c>
      <c r="AW19" s="316">
        <v>31900</v>
      </c>
      <c r="AX19" s="317">
        <v>6380</v>
      </c>
      <c r="AY19" s="237" t="e">
        <f t="shared" si="20"/>
        <v>#VALUE!</v>
      </c>
      <c r="AZ19" s="400" t="str">
        <f t="shared" si="21"/>
        <v>PNOON</v>
      </c>
      <c r="BA19" s="241">
        <f t="shared" si="22"/>
        <v>42561.5</v>
      </c>
      <c r="BB19" s="45" t="s">
        <v>40</v>
      </c>
      <c r="BC19" s="98"/>
      <c r="BD19" s="99"/>
      <c r="BE19" s="99"/>
      <c r="BF19" s="100"/>
      <c r="BG19" s="101"/>
      <c r="BH19" s="100"/>
      <c r="BI19" s="101"/>
      <c r="BJ19" s="101"/>
      <c r="BK19" s="99"/>
      <c r="BL19" s="102"/>
      <c r="BM19" s="102"/>
      <c r="BN19" s="103"/>
      <c r="BO19" s="104"/>
      <c r="BP19" s="98"/>
      <c r="BQ19" s="105"/>
      <c r="BR19" s="104"/>
      <c r="BS19" s="115"/>
      <c r="BT19" s="104"/>
      <c r="BU19" s="98"/>
      <c r="BV19" s="105"/>
      <c r="BW19" s="104"/>
      <c r="BX19" s="104"/>
      <c r="BY19" s="107"/>
      <c r="BZ19" s="108"/>
      <c r="CA19" s="108"/>
      <c r="CB19" s="109"/>
      <c r="CC19" s="110"/>
      <c r="CD19" s="108"/>
      <c r="CE19" s="109"/>
      <c r="CF19" s="109"/>
      <c r="CG19" s="107"/>
      <c r="CH19" s="111"/>
      <c r="CI19" s="98"/>
      <c r="CJ19" s="113"/>
      <c r="CK19" s="113"/>
      <c r="CL19" s="114"/>
      <c r="CM19" s="114"/>
      <c r="CN19" s="114"/>
      <c r="CO19" s="99"/>
      <c r="CP19" s="115"/>
      <c r="CQ19" s="116"/>
      <c r="CR19" s="117"/>
      <c r="CS19" s="118"/>
      <c r="CT19" s="117"/>
      <c r="CU19" s="118"/>
      <c r="CV19" s="117"/>
      <c r="CW19" s="118"/>
      <c r="CX19" s="119"/>
      <c r="CY19" s="120"/>
      <c r="CZ19" s="121"/>
      <c r="DA19" s="120"/>
      <c r="DB19" s="121"/>
      <c r="DC19" s="121"/>
      <c r="DD19" s="100"/>
      <c r="DE19" s="121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</row>
    <row r="20" spans="1:122" ht="24" customHeight="1" x14ac:dyDescent="0.25">
      <c r="A20" s="83" t="s">
        <v>103</v>
      </c>
      <c r="B20" s="442">
        <v>42562.5</v>
      </c>
      <c r="C20" s="453"/>
      <c r="D20" s="84"/>
      <c r="E20" s="23"/>
      <c r="F20" s="15"/>
      <c r="G20" s="213"/>
      <c r="H20" s="27" t="str">
        <f t="shared" si="9"/>
        <v/>
      </c>
      <c r="I20" s="216" t="str">
        <f t="shared" si="10"/>
        <v/>
      </c>
      <c r="J20" s="29" t="str">
        <f ca="1">IF($J$5&gt;=B20,"N/A",SUM(INDIRECT(ADDRESS(6+(MATCH($J$5,$B$6:$B$59,0)),8)):H20))</f>
        <v>N/A</v>
      </c>
      <c r="K20" s="10"/>
      <c r="L20" s="88"/>
      <c r="M20" s="4" t="str">
        <f t="shared" si="11"/>
        <v/>
      </c>
      <c r="N20" s="220" t="str">
        <f t="shared" si="3"/>
        <v/>
      </c>
      <c r="O20" s="30" t="str">
        <f ca="1">IF($O$5&gt;=B20,"N/A",SUM(INDIRECT(ADDRESS(6+(MATCH($O$5,$B$6:$B$59,0)),13)):M20))</f>
        <v>N/A</v>
      </c>
      <c r="P20" s="325"/>
      <c r="Q20" s="325"/>
      <c r="R20" s="325"/>
      <c r="S20" s="70" t="str">
        <f t="shared" si="12"/>
        <v>PNOON</v>
      </c>
      <c r="T20" s="241">
        <f t="shared" si="13"/>
        <v>42562.5</v>
      </c>
      <c r="U20" s="345"/>
      <c r="V20" s="346">
        <v>3.66</v>
      </c>
      <c r="W20" s="346">
        <v>2.57</v>
      </c>
      <c r="X20" s="347">
        <f t="shared" si="14"/>
        <v>6.23</v>
      </c>
      <c r="Y20" s="353">
        <f t="shared" si="15"/>
        <v>2472.4499999999998</v>
      </c>
      <c r="Z20" s="357"/>
      <c r="AA20" s="296"/>
      <c r="AB20" s="297"/>
      <c r="AC20" s="297"/>
      <c r="AD20" s="199">
        <f t="shared" si="24"/>
        <v>0</v>
      </c>
      <c r="AE20" s="159">
        <f t="shared" si="17"/>
        <v>600</v>
      </c>
      <c r="AF20" s="298"/>
      <c r="AG20" s="372" t="str">
        <f t="shared" si="0"/>
        <v/>
      </c>
      <c r="AH20" s="363">
        <f t="shared" si="4"/>
        <v>3.66</v>
      </c>
      <c r="AI20" s="363">
        <f t="shared" si="5"/>
        <v>2.57</v>
      </c>
      <c r="AJ20" s="362">
        <f t="shared" si="6"/>
        <v>6.23</v>
      </c>
      <c r="AK20" s="370">
        <f t="shared" si="18"/>
        <v>3072.45</v>
      </c>
      <c r="AL20" s="375">
        <f t="shared" si="7"/>
        <v>0</v>
      </c>
      <c r="AM20" s="299"/>
      <c r="AN20" s="300"/>
      <c r="AO20" s="300"/>
      <c r="AP20" s="203">
        <f t="shared" si="8"/>
        <v>0</v>
      </c>
      <c r="AQ20" s="150">
        <f t="shared" si="19"/>
        <v>74.599999999999994</v>
      </c>
      <c r="AR20" s="301"/>
      <c r="AS20" s="302">
        <v>3</v>
      </c>
      <c r="AT20" s="303"/>
      <c r="AU20" s="141">
        <f t="shared" si="23"/>
        <v>136</v>
      </c>
      <c r="AV20" s="304">
        <v>57780</v>
      </c>
      <c r="AW20" s="316">
        <v>31900</v>
      </c>
      <c r="AX20" s="317">
        <v>6360</v>
      </c>
      <c r="AY20" s="237" t="e">
        <f t="shared" si="20"/>
        <v>#VALUE!</v>
      </c>
      <c r="AZ20" s="400" t="str">
        <f t="shared" si="21"/>
        <v>PNOON</v>
      </c>
      <c r="BA20" s="241">
        <f t="shared" si="22"/>
        <v>42562.5</v>
      </c>
      <c r="BB20" s="45" t="s">
        <v>40</v>
      </c>
      <c r="BC20" s="98"/>
      <c r="BD20" s="99"/>
      <c r="BE20" s="99"/>
      <c r="BF20" s="100"/>
      <c r="BG20" s="101"/>
      <c r="BH20" s="100"/>
      <c r="BI20" s="101"/>
      <c r="BJ20" s="101"/>
      <c r="BK20" s="99"/>
      <c r="BL20" s="102"/>
      <c r="BM20" s="102"/>
      <c r="BN20" s="103"/>
      <c r="BO20" s="104"/>
      <c r="BP20" s="98"/>
      <c r="BQ20" s="105"/>
      <c r="BR20" s="104"/>
      <c r="BS20" s="115"/>
      <c r="BT20" s="104"/>
      <c r="BU20" s="98"/>
      <c r="BV20" s="105"/>
      <c r="BW20" s="104"/>
      <c r="BX20" s="104"/>
      <c r="BY20" s="107"/>
      <c r="BZ20" s="108"/>
      <c r="CA20" s="108"/>
      <c r="CB20" s="109"/>
      <c r="CC20" s="110"/>
      <c r="CD20" s="108"/>
      <c r="CE20" s="109"/>
      <c r="CF20" s="109"/>
      <c r="CG20" s="107"/>
      <c r="CH20" s="111"/>
      <c r="CI20" s="98"/>
      <c r="CJ20" s="113"/>
      <c r="CK20" s="113"/>
      <c r="CL20" s="114"/>
      <c r="CM20" s="114"/>
      <c r="CN20" s="114"/>
      <c r="CO20" s="99"/>
      <c r="CP20" s="115"/>
      <c r="CQ20" s="116"/>
      <c r="CR20" s="117"/>
      <c r="CS20" s="118"/>
      <c r="CT20" s="117"/>
      <c r="CU20" s="118"/>
      <c r="CV20" s="117"/>
      <c r="CW20" s="118"/>
      <c r="CX20" s="119"/>
      <c r="CY20" s="120"/>
      <c r="CZ20" s="121"/>
      <c r="DA20" s="120"/>
      <c r="DB20" s="121"/>
      <c r="DC20" s="121"/>
      <c r="DD20" s="100"/>
      <c r="DE20" s="121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</row>
    <row r="21" spans="1:122" ht="24" customHeight="1" x14ac:dyDescent="0.25">
      <c r="A21" s="83" t="s">
        <v>103</v>
      </c>
      <c r="B21" s="442">
        <v>42563.5</v>
      </c>
      <c r="C21" s="453"/>
      <c r="D21" s="84"/>
      <c r="E21" s="23"/>
      <c r="F21" s="15"/>
      <c r="G21" s="213"/>
      <c r="H21" s="27" t="str">
        <f t="shared" si="9"/>
        <v/>
      </c>
      <c r="I21" s="216" t="str">
        <f t="shared" si="10"/>
        <v/>
      </c>
      <c r="J21" s="29" t="str">
        <f ca="1">IF($J$5&gt;=B21,"N/A",SUM(INDIRECT(ADDRESS(6+(MATCH($J$5,$B$6:$B$59,0)),8)):H21))</f>
        <v>N/A</v>
      </c>
      <c r="K21" s="10"/>
      <c r="L21" s="88"/>
      <c r="M21" s="4" t="str">
        <f t="shared" si="11"/>
        <v/>
      </c>
      <c r="N21" s="220" t="str">
        <f t="shared" si="3"/>
        <v/>
      </c>
      <c r="O21" s="30" t="str">
        <f ca="1">IF($O$5&gt;=B21,"N/A",SUM(INDIRECT(ADDRESS(6+(MATCH($O$5,$B$6:$B$59,0)),13)):M21))</f>
        <v>N/A</v>
      </c>
      <c r="P21" s="325"/>
      <c r="Q21" s="325"/>
      <c r="R21" s="325"/>
      <c r="S21" s="70" t="str">
        <f t="shared" si="12"/>
        <v>PNOON</v>
      </c>
      <c r="T21" s="241">
        <f t="shared" si="13"/>
        <v>42563.5</v>
      </c>
      <c r="U21" s="345"/>
      <c r="V21" s="346">
        <v>3.86</v>
      </c>
      <c r="W21" s="346">
        <v>2.7</v>
      </c>
      <c r="X21" s="347">
        <f t="shared" si="14"/>
        <v>6.5600000000000005</v>
      </c>
      <c r="Y21" s="353">
        <f t="shared" si="15"/>
        <v>2465.89</v>
      </c>
      <c r="Z21" s="357"/>
      <c r="AA21" s="296"/>
      <c r="AB21" s="297"/>
      <c r="AC21" s="297"/>
      <c r="AD21" s="199">
        <f t="shared" si="24"/>
        <v>0</v>
      </c>
      <c r="AE21" s="159">
        <f t="shared" si="17"/>
        <v>600</v>
      </c>
      <c r="AF21" s="298"/>
      <c r="AG21" s="372" t="str">
        <f t="shared" si="0"/>
        <v/>
      </c>
      <c r="AH21" s="363">
        <f t="shared" si="4"/>
        <v>3.86</v>
      </c>
      <c r="AI21" s="363">
        <f t="shared" si="5"/>
        <v>2.7</v>
      </c>
      <c r="AJ21" s="362">
        <f t="shared" si="6"/>
        <v>6.5600000000000005</v>
      </c>
      <c r="AK21" s="370">
        <f t="shared" si="18"/>
        <v>3065.89</v>
      </c>
      <c r="AL21" s="375">
        <f t="shared" si="7"/>
        <v>0</v>
      </c>
      <c r="AM21" s="299"/>
      <c r="AN21" s="300"/>
      <c r="AO21" s="300"/>
      <c r="AP21" s="203">
        <f t="shared" si="8"/>
        <v>0</v>
      </c>
      <c r="AQ21" s="150">
        <f t="shared" si="19"/>
        <v>74.599999999999994</v>
      </c>
      <c r="AR21" s="301"/>
      <c r="AS21" s="302">
        <v>3</v>
      </c>
      <c r="AT21" s="303"/>
      <c r="AU21" s="141">
        <f t="shared" si="23"/>
        <v>133</v>
      </c>
      <c r="AV21" s="304">
        <v>57780</v>
      </c>
      <c r="AW21" s="316">
        <v>31900</v>
      </c>
      <c r="AX21" s="317">
        <v>6340</v>
      </c>
      <c r="AY21" s="237" t="e">
        <f t="shared" ref="AY21:AY59" si="25">((R21-H21)/R21)</f>
        <v>#VALUE!</v>
      </c>
      <c r="AZ21" s="400" t="str">
        <f t="shared" si="21"/>
        <v>PNOON</v>
      </c>
      <c r="BA21" s="241">
        <f t="shared" si="22"/>
        <v>42563.5</v>
      </c>
      <c r="BB21" s="45" t="s">
        <v>40</v>
      </c>
      <c r="BC21" s="98"/>
      <c r="BD21" s="99"/>
      <c r="BE21" s="99"/>
      <c r="BF21" s="100"/>
      <c r="BG21" s="101"/>
      <c r="BH21" s="100"/>
      <c r="BI21" s="101"/>
      <c r="BJ21" s="101"/>
      <c r="BK21" s="99"/>
      <c r="BL21" s="102"/>
      <c r="BM21" s="102"/>
      <c r="BN21" s="103"/>
      <c r="BO21" s="104"/>
      <c r="BP21" s="98"/>
      <c r="BQ21" s="105"/>
      <c r="BR21" s="104"/>
      <c r="BS21" s="115"/>
      <c r="BT21" s="104"/>
      <c r="BU21" s="98"/>
      <c r="BV21" s="105"/>
      <c r="BW21" s="104"/>
      <c r="BX21" s="104"/>
      <c r="BY21" s="107"/>
      <c r="BZ21" s="108"/>
      <c r="CA21" s="108"/>
      <c r="CB21" s="109"/>
      <c r="CC21" s="110"/>
      <c r="CD21" s="108"/>
      <c r="CE21" s="109"/>
      <c r="CF21" s="109"/>
      <c r="CG21" s="107"/>
      <c r="CH21" s="111"/>
      <c r="CI21" s="98"/>
      <c r="CJ21" s="113"/>
      <c r="CK21" s="113"/>
      <c r="CL21" s="114"/>
      <c r="CM21" s="114"/>
      <c r="CN21" s="114"/>
      <c r="CO21" s="99"/>
      <c r="CP21" s="115"/>
      <c r="CQ21" s="116"/>
      <c r="CR21" s="117"/>
      <c r="CS21" s="118"/>
      <c r="CT21" s="117"/>
      <c r="CU21" s="118"/>
      <c r="CV21" s="117"/>
      <c r="CW21" s="118"/>
      <c r="CX21" s="119"/>
      <c r="CY21" s="120"/>
      <c r="CZ21" s="121"/>
      <c r="DA21" s="120"/>
      <c r="DB21" s="121"/>
      <c r="DC21" s="121"/>
      <c r="DD21" s="100"/>
      <c r="DE21" s="121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</row>
    <row r="22" spans="1:122" ht="24" customHeight="1" x14ac:dyDescent="0.25">
      <c r="A22" s="83" t="s">
        <v>103</v>
      </c>
      <c r="B22" s="442">
        <v>42564.5</v>
      </c>
      <c r="C22" s="453"/>
      <c r="D22" s="84"/>
      <c r="E22" s="23"/>
      <c r="F22" s="15"/>
      <c r="G22" s="213"/>
      <c r="H22" s="27" t="str">
        <f t="shared" si="9"/>
        <v/>
      </c>
      <c r="I22" s="216" t="str">
        <f t="shared" si="10"/>
        <v/>
      </c>
      <c r="J22" s="29" t="str">
        <f ca="1">IF($J$5&gt;=B22,"N/A",SUM(INDIRECT(ADDRESS(6+(MATCH($J$5,$B$6:$B$59,0)),8)):H22))</f>
        <v>N/A</v>
      </c>
      <c r="K22" s="10"/>
      <c r="L22" s="88"/>
      <c r="M22" s="4" t="str">
        <f t="shared" si="11"/>
        <v/>
      </c>
      <c r="N22" s="220" t="str">
        <f t="shared" si="3"/>
        <v/>
      </c>
      <c r="O22" s="30" t="str">
        <f ca="1">IF($O$5&gt;=B22,"N/A",SUM(INDIRECT(ADDRESS(6+(MATCH($O$5,$B$6:$B$59,0)),13)):M22))</f>
        <v>N/A</v>
      </c>
      <c r="P22" s="325"/>
      <c r="Q22" s="325"/>
      <c r="R22" s="325"/>
      <c r="S22" s="70" t="str">
        <f t="shared" si="12"/>
        <v>PNOON</v>
      </c>
      <c r="T22" s="241">
        <f t="shared" si="13"/>
        <v>42564.5</v>
      </c>
      <c r="U22" s="345"/>
      <c r="V22" s="346">
        <v>3.8</v>
      </c>
      <c r="W22" s="346">
        <v>2.72</v>
      </c>
      <c r="X22" s="347">
        <f t="shared" si="14"/>
        <v>6.52</v>
      </c>
      <c r="Y22" s="353">
        <f t="shared" si="15"/>
        <v>2459.37</v>
      </c>
      <c r="Z22" s="357"/>
      <c r="AA22" s="296"/>
      <c r="AB22" s="297"/>
      <c r="AC22" s="297"/>
      <c r="AD22" s="199">
        <f t="shared" si="24"/>
        <v>0</v>
      </c>
      <c r="AE22" s="159">
        <f t="shared" si="17"/>
        <v>600</v>
      </c>
      <c r="AF22" s="298"/>
      <c r="AG22" s="372" t="str">
        <f>IF(U22+AA22=0,"",U22+AA22)</f>
        <v/>
      </c>
      <c r="AH22" s="363">
        <f t="shared" si="4"/>
        <v>3.8</v>
      </c>
      <c r="AI22" s="363">
        <f t="shared" si="5"/>
        <v>2.72</v>
      </c>
      <c r="AJ22" s="362">
        <f t="shared" si="6"/>
        <v>6.52</v>
      </c>
      <c r="AK22" s="370">
        <f t="shared" si="18"/>
        <v>3059.37</v>
      </c>
      <c r="AL22" s="375">
        <f t="shared" si="7"/>
        <v>0</v>
      </c>
      <c r="AM22" s="299"/>
      <c r="AN22" s="300"/>
      <c r="AO22" s="300"/>
      <c r="AP22" s="203">
        <f t="shared" si="8"/>
        <v>0</v>
      </c>
      <c r="AQ22" s="150">
        <f t="shared" si="19"/>
        <v>74.599999999999994</v>
      </c>
      <c r="AR22" s="301"/>
      <c r="AS22" s="302">
        <v>3</v>
      </c>
      <c r="AT22" s="303"/>
      <c r="AU22" s="141">
        <f t="shared" si="23"/>
        <v>130</v>
      </c>
      <c r="AV22" s="304">
        <v>57780</v>
      </c>
      <c r="AW22" s="316">
        <v>31900</v>
      </c>
      <c r="AX22" s="317">
        <v>6320</v>
      </c>
      <c r="AY22" s="237" t="e">
        <f t="shared" si="25"/>
        <v>#VALUE!</v>
      </c>
      <c r="AZ22" s="400" t="str">
        <f t="shared" si="21"/>
        <v>PNOON</v>
      </c>
      <c r="BA22" s="241">
        <f t="shared" si="22"/>
        <v>42564.5</v>
      </c>
      <c r="BB22" s="45" t="s">
        <v>40</v>
      </c>
      <c r="BC22" s="98"/>
      <c r="BD22" s="99"/>
      <c r="BE22" s="99"/>
      <c r="BF22" s="100"/>
      <c r="BG22" s="101"/>
      <c r="BH22" s="100"/>
      <c r="BI22" s="101"/>
      <c r="BJ22" s="101"/>
      <c r="BK22" s="99"/>
      <c r="BL22" s="102"/>
      <c r="BM22" s="102"/>
      <c r="BN22" s="103"/>
      <c r="BO22" s="104"/>
      <c r="BP22" s="98"/>
      <c r="BQ22" s="105"/>
      <c r="BR22" s="104"/>
      <c r="BS22" s="115"/>
      <c r="BT22" s="104"/>
      <c r="BU22" s="98"/>
      <c r="BV22" s="105"/>
      <c r="BW22" s="104"/>
      <c r="BX22" s="104"/>
      <c r="BY22" s="107"/>
      <c r="BZ22" s="108"/>
      <c r="CA22" s="108"/>
      <c r="CB22" s="109"/>
      <c r="CC22" s="110"/>
      <c r="CD22" s="108"/>
      <c r="CE22" s="109"/>
      <c r="CF22" s="109"/>
      <c r="CG22" s="107"/>
      <c r="CH22" s="111"/>
      <c r="CI22" s="98"/>
      <c r="CJ22" s="113"/>
      <c r="CK22" s="113"/>
      <c r="CL22" s="114"/>
      <c r="CM22" s="114"/>
      <c r="CN22" s="114"/>
      <c r="CO22" s="99"/>
      <c r="CP22" s="115"/>
      <c r="CQ22" s="116"/>
      <c r="CR22" s="117"/>
      <c r="CS22" s="118"/>
      <c r="CT22" s="117"/>
      <c r="CU22" s="118"/>
      <c r="CV22" s="117"/>
      <c r="CW22" s="118"/>
      <c r="CX22" s="119"/>
      <c r="CY22" s="120"/>
      <c r="CZ22" s="121"/>
      <c r="DA22" s="120"/>
      <c r="DB22" s="121"/>
      <c r="DC22" s="121"/>
      <c r="DD22" s="100"/>
      <c r="DE22" s="121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</row>
    <row r="23" spans="1:122" ht="24" customHeight="1" x14ac:dyDescent="0.25">
      <c r="A23" s="83" t="s">
        <v>103</v>
      </c>
      <c r="B23" s="442">
        <v>42565.5</v>
      </c>
      <c r="C23" s="453"/>
      <c r="D23" s="84"/>
      <c r="E23" s="23"/>
      <c r="F23" s="15"/>
      <c r="G23" s="213"/>
      <c r="H23" s="27" t="str">
        <f t="shared" si="9"/>
        <v/>
      </c>
      <c r="I23" s="216" t="str">
        <f t="shared" si="10"/>
        <v/>
      </c>
      <c r="J23" s="29" t="str">
        <f ca="1">IF($J$5&gt;=B23,"N/A",SUM(INDIRECT(ADDRESS(6+(MATCH($J$5,$B$6:$B$59,0)),8)):H23))</f>
        <v>N/A</v>
      </c>
      <c r="K23" s="10"/>
      <c r="L23" s="88"/>
      <c r="M23" s="4" t="str">
        <f t="shared" si="11"/>
        <v/>
      </c>
      <c r="N23" s="220" t="str">
        <f t="shared" si="3"/>
        <v/>
      </c>
      <c r="O23" s="30" t="str">
        <f ca="1">IF($O$5&gt;=B23,"N/A",SUM(INDIRECT(ADDRESS(6+(MATCH($O$5,$B$6:$B$59,0)),13)):M23))</f>
        <v>N/A</v>
      </c>
      <c r="P23" s="325"/>
      <c r="Q23" s="325"/>
      <c r="R23" s="325"/>
      <c r="S23" s="70" t="str">
        <f t="shared" si="12"/>
        <v>PNOON</v>
      </c>
      <c r="T23" s="241">
        <f t="shared" si="13"/>
        <v>42565.5</v>
      </c>
      <c r="U23" s="345"/>
      <c r="V23" s="346">
        <v>3.82</v>
      </c>
      <c r="W23" s="346">
        <v>2.52</v>
      </c>
      <c r="X23" s="347">
        <f t="shared" si="14"/>
        <v>6.34</v>
      </c>
      <c r="Y23" s="353">
        <f t="shared" si="15"/>
        <v>2453.0299999999997</v>
      </c>
      <c r="Z23" s="357"/>
      <c r="AA23" s="296"/>
      <c r="AB23" s="297"/>
      <c r="AC23" s="297"/>
      <c r="AD23" s="199">
        <f t="shared" si="24"/>
        <v>0</v>
      </c>
      <c r="AE23" s="159">
        <f t="shared" si="17"/>
        <v>600</v>
      </c>
      <c r="AF23" s="298"/>
      <c r="AG23" s="372" t="str">
        <f t="shared" si="0"/>
        <v/>
      </c>
      <c r="AH23" s="363">
        <f t="shared" si="4"/>
        <v>3.82</v>
      </c>
      <c r="AI23" s="363">
        <f t="shared" si="5"/>
        <v>2.52</v>
      </c>
      <c r="AJ23" s="362">
        <f t="shared" si="6"/>
        <v>6.34</v>
      </c>
      <c r="AK23" s="370">
        <f t="shared" si="18"/>
        <v>3053.0299999999997</v>
      </c>
      <c r="AL23" s="375">
        <f t="shared" si="7"/>
        <v>0</v>
      </c>
      <c r="AM23" s="299"/>
      <c r="AN23" s="300"/>
      <c r="AO23" s="300"/>
      <c r="AP23" s="203">
        <f t="shared" si="8"/>
        <v>0</v>
      </c>
      <c r="AQ23" s="150">
        <f t="shared" si="19"/>
        <v>74.599999999999994</v>
      </c>
      <c r="AR23" s="301"/>
      <c r="AS23" s="302">
        <v>3</v>
      </c>
      <c r="AT23" s="303"/>
      <c r="AU23" s="141">
        <f t="shared" si="23"/>
        <v>127</v>
      </c>
      <c r="AV23" s="304">
        <v>57780</v>
      </c>
      <c r="AW23" s="316">
        <v>31900</v>
      </c>
      <c r="AX23" s="317">
        <v>6300</v>
      </c>
      <c r="AY23" s="237" t="e">
        <f t="shared" si="25"/>
        <v>#VALUE!</v>
      </c>
      <c r="AZ23" s="400" t="str">
        <f t="shared" si="21"/>
        <v>PNOON</v>
      </c>
      <c r="BA23" s="241">
        <f t="shared" si="22"/>
        <v>42565.5</v>
      </c>
      <c r="BB23" s="45" t="s">
        <v>40</v>
      </c>
      <c r="BC23" s="98"/>
      <c r="BD23" s="99"/>
      <c r="BE23" s="99"/>
      <c r="BF23" s="100"/>
      <c r="BG23" s="101"/>
      <c r="BH23" s="100"/>
      <c r="BI23" s="101"/>
      <c r="BJ23" s="101"/>
      <c r="BK23" s="99"/>
      <c r="BL23" s="102"/>
      <c r="BM23" s="102"/>
      <c r="BN23" s="103"/>
      <c r="BO23" s="104"/>
      <c r="BP23" s="98"/>
      <c r="BQ23" s="105"/>
      <c r="BR23" s="104"/>
      <c r="BS23" s="115"/>
      <c r="BT23" s="104"/>
      <c r="BU23" s="98"/>
      <c r="BV23" s="105"/>
      <c r="BW23" s="104"/>
      <c r="BX23" s="104"/>
      <c r="BY23" s="107"/>
      <c r="BZ23" s="108"/>
      <c r="CA23" s="108"/>
      <c r="CB23" s="109"/>
      <c r="CC23" s="110"/>
      <c r="CD23" s="108"/>
      <c r="CE23" s="109"/>
      <c r="CF23" s="109"/>
      <c r="CG23" s="107"/>
      <c r="CH23" s="111"/>
      <c r="CI23" s="98"/>
      <c r="CJ23" s="113"/>
      <c r="CK23" s="113"/>
      <c r="CL23" s="114"/>
      <c r="CM23" s="114"/>
      <c r="CN23" s="114"/>
      <c r="CO23" s="99"/>
      <c r="CP23" s="115"/>
      <c r="CQ23" s="116"/>
      <c r="CR23" s="117"/>
      <c r="CS23" s="118"/>
      <c r="CT23" s="117"/>
      <c r="CU23" s="118"/>
      <c r="CV23" s="117"/>
      <c r="CW23" s="118"/>
      <c r="CX23" s="119"/>
      <c r="CY23" s="120"/>
      <c r="CZ23" s="121"/>
      <c r="DA23" s="120"/>
      <c r="DB23" s="121"/>
      <c r="DC23" s="121"/>
      <c r="DD23" s="100"/>
      <c r="DE23" s="121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</row>
    <row r="24" spans="1:122" ht="24" customHeight="1" x14ac:dyDescent="0.25">
      <c r="A24" s="83" t="s">
        <v>103</v>
      </c>
      <c r="B24" s="442">
        <v>42566.5</v>
      </c>
      <c r="C24" s="453"/>
      <c r="D24" s="84"/>
      <c r="E24" s="23"/>
      <c r="F24" s="15"/>
      <c r="G24" s="213"/>
      <c r="H24" s="27" t="str">
        <f t="shared" si="9"/>
        <v/>
      </c>
      <c r="I24" s="216" t="str">
        <f t="shared" si="10"/>
        <v/>
      </c>
      <c r="J24" s="29" t="str">
        <f ca="1">IF($J$5&gt;=B24,"N/A",SUM(INDIRECT(ADDRESS(6+(MATCH($J$5,$B$6:$B$59,0)),8)):H24))</f>
        <v>N/A</v>
      </c>
      <c r="K24" s="10"/>
      <c r="L24" s="88"/>
      <c r="M24" s="4" t="str">
        <f t="shared" si="11"/>
        <v/>
      </c>
      <c r="N24" s="220" t="str">
        <f t="shared" si="3"/>
        <v/>
      </c>
      <c r="O24" s="30" t="str">
        <f ca="1">IF($O$5&gt;=B24,"N/A",SUM(INDIRECT(ADDRESS(6+(MATCH($O$5,$B$6:$B$59,0)),13)):M24))</f>
        <v>N/A</v>
      </c>
      <c r="P24" s="325"/>
      <c r="Q24" s="325"/>
      <c r="R24" s="325"/>
      <c r="S24" s="70" t="str">
        <f t="shared" si="12"/>
        <v>PNOON</v>
      </c>
      <c r="T24" s="241">
        <f t="shared" si="13"/>
        <v>42566.5</v>
      </c>
      <c r="U24" s="345"/>
      <c r="V24" s="346">
        <v>4.05</v>
      </c>
      <c r="W24" s="346">
        <v>2.6</v>
      </c>
      <c r="X24" s="347">
        <f t="shared" si="14"/>
        <v>6.65</v>
      </c>
      <c r="Y24" s="353">
        <f t="shared" si="15"/>
        <v>2446.3799999999997</v>
      </c>
      <c r="Z24" s="357"/>
      <c r="AA24" s="296"/>
      <c r="AB24" s="297"/>
      <c r="AC24" s="297"/>
      <c r="AD24" s="199">
        <f t="shared" si="24"/>
        <v>0</v>
      </c>
      <c r="AE24" s="159">
        <f t="shared" si="17"/>
        <v>600</v>
      </c>
      <c r="AF24" s="298"/>
      <c r="AG24" s="372" t="str">
        <f t="shared" si="0"/>
        <v/>
      </c>
      <c r="AH24" s="363">
        <f t="shared" si="4"/>
        <v>4.05</v>
      </c>
      <c r="AI24" s="363">
        <f t="shared" si="5"/>
        <v>2.6</v>
      </c>
      <c r="AJ24" s="362">
        <f t="shared" si="6"/>
        <v>6.65</v>
      </c>
      <c r="AK24" s="370">
        <f t="shared" si="18"/>
        <v>3046.3799999999997</v>
      </c>
      <c r="AL24" s="375">
        <f t="shared" si="7"/>
        <v>0</v>
      </c>
      <c r="AM24" s="299"/>
      <c r="AN24" s="300"/>
      <c r="AO24" s="300"/>
      <c r="AP24" s="203">
        <f t="shared" si="8"/>
        <v>0</v>
      </c>
      <c r="AQ24" s="150">
        <f t="shared" si="19"/>
        <v>74.599999999999994</v>
      </c>
      <c r="AR24" s="301"/>
      <c r="AS24" s="302">
        <v>3</v>
      </c>
      <c r="AT24" s="303"/>
      <c r="AU24" s="141">
        <f t="shared" si="23"/>
        <v>124</v>
      </c>
      <c r="AV24" s="304">
        <v>57780</v>
      </c>
      <c r="AW24" s="316">
        <v>31900</v>
      </c>
      <c r="AX24" s="317">
        <v>6280</v>
      </c>
      <c r="AY24" s="237" t="e">
        <f t="shared" si="25"/>
        <v>#VALUE!</v>
      </c>
      <c r="AZ24" s="400" t="str">
        <f t="shared" si="21"/>
        <v>PNOON</v>
      </c>
      <c r="BA24" s="241">
        <f t="shared" si="22"/>
        <v>42566.5</v>
      </c>
      <c r="BB24" s="45" t="s">
        <v>40</v>
      </c>
      <c r="BC24" s="98"/>
      <c r="BD24" s="99"/>
      <c r="BE24" s="99"/>
      <c r="BF24" s="100"/>
      <c r="BG24" s="101"/>
      <c r="BH24" s="100"/>
      <c r="BI24" s="101"/>
      <c r="BJ24" s="101"/>
      <c r="BK24" s="99"/>
      <c r="BL24" s="102"/>
      <c r="BM24" s="102"/>
      <c r="BN24" s="103"/>
      <c r="BO24" s="104"/>
      <c r="BP24" s="98"/>
      <c r="BQ24" s="105"/>
      <c r="BR24" s="104"/>
      <c r="BS24" s="115"/>
      <c r="BT24" s="104"/>
      <c r="BU24" s="98"/>
      <c r="BV24" s="105"/>
      <c r="BW24" s="104"/>
      <c r="BX24" s="104"/>
      <c r="BY24" s="107"/>
      <c r="BZ24" s="108"/>
      <c r="CA24" s="108"/>
      <c r="CB24" s="109"/>
      <c r="CC24" s="110"/>
      <c r="CD24" s="108"/>
      <c r="CE24" s="109"/>
      <c r="CF24" s="109"/>
      <c r="CG24" s="107"/>
      <c r="CH24" s="111"/>
      <c r="CI24" s="98"/>
      <c r="CJ24" s="113"/>
      <c r="CK24" s="113"/>
      <c r="CL24" s="114"/>
      <c r="CM24" s="114"/>
      <c r="CN24" s="114"/>
      <c r="CO24" s="99"/>
      <c r="CP24" s="115"/>
      <c r="CQ24" s="116"/>
      <c r="CR24" s="117"/>
      <c r="CS24" s="118"/>
      <c r="CT24" s="117"/>
      <c r="CU24" s="118"/>
      <c r="CV24" s="117"/>
      <c r="CW24" s="118"/>
      <c r="CX24" s="119"/>
      <c r="CY24" s="120"/>
      <c r="CZ24" s="121"/>
      <c r="DA24" s="120"/>
      <c r="DB24" s="121"/>
      <c r="DC24" s="121"/>
      <c r="DD24" s="100"/>
      <c r="DE24" s="121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</row>
    <row r="25" spans="1:122" ht="24" customHeight="1" x14ac:dyDescent="0.25">
      <c r="A25" s="83" t="s">
        <v>103</v>
      </c>
      <c r="B25" s="442">
        <v>42567.5</v>
      </c>
      <c r="C25" s="453"/>
      <c r="D25" s="84"/>
      <c r="E25" s="23"/>
      <c r="F25" s="15"/>
      <c r="G25" s="213"/>
      <c r="H25" s="27" t="str">
        <f t="shared" si="9"/>
        <v/>
      </c>
      <c r="I25" s="216" t="str">
        <f t="shared" si="10"/>
        <v/>
      </c>
      <c r="J25" s="29" t="str">
        <f ca="1">IF($J$5&gt;=B25,"N/A",SUM(INDIRECT(ADDRESS(6+(MATCH($J$5,$B$6:$B$59,0)),8)):H25))</f>
        <v>N/A</v>
      </c>
      <c r="K25" s="10"/>
      <c r="L25" s="88"/>
      <c r="M25" s="4" t="str">
        <f t="shared" si="11"/>
        <v/>
      </c>
      <c r="N25" s="220" t="str">
        <f t="shared" si="3"/>
        <v/>
      </c>
      <c r="O25" s="30" t="str">
        <f ca="1">IF($O$5&gt;=B25,"N/A",SUM(INDIRECT(ADDRESS(6+(MATCH($O$5,$B$6:$B$59,0)),13)):M25))</f>
        <v>N/A</v>
      </c>
      <c r="P25" s="325"/>
      <c r="Q25" s="325"/>
      <c r="R25" s="325"/>
      <c r="S25" s="70" t="str">
        <f t="shared" si="12"/>
        <v>PNOON</v>
      </c>
      <c r="T25" s="241">
        <f t="shared" si="13"/>
        <v>42567.5</v>
      </c>
      <c r="U25" s="345"/>
      <c r="V25" s="346">
        <v>3.83</v>
      </c>
      <c r="W25" s="346">
        <v>2.52</v>
      </c>
      <c r="X25" s="347">
        <f t="shared" si="14"/>
        <v>6.35</v>
      </c>
      <c r="Y25" s="353">
        <f t="shared" si="15"/>
        <v>2440.0299999999997</v>
      </c>
      <c r="Z25" s="357"/>
      <c r="AA25" s="296"/>
      <c r="AB25" s="297"/>
      <c r="AC25" s="297"/>
      <c r="AD25" s="199">
        <f t="shared" si="24"/>
        <v>0</v>
      </c>
      <c r="AE25" s="159">
        <f t="shared" si="17"/>
        <v>600</v>
      </c>
      <c r="AF25" s="298"/>
      <c r="AG25" s="372" t="str">
        <f t="shared" si="0"/>
        <v/>
      </c>
      <c r="AH25" s="363">
        <f t="shared" si="4"/>
        <v>3.83</v>
      </c>
      <c r="AI25" s="363">
        <f t="shared" si="5"/>
        <v>2.52</v>
      </c>
      <c r="AJ25" s="362">
        <f t="shared" si="6"/>
        <v>6.35</v>
      </c>
      <c r="AK25" s="370">
        <f t="shared" si="18"/>
        <v>3040.0299999999997</v>
      </c>
      <c r="AL25" s="375">
        <f t="shared" si="7"/>
        <v>0</v>
      </c>
      <c r="AM25" s="299"/>
      <c r="AN25" s="300"/>
      <c r="AO25" s="300"/>
      <c r="AP25" s="203">
        <f t="shared" si="8"/>
        <v>0</v>
      </c>
      <c r="AQ25" s="150">
        <f t="shared" si="19"/>
        <v>74.599999999999994</v>
      </c>
      <c r="AR25" s="301"/>
      <c r="AS25" s="302">
        <v>3</v>
      </c>
      <c r="AT25" s="303"/>
      <c r="AU25" s="141">
        <f t="shared" si="23"/>
        <v>121</v>
      </c>
      <c r="AV25" s="304">
        <v>57780</v>
      </c>
      <c r="AW25" s="316">
        <v>31900</v>
      </c>
      <c r="AX25" s="317">
        <v>6260</v>
      </c>
      <c r="AY25" s="237" t="e">
        <f t="shared" si="25"/>
        <v>#VALUE!</v>
      </c>
      <c r="AZ25" s="400" t="str">
        <f t="shared" si="21"/>
        <v>PNOON</v>
      </c>
      <c r="BA25" s="241">
        <f t="shared" si="22"/>
        <v>42567.5</v>
      </c>
      <c r="BB25" s="45" t="s">
        <v>40</v>
      </c>
      <c r="BC25" s="98"/>
      <c r="BD25" s="99"/>
      <c r="BE25" s="99"/>
      <c r="BF25" s="100"/>
      <c r="BG25" s="101"/>
      <c r="BH25" s="100"/>
      <c r="BI25" s="101"/>
      <c r="BJ25" s="101"/>
      <c r="BK25" s="99"/>
      <c r="BL25" s="102"/>
      <c r="BM25" s="102"/>
      <c r="BN25" s="103"/>
      <c r="BO25" s="104"/>
      <c r="BP25" s="98"/>
      <c r="BQ25" s="105"/>
      <c r="BR25" s="104"/>
      <c r="BS25" s="115"/>
      <c r="BT25" s="104"/>
      <c r="BU25" s="98"/>
      <c r="BV25" s="105"/>
      <c r="BW25" s="104"/>
      <c r="BX25" s="104"/>
      <c r="BY25" s="107"/>
      <c r="BZ25" s="108"/>
      <c r="CA25" s="108"/>
      <c r="CB25" s="109"/>
      <c r="CC25" s="110"/>
      <c r="CD25" s="108"/>
      <c r="CE25" s="109"/>
      <c r="CF25" s="109"/>
      <c r="CG25" s="107"/>
      <c r="CH25" s="111"/>
      <c r="CI25" s="98"/>
      <c r="CJ25" s="113"/>
      <c r="CK25" s="113"/>
      <c r="CL25" s="114"/>
      <c r="CM25" s="114"/>
      <c r="CN25" s="114"/>
      <c r="CO25" s="99"/>
      <c r="CP25" s="115"/>
      <c r="CQ25" s="116"/>
      <c r="CR25" s="117"/>
      <c r="CS25" s="118"/>
      <c r="CT25" s="117"/>
      <c r="CU25" s="118"/>
      <c r="CV25" s="117"/>
      <c r="CW25" s="118"/>
      <c r="CX25" s="119"/>
      <c r="CY25" s="120"/>
      <c r="CZ25" s="121"/>
      <c r="DA25" s="120"/>
      <c r="DB25" s="121"/>
      <c r="DC25" s="121"/>
      <c r="DD25" s="100"/>
      <c r="DE25" s="121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</row>
    <row r="26" spans="1:122" ht="24" customHeight="1" x14ac:dyDescent="0.25">
      <c r="A26" s="83" t="s">
        <v>103</v>
      </c>
      <c r="B26" s="442">
        <v>42568.5</v>
      </c>
      <c r="C26" s="453"/>
      <c r="D26" s="84"/>
      <c r="E26" s="23"/>
      <c r="F26" s="15"/>
      <c r="G26" s="213"/>
      <c r="H26" s="27" t="str">
        <f t="shared" si="9"/>
        <v/>
      </c>
      <c r="I26" s="216" t="str">
        <f t="shared" si="10"/>
        <v/>
      </c>
      <c r="J26" s="29" t="str">
        <f ca="1">IF($J$5&gt;=B26,"N/A",SUM(INDIRECT(ADDRESS(6+(MATCH($J$5,$B$6:$B$59,0)),8)):H26))</f>
        <v>N/A</v>
      </c>
      <c r="K26" s="10"/>
      <c r="L26" s="88"/>
      <c r="M26" s="4" t="str">
        <f t="shared" si="11"/>
        <v/>
      </c>
      <c r="N26" s="220" t="str">
        <f t="shared" si="3"/>
        <v/>
      </c>
      <c r="O26" s="30" t="str">
        <f ca="1">IF($O$5&gt;=B26,"N/A",SUM(INDIRECT(ADDRESS(6+(MATCH($O$5,$B$6:$B$59,0)),13)):M26))</f>
        <v>N/A</v>
      </c>
      <c r="P26" s="325"/>
      <c r="Q26" s="325"/>
      <c r="R26" s="325"/>
      <c r="S26" s="70" t="str">
        <f t="shared" si="12"/>
        <v>PNOON</v>
      </c>
      <c r="T26" s="241">
        <f t="shared" si="13"/>
        <v>42568.5</v>
      </c>
      <c r="U26" s="345"/>
      <c r="V26" s="346">
        <v>3.64</v>
      </c>
      <c r="W26" s="346">
        <v>2.46</v>
      </c>
      <c r="X26" s="347">
        <f t="shared" si="14"/>
        <v>6.1</v>
      </c>
      <c r="Y26" s="353">
        <f t="shared" si="15"/>
        <v>2433.9299999999998</v>
      </c>
      <c r="Z26" s="357"/>
      <c r="AA26" s="296"/>
      <c r="AB26" s="297"/>
      <c r="AC26" s="297"/>
      <c r="AD26" s="199">
        <f t="shared" si="24"/>
        <v>0</v>
      </c>
      <c r="AE26" s="159">
        <f t="shared" si="17"/>
        <v>600</v>
      </c>
      <c r="AF26" s="298"/>
      <c r="AG26" s="372" t="str">
        <f t="shared" si="0"/>
        <v/>
      </c>
      <c r="AH26" s="363">
        <f t="shared" si="4"/>
        <v>3.64</v>
      </c>
      <c r="AI26" s="363">
        <f t="shared" si="5"/>
        <v>2.46</v>
      </c>
      <c r="AJ26" s="362">
        <f t="shared" si="6"/>
        <v>6.1</v>
      </c>
      <c r="AK26" s="370">
        <f t="shared" si="18"/>
        <v>3033.93</v>
      </c>
      <c r="AL26" s="375">
        <f t="shared" si="7"/>
        <v>0</v>
      </c>
      <c r="AM26" s="299"/>
      <c r="AN26" s="300"/>
      <c r="AO26" s="300"/>
      <c r="AP26" s="203">
        <f t="shared" si="8"/>
        <v>0</v>
      </c>
      <c r="AQ26" s="150">
        <f t="shared" si="19"/>
        <v>74.599999999999994</v>
      </c>
      <c r="AR26" s="301"/>
      <c r="AS26" s="302">
        <v>3</v>
      </c>
      <c r="AT26" s="303"/>
      <c r="AU26" s="141">
        <f t="shared" si="23"/>
        <v>118</v>
      </c>
      <c r="AV26" s="304">
        <v>57780</v>
      </c>
      <c r="AW26" s="316">
        <v>31900</v>
      </c>
      <c r="AX26" s="317">
        <v>6240</v>
      </c>
      <c r="AY26" s="237" t="e">
        <f t="shared" si="25"/>
        <v>#VALUE!</v>
      </c>
      <c r="AZ26" s="400" t="str">
        <f t="shared" si="21"/>
        <v>PNOON</v>
      </c>
      <c r="BA26" s="241">
        <f t="shared" si="22"/>
        <v>42568.5</v>
      </c>
      <c r="BB26" s="45" t="s">
        <v>40</v>
      </c>
      <c r="BC26" s="98"/>
      <c r="BD26" s="99"/>
      <c r="BE26" s="99"/>
      <c r="BF26" s="100"/>
      <c r="BG26" s="101"/>
      <c r="BH26" s="100"/>
      <c r="BI26" s="101"/>
      <c r="BJ26" s="101"/>
      <c r="BK26" s="99"/>
      <c r="BL26" s="102"/>
      <c r="BM26" s="102"/>
      <c r="BN26" s="103"/>
      <c r="BO26" s="104"/>
      <c r="BP26" s="98"/>
      <c r="BQ26" s="105"/>
      <c r="BR26" s="104"/>
      <c r="BS26" s="115"/>
      <c r="BT26" s="104"/>
      <c r="BU26" s="98"/>
      <c r="BV26" s="105"/>
      <c r="BW26" s="104"/>
      <c r="BX26" s="104"/>
      <c r="BY26" s="107"/>
      <c r="BZ26" s="108"/>
      <c r="CA26" s="108"/>
      <c r="CB26" s="109"/>
      <c r="CC26" s="110"/>
      <c r="CD26" s="108"/>
      <c r="CE26" s="109"/>
      <c r="CF26" s="109"/>
      <c r="CG26" s="107"/>
      <c r="CH26" s="111"/>
      <c r="CI26" s="98"/>
      <c r="CJ26" s="113"/>
      <c r="CK26" s="113"/>
      <c r="CL26" s="114"/>
      <c r="CM26" s="114"/>
      <c r="CN26" s="114"/>
      <c r="CO26" s="99"/>
      <c r="CP26" s="115"/>
      <c r="CQ26" s="116"/>
      <c r="CR26" s="117"/>
      <c r="CS26" s="118"/>
      <c r="CT26" s="117"/>
      <c r="CU26" s="118"/>
      <c r="CV26" s="117"/>
      <c r="CW26" s="118"/>
      <c r="CX26" s="119"/>
      <c r="CY26" s="120"/>
      <c r="CZ26" s="121"/>
      <c r="DA26" s="120"/>
      <c r="DB26" s="121"/>
      <c r="DC26" s="121"/>
      <c r="DD26" s="100"/>
      <c r="DE26" s="121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</row>
    <row r="27" spans="1:122" ht="24" customHeight="1" x14ac:dyDescent="0.25">
      <c r="A27" s="83" t="s">
        <v>103</v>
      </c>
      <c r="B27" s="442">
        <v>42569.5</v>
      </c>
      <c r="C27" s="453"/>
      <c r="D27" s="84"/>
      <c r="E27" s="23"/>
      <c r="F27" s="15"/>
      <c r="G27" s="213"/>
      <c r="H27" s="27" t="str">
        <f t="shared" si="9"/>
        <v/>
      </c>
      <c r="I27" s="216" t="str">
        <f t="shared" si="10"/>
        <v/>
      </c>
      <c r="J27" s="29" t="str">
        <f ca="1">IF($J$5&gt;=B27,"N/A",SUM(INDIRECT(ADDRESS(6+(MATCH($J$5,$B$6:$B$59,0)),8)):H27))</f>
        <v>N/A</v>
      </c>
      <c r="K27" s="10"/>
      <c r="L27" s="88"/>
      <c r="M27" s="4" t="str">
        <f t="shared" si="11"/>
        <v/>
      </c>
      <c r="N27" s="220" t="str">
        <f t="shared" si="3"/>
        <v/>
      </c>
      <c r="O27" s="30" t="str">
        <f ca="1">IF($O$5&gt;=B27,"N/A",SUM(INDIRECT(ADDRESS(6+(MATCH($O$5,$B$6:$B$59,0)),13)):M27))</f>
        <v>N/A</v>
      </c>
      <c r="P27" s="325"/>
      <c r="Q27" s="325"/>
      <c r="R27" s="325"/>
      <c r="S27" s="70" t="str">
        <f t="shared" si="12"/>
        <v>PNOON</v>
      </c>
      <c r="T27" s="241">
        <f t="shared" si="13"/>
        <v>42569.5</v>
      </c>
      <c r="U27" s="345"/>
      <c r="V27" s="346">
        <v>3.76</v>
      </c>
      <c r="W27" s="346">
        <v>2.5</v>
      </c>
      <c r="X27" s="347">
        <f t="shared" si="14"/>
        <v>6.26</v>
      </c>
      <c r="Y27" s="353">
        <f t="shared" si="15"/>
        <v>2427.6699999999996</v>
      </c>
      <c r="Z27" s="357"/>
      <c r="AA27" s="296"/>
      <c r="AB27" s="297"/>
      <c r="AC27" s="297"/>
      <c r="AD27" s="199">
        <f t="shared" si="24"/>
        <v>0</v>
      </c>
      <c r="AE27" s="159">
        <f t="shared" si="17"/>
        <v>600</v>
      </c>
      <c r="AF27" s="298"/>
      <c r="AG27" s="372" t="str">
        <f t="shared" si="0"/>
        <v/>
      </c>
      <c r="AH27" s="363">
        <f t="shared" si="4"/>
        <v>3.76</v>
      </c>
      <c r="AI27" s="363">
        <f t="shared" si="5"/>
        <v>2.5</v>
      </c>
      <c r="AJ27" s="362">
        <f t="shared" si="6"/>
        <v>6.26</v>
      </c>
      <c r="AK27" s="370">
        <f t="shared" si="18"/>
        <v>3027.6699999999996</v>
      </c>
      <c r="AL27" s="375">
        <f t="shared" si="7"/>
        <v>0</v>
      </c>
      <c r="AM27" s="299"/>
      <c r="AN27" s="300"/>
      <c r="AO27" s="300"/>
      <c r="AP27" s="203">
        <f t="shared" si="8"/>
        <v>0</v>
      </c>
      <c r="AQ27" s="150">
        <f t="shared" si="19"/>
        <v>74.599999999999994</v>
      </c>
      <c r="AR27" s="301"/>
      <c r="AS27" s="302">
        <v>3</v>
      </c>
      <c r="AT27" s="303"/>
      <c r="AU27" s="141">
        <f t="shared" si="23"/>
        <v>115</v>
      </c>
      <c r="AV27" s="304">
        <v>57780</v>
      </c>
      <c r="AW27" s="316">
        <v>31900</v>
      </c>
      <c r="AX27" s="317">
        <v>6220</v>
      </c>
      <c r="AY27" s="237" t="e">
        <f t="shared" si="25"/>
        <v>#VALUE!</v>
      </c>
      <c r="AZ27" s="400" t="str">
        <f t="shared" si="21"/>
        <v>PNOON</v>
      </c>
      <c r="BA27" s="241">
        <f t="shared" si="22"/>
        <v>42569.5</v>
      </c>
      <c r="BB27" s="45" t="s">
        <v>40</v>
      </c>
      <c r="BC27" s="98"/>
      <c r="BD27" s="99"/>
      <c r="BE27" s="99"/>
      <c r="BF27" s="100"/>
      <c r="BG27" s="101"/>
      <c r="BH27" s="100"/>
      <c r="BI27" s="101"/>
      <c r="BJ27" s="101"/>
      <c r="BK27" s="99"/>
      <c r="BL27" s="102"/>
      <c r="BM27" s="102"/>
      <c r="BN27" s="105"/>
      <c r="BO27" s="104"/>
      <c r="BP27" s="98"/>
      <c r="BQ27" s="105"/>
      <c r="BR27" s="104"/>
      <c r="BS27" s="106"/>
      <c r="BT27" s="104"/>
      <c r="BU27" s="98"/>
      <c r="BV27" s="105"/>
      <c r="BW27" s="104"/>
      <c r="BX27" s="104"/>
      <c r="BY27" s="107"/>
      <c r="BZ27" s="108"/>
      <c r="CA27" s="108"/>
      <c r="CB27" s="109"/>
      <c r="CC27" s="110"/>
      <c r="CD27" s="108"/>
      <c r="CE27" s="109"/>
      <c r="CF27" s="109"/>
      <c r="CG27" s="107"/>
      <c r="CH27" s="111"/>
      <c r="CI27" s="98"/>
      <c r="CJ27" s="113"/>
      <c r="CK27" s="113"/>
      <c r="CL27" s="114"/>
      <c r="CM27" s="114"/>
      <c r="CN27" s="114"/>
      <c r="CO27" s="99"/>
      <c r="CP27" s="111"/>
      <c r="CQ27" s="116"/>
      <c r="CR27" s="225"/>
      <c r="CS27" s="226"/>
      <c r="CT27" s="225"/>
      <c r="CU27" s="226"/>
      <c r="CV27" s="225"/>
      <c r="CW27" s="226"/>
      <c r="CX27" s="227"/>
      <c r="CY27" s="228"/>
      <c r="CZ27" s="229"/>
      <c r="DA27" s="228"/>
      <c r="DB27" s="121"/>
      <c r="DC27" s="121"/>
      <c r="DD27" s="100"/>
      <c r="DE27" s="121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</row>
    <row r="28" spans="1:122" ht="24" customHeight="1" x14ac:dyDescent="0.25">
      <c r="A28" s="83" t="s">
        <v>103</v>
      </c>
      <c r="B28" s="442">
        <v>42570.5</v>
      </c>
      <c r="C28" s="453"/>
      <c r="D28" s="84"/>
      <c r="E28" s="23"/>
      <c r="F28" s="15"/>
      <c r="G28" s="213"/>
      <c r="H28" s="27" t="str">
        <f t="shared" si="9"/>
        <v/>
      </c>
      <c r="I28" s="216" t="str">
        <f t="shared" si="10"/>
        <v/>
      </c>
      <c r="J28" s="29" t="str">
        <f ca="1">IF($J$5&gt;=B28,"N/A",SUM(INDIRECT(ADDRESS(6+(MATCH($J$5,$B$6:$B$59,0)),8)):H28))</f>
        <v>N/A</v>
      </c>
      <c r="K28" s="10"/>
      <c r="L28" s="88"/>
      <c r="M28" s="4" t="str">
        <f t="shared" si="11"/>
        <v/>
      </c>
      <c r="N28" s="220" t="str">
        <f t="shared" si="3"/>
        <v/>
      </c>
      <c r="O28" s="30" t="str">
        <f ca="1">IF($O$5&gt;=B28,"N/A",SUM(INDIRECT(ADDRESS(6+(MATCH($O$5,$B$6:$B$59,0)),13)):M28))</f>
        <v>N/A</v>
      </c>
      <c r="P28" s="325"/>
      <c r="Q28" s="325"/>
      <c r="R28" s="325"/>
      <c r="S28" s="70" t="str">
        <f t="shared" si="12"/>
        <v>PNOON</v>
      </c>
      <c r="T28" s="241">
        <f t="shared" si="13"/>
        <v>42570.5</v>
      </c>
      <c r="U28" s="345"/>
      <c r="V28" s="346">
        <v>3.76</v>
      </c>
      <c r="W28" s="346">
        <v>2.4700000000000002</v>
      </c>
      <c r="X28" s="347">
        <f t="shared" si="14"/>
        <v>6.23</v>
      </c>
      <c r="Y28" s="353">
        <f t="shared" si="15"/>
        <v>2421.4399999999996</v>
      </c>
      <c r="Z28" s="357"/>
      <c r="AA28" s="296"/>
      <c r="AB28" s="297"/>
      <c r="AC28" s="297"/>
      <c r="AD28" s="199">
        <f t="shared" si="24"/>
        <v>0</v>
      </c>
      <c r="AE28" s="159">
        <f t="shared" si="17"/>
        <v>600</v>
      </c>
      <c r="AF28" s="298"/>
      <c r="AG28" s="372" t="str">
        <f t="shared" si="0"/>
        <v/>
      </c>
      <c r="AH28" s="363">
        <f t="shared" si="4"/>
        <v>3.76</v>
      </c>
      <c r="AI28" s="363">
        <f t="shared" si="5"/>
        <v>2.4700000000000002</v>
      </c>
      <c r="AJ28" s="362">
        <f t="shared" si="6"/>
        <v>6.23</v>
      </c>
      <c r="AK28" s="370">
        <f t="shared" si="18"/>
        <v>3021.4399999999996</v>
      </c>
      <c r="AL28" s="375">
        <f t="shared" si="7"/>
        <v>0</v>
      </c>
      <c r="AM28" s="299"/>
      <c r="AN28" s="300"/>
      <c r="AO28" s="300"/>
      <c r="AP28" s="203">
        <f t="shared" si="8"/>
        <v>0</v>
      </c>
      <c r="AQ28" s="150">
        <f t="shared" si="19"/>
        <v>74.599999999999994</v>
      </c>
      <c r="AR28" s="301"/>
      <c r="AS28" s="302">
        <v>3</v>
      </c>
      <c r="AT28" s="303"/>
      <c r="AU28" s="141">
        <f t="shared" si="23"/>
        <v>112</v>
      </c>
      <c r="AV28" s="304">
        <v>57780</v>
      </c>
      <c r="AW28" s="316">
        <v>31900</v>
      </c>
      <c r="AX28" s="317">
        <v>6200</v>
      </c>
      <c r="AY28" s="237" t="e">
        <f t="shared" si="25"/>
        <v>#VALUE!</v>
      </c>
      <c r="AZ28" s="400" t="str">
        <f t="shared" si="21"/>
        <v>PNOON</v>
      </c>
      <c r="BA28" s="241">
        <f t="shared" si="22"/>
        <v>42570.5</v>
      </c>
      <c r="BB28" s="45" t="s">
        <v>40</v>
      </c>
      <c r="BC28" s="98"/>
      <c r="BD28" s="99"/>
      <c r="BE28" s="99"/>
      <c r="BF28" s="100"/>
      <c r="BG28" s="101"/>
      <c r="BH28" s="100"/>
      <c r="BI28" s="101"/>
      <c r="BJ28" s="101"/>
      <c r="BK28" s="99"/>
      <c r="BL28" s="102"/>
      <c r="BM28" s="102"/>
      <c r="BN28" s="105"/>
      <c r="BO28" s="104"/>
      <c r="BP28" s="98"/>
      <c r="BQ28" s="105"/>
      <c r="BR28" s="104"/>
      <c r="BS28" s="106"/>
      <c r="BT28" s="104"/>
      <c r="BU28" s="98"/>
      <c r="BV28" s="105"/>
      <c r="BW28" s="104"/>
      <c r="BX28" s="104"/>
      <c r="BY28" s="107"/>
      <c r="BZ28" s="108"/>
      <c r="CA28" s="108"/>
      <c r="CB28" s="109"/>
      <c r="CC28" s="110"/>
      <c r="CD28" s="108"/>
      <c r="CE28" s="109"/>
      <c r="CF28" s="109"/>
      <c r="CG28" s="107"/>
      <c r="CH28" s="111"/>
      <c r="CI28" s="98"/>
      <c r="CJ28" s="113"/>
      <c r="CK28" s="113"/>
      <c r="CL28" s="114"/>
      <c r="CM28" s="114"/>
      <c r="CN28" s="114"/>
      <c r="CO28" s="99"/>
      <c r="CP28" s="115"/>
      <c r="CQ28" s="116"/>
      <c r="CR28" s="225"/>
      <c r="CS28" s="226"/>
      <c r="CT28" s="225"/>
      <c r="CU28" s="226"/>
      <c r="CV28" s="225"/>
      <c r="CW28" s="226"/>
      <c r="CX28" s="227"/>
      <c r="CY28" s="228"/>
      <c r="CZ28" s="229"/>
      <c r="DA28" s="228"/>
      <c r="DB28" s="121"/>
      <c r="DC28" s="121"/>
      <c r="DD28" s="100"/>
      <c r="DE28" s="121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</row>
    <row r="29" spans="1:122" ht="24" customHeight="1" x14ac:dyDescent="0.25">
      <c r="A29" s="83" t="s">
        <v>103</v>
      </c>
      <c r="B29" s="442">
        <v>42571.5</v>
      </c>
      <c r="C29" s="453"/>
      <c r="D29" s="84"/>
      <c r="E29" s="23"/>
      <c r="F29" s="15"/>
      <c r="G29" s="213"/>
      <c r="H29" s="27" t="str">
        <f t="shared" si="9"/>
        <v/>
      </c>
      <c r="I29" s="216" t="str">
        <f t="shared" si="10"/>
        <v/>
      </c>
      <c r="J29" s="29" t="str">
        <f ca="1">IF($J$5&gt;=B29,"N/A",SUM(INDIRECT(ADDRESS(6+(MATCH($J$5,$B$6:$B$59,0)),8)):H29))</f>
        <v>N/A</v>
      </c>
      <c r="K29" s="10"/>
      <c r="L29" s="88"/>
      <c r="M29" s="4" t="str">
        <f t="shared" si="11"/>
        <v/>
      </c>
      <c r="N29" s="220" t="str">
        <f t="shared" si="3"/>
        <v/>
      </c>
      <c r="O29" s="30" t="str">
        <f ca="1">IF($O$5&gt;=B29,"N/A",SUM(INDIRECT(ADDRESS(6+(MATCH($O$5,$B$6:$B$59,0)),13)):M29))</f>
        <v>N/A</v>
      </c>
      <c r="P29" s="325"/>
      <c r="Q29" s="325"/>
      <c r="R29" s="325"/>
      <c r="S29" s="70" t="str">
        <f t="shared" si="12"/>
        <v>PNOON</v>
      </c>
      <c r="T29" s="241">
        <f t="shared" si="13"/>
        <v>42571.5</v>
      </c>
      <c r="U29" s="345"/>
      <c r="V29" s="346">
        <v>3.75</v>
      </c>
      <c r="W29" s="346">
        <v>2.58</v>
      </c>
      <c r="X29" s="347">
        <f t="shared" si="14"/>
        <v>6.33</v>
      </c>
      <c r="Y29" s="353">
        <f t="shared" si="15"/>
        <v>2415.1099999999997</v>
      </c>
      <c r="Z29" s="357"/>
      <c r="AA29" s="296"/>
      <c r="AB29" s="297"/>
      <c r="AC29" s="297"/>
      <c r="AD29" s="199">
        <f t="shared" si="24"/>
        <v>0</v>
      </c>
      <c r="AE29" s="159">
        <f t="shared" si="17"/>
        <v>600</v>
      </c>
      <c r="AF29" s="298"/>
      <c r="AG29" s="372" t="str">
        <f t="shared" si="0"/>
        <v/>
      </c>
      <c r="AH29" s="363">
        <f t="shared" si="4"/>
        <v>3.75</v>
      </c>
      <c r="AI29" s="363">
        <f t="shared" si="5"/>
        <v>2.58</v>
      </c>
      <c r="AJ29" s="362">
        <f t="shared" si="6"/>
        <v>6.33</v>
      </c>
      <c r="AK29" s="370">
        <f t="shared" si="18"/>
        <v>3015.1099999999997</v>
      </c>
      <c r="AL29" s="375">
        <f t="shared" si="7"/>
        <v>0</v>
      </c>
      <c r="AM29" s="299"/>
      <c r="AN29" s="300"/>
      <c r="AO29" s="300"/>
      <c r="AP29" s="203">
        <f t="shared" si="8"/>
        <v>0</v>
      </c>
      <c r="AQ29" s="150">
        <f t="shared" si="19"/>
        <v>74.599999999999994</v>
      </c>
      <c r="AR29" s="301"/>
      <c r="AS29" s="302">
        <v>3</v>
      </c>
      <c r="AT29" s="303"/>
      <c r="AU29" s="141">
        <f t="shared" si="23"/>
        <v>109</v>
      </c>
      <c r="AV29" s="304">
        <v>57780</v>
      </c>
      <c r="AW29" s="316">
        <v>31900</v>
      </c>
      <c r="AX29" s="317">
        <v>6180</v>
      </c>
      <c r="AY29" s="237" t="e">
        <f t="shared" si="25"/>
        <v>#VALUE!</v>
      </c>
      <c r="AZ29" s="400" t="str">
        <f t="shared" si="21"/>
        <v>PNOON</v>
      </c>
      <c r="BA29" s="241">
        <f t="shared" si="22"/>
        <v>42571.5</v>
      </c>
      <c r="BB29" s="45" t="s">
        <v>40</v>
      </c>
      <c r="BC29" s="98"/>
      <c r="BD29" s="99"/>
      <c r="BE29" s="99"/>
      <c r="BF29" s="100"/>
      <c r="BG29" s="101"/>
      <c r="BH29" s="100"/>
      <c r="BI29" s="101"/>
      <c r="BJ29" s="101"/>
      <c r="BK29" s="99"/>
      <c r="BL29" s="102"/>
      <c r="BM29" s="102"/>
      <c r="BN29" s="105"/>
      <c r="BO29" s="104"/>
      <c r="BP29" s="98"/>
      <c r="BQ29" s="105"/>
      <c r="BR29" s="104"/>
      <c r="BS29" s="106"/>
      <c r="BT29" s="104"/>
      <c r="BU29" s="98"/>
      <c r="BV29" s="105"/>
      <c r="BW29" s="104"/>
      <c r="BX29" s="104"/>
      <c r="BY29" s="107"/>
      <c r="BZ29" s="108"/>
      <c r="CA29" s="108"/>
      <c r="CB29" s="109"/>
      <c r="CC29" s="110"/>
      <c r="CD29" s="108"/>
      <c r="CE29" s="109"/>
      <c r="CF29" s="109"/>
      <c r="CG29" s="107"/>
      <c r="CH29" s="111"/>
      <c r="CI29" s="98"/>
      <c r="CJ29" s="113"/>
      <c r="CK29" s="113"/>
      <c r="CL29" s="114"/>
      <c r="CM29" s="114"/>
      <c r="CN29" s="114"/>
      <c r="CO29" s="99"/>
      <c r="CP29" s="111"/>
      <c r="CQ29" s="116"/>
      <c r="CR29" s="225"/>
      <c r="CS29" s="226"/>
      <c r="CT29" s="225"/>
      <c r="CU29" s="226"/>
      <c r="CV29" s="225"/>
      <c r="CW29" s="226"/>
      <c r="CX29" s="227"/>
      <c r="CY29" s="228"/>
      <c r="CZ29" s="229"/>
      <c r="DA29" s="228"/>
      <c r="DB29" s="121"/>
      <c r="DC29" s="121"/>
      <c r="DD29" s="100"/>
      <c r="DE29" s="121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</row>
    <row r="30" spans="1:122" ht="24" customHeight="1" x14ac:dyDescent="0.25">
      <c r="A30" s="83" t="s">
        <v>103</v>
      </c>
      <c r="B30" s="442">
        <v>42572.5</v>
      </c>
      <c r="C30" s="453"/>
      <c r="D30" s="84"/>
      <c r="E30" s="23"/>
      <c r="F30" s="15"/>
      <c r="G30" s="213"/>
      <c r="H30" s="27" t="str">
        <f t="shared" si="9"/>
        <v/>
      </c>
      <c r="I30" s="216" t="str">
        <f t="shared" si="10"/>
        <v/>
      </c>
      <c r="J30" s="29" t="str">
        <f ca="1">IF($J$5&gt;=B30,"N/A",SUM(INDIRECT(ADDRESS(6+(MATCH($J$5,$B$6:$B$59,0)),8)):H30))</f>
        <v>N/A</v>
      </c>
      <c r="K30" s="10"/>
      <c r="L30" s="88"/>
      <c r="M30" s="4" t="str">
        <f t="shared" si="11"/>
        <v/>
      </c>
      <c r="N30" s="220" t="str">
        <f t="shared" si="3"/>
        <v/>
      </c>
      <c r="O30" s="30" t="str">
        <f ca="1">IF($O$5&gt;=B30,"N/A",SUM(INDIRECT(ADDRESS(6+(MATCH($O$5,$B$6:$B$59,0)),13)):M30))</f>
        <v>N/A</v>
      </c>
      <c r="P30" s="325"/>
      <c r="Q30" s="325"/>
      <c r="R30" s="325"/>
      <c r="S30" s="70" t="str">
        <f t="shared" si="12"/>
        <v>PNOON</v>
      </c>
      <c r="T30" s="241">
        <f t="shared" si="13"/>
        <v>42572.5</v>
      </c>
      <c r="U30" s="345"/>
      <c r="V30" s="346">
        <v>3.75</v>
      </c>
      <c r="W30" s="346">
        <v>2.58</v>
      </c>
      <c r="X30" s="347">
        <f t="shared" si="14"/>
        <v>6.33</v>
      </c>
      <c r="Y30" s="353">
        <f t="shared" si="15"/>
        <v>2408.7799999999997</v>
      </c>
      <c r="Z30" s="357"/>
      <c r="AA30" s="296"/>
      <c r="AB30" s="297"/>
      <c r="AC30" s="297"/>
      <c r="AD30" s="199">
        <f t="shared" si="24"/>
        <v>0</v>
      </c>
      <c r="AE30" s="159">
        <f t="shared" si="17"/>
        <v>600</v>
      </c>
      <c r="AF30" s="298"/>
      <c r="AG30" s="372" t="str">
        <f t="shared" si="0"/>
        <v/>
      </c>
      <c r="AH30" s="363">
        <f t="shared" si="4"/>
        <v>3.75</v>
      </c>
      <c r="AI30" s="363">
        <f t="shared" si="5"/>
        <v>2.58</v>
      </c>
      <c r="AJ30" s="362">
        <f t="shared" si="6"/>
        <v>6.33</v>
      </c>
      <c r="AK30" s="370">
        <f t="shared" si="18"/>
        <v>3008.7799999999997</v>
      </c>
      <c r="AL30" s="375">
        <f t="shared" si="7"/>
        <v>0</v>
      </c>
      <c r="AM30" s="299"/>
      <c r="AN30" s="300"/>
      <c r="AO30" s="300"/>
      <c r="AP30" s="203">
        <f t="shared" si="8"/>
        <v>0</v>
      </c>
      <c r="AQ30" s="150">
        <f t="shared" si="19"/>
        <v>74.599999999999994</v>
      </c>
      <c r="AR30" s="301"/>
      <c r="AS30" s="302">
        <v>3</v>
      </c>
      <c r="AT30" s="303"/>
      <c r="AU30" s="141">
        <f t="shared" si="23"/>
        <v>106</v>
      </c>
      <c r="AV30" s="304">
        <v>57780</v>
      </c>
      <c r="AW30" s="316">
        <v>31900</v>
      </c>
      <c r="AX30" s="317">
        <v>6160</v>
      </c>
      <c r="AY30" s="237" t="e">
        <f t="shared" si="25"/>
        <v>#VALUE!</v>
      </c>
      <c r="AZ30" s="400" t="str">
        <f t="shared" si="21"/>
        <v>PNOON</v>
      </c>
      <c r="BA30" s="241">
        <f t="shared" si="22"/>
        <v>42572.5</v>
      </c>
      <c r="BB30" s="45" t="s">
        <v>40</v>
      </c>
      <c r="BC30" s="98"/>
      <c r="BD30" s="99"/>
      <c r="BE30" s="99"/>
      <c r="BF30" s="100"/>
      <c r="BG30" s="101"/>
      <c r="BH30" s="100"/>
      <c r="BI30" s="101"/>
      <c r="BJ30" s="101"/>
      <c r="BK30" s="99"/>
      <c r="BL30" s="102"/>
      <c r="BM30" s="102"/>
      <c r="BN30" s="103"/>
      <c r="BO30" s="104"/>
      <c r="BP30" s="98"/>
      <c r="BQ30" s="105"/>
      <c r="BR30" s="104"/>
      <c r="BS30" s="115"/>
      <c r="BT30" s="104"/>
      <c r="BU30" s="98"/>
      <c r="BV30" s="105"/>
      <c r="BW30" s="104"/>
      <c r="BX30" s="104"/>
      <c r="BY30" s="107"/>
      <c r="BZ30" s="108"/>
      <c r="CA30" s="108"/>
      <c r="CB30" s="109"/>
      <c r="CC30" s="110"/>
      <c r="CD30" s="108"/>
      <c r="CE30" s="109"/>
      <c r="CF30" s="109"/>
      <c r="CG30" s="107"/>
      <c r="CH30" s="111"/>
      <c r="CI30" s="98"/>
      <c r="CJ30" s="113"/>
      <c r="CK30" s="113"/>
      <c r="CL30" s="114"/>
      <c r="CM30" s="114"/>
      <c r="CN30" s="114"/>
      <c r="CO30" s="99"/>
      <c r="CP30" s="115"/>
      <c r="CQ30" s="116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121"/>
      <c r="DC30" s="121"/>
      <c r="DD30" s="100"/>
      <c r="DE30" s="121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</row>
    <row r="31" spans="1:122" ht="24" customHeight="1" x14ac:dyDescent="0.25">
      <c r="A31" s="83" t="s">
        <v>103</v>
      </c>
      <c r="B31" s="442">
        <v>42573.5</v>
      </c>
      <c r="C31" s="453"/>
      <c r="D31" s="84"/>
      <c r="E31" s="23"/>
      <c r="F31" s="15"/>
      <c r="G31" s="213"/>
      <c r="H31" s="27" t="str">
        <f t="shared" si="9"/>
        <v/>
      </c>
      <c r="I31" s="216" t="str">
        <f t="shared" si="10"/>
        <v/>
      </c>
      <c r="J31" s="29" t="str">
        <f ca="1">IF($J$5&gt;=B31,"N/A",SUM(INDIRECT(ADDRESS(6+(MATCH($J$5,$B$6:$B$59,0)),8)):H31))</f>
        <v>N/A</v>
      </c>
      <c r="K31" s="10"/>
      <c r="L31" s="88"/>
      <c r="M31" s="4" t="str">
        <f t="shared" si="11"/>
        <v/>
      </c>
      <c r="N31" s="220" t="str">
        <f t="shared" si="3"/>
        <v/>
      </c>
      <c r="O31" s="30" t="str">
        <f ca="1">IF($O$5&gt;=B31,"N/A",SUM(INDIRECT(ADDRESS(6+(MATCH($O$5,$B$6:$B$59,0)),13)):M31))</f>
        <v>N/A</v>
      </c>
      <c r="P31" s="325"/>
      <c r="Q31" s="325"/>
      <c r="R31" s="325"/>
      <c r="S31" s="70" t="str">
        <f t="shared" si="12"/>
        <v>PNOON</v>
      </c>
      <c r="T31" s="241">
        <f t="shared" si="13"/>
        <v>42573.5</v>
      </c>
      <c r="U31" s="345"/>
      <c r="V31" s="346">
        <v>3.78</v>
      </c>
      <c r="W31" s="346">
        <v>2.5</v>
      </c>
      <c r="X31" s="347">
        <f t="shared" si="14"/>
        <v>6.2799999999999994</v>
      </c>
      <c r="Y31" s="353">
        <f t="shared" si="15"/>
        <v>2402.4999999999995</v>
      </c>
      <c r="Z31" s="357"/>
      <c r="AA31" s="296"/>
      <c r="AB31" s="297"/>
      <c r="AC31" s="297"/>
      <c r="AD31" s="199">
        <f t="shared" si="24"/>
        <v>0</v>
      </c>
      <c r="AE31" s="159">
        <f t="shared" si="17"/>
        <v>600</v>
      </c>
      <c r="AF31" s="298"/>
      <c r="AG31" s="372" t="str">
        <f t="shared" si="0"/>
        <v/>
      </c>
      <c r="AH31" s="363">
        <f t="shared" si="4"/>
        <v>3.78</v>
      </c>
      <c r="AI31" s="363">
        <f t="shared" si="5"/>
        <v>2.5</v>
      </c>
      <c r="AJ31" s="362">
        <f t="shared" si="6"/>
        <v>6.2799999999999994</v>
      </c>
      <c r="AK31" s="370">
        <f t="shared" si="18"/>
        <v>3002.4999999999995</v>
      </c>
      <c r="AL31" s="375">
        <f t="shared" si="7"/>
        <v>0</v>
      </c>
      <c r="AM31" s="299"/>
      <c r="AN31" s="300"/>
      <c r="AO31" s="300"/>
      <c r="AP31" s="203">
        <f t="shared" si="8"/>
        <v>0</v>
      </c>
      <c r="AQ31" s="150">
        <f t="shared" si="19"/>
        <v>74.599999999999994</v>
      </c>
      <c r="AR31" s="301"/>
      <c r="AS31" s="302">
        <v>3</v>
      </c>
      <c r="AT31" s="303"/>
      <c r="AU31" s="141">
        <f t="shared" si="23"/>
        <v>103</v>
      </c>
      <c r="AV31" s="304">
        <v>57780</v>
      </c>
      <c r="AW31" s="316">
        <v>31900</v>
      </c>
      <c r="AX31" s="317">
        <v>6140</v>
      </c>
      <c r="AY31" s="237" t="e">
        <f t="shared" si="25"/>
        <v>#VALUE!</v>
      </c>
      <c r="AZ31" s="400" t="str">
        <f t="shared" si="21"/>
        <v>PNOON</v>
      </c>
      <c r="BA31" s="241">
        <f t="shared" si="22"/>
        <v>42573.5</v>
      </c>
      <c r="BB31" s="45" t="s">
        <v>40</v>
      </c>
      <c r="BC31" s="98"/>
      <c r="BD31" s="99"/>
      <c r="BE31" s="99"/>
      <c r="BF31" s="100"/>
      <c r="BG31" s="101"/>
      <c r="BH31" s="100"/>
      <c r="BI31" s="101"/>
      <c r="BJ31" s="101"/>
      <c r="BK31" s="99"/>
      <c r="BL31" s="102"/>
      <c r="BM31" s="102"/>
      <c r="BN31" s="103"/>
      <c r="BO31" s="104"/>
      <c r="BP31" s="98"/>
      <c r="BQ31" s="105"/>
      <c r="BR31" s="104"/>
      <c r="BS31" s="115"/>
      <c r="BT31" s="104"/>
      <c r="BU31" s="98"/>
      <c r="BV31" s="105"/>
      <c r="BW31" s="104"/>
      <c r="BX31" s="104"/>
      <c r="BY31" s="107"/>
      <c r="BZ31" s="108"/>
      <c r="CA31" s="108"/>
      <c r="CB31" s="109"/>
      <c r="CC31" s="110"/>
      <c r="CD31" s="108"/>
      <c r="CE31" s="109"/>
      <c r="CF31" s="109"/>
      <c r="CG31" s="107"/>
      <c r="CH31" s="111"/>
      <c r="CI31" s="98"/>
      <c r="CJ31" s="113"/>
      <c r="CK31" s="113"/>
      <c r="CL31" s="114"/>
      <c r="CM31" s="114"/>
      <c r="CN31" s="114"/>
      <c r="CO31" s="99"/>
      <c r="CP31" s="115"/>
      <c r="CQ31" s="116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121"/>
      <c r="DC31" s="121"/>
      <c r="DD31" s="100"/>
      <c r="DE31" s="121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</row>
    <row r="32" spans="1:122" ht="24" customHeight="1" x14ac:dyDescent="0.25">
      <c r="A32" s="83" t="s">
        <v>103</v>
      </c>
      <c r="B32" s="442">
        <v>42574.5</v>
      </c>
      <c r="C32" s="453"/>
      <c r="D32" s="84"/>
      <c r="E32" s="23"/>
      <c r="F32" s="15"/>
      <c r="G32" s="213"/>
      <c r="H32" s="27" t="str">
        <f t="shared" si="9"/>
        <v/>
      </c>
      <c r="I32" s="216" t="str">
        <f t="shared" si="10"/>
        <v/>
      </c>
      <c r="J32" s="29" t="str">
        <f ca="1">IF($J$5&gt;=B32,"N/A",SUM(INDIRECT(ADDRESS(6+(MATCH($J$5,$B$6:$B$59,0)),8)):H32))</f>
        <v>N/A</v>
      </c>
      <c r="K32" s="10"/>
      <c r="L32" s="88"/>
      <c r="M32" s="4" t="str">
        <f t="shared" si="11"/>
        <v/>
      </c>
      <c r="N32" s="220" t="str">
        <f t="shared" si="3"/>
        <v/>
      </c>
      <c r="O32" s="30" t="str">
        <f ca="1">IF($O$5&gt;=B32,"N/A",SUM(INDIRECT(ADDRESS(6+(MATCH($O$5,$B$6:$B$59,0)),13)):M32))</f>
        <v>N/A</v>
      </c>
      <c r="P32" s="325"/>
      <c r="Q32" s="325"/>
      <c r="R32" s="325"/>
      <c r="S32" s="70" t="str">
        <f t="shared" si="12"/>
        <v>PNOON</v>
      </c>
      <c r="T32" s="241">
        <f t="shared" si="13"/>
        <v>42574.5</v>
      </c>
      <c r="U32" s="345"/>
      <c r="V32" s="346">
        <v>3.7</v>
      </c>
      <c r="W32" s="346">
        <v>2.5</v>
      </c>
      <c r="X32" s="347">
        <f t="shared" si="14"/>
        <v>6.2</v>
      </c>
      <c r="Y32" s="353">
        <f t="shared" si="15"/>
        <v>2396.2999999999997</v>
      </c>
      <c r="Z32" s="357"/>
      <c r="AA32" s="296"/>
      <c r="AB32" s="297"/>
      <c r="AC32" s="297"/>
      <c r="AD32" s="199">
        <f t="shared" si="24"/>
        <v>0</v>
      </c>
      <c r="AE32" s="159">
        <f t="shared" si="17"/>
        <v>600</v>
      </c>
      <c r="AF32" s="298"/>
      <c r="AG32" s="372" t="str">
        <f t="shared" si="0"/>
        <v/>
      </c>
      <c r="AH32" s="363">
        <f t="shared" si="4"/>
        <v>3.7</v>
      </c>
      <c r="AI32" s="363">
        <f t="shared" si="5"/>
        <v>2.5</v>
      </c>
      <c r="AJ32" s="362">
        <f t="shared" si="6"/>
        <v>6.2</v>
      </c>
      <c r="AK32" s="370">
        <f t="shared" si="18"/>
        <v>2996.2999999999997</v>
      </c>
      <c r="AL32" s="375">
        <f t="shared" si="7"/>
        <v>0</v>
      </c>
      <c r="AM32" s="299"/>
      <c r="AN32" s="300"/>
      <c r="AO32" s="300"/>
      <c r="AP32" s="203">
        <f t="shared" si="8"/>
        <v>0</v>
      </c>
      <c r="AQ32" s="150">
        <f t="shared" si="19"/>
        <v>74.599999999999994</v>
      </c>
      <c r="AR32" s="301"/>
      <c r="AS32" s="302">
        <v>3</v>
      </c>
      <c r="AT32" s="303"/>
      <c r="AU32" s="141">
        <f t="shared" si="23"/>
        <v>100</v>
      </c>
      <c r="AV32" s="304">
        <v>57780</v>
      </c>
      <c r="AW32" s="316">
        <v>31900</v>
      </c>
      <c r="AX32" s="317">
        <v>6120</v>
      </c>
      <c r="AY32" s="237" t="e">
        <f t="shared" si="25"/>
        <v>#VALUE!</v>
      </c>
      <c r="AZ32" s="400" t="str">
        <f t="shared" si="21"/>
        <v>PNOON</v>
      </c>
      <c r="BA32" s="241">
        <f t="shared" si="22"/>
        <v>42574.5</v>
      </c>
      <c r="BB32" s="45" t="s">
        <v>40</v>
      </c>
      <c r="BC32" s="98"/>
      <c r="BD32" s="99"/>
      <c r="BE32" s="99"/>
      <c r="BF32" s="100"/>
      <c r="BG32" s="101"/>
      <c r="BH32" s="100"/>
      <c r="BI32" s="101"/>
      <c r="BJ32" s="101"/>
      <c r="BK32" s="99"/>
      <c r="BL32" s="102"/>
      <c r="BM32" s="102"/>
      <c r="BN32" s="103"/>
      <c r="BO32" s="104"/>
      <c r="BP32" s="98"/>
      <c r="BQ32" s="105"/>
      <c r="BR32" s="104"/>
      <c r="BS32" s="115"/>
      <c r="BT32" s="104"/>
      <c r="BU32" s="98"/>
      <c r="BV32" s="105"/>
      <c r="BW32" s="104"/>
      <c r="BX32" s="104"/>
      <c r="BY32" s="107"/>
      <c r="BZ32" s="108"/>
      <c r="CA32" s="108"/>
      <c r="CB32" s="109"/>
      <c r="CC32" s="110"/>
      <c r="CD32" s="108"/>
      <c r="CE32" s="109"/>
      <c r="CF32" s="109"/>
      <c r="CG32" s="107"/>
      <c r="CH32" s="111"/>
      <c r="CI32" s="98"/>
      <c r="CJ32" s="113"/>
      <c r="CK32" s="113"/>
      <c r="CL32" s="114"/>
      <c r="CM32" s="114"/>
      <c r="CN32" s="114"/>
      <c r="CO32" s="99"/>
      <c r="CP32" s="115"/>
      <c r="CQ32" s="116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121"/>
      <c r="DC32" s="121"/>
      <c r="DD32" s="100"/>
      <c r="DE32" s="121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</row>
    <row r="33" spans="1:122" ht="24" customHeight="1" x14ac:dyDescent="0.25">
      <c r="A33" s="83" t="s">
        <v>103</v>
      </c>
      <c r="B33" s="442">
        <v>42575.5</v>
      </c>
      <c r="C33" s="453"/>
      <c r="D33" s="84"/>
      <c r="E33" s="23"/>
      <c r="F33" s="15"/>
      <c r="G33" s="213"/>
      <c r="H33" s="27" t="str">
        <f t="shared" si="9"/>
        <v/>
      </c>
      <c r="I33" s="216" t="str">
        <f t="shared" si="10"/>
        <v/>
      </c>
      <c r="J33" s="29" t="str">
        <f ca="1">IF($J$5&gt;=B33,"N/A",SUM(INDIRECT(ADDRESS(6+(MATCH($J$5,$B$6:$B$59,0)),8)):H33))</f>
        <v>N/A</v>
      </c>
      <c r="K33" s="10"/>
      <c r="L33" s="88"/>
      <c r="M33" s="4" t="str">
        <f t="shared" si="11"/>
        <v/>
      </c>
      <c r="N33" s="220" t="str">
        <f t="shared" si="3"/>
        <v/>
      </c>
      <c r="O33" s="30" t="str">
        <f ca="1">IF($O$5&gt;=B33,"N/A",SUM(INDIRECT(ADDRESS(6+(MATCH($O$5,$B$6:$B$59,0)),13)):M33))</f>
        <v>N/A</v>
      </c>
      <c r="P33" s="325"/>
      <c r="Q33" s="325"/>
      <c r="R33" s="325"/>
      <c r="S33" s="70" t="str">
        <f t="shared" si="12"/>
        <v>PNOON</v>
      </c>
      <c r="T33" s="241">
        <f t="shared" si="13"/>
        <v>42575.5</v>
      </c>
      <c r="U33" s="345"/>
      <c r="V33" s="346">
        <v>3.8</v>
      </c>
      <c r="W33" s="346">
        <v>2.5</v>
      </c>
      <c r="X33" s="347">
        <f t="shared" si="14"/>
        <v>6.3</v>
      </c>
      <c r="Y33" s="353">
        <f t="shared" si="15"/>
        <v>2389.9999999999995</v>
      </c>
      <c r="Z33" s="357"/>
      <c r="AA33" s="296"/>
      <c r="AB33" s="297"/>
      <c r="AC33" s="297"/>
      <c r="AD33" s="199">
        <f t="shared" si="24"/>
        <v>0</v>
      </c>
      <c r="AE33" s="159">
        <f t="shared" si="17"/>
        <v>600</v>
      </c>
      <c r="AF33" s="298"/>
      <c r="AG33" s="372" t="str">
        <f t="shared" si="0"/>
        <v/>
      </c>
      <c r="AH33" s="363">
        <f t="shared" si="4"/>
        <v>3.8</v>
      </c>
      <c r="AI33" s="363">
        <f t="shared" si="5"/>
        <v>2.5</v>
      </c>
      <c r="AJ33" s="362">
        <f t="shared" si="6"/>
        <v>6.3</v>
      </c>
      <c r="AK33" s="370">
        <f t="shared" si="18"/>
        <v>2989.9999999999995</v>
      </c>
      <c r="AL33" s="375">
        <f t="shared" si="7"/>
        <v>0</v>
      </c>
      <c r="AM33" s="299"/>
      <c r="AN33" s="300"/>
      <c r="AO33" s="300"/>
      <c r="AP33" s="203">
        <f t="shared" si="8"/>
        <v>0</v>
      </c>
      <c r="AQ33" s="150">
        <f t="shared" si="19"/>
        <v>74.599999999999994</v>
      </c>
      <c r="AR33" s="301"/>
      <c r="AS33" s="302">
        <v>3</v>
      </c>
      <c r="AT33" s="303"/>
      <c r="AU33" s="141">
        <f t="shared" si="23"/>
        <v>97</v>
      </c>
      <c r="AV33" s="304">
        <v>57780</v>
      </c>
      <c r="AW33" s="316">
        <v>31900</v>
      </c>
      <c r="AX33" s="317">
        <v>6100</v>
      </c>
      <c r="AY33" s="237" t="e">
        <f t="shared" si="25"/>
        <v>#VALUE!</v>
      </c>
      <c r="AZ33" s="400" t="str">
        <f t="shared" si="21"/>
        <v>PNOON</v>
      </c>
      <c r="BA33" s="241">
        <f t="shared" si="22"/>
        <v>42575.5</v>
      </c>
      <c r="BB33" s="45" t="s">
        <v>40</v>
      </c>
      <c r="BC33" s="98"/>
      <c r="BD33" s="99"/>
      <c r="BE33" s="99"/>
      <c r="BF33" s="100"/>
      <c r="BG33" s="101"/>
      <c r="BH33" s="100"/>
      <c r="BI33" s="101"/>
      <c r="BJ33" s="101"/>
      <c r="BK33" s="99"/>
      <c r="BL33" s="102"/>
      <c r="BM33" s="102"/>
      <c r="BN33" s="103"/>
      <c r="BO33" s="104"/>
      <c r="BP33" s="98"/>
      <c r="BQ33" s="105"/>
      <c r="BR33" s="104"/>
      <c r="BS33" s="115"/>
      <c r="BT33" s="104"/>
      <c r="BU33" s="98"/>
      <c r="BV33" s="105"/>
      <c r="BW33" s="104"/>
      <c r="BX33" s="104"/>
      <c r="BY33" s="107"/>
      <c r="BZ33" s="108"/>
      <c r="CA33" s="108"/>
      <c r="CB33" s="109"/>
      <c r="CC33" s="110"/>
      <c r="CD33" s="108"/>
      <c r="CE33" s="109"/>
      <c r="CF33" s="109"/>
      <c r="CG33" s="107"/>
      <c r="CH33" s="111"/>
      <c r="CI33" s="98"/>
      <c r="CJ33" s="113"/>
      <c r="CK33" s="113"/>
      <c r="CL33" s="114"/>
      <c r="CM33" s="114"/>
      <c r="CN33" s="114"/>
      <c r="CO33" s="99"/>
      <c r="CP33" s="115"/>
      <c r="CQ33" s="116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121"/>
      <c r="DC33" s="121"/>
      <c r="DD33" s="100"/>
      <c r="DE33" s="121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</row>
    <row r="34" spans="1:122" ht="24" customHeight="1" x14ac:dyDescent="0.25">
      <c r="A34" s="83" t="s">
        <v>103</v>
      </c>
      <c r="B34" s="442">
        <v>42576.5</v>
      </c>
      <c r="C34" s="453"/>
      <c r="D34" s="84"/>
      <c r="E34" s="23"/>
      <c r="F34" s="15"/>
      <c r="G34" s="213"/>
      <c r="H34" s="27" t="str">
        <f t="shared" si="9"/>
        <v/>
      </c>
      <c r="I34" s="216" t="str">
        <f t="shared" si="10"/>
        <v/>
      </c>
      <c r="J34" s="29" t="str">
        <f ca="1">IF($J$5&gt;=B34,"N/A",SUM(INDIRECT(ADDRESS(6+(MATCH($J$5,$B$6:$B$59,0)),8)):H34))</f>
        <v>N/A</v>
      </c>
      <c r="K34" s="10"/>
      <c r="L34" s="88"/>
      <c r="M34" s="4" t="str">
        <f t="shared" si="11"/>
        <v/>
      </c>
      <c r="N34" s="220" t="str">
        <f t="shared" si="3"/>
        <v/>
      </c>
      <c r="O34" s="30" t="str">
        <f ca="1">IF($O$5&gt;=B34,"N/A",SUM(INDIRECT(ADDRESS(6+(MATCH($O$5,$B$6:$B$59,0)),13)):M34))</f>
        <v>N/A</v>
      </c>
      <c r="P34" s="325"/>
      <c r="Q34" s="325"/>
      <c r="R34" s="325"/>
      <c r="S34" s="70" t="str">
        <f t="shared" si="12"/>
        <v>PNOON</v>
      </c>
      <c r="T34" s="241">
        <f>IF($B34="","",$B34)</f>
        <v>42576.5</v>
      </c>
      <c r="U34" s="345"/>
      <c r="V34" s="346">
        <v>3.9</v>
      </c>
      <c r="W34" s="346">
        <v>2.6</v>
      </c>
      <c r="X34" s="347">
        <f t="shared" si="14"/>
        <v>6.5</v>
      </c>
      <c r="Y34" s="353">
        <f t="shared" si="15"/>
        <v>2383.4999999999995</v>
      </c>
      <c r="Z34" s="357"/>
      <c r="AA34" s="296"/>
      <c r="AB34" s="297"/>
      <c r="AC34" s="297"/>
      <c r="AD34" s="199">
        <f t="shared" si="24"/>
        <v>0</v>
      </c>
      <c r="AE34" s="159">
        <f t="shared" si="17"/>
        <v>600</v>
      </c>
      <c r="AF34" s="298"/>
      <c r="AG34" s="372" t="str">
        <f t="shared" si="0"/>
        <v/>
      </c>
      <c r="AH34" s="363">
        <f t="shared" si="4"/>
        <v>3.9</v>
      </c>
      <c r="AI34" s="363">
        <f t="shared" si="5"/>
        <v>2.6</v>
      </c>
      <c r="AJ34" s="362">
        <f t="shared" si="6"/>
        <v>6.5</v>
      </c>
      <c r="AK34" s="370">
        <f t="shared" si="18"/>
        <v>2983.4999999999995</v>
      </c>
      <c r="AL34" s="375">
        <f t="shared" si="7"/>
        <v>0</v>
      </c>
      <c r="AM34" s="299"/>
      <c r="AN34" s="300"/>
      <c r="AO34" s="300"/>
      <c r="AP34" s="203">
        <f t="shared" si="8"/>
        <v>0</v>
      </c>
      <c r="AQ34" s="150">
        <f t="shared" si="19"/>
        <v>74.599999999999994</v>
      </c>
      <c r="AR34" s="301"/>
      <c r="AS34" s="302">
        <v>3</v>
      </c>
      <c r="AT34" s="303"/>
      <c r="AU34" s="141">
        <f t="shared" si="23"/>
        <v>94</v>
      </c>
      <c r="AV34" s="304">
        <v>57780</v>
      </c>
      <c r="AW34" s="316">
        <v>31900</v>
      </c>
      <c r="AX34" s="317">
        <v>6080</v>
      </c>
      <c r="AY34" s="237" t="e">
        <f t="shared" si="25"/>
        <v>#VALUE!</v>
      </c>
      <c r="AZ34" s="400" t="str">
        <f t="shared" si="21"/>
        <v>PNOON</v>
      </c>
      <c r="BA34" s="241">
        <f>IF($B34="","",$B34)</f>
        <v>42576.5</v>
      </c>
      <c r="BB34" s="45" t="s">
        <v>40</v>
      </c>
      <c r="BC34" s="98"/>
      <c r="BD34" s="99"/>
      <c r="BE34" s="99"/>
      <c r="BF34" s="100"/>
      <c r="BG34" s="101"/>
      <c r="BH34" s="100"/>
      <c r="BI34" s="101"/>
      <c r="BJ34" s="101"/>
      <c r="BK34" s="99"/>
      <c r="BL34" s="102"/>
      <c r="BM34" s="102"/>
      <c r="BN34" s="103"/>
      <c r="BO34" s="104"/>
      <c r="BP34" s="98"/>
      <c r="BQ34" s="105"/>
      <c r="BR34" s="104"/>
      <c r="BS34" s="115"/>
      <c r="BT34" s="104"/>
      <c r="BU34" s="98"/>
      <c r="BV34" s="105"/>
      <c r="BW34" s="104"/>
      <c r="BX34" s="104"/>
      <c r="BY34" s="107"/>
      <c r="BZ34" s="108"/>
      <c r="CA34" s="108"/>
      <c r="CB34" s="109"/>
      <c r="CC34" s="110"/>
      <c r="CD34" s="108"/>
      <c r="CE34" s="109"/>
      <c r="CF34" s="109"/>
      <c r="CG34" s="107"/>
      <c r="CH34" s="111"/>
      <c r="CI34" s="98"/>
      <c r="CJ34" s="113"/>
      <c r="CK34" s="113"/>
      <c r="CL34" s="114"/>
      <c r="CM34" s="114"/>
      <c r="CN34" s="114"/>
      <c r="CO34" s="99"/>
      <c r="CP34" s="115"/>
      <c r="CQ34" s="116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121"/>
      <c r="DC34" s="121"/>
      <c r="DD34" s="100"/>
      <c r="DE34" s="121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</row>
    <row r="35" spans="1:122" ht="24" customHeight="1" x14ac:dyDescent="0.25">
      <c r="A35" s="83" t="s">
        <v>103</v>
      </c>
      <c r="B35" s="442">
        <v>42577.5</v>
      </c>
      <c r="C35" s="453"/>
      <c r="D35" s="84"/>
      <c r="E35" s="23"/>
      <c r="F35" s="15"/>
      <c r="G35" s="213"/>
      <c r="H35" s="27" t="str">
        <f t="shared" si="9"/>
        <v/>
      </c>
      <c r="I35" s="216" t="str">
        <f t="shared" si="10"/>
        <v/>
      </c>
      <c r="J35" s="29" t="str">
        <f ca="1">IF($J$5&gt;=B35,"N/A",SUM(INDIRECT(ADDRESS(6+(MATCH($J$5,$B$6:$B$59,0)),8)):H35))</f>
        <v>N/A</v>
      </c>
      <c r="K35" s="10"/>
      <c r="L35" s="88"/>
      <c r="M35" s="4" t="str">
        <f t="shared" si="11"/>
        <v/>
      </c>
      <c r="N35" s="220" t="str">
        <f t="shared" si="3"/>
        <v/>
      </c>
      <c r="O35" s="30" t="str">
        <f ca="1">IF($O$5&gt;=B35,"N/A",SUM(INDIRECT(ADDRESS(6+(MATCH($O$5,$B$6:$B$59,0)),13)):M35))</f>
        <v>N/A</v>
      </c>
      <c r="P35" s="325"/>
      <c r="Q35" s="325"/>
      <c r="R35" s="325"/>
      <c r="S35" s="70" t="str">
        <f t="shared" si="12"/>
        <v>PNOON</v>
      </c>
      <c r="T35" s="241">
        <f>IF($B35="","",$B35)</f>
        <v>42577.5</v>
      </c>
      <c r="U35" s="345"/>
      <c r="V35" s="346">
        <v>3.9</v>
      </c>
      <c r="W35" s="346">
        <v>2.6</v>
      </c>
      <c r="X35" s="347">
        <f t="shared" si="14"/>
        <v>6.5</v>
      </c>
      <c r="Y35" s="353">
        <f t="shared" si="15"/>
        <v>2376.9999999999995</v>
      </c>
      <c r="Z35" s="357"/>
      <c r="AA35" s="296"/>
      <c r="AB35" s="297"/>
      <c r="AC35" s="297"/>
      <c r="AD35" s="199">
        <f t="shared" si="24"/>
        <v>0</v>
      </c>
      <c r="AE35" s="159">
        <f t="shared" si="17"/>
        <v>600</v>
      </c>
      <c r="AF35" s="298"/>
      <c r="AG35" s="372" t="str">
        <f t="shared" si="0"/>
        <v/>
      </c>
      <c r="AH35" s="363">
        <f t="shared" si="4"/>
        <v>3.9</v>
      </c>
      <c r="AI35" s="363">
        <f t="shared" si="5"/>
        <v>2.6</v>
      </c>
      <c r="AJ35" s="362">
        <f t="shared" si="6"/>
        <v>6.5</v>
      </c>
      <c r="AK35" s="370">
        <f t="shared" si="18"/>
        <v>2976.9999999999995</v>
      </c>
      <c r="AL35" s="375">
        <f t="shared" si="7"/>
        <v>0</v>
      </c>
      <c r="AM35" s="299"/>
      <c r="AN35" s="300"/>
      <c r="AO35" s="300"/>
      <c r="AP35" s="203">
        <f t="shared" si="8"/>
        <v>0</v>
      </c>
      <c r="AQ35" s="150">
        <f t="shared" si="19"/>
        <v>74.599999999999994</v>
      </c>
      <c r="AR35" s="301"/>
      <c r="AS35" s="302">
        <v>3</v>
      </c>
      <c r="AT35" s="303"/>
      <c r="AU35" s="141">
        <f t="shared" si="23"/>
        <v>91</v>
      </c>
      <c r="AV35" s="304">
        <v>57780</v>
      </c>
      <c r="AW35" s="316">
        <v>31900</v>
      </c>
      <c r="AX35" s="317">
        <v>6060</v>
      </c>
      <c r="AY35" s="237" t="e">
        <f t="shared" si="25"/>
        <v>#VALUE!</v>
      </c>
      <c r="AZ35" s="400" t="str">
        <f t="shared" si="21"/>
        <v>PNOON</v>
      </c>
      <c r="BA35" s="241">
        <f>IF($B35="","",$B35)</f>
        <v>42577.5</v>
      </c>
      <c r="BB35" s="45" t="s">
        <v>40</v>
      </c>
      <c r="BC35" s="98"/>
      <c r="BD35" s="99"/>
      <c r="BE35" s="99"/>
      <c r="BF35" s="100"/>
      <c r="BG35" s="101"/>
      <c r="BH35" s="100"/>
      <c r="BI35" s="101"/>
      <c r="BJ35" s="101"/>
      <c r="BK35" s="99"/>
      <c r="BL35" s="102"/>
      <c r="BM35" s="102"/>
      <c r="BN35" s="103"/>
      <c r="BO35" s="104"/>
      <c r="BP35" s="98"/>
      <c r="BQ35" s="105"/>
      <c r="BR35" s="104"/>
      <c r="BS35" s="115"/>
      <c r="BT35" s="104"/>
      <c r="BU35" s="98"/>
      <c r="BV35" s="105"/>
      <c r="BW35" s="104"/>
      <c r="BX35" s="104"/>
      <c r="BY35" s="107"/>
      <c r="BZ35" s="108"/>
      <c r="CA35" s="108"/>
      <c r="CB35" s="109"/>
      <c r="CC35" s="110"/>
      <c r="CD35" s="108"/>
      <c r="CE35" s="109"/>
      <c r="CF35" s="109"/>
      <c r="CG35" s="107"/>
      <c r="CH35" s="111"/>
      <c r="CI35" s="98"/>
      <c r="CJ35" s="113"/>
      <c r="CK35" s="113"/>
      <c r="CL35" s="114"/>
      <c r="CM35" s="114"/>
      <c r="CN35" s="114"/>
      <c r="CO35" s="99"/>
      <c r="CP35" s="115"/>
      <c r="CQ35" s="116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121"/>
      <c r="DC35" s="121"/>
      <c r="DD35" s="100"/>
      <c r="DE35" s="121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</row>
    <row r="36" spans="1:122" ht="24" customHeight="1" x14ac:dyDescent="0.25">
      <c r="A36" s="83" t="s">
        <v>103</v>
      </c>
      <c r="B36" s="442">
        <v>42578.5</v>
      </c>
      <c r="C36" s="453"/>
      <c r="D36" s="84"/>
      <c r="E36" s="23"/>
      <c r="F36" s="15"/>
      <c r="G36" s="213"/>
      <c r="H36" s="27" t="str">
        <f t="shared" si="9"/>
        <v/>
      </c>
      <c r="I36" s="216" t="str">
        <f t="shared" si="10"/>
        <v/>
      </c>
      <c r="J36" s="29" t="str">
        <f ca="1">IF($J$5&gt;=B36,"N/A",SUM(INDIRECT(ADDRESS(6+(MATCH($J$5,$B$6:$B$59,0)),8)):H36))</f>
        <v>N/A</v>
      </c>
      <c r="K36" s="10"/>
      <c r="L36" s="88"/>
      <c r="M36" s="4" t="str">
        <f t="shared" si="11"/>
        <v/>
      </c>
      <c r="N36" s="220" t="str">
        <f t="shared" si="3"/>
        <v/>
      </c>
      <c r="O36" s="30" t="str">
        <f ca="1">IF($O$5&gt;=B36,"N/A",SUM(INDIRECT(ADDRESS(6+(MATCH($O$5,$B$6:$B$59,0)),13)):M36))</f>
        <v>N/A</v>
      </c>
      <c r="P36" s="325"/>
      <c r="Q36" s="325"/>
      <c r="R36" s="325"/>
      <c r="S36" s="70" t="str">
        <f t="shared" si="12"/>
        <v>PNOON</v>
      </c>
      <c r="T36" s="241">
        <f t="shared" si="13"/>
        <v>42578.5</v>
      </c>
      <c r="U36" s="345"/>
      <c r="V36" s="346">
        <v>3.9</v>
      </c>
      <c r="W36" s="346">
        <v>2.6</v>
      </c>
      <c r="X36" s="347">
        <f t="shared" si="14"/>
        <v>6.5</v>
      </c>
      <c r="Y36" s="353">
        <f t="shared" si="15"/>
        <v>2370.4999999999995</v>
      </c>
      <c r="Z36" s="357"/>
      <c r="AA36" s="296"/>
      <c r="AB36" s="297"/>
      <c r="AC36" s="297"/>
      <c r="AD36" s="199">
        <f t="shared" si="24"/>
        <v>0</v>
      </c>
      <c r="AE36" s="159">
        <f t="shared" si="17"/>
        <v>600</v>
      </c>
      <c r="AF36" s="298"/>
      <c r="AG36" s="372" t="str">
        <f t="shared" si="0"/>
        <v/>
      </c>
      <c r="AH36" s="363">
        <f t="shared" si="4"/>
        <v>3.9</v>
      </c>
      <c r="AI36" s="363">
        <f t="shared" si="5"/>
        <v>2.6</v>
      </c>
      <c r="AJ36" s="362">
        <f t="shared" si="6"/>
        <v>6.5</v>
      </c>
      <c r="AK36" s="370">
        <f t="shared" si="18"/>
        <v>2970.4999999999995</v>
      </c>
      <c r="AL36" s="375">
        <f t="shared" si="7"/>
        <v>0</v>
      </c>
      <c r="AM36" s="299"/>
      <c r="AN36" s="300"/>
      <c r="AO36" s="300"/>
      <c r="AP36" s="203">
        <f t="shared" si="8"/>
        <v>0</v>
      </c>
      <c r="AQ36" s="150">
        <f t="shared" si="19"/>
        <v>74.599999999999994</v>
      </c>
      <c r="AR36" s="301"/>
      <c r="AS36" s="302">
        <v>3</v>
      </c>
      <c r="AT36" s="303"/>
      <c r="AU36" s="141">
        <f t="shared" si="23"/>
        <v>88</v>
      </c>
      <c r="AV36" s="304">
        <v>57780</v>
      </c>
      <c r="AW36" s="316">
        <v>31900</v>
      </c>
      <c r="AX36" s="317">
        <v>6040</v>
      </c>
      <c r="AY36" s="237" t="e">
        <f t="shared" si="25"/>
        <v>#VALUE!</v>
      </c>
      <c r="AZ36" s="400" t="str">
        <f t="shared" si="21"/>
        <v>PNOON</v>
      </c>
      <c r="BA36" s="241">
        <f t="shared" si="22"/>
        <v>42578.5</v>
      </c>
      <c r="BB36" s="45" t="s">
        <v>40</v>
      </c>
      <c r="BC36" s="98"/>
      <c r="BD36" s="99"/>
      <c r="BE36" s="99"/>
      <c r="BF36" s="100"/>
      <c r="BG36" s="101"/>
      <c r="BH36" s="100"/>
      <c r="BI36" s="101"/>
      <c r="BJ36" s="101"/>
      <c r="BK36" s="99"/>
      <c r="BL36" s="102"/>
      <c r="BM36" s="102"/>
      <c r="BN36" s="103"/>
      <c r="BO36" s="104"/>
      <c r="BP36" s="98"/>
      <c r="BQ36" s="105"/>
      <c r="BR36" s="104"/>
      <c r="BS36" s="115"/>
      <c r="BT36" s="104"/>
      <c r="BU36" s="98"/>
      <c r="BV36" s="105"/>
      <c r="BW36" s="104"/>
      <c r="BX36" s="104"/>
      <c r="BY36" s="107"/>
      <c r="BZ36" s="108"/>
      <c r="CA36" s="108"/>
      <c r="CB36" s="109"/>
      <c r="CC36" s="110"/>
      <c r="CD36" s="108"/>
      <c r="CE36" s="109"/>
      <c r="CF36" s="109"/>
      <c r="CG36" s="107"/>
      <c r="CH36" s="111"/>
      <c r="CI36" s="98"/>
      <c r="CJ36" s="113"/>
      <c r="CK36" s="113"/>
      <c r="CL36" s="114"/>
      <c r="CM36" s="114"/>
      <c r="CN36" s="114"/>
      <c r="CO36" s="99"/>
      <c r="CP36" s="115"/>
      <c r="CQ36" s="116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121"/>
      <c r="DC36" s="121"/>
      <c r="DD36" s="100"/>
      <c r="DE36" s="121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</row>
    <row r="37" spans="1:122" ht="24" customHeight="1" x14ac:dyDescent="0.25">
      <c r="A37" s="83" t="s">
        <v>103</v>
      </c>
      <c r="B37" s="442">
        <v>42579.5</v>
      </c>
      <c r="C37" s="453"/>
      <c r="D37" s="84"/>
      <c r="E37" s="23"/>
      <c r="F37" s="15"/>
      <c r="G37" s="213"/>
      <c r="H37" s="27" t="str">
        <f t="shared" si="9"/>
        <v/>
      </c>
      <c r="I37" s="216" t="str">
        <f t="shared" si="10"/>
        <v/>
      </c>
      <c r="J37" s="29" t="str">
        <f ca="1">IF($J$5&gt;=B37,"N/A",SUM(INDIRECT(ADDRESS(6+(MATCH($J$5,$B$6:$B$59,0)),8)):H37))</f>
        <v>N/A</v>
      </c>
      <c r="K37" s="10"/>
      <c r="L37" s="88"/>
      <c r="M37" s="4" t="str">
        <f t="shared" si="11"/>
        <v/>
      </c>
      <c r="N37" s="220" t="str">
        <f t="shared" si="3"/>
        <v/>
      </c>
      <c r="O37" s="30" t="str">
        <f ca="1">IF($O$5&gt;=B37,"N/A",SUM(INDIRECT(ADDRESS(6+(MATCH($O$5,$B$6:$B$59,0)),13)):M37))</f>
        <v>N/A</v>
      </c>
      <c r="P37" s="325"/>
      <c r="Q37" s="325"/>
      <c r="R37" s="325"/>
      <c r="S37" s="70" t="str">
        <f t="shared" si="12"/>
        <v>PNOON</v>
      </c>
      <c r="T37" s="241">
        <f t="shared" si="13"/>
        <v>42579.5</v>
      </c>
      <c r="U37" s="345"/>
      <c r="V37" s="346">
        <v>3.8</v>
      </c>
      <c r="W37" s="346">
        <v>2.6</v>
      </c>
      <c r="X37" s="347">
        <f t="shared" si="14"/>
        <v>6.4</v>
      </c>
      <c r="Y37" s="353">
        <f t="shared" si="15"/>
        <v>2364.0999999999995</v>
      </c>
      <c r="Z37" s="357"/>
      <c r="AA37" s="296"/>
      <c r="AB37" s="297"/>
      <c r="AC37" s="297"/>
      <c r="AD37" s="199">
        <f t="shared" si="24"/>
        <v>0</v>
      </c>
      <c r="AE37" s="159">
        <f t="shared" si="17"/>
        <v>600</v>
      </c>
      <c r="AF37" s="298"/>
      <c r="AG37" s="372" t="str">
        <f t="shared" si="0"/>
        <v/>
      </c>
      <c r="AH37" s="363">
        <f t="shared" si="4"/>
        <v>3.8</v>
      </c>
      <c r="AI37" s="363">
        <f t="shared" si="5"/>
        <v>2.6</v>
      </c>
      <c r="AJ37" s="362">
        <f t="shared" si="6"/>
        <v>6.4</v>
      </c>
      <c r="AK37" s="370">
        <f t="shared" si="18"/>
        <v>2964.0999999999995</v>
      </c>
      <c r="AL37" s="375">
        <f t="shared" si="7"/>
        <v>0</v>
      </c>
      <c r="AM37" s="299"/>
      <c r="AN37" s="300"/>
      <c r="AO37" s="300"/>
      <c r="AP37" s="203">
        <f t="shared" si="8"/>
        <v>0</v>
      </c>
      <c r="AQ37" s="150">
        <f t="shared" si="19"/>
        <v>74.599999999999994</v>
      </c>
      <c r="AR37" s="301"/>
      <c r="AS37" s="302">
        <v>3</v>
      </c>
      <c r="AT37" s="303"/>
      <c r="AU37" s="141">
        <f t="shared" si="23"/>
        <v>85</v>
      </c>
      <c r="AV37" s="304">
        <v>57780</v>
      </c>
      <c r="AW37" s="316">
        <v>31900</v>
      </c>
      <c r="AX37" s="317">
        <v>6020</v>
      </c>
      <c r="AY37" s="237" t="e">
        <f t="shared" si="25"/>
        <v>#VALUE!</v>
      </c>
      <c r="AZ37" s="400" t="str">
        <f t="shared" si="21"/>
        <v>PNOON</v>
      </c>
      <c r="BA37" s="241">
        <f t="shared" si="22"/>
        <v>42579.5</v>
      </c>
      <c r="BB37" s="45" t="s">
        <v>40</v>
      </c>
      <c r="BC37" s="98"/>
      <c r="BD37" s="99"/>
      <c r="BE37" s="99"/>
      <c r="BF37" s="100"/>
      <c r="BG37" s="101"/>
      <c r="BH37" s="100"/>
      <c r="BI37" s="101"/>
      <c r="BJ37" s="101"/>
      <c r="BK37" s="99"/>
      <c r="BL37" s="102"/>
      <c r="BM37" s="102"/>
      <c r="BN37" s="103"/>
      <c r="BO37" s="104"/>
      <c r="BP37" s="98"/>
      <c r="BQ37" s="105"/>
      <c r="BR37" s="104"/>
      <c r="BS37" s="115"/>
      <c r="BT37" s="104"/>
      <c r="BU37" s="98"/>
      <c r="BV37" s="105"/>
      <c r="BW37" s="104"/>
      <c r="BX37" s="104"/>
      <c r="BY37" s="107"/>
      <c r="BZ37" s="108"/>
      <c r="CA37" s="108"/>
      <c r="CB37" s="109"/>
      <c r="CC37" s="110"/>
      <c r="CD37" s="108"/>
      <c r="CE37" s="109"/>
      <c r="CF37" s="109"/>
      <c r="CG37" s="107"/>
      <c r="CH37" s="111"/>
      <c r="CI37" s="98"/>
      <c r="CJ37" s="113"/>
      <c r="CK37" s="113"/>
      <c r="CL37" s="114"/>
      <c r="CM37" s="114"/>
      <c r="CN37" s="114"/>
      <c r="CO37" s="99"/>
      <c r="CP37" s="115"/>
      <c r="CQ37" s="116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121"/>
      <c r="DC37" s="121"/>
      <c r="DD37" s="100"/>
      <c r="DE37" s="121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</row>
    <row r="38" spans="1:122" ht="24" customHeight="1" x14ac:dyDescent="0.25">
      <c r="A38" s="83" t="s">
        <v>103</v>
      </c>
      <c r="B38" s="442">
        <v>42580.5</v>
      </c>
      <c r="C38" s="453"/>
      <c r="D38" s="84"/>
      <c r="E38" s="23"/>
      <c r="F38" s="15"/>
      <c r="G38" s="213"/>
      <c r="H38" s="27" t="str">
        <f t="shared" si="9"/>
        <v/>
      </c>
      <c r="I38" s="216" t="str">
        <f t="shared" si="10"/>
        <v/>
      </c>
      <c r="J38" s="29" t="str">
        <f ca="1">IF($J$5&gt;=B38,"N/A",SUM(INDIRECT(ADDRESS(6+(MATCH($J$5,$B$6:$B$59,0)),8)):H38))</f>
        <v>N/A</v>
      </c>
      <c r="K38" s="10"/>
      <c r="L38" s="88"/>
      <c r="M38" s="4" t="str">
        <f t="shared" si="11"/>
        <v/>
      </c>
      <c r="N38" s="220" t="str">
        <f t="shared" si="3"/>
        <v/>
      </c>
      <c r="O38" s="30" t="str">
        <f ca="1">IF($O$5&gt;=B38,"N/A",SUM(INDIRECT(ADDRESS(6+(MATCH($O$5,$B$6:$B$59,0)),13)):M38))</f>
        <v>N/A</v>
      </c>
      <c r="P38" s="325"/>
      <c r="Q38" s="325"/>
      <c r="R38" s="325"/>
      <c r="S38" s="70" t="str">
        <f t="shared" si="12"/>
        <v>PNOON</v>
      </c>
      <c r="T38" s="241">
        <f t="shared" si="13"/>
        <v>42580.5</v>
      </c>
      <c r="U38" s="345"/>
      <c r="V38" s="346">
        <v>3.9</v>
      </c>
      <c r="W38" s="346">
        <v>2.6</v>
      </c>
      <c r="X38" s="347">
        <f t="shared" si="14"/>
        <v>6.5</v>
      </c>
      <c r="Y38" s="353">
        <f t="shared" si="15"/>
        <v>2357.5999999999995</v>
      </c>
      <c r="Z38" s="357"/>
      <c r="AA38" s="296"/>
      <c r="AB38" s="297"/>
      <c r="AC38" s="297"/>
      <c r="AD38" s="199">
        <f t="shared" si="24"/>
        <v>0</v>
      </c>
      <c r="AE38" s="159">
        <f t="shared" si="17"/>
        <v>600</v>
      </c>
      <c r="AF38" s="298"/>
      <c r="AG38" s="372" t="str">
        <f t="shared" si="0"/>
        <v/>
      </c>
      <c r="AH38" s="363">
        <f t="shared" si="4"/>
        <v>3.9</v>
      </c>
      <c r="AI38" s="363">
        <f t="shared" si="5"/>
        <v>2.6</v>
      </c>
      <c r="AJ38" s="362">
        <f t="shared" si="6"/>
        <v>6.5</v>
      </c>
      <c r="AK38" s="370">
        <f t="shared" si="18"/>
        <v>2957.5999999999995</v>
      </c>
      <c r="AL38" s="375">
        <f t="shared" si="7"/>
        <v>0</v>
      </c>
      <c r="AM38" s="299"/>
      <c r="AN38" s="300"/>
      <c r="AO38" s="300"/>
      <c r="AP38" s="203">
        <f t="shared" si="8"/>
        <v>0</v>
      </c>
      <c r="AQ38" s="150">
        <f t="shared" si="19"/>
        <v>74.599999999999994</v>
      </c>
      <c r="AR38" s="301"/>
      <c r="AS38" s="302">
        <v>3</v>
      </c>
      <c r="AT38" s="303"/>
      <c r="AU38" s="141">
        <f t="shared" si="23"/>
        <v>82</v>
      </c>
      <c r="AV38" s="304">
        <v>57780</v>
      </c>
      <c r="AW38" s="316">
        <v>31900</v>
      </c>
      <c r="AX38" s="317">
        <v>6000</v>
      </c>
      <c r="AY38" s="237" t="e">
        <f t="shared" si="25"/>
        <v>#VALUE!</v>
      </c>
      <c r="AZ38" s="400" t="str">
        <f t="shared" si="21"/>
        <v>PNOON</v>
      </c>
      <c r="BA38" s="241">
        <f t="shared" si="22"/>
        <v>42580.5</v>
      </c>
      <c r="BB38" s="45" t="s">
        <v>40</v>
      </c>
      <c r="BC38" s="98"/>
      <c r="BD38" s="99"/>
      <c r="BE38" s="99"/>
      <c r="BF38" s="100"/>
      <c r="BG38" s="101"/>
      <c r="BH38" s="100"/>
      <c r="BI38" s="101"/>
      <c r="BJ38" s="101"/>
      <c r="BK38" s="99"/>
      <c r="BL38" s="102"/>
      <c r="BM38" s="102"/>
      <c r="BN38" s="103"/>
      <c r="BO38" s="104"/>
      <c r="BP38" s="98"/>
      <c r="BQ38" s="105"/>
      <c r="BR38" s="104"/>
      <c r="BS38" s="115"/>
      <c r="BT38" s="104"/>
      <c r="BU38" s="98"/>
      <c r="BV38" s="105"/>
      <c r="BW38" s="104"/>
      <c r="BX38" s="104"/>
      <c r="BY38" s="107"/>
      <c r="BZ38" s="108"/>
      <c r="CA38" s="108"/>
      <c r="CB38" s="109"/>
      <c r="CC38" s="110"/>
      <c r="CD38" s="108"/>
      <c r="CE38" s="109"/>
      <c r="CF38" s="109"/>
      <c r="CG38" s="107"/>
      <c r="CH38" s="111"/>
      <c r="CI38" s="98"/>
      <c r="CJ38" s="113"/>
      <c r="CK38" s="113"/>
      <c r="CL38" s="114"/>
      <c r="CM38" s="114"/>
      <c r="CN38" s="114"/>
      <c r="CO38" s="99"/>
      <c r="CP38" s="115"/>
      <c r="CQ38" s="116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121"/>
      <c r="DC38" s="121"/>
      <c r="DD38" s="100"/>
      <c r="DE38" s="121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</row>
    <row r="39" spans="1:122" ht="24" customHeight="1" x14ac:dyDescent="0.25">
      <c r="A39" s="83" t="s">
        <v>103</v>
      </c>
      <c r="B39" s="442">
        <v>42581.5</v>
      </c>
      <c r="C39" s="453"/>
      <c r="D39" s="84"/>
      <c r="E39" s="23"/>
      <c r="F39" s="15"/>
      <c r="G39" s="213"/>
      <c r="H39" s="27" t="str">
        <f t="shared" si="9"/>
        <v/>
      </c>
      <c r="I39" s="216" t="str">
        <f t="shared" si="10"/>
        <v/>
      </c>
      <c r="J39" s="29" t="str">
        <f ca="1">IF($J$5&gt;=B39,"N/A",SUM(INDIRECT(ADDRESS(6+(MATCH($J$5,$B$6:$B$59,0)),8)):H39))</f>
        <v>N/A</v>
      </c>
      <c r="K39" s="10"/>
      <c r="L39" s="88"/>
      <c r="M39" s="4" t="str">
        <f t="shared" si="11"/>
        <v/>
      </c>
      <c r="N39" s="220" t="str">
        <f t="shared" si="3"/>
        <v/>
      </c>
      <c r="O39" s="30" t="str">
        <f ca="1">IF($O$5&gt;=B39,"N/A",SUM(INDIRECT(ADDRESS(6+(MATCH($O$5,$B$6:$B$59,0)),13)):M39))</f>
        <v>N/A</v>
      </c>
      <c r="P39" s="325"/>
      <c r="Q39" s="325"/>
      <c r="R39" s="325"/>
      <c r="S39" s="70" t="str">
        <f t="shared" si="12"/>
        <v>PNOON</v>
      </c>
      <c r="T39" s="241">
        <f t="shared" si="13"/>
        <v>42581.5</v>
      </c>
      <c r="U39" s="345"/>
      <c r="V39" s="346">
        <v>3.8</v>
      </c>
      <c r="W39" s="346">
        <v>2.6</v>
      </c>
      <c r="X39" s="347">
        <f t="shared" si="14"/>
        <v>6.4</v>
      </c>
      <c r="Y39" s="353">
        <f t="shared" si="15"/>
        <v>2351.1999999999994</v>
      </c>
      <c r="Z39" s="357"/>
      <c r="AA39" s="296"/>
      <c r="AB39" s="297"/>
      <c r="AC39" s="297"/>
      <c r="AD39" s="199">
        <f t="shared" si="24"/>
        <v>0</v>
      </c>
      <c r="AE39" s="159">
        <f t="shared" si="17"/>
        <v>600</v>
      </c>
      <c r="AF39" s="298"/>
      <c r="AG39" s="372" t="str">
        <f t="shared" si="0"/>
        <v/>
      </c>
      <c r="AH39" s="363">
        <f t="shared" si="4"/>
        <v>3.8</v>
      </c>
      <c r="AI39" s="363">
        <f t="shared" si="5"/>
        <v>2.6</v>
      </c>
      <c r="AJ39" s="362">
        <f t="shared" si="6"/>
        <v>6.4</v>
      </c>
      <c r="AK39" s="370">
        <f t="shared" si="18"/>
        <v>2951.1999999999994</v>
      </c>
      <c r="AL39" s="375">
        <f t="shared" si="7"/>
        <v>0</v>
      </c>
      <c r="AM39" s="299"/>
      <c r="AN39" s="300"/>
      <c r="AO39" s="300"/>
      <c r="AP39" s="203">
        <f t="shared" si="8"/>
        <v>0</v>
      </c>
      <c r="AQ39" s="150">
        <f t="shared" si="19"/>
        <v>74.599999999999994</v>
      </c>
      <c r="AR39" s="301"/>
      <c r="AS39" s="302">
        <v>3</v>
      </c>
      <c r="AT39" s="303"/>
      <c r="AU39" s="141">
        <f t="shared" si="23"/>
        <v>79</v>
      </c>
      <c r="AV39" s="304">
        <v>57780</v>
      </c>
      <c r="AW39" s="316">
        <v>31900</v>
      </c>
      <c r="AX39" s="317">
        <v>5950</v>
      </c>
      <c r="AY39" s="237" t="e">
        <f t="shared" si="25"/>
        <v>#VALUE!</v>
      </c>
      <c r="AZ39" s="400" t="str">
        <f t="shared" si="21"/>
        <v>PNOON</v>
      </c>
      <c r="BA39" s="241">
        <f t="shared" si="22"/>
        <v>42581.5</v>
      </c>
      <c r="BB39" s="45" t="s">
        <v>40</v>
      </c>
      <c r="BC39" s="98"/>
      <c r="BD39" s="99"/>
      <c r="BE39" s="99"/>
      <c r="BF39" s="100"/>
      <c r="BG39" s="101"/>
      <c r="BH39" s="100"/>
      <c r="BI39" s="101"/>
      <c r="BJ39" s="101"/>
      <c r="BK39" s="99"/>
      <c r="BL39" s="102"/>
      <c r="BM39" s="102"/>
      <c r="BN39" s="103"/>
      <c r="BO39" s="104"/>
      <c r="BP39" s="98"/>
      <c r="BQ39" s="105"/>
      <c r="BR39" s="104"/>
      <c r="BS39" s="115"/>
      <c r="BT39" s="104"/>
      <c r="BU39" s="98"/>
      <c r="BV39" s="105"/>
      <c r="BW39" s="104"/>
      <c r="BX39" s="104"/>
      <c r="BY39" s="107"/>
      <c r="BZ39" s="108"/>
      <c r="CA39" s="108"/>
      <c r="CB39" s="109"/>
      <c r="CC39" s="110"/>
      <c r="CD39" s="108"/>
      <c r="CE39" s="109"/>
      <c r="CF39" s="109"/>
      <c r="CG39" s="107"/>
      <c r="CH39" s="111"/>
      <c r="CI39" s="98"/>
      <c r="CJ39" s="113"/>
      <c r="CK39" s="113"/>
      <c r="CL39" s="114"/>
      <c r="CM39" s="114"/>
      <c r="CN39" s="114"/>
      <c r="CO39" s="99"/>
      <c r="CP39" s="115"/>
      <c r="CQ39" s="116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121"/>
      <c r="DC39" s="121"/>
      <c r="DD39" s="100"/>
      <c r="DE39" s="121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</row>
    <row r="40" spans="1:122" ht="24" customHeight="1" x14ac:dyDescent="0.25">
      <c r="A40" s="83" t="s">
        <v>103</v>
      </c>
      <c r="B40" s="442">
        <v>42582.5</v>
      </c>
      <c r="C40" s="453"/>
      <c r="D40" s="84"/>
      <c r="E40" s="23"/>
      <c r="F40" s="15"/>
      <c r="G40" s="213"/>
      <c r="H40" s="27" t="str">
        <f t="shared" si="9"/>
        <v/>
      </c>
      <c r="I40" s="216" t="str">
        <f t="shared" si="10"/>
        <v/>
      </c>
      <c r="J40" s="29" t="str">
        <f ca="1">IF($J$5&gt;=B40,"N/A",SUM(INDIRECT(ADDRESS(6+(MATCH($J$5,$B$6:$B$59,0)),8)):H40))</f>
        <v>N/A</v>
      </c>
      <c r="K40" s="10"/>
      <c r="L40" s="88"/>
      <c r="M40" s="4" t="str">
        <f t="shared" si="11"/>
        <v/>
      </c>
      <c r="N40" s="220" t="str">
        <f t="shared" si="3"/>
        <v/>
      </c>
      <c r="O40" s="30" t="str">
        <f ca="1">IF($O$5&gt;=B40,"N/A",SUM(INDIRECT(ADDRESS(6+(MATCH($O$5,$B$6:$B$59,0)),13)):M40))</f>
        <v>N/A</v>
      </c>
      <c r="P40" s="325"/>
      <c r="Q40" s="325"/>
      <c r="R40" s="325"/>
      <c r="S40" s="70" t="str">
        <f t="shared" si="12"/>
        <v>PNOON</v>
      </c>
      <c r="T40" s="241">
        <f t="shared" si="13"/>
        <v>42582.5</v>
      </c>
      <c r="U40" s="345"/>
      <c r="V40" s="346">
        <v>3.8</v>
      </c>
      <c r="W40" s="346">
        <v>2.7</v>
      </c>
      <c r="X40" s="347">
        <f t="shared" si="14"/>
        <v>6.5</v>
      </c>
      <c r="Y40" s="353">
        <f t="shared" si="15"/>
        <v>2344.6999999999994</v>
      </c>
      <c r="Z40" s="357"/>
      <c r="AA40" s="296"/>
      <c r="AB40" s="297"/>
      <c r="AC40" s="297"/>
      <c r="AD40" s="199">
        <f t="shared" si="24"/>
        <v>0</v>
      </c>
      <c r="AE40" s="159">
        <f t="shared" si="17"/>
        <v>600</v>
      </c>
      <c r="AF40" s="298"/>
      <c r="AG40" s="372" t="str">
        <f t="shared" si="0"/>
        <v/>
      </c>
      <c r="AH40" s="363">
        <f t="shared" si="4"/>
        <v>3.8</v>
      </c>
      <c r="AI40" s="363">
        <f t="shared" si="5"/>
        <v>2.7</v>
      </c>
      <c r="AJ40" s="362">
        <f t="shared" si="6"/>
        <v>6.5</v>
      </c>
      <c r="AK40" s="370">
        <f t="shared" si="18"/>
        <v>2944.6999999999994</v>
      </c>
      <c r="AL40" s="375">
        <f t="shared" si="7"/>
        <v>0</v>
      </c>
      <c r="AM40" s="299"/>
      <c r="AN40" s="300"/>
      <c r="AO40" s="300"/>
      <c r="AP40" s="203">
        <f t="shared" si="8"/>
        <v>0</v>
      </c>
      <c r="AQ40" s="150">
        <f t="shared" si="19"/>
        <v>74.599999999999994</v>
      </c>
      <c r="AR40" s="301"/>
      <c r="AS40" s="302">
        <v>3</v>
      </c>
      <c r="AT40" s="303"/>
      <c r="AU40" s="141">
        <f t="shared" si="23"/>
        <v>76</v>
      </c>
      <c r="AV40" s="304">
        <v>57780</v>
      </c>
      <c r="AW40" s="316">
        <v>31900</v>
      </c>
      <c r="AX40" s="317">
        <v>5900</v>
      </c>
      <c r="AY40" s="237" t="e">
        <f t="shared" si="25"/>
        <v>#VALUE!</v>
      </c>
      <c r="AZ40" s="400" t="str">
        <f t="shared" si="21"/>
        <v>PNOON</v>
      </c>
      <c r="BA40" s="241">
        <f t="shared" si="22"/>
        <v>42582.5</v>
      </c>
      <c r="BB40" s="45" t="s">
        <v>40</v>
      </c>
      <c r="BC40" s="98"/>
      <c r="BD40" s="99"/>
      <c r="BE40" s="99"/>
      <c r="BF40" s="100"/>
      <c r="BG40" s="101"/>
      <c r="BH40" s="100"/>
      <c r="BI40" s="101"/>
      <c r="BJ40" s="101"/>
      <c r="BK40" s="99"/>
      <c r="BL40" s="102"/>
      <c r="BM40" s="102"/>
      <c r="BN40" s="103"/>
      <c r="BO40" s="104"/>
      <c r="BP40" s="98"/>
      <c r="BQ40" s="105"/>
      <c r="BR40" s="104"/>
      <c r="BS40" s="115"/>
      <c r="BT40" s="104"/>
      <c r="BU40" s="98"/>
      <c r="BV40" s="105"/>
      <c r="BW40" s="104"/>
      <c r="BX40" s="104"/>
      <c r="BY40" s="107"/>
      <c r="BZ40" s="108"/>
      <c r="CA40" s="108"/>
      <c r="CB40" s="109"/>
      <c r="CC40" s="110"/>
      <c r="CD40" s="108"/>
      <c r="CE40" s="109"/>
      <c r="CF40" s="109"/>
      <c r="CG40" s="107"/>
      <c r="CH40" s="111"/>
      <c r="CI40" s="98"/>
      <c r="CJ40" s="113"/>
      <c r="CK40" s="113"/>
      <c r="CL40" s="114"/>
      <c r="CM40" s="114"/>
      <c r="CN40" s="114"/>
      <c r="CO40" s="99"/>
      <c r="CP40" s="115"/>
      <c r="CQ40" s="116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121"/>
      <c r="DC40" s="121"/>
      <c r="DD40" s="100"/>
      <c r="DE40" s="121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</row>
    <row r="41" spans="1:122" ht="24" customHeight="1" x14ac:dyDescent="0.25">
      <c r="A41" s="83" t="s">
        <v>103</v>
      </c>
      <c r="B41" s="442">
        <v>42583.5</v>
      </c>
      <c r="C41" s="453"/>
      <c r="D41" s="84"/>
      <c r="E41" s="23"/>
      <c r="F41" s="15"/>
      <c r="G41" s="213"/>
      <c r="H41" s="27" t="str">
        <f t="shared" si="9"/>
        <v/>
      </c>
      <c r="I41" s="216" t="str">
        <f t="shared" si="10"/>
        <v/>
      </c>
      <c r="J41" s="29" t="str">
        <f ca="1">IF($J$5&gt;=B41,"N/A",SUM(INDIRECT(ADDRESS(6+(MATCH($J$5,$B$6:$B$59,0)),8)):H41))</f>
        <v>N/A</v>
      </c>
      <c r="K41" s="10"/>
      <c r="L41" s="88"/>
      <c r="M41" s="4" t="str">
        <f t="shared" si="11"/>
        <v/>
      </c>
      <c r="N41" s="220" t="str">
        <f t="shared" si="3"/>
        <v/>
      </c>
      <c r="O41" s="30" t="str">
        <f ca="1">IF($O$5&gt;=B41,"N/A",SUM(INDIRECT(ADDRESS(6+(MATCH($O$5,$B$6:$B$59,0)),13)):M41))</f>
        <v>N/A</v>
      </c>
      <c r="P41" s="325"/>
      <c r="Q41" s="325"/>
      <c r="R41" s="325"/>
      <c r="S41" s="70" t="str">
        <f t="shared" si="12"/>
        <v>PNOON</v>
      </c>
      <c r="T41" s="241">
        <f t="shared" si="13"/>
        <v>42583.5</v>
      </c>
      <c r="U41" s="345"/>
      <c r="V41" s="346">
        <v>3.8</v>
      </c>
      <c r="W41" s="346">
        <v>2.7</v>
      </c>
      <c r="X41" s="347">
        <f t="shared" si="14"/>
        <v>6.5</v>
      </c>
      <c r="Y41" s="353">
        <f t="shared" si="15"/>
        <v>2338.1999999999994</v>
      </c>
      <c r="Z41" s="357"/>
      <c r="AA41" s="296"/>
      <c r="AB41" s="297"/>
      <c r="AC41" s="297"/>
      <c r="AD41" s="199">
        <f t="shared" si="24"/>
        <v>0</v>
      </c>
      <c r="AE41" s="159">
        <f t="shared" si="17"/>
        <v>600</v>
      </c>
      <c r="AF41" s="298"/>
      <c r="AG41" s="372" t="str">
        <f t="shared" si="0"/>
        <v/>
      </c>
      <c r="AH41" s="363">
        <f t="shared" si="4"/>
        <v>3.8</v>
      </c>
      <c r="AI41" s="363">
        <f t="shared" si="5"/>
        <v>2.7</v>
      </c>
      <c r="AJ41" s="362">
        <f t="shared" si="6"/>
        <v>6.5</v>
      </c>
      <c r="AK41" s="370">
        <f t="shared" si="18"/>
        <v>2938.1999999999994</v>
      </c>
      <c r="AL41" s="375">
        <f t="shared" si="7"/>
        <v>0</v>
      </c>
      <c r="AM41" s="299"/>
      <c r="AN41" s="300"/>
      <c r="AO41" s="300"/>
      <c r="AP41" s="203">
        <f t="shared" si="8"/>
        <v>0</v>
      </c>
      <c r="AQ41" s="150">
        <f t="shared" si="19"/>
        <v>74.599999999999994</v>
      </c>
      <c r="AR41" s="301"/>
      <c r="AS41" s="302">
        <v>3</v>
      </c>
      <c r="AT41" s="303"/>
      <c r="AU41" s="141">
        <f t="shared" si="23"/>
        <v>73</v>
      </c>
      <c r="AV41" s="304">
        <v>57780</v>
      </c>
      <c r="AW41" s="316">
        <v>31900</v>
      </c>
      <c r="AX41" s="317">
        <v>5850</v>
      </c>
      <c r="AY41" s="237" t="e">
        <f t="shared" si="25"/>
        <v>#VALUE!</v>
      </c>
      <c r="AZ41" s="400" t="str">
        <f t="shared" si="21"/>
        <v>PNOON</v>
      </c>
      <c r="BA41" s="241">
        <f t="shared" si="22"/>
        <v>42583.5</v>
      </c>
      <c r="BB41" s="45" t="s">
        <v>40</v>
      </c>
      <c r="BC41" s="98"/>
      <c r="BD41" s="99"/>
      <c r="BE41" s="99"/>
      <c r="BF41" s="100"/>
      <c r="BG41" s="101"/>
      <c r="BH41" s="100"/>
      <c r="BI41" s="101"/>
      <c r="BJ41" s="101"/>
      <c r="BK41" s="99"/>
      <c r="BL41" s="102"/>
      <c r="BM41" s="102"/>
      <c r="BN41" s="103"/>
      <c r="BO41" s="104"/>
      <c r="BP41" s="98"/>
      <c r="BQ41" s="105"/>
      <c r="BR41" s="104"/>
      <c r="BS41" s="115"/>
      <c r="BT41" s="104"/>
      <c r="BU41" s="98"/>
      <c r="BV41" s="105"/>
      <c r="BW41" s="104"/>
      <c r="BX41" s="104"/>
      <c r="BY41" s="107"/>
      <c r="BZ41" s="108"/>
      <c r="CA41" s="108"/>
      <c r="CB41" s="109"/>
      <c r="CC41" s="110"/>
      <c r="CD41" s="108"/>
      <c r="CE41" s="109"/>
      <c r="CF41" s="109"/>
      <c r="CG41" s="107"/>
      <c r="CH41" s="111"/>
      <c r="CI41" s="98"/>
      <c r="CJ41" s="113"/>
      <c r="CK41" s="113"/>
      <c r="CL41" s="114"/>
      <c r="CM41" s="114"/>
      <c r="CN41" s="114"/>
      <c r="CO41" s="99"/>
      <c r="CP41" s="115"/>
      <c r="CQ41" s="116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121"/>
      <c r="DC41" s="121"/>
      <c r="DD41" s="100"/>
      <c r="DE41" s="121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</row>
    <row r="42" spans="1:122" ht="24" customHeight="1" x14ac:dyDescent="0.25">
      <c r="A42" s="83" t="s">
        <v>103</v>
      </c>
      <c r="B42" s="442">
        <v>42584.5</v>
      </c>
      <c r="C42" s="453"/>
      <c r="D42" s="84"/>
      <c r="E42" s="23"/>
      <c r="F42" s="15"/>
      <c r="G42" s="213"/>
      <c r="H42" s="27" t="str">
        <f t="shared" si="9"/>
        <v/>
      </c>
      <c r="I42" s="216" t="str">
        <f t="shared" si="10"/>
        <v/>
      </c>
      <c r="J42" s="29" t="str">
        <f ca="1">IF($J$5&gt;=B42,"N/A",SUM(INDIRECT(ADDRESS(6+(MATCH($J$5,$B$6:$B$59,0)),8)):H42))</f>
        <v>N/A</v>
      </c>
      <c r="K42" s="10"/>
      <c r="L42" s="88"/>
      <c r="M42" s="4" t="str">
        <f t="shared" si="11"/>
        <v/>
      </c>
      <c r="N42" s="220" t="str">
        <f t="shared" si="3"/>
        <v/>
      </c>
      <c r="O42" s="30" t="str">
        <f ca="1">IF($O$5&gt;=B42,"N/A",SUM(INDIRECT(ADDRESS(6+(MATCH($O$5,$B$6:$B$59,0)),13)):M42))</f>
        <v>N/A</v>
      </c>
      <c r="P42" s="325"/>
      <c r="Q42" s="325"/>
      <c r="R42" s="325"/>
      <c r="S42" s="70" t="str">
        <f t="shared" si="12"/>
        <v>PNOON</v>
      </c>
      <c r="T42" s="241">
        <f t="shared" si="13"/>
        <v>42584.5</v>
      </c>
      <c r="U42" s="345"/>
      <c r="V42" s="346">
        <v>3.8</v>
      </c>
      <c r="W42" s="346">
        <v>2.7</v>
      </c>
      <c r="X42" s="347">
        <f t="shared" si="14"/>
        <v>6.5</v>
      </c>
      <c r="Y42" s="353">
        <f t="shared" si="15"/>
        <v>2331.6999999999994</v>
      </c>
      <c r="Z42" s="357"/>
      <c r="AA42" s="296"/>
      <c r="AB42" s="297"/>
      <c r="AC42" s="297"/>
      <c r="AD42" s="199">
        <f t="shared" si="24"/>
        <v>0</v>
      </c>
      <c r="AE42" s="159">
        <f t="shared" si="17"/>
        <v>600</v>
      </c>
      <c r="AF42" s="298"/>
      <c r="AG42" s="372" t="str">
        <f t="shared" si="0"/>
        <v/>
      </c>
      <c r="AH42" s="363">
        <f t="shared" si="4"/>
        <v>3.8</v>
      </c>
      <c r="AI42" s="363">
        <f t="shared" si="5"/>
        <v>2.7</v>
      </c>
      <c r="AJ42" s="362">
        <f t="shared" si="6"/>
        <v>6.5</v>
      </c>
      <c r="AK42" s="370">
        <f t="shared" si="18"/>
        <v>2931.6999999999994</v>
      </c>
      <c r="AL42" s="375">
        <f t="shared" si="7"/>
        <v>0</v>
      </c>
      <c r="AM42" s="299"/>
      <c r="AN42" s="300"/>
      <c r="AO42" s="300"/>
      <c r="AP42" s="203">
        <f t="shared" si="8"/>
        <v>0</v>
      </c>
      <c r="AQ42" s="150">
        <f t="shared" si="19"/>
        <v>74.599999999999994</v>
      </c>
      <c r="AR42" s="301"/>
      <c r="AS42" s="302">
        <v>3</v>
      </c>
      <c r="AT42" s="303"/>
      <c r="AU42" s="141">
        <f t="shared" si="23"/>
        <v>70</v>
      </c>
      <c r="AV42" s="304">
        <v>57780</v>
      </c>
      <c r="AW42" s="316">
        <v>31900</v>
      </c>
      <c r="AX42" s="317">
        <v>5800</v>
      </c>
      <c r="AY42" s="237" t="e">
        <f t="shared" si="25"/>
        <v>#VALUE!</v>
      </c>
      <c r="AZ42" s="400" t="str">
        <f t="shared" si="21"/>
        <v>PNOON</v>
      </c>
      <c r="BA42" s="241">
        <f t="shared" si="22"/>
        <v>42584.5</v>
      </c>
      <c r="BB42" s="45" t="s">
        <v>40</v>
      </c>
      <c r="BC42" s="98"/>
      <c r="BD42" s="99"/>
      <c r="BE42" s="99"/>
      <c r="BF42" s="100"/>
      <c r="BG42" s="101"/>
      <c r="BH42" s="100"/>
      <c r="BI42" s="101"/>
      <c r="BJ42" s="101"/>
      <c r="BK42" s="99"/>
      <c r="BL42" s="102"/>
      <c r="BM42" s="102"/>
      <c r="BN42" s="103"/>
      <c r="BO42" s="104"/>
      <c r="BP42" s="98"/>
      <c r="BQ42" s="105"/>
      <c r="BR42" s="104"/>
      <c r="BS42" s="115"/>
      <c r="BT42" s="104"/>
      <c r="BU42" s="98"/>
      <c r="BV42" s="105"/>
      <c r="BW42" s="104"/>
      <c r="BX42" s="104"/>
      <c r="BY42" s="107"/>
      <c r="BZ42" s="108"/>
      <c r="CA42" s="108"/>
      <c r="CB42" s="109"/>
      <c r="CC42" s="110"/>
      <c r="CD42" s="108"/>
      <c r="CE42" s="109"/>
      <c r="CF42" s="109"/>
      <c r="CG42" s="107"/>
      <c r="CH42" s="111"/>
      <c r="CI42" s="98"/>
      <c r="CJ42" s="113"/>
      <c r="CK42" s="113"/>
      <c r="CL42" s="114"/>
      <c r="CM42" s="114"/>
      <c r="CN42" s="114"/>
      <c r="CO42" s="99"/>
      <c r="CP42" s="115"/>
      <c r="CQ42" s="116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121"/>
      <c r="DC42" s="121"/>
      <c r="DD42" s="100"/>
      <c r="DE42" s="121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</row>
    <row r="43" spans="1:122" ht="24" customHeight="1" x14ac:dyDescent="0.25">
      <c r="A43" s="83" t="s">
        <v>103</v>
      </c>
      <c r="B43" s="442">
        <v>42585.5</v>
      </c>
      <c r="C43" s="453"/>
      <c r="D43" s="84"/>
      <c r="E43" s="23"/>
      <c r="F43" s="15"/>
      <c r="G43" s="213"/>
      <c r="H43" s="27" t="str">
        <f t="shared" si="9"/>
        <v/>
      </c>
      <c r="I43" s="216" t="str">
        <f t="shared" si="10"/>
        <v/>
      </c>
      <c r="J43" s="29" t="str">
        <f ca="1">IF($J$5&gt;=B43,"N/A",SUM(INDIRECT(ADDRESS(6+(MATCH($J$5,$B$6:$B$59,0)),8)):H43))</f>
        <v>N/A</v>
      </c>
      <c r="K43" s="10"/>
      <c r="L43" s="88"/>
      <c r="M43" s="4" t="str">
        <f t="shared" si="11"/>
        <v/>
      </c>
      <c r="N43" s="220" t="str">
        <f t="shared" si="3"/>
        <v/>
      </c>
      <c r="O43" s="30" t="str">
        <f ca="1">IF($O$5&gt;=B43,"N/A",SUM(INDIRECT(ADDRESS(6+(MATCH($O$5,$B$6:$B$59,0)),13)):M43))</f>
        <v>N/A</v>
      </c>
      <c r="P43" s="325"/>
      <c r="Q43" s="325"/>
      <c r="R43" s="325"/>
      <c r="S43" s="70" t="str">
        <f t="shared" si="12"/>
        <v>PNOON</v>
      </c>
      <c r="T43" s="241">
        <f t="shared" si="13"/>
        <v>42585.5</v>
      </c>
      <c r="U43" s="345"/>
      <c r="V43" s="346">
        <v>3.9</v>
      </c>
      <c r="W43" s="346">
        <v>2.6</v>
      </c>
      <c r="X43" s="347">
        <f t="shared" si="14"/>
        <v>6.5</v>
      </c>
      <c r="Y43" s="353">
        <f t="shared" si="15"/>
        <v>2325.1999999999994</v>
      </c>
      <c r="Z43" s="357"/>
      <c r="AA43" s="296"/>
      <c r="AB43" s="297"/>
      <c r="AC43" s="297"/>
      <c r="AD43" s="199">
        <f t="shared" si="24"/>
        <v>0</v>
      </c>
      <c r="AE43" s="159">
        <f t="shared" si="17"/>
        <v>600</v>
      </c>
      <c r="AF43" s="298"/>
      <c r="AG43" s="372" t="str">
        <f t="shared" si="0"/>
        <v/>
      </c>
      <c r="AH43" s="363">
        <f t="shared" si="4"/>
        <v>3.9</v>
      </c>
      <c r="AI43" s="363">
        <f t="shared" si="5"/>
        <v>2.6</v>
      </c>
      <c r="AJ43" s="362">
        <f t="shared" si="6"/>
        <v>6.5</v>
      </c>
      <c r="AK43" s="370">
        <f t="shared" si="18"/>
        <v>2925.1999999999994</v>
      </c>
      <c r="AL43" s="375">
        <f t="shared" si="7"/>
        <v>0</v>
      </c>
      <c r="AM43" s="299"/>
      <c r="AN43" s="300"/>
      <c r="AO43" s="300"/>
      <c r="AP43" s="203">
        <f t="shared" si="8"/>
        <v>0</v>
      </c>
      <c r="AQ43" s="150">
        <f t="shared" si="19"/>
        <v>74.599999999999994</v>
      </c>
      <c r="AR43" s="301"/>
      <c r="AS43" s="302">
        <v>3</v>
      </c>
      <c r="AT43" s="303"/>
      <c r="AU43" s="141">
        <f t="shared" si="23"/>
        <v>67</v>
      </c>
      <c r="AV43" s="304">
        <v>57780</v>
      </c>
      <c r="AW43" s="316">
        <v>31900</v>
      </c>
      <c r="AX43" s="317">
        <v>5750</v>
      </c>
      <c r="AY43" s="237" t="e">
        <f t="shared" si="25"/>
        <v>#VALUE!</v>
      </c>
      <c r="AZ43" s="400" t="str">
        <f t="shared" si="21"/>
        <v>PNOON</v>
      </c>
      <c r="BA43" s="241">
        <f t="shared" si="22"/>
        <v>42585.5</v>
      </c>
      <c r="BB43" s="45" t="s">
        <v>40</v>
      </c>
      <c r="BC43" s="98"/>
      <c r="BD43" s="99"/>
      <c r="BE43" s="99"/>
      <c r="BF43" s="100"/>
      <c r="BG43" s="101"/>
      <c r="BH43" s="100"/>
      <c r="BI43" s="101"/>
      <c r="BJ43" s="101"/>
      <c r="BK43" s="99"/>
      <c r="BL43" s="102"/>
      <c r="BM43" s="102"/>
      <c r="BN43" s="103"/>
      <c r="BO43" s="104"/>
      <c r="BP43" s="98"/>
      <c r="BQ43" s="105"/>
      <c r="BR43" s="104"/>
      <c r="BS43" s="115"/>
      <c r="BT43" s="104"/>
      <c r="BU43" s="98"/>
      <c r="BV43" s="105"/>
      <c r="BW43" s="104"/>
      <c r="BX43" s="104"/>
      <c r="BY43" s="107"/>
      <c r="BZ43" s="108"/>
      <c r="CA43" s="108"/>
      <c r="CB43" s="109"/>
      <c r="CC43" s="110"/>
      <c r="CD43" s="108"/>
      <c r="CE43" s="109"/>
      <c r="CF43" s="109"/>
      <c r="CG43" s="107"/>
      <c r="CH43" s="111"/>
      <c r="CI43" s="98"/>
      <c r="CJ43" s="113"/>
      <c r="CK43" s="113"/>
      <c r="CL43" s="114"/>
      <c r="CM43" s="114"/>
      <c r="CN43" s="114"/>
      <c r="CO43" s="99"/>
      <c r="CP43" s="115"/>
      <c r="CQ43" s="116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121"/>
      <c r="DC43" s="121"/>
      <c r="DD43" s="100"/>
      <c r="DE43" s="121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</row>
    <row r="44" spans="1:122" ht="24" customHeight="1" x14ac:dyDescent="0.25">
      <c r="A44" s="83" t="s">
        <v>9</v>
      </c>
      <c r="B44" s="442">
        <v>42586.400000000001</v>
      </c>
      <c r="C44" s="453"/>
      <c r="D44" s="84"/>
      <c r="E44" s="23"/>
      <c r="F44" s="15">
        <v>0</v>
      </c>
      <c r="G44" s="213"/>
      <c r="H44" s="27" t="str">
        <f t="shared" si="9"/>
        <v/>
      </c>
      <c r="I44" s="216" t="str">
        <f t="shared" si="10"/>
        <v/>
      </c>
      <c r="J44" s="29" t="str">
        <f ca="1">IF($J$5&gt;=B44,"N/A",SUM(INDIRECT(ADDRESS(6+(MATCH($J$5,$B$6:$B$59,0)),8)):H44))</f>
        <v>N/A</v>
      </c>
      <c r="K44" s="10">
        <v>487.3</v>
      </c>
      <c r="L44" s="88">
        <v>487.3</v>
      </c>
      <c r="M44" s="4">
        <f t="shared" si="11"/>
        <v>0</v>
      </c>
      <c r="N44" s="220" t="str">
        <f t="shared" si="3"/>
        <v/>
      </c>
      <c r="O44" s="30" t="str">
        <f ca="1">IF($O$5&gt;=B44,"N/A",SUM(INDIRECT(ADDRESS(6+(MATCH($O$5,$B$6:$B$59,0)),13)):M44))</f>
        <v>N/A</v>
      </c>
      <c r="P44" s="325"/>
      <c r="Q44" s="325"/>
      <c r="R44" s="325"/>
      <c r="S44" s="70" t="str">
        <f t="shared" si="12"/>
        <v>SBE</v>
      </c>
      <c r="T44" s="241">
        <f t="shared" si="13"/>
        <v>42586.400000000001</v>
      </c>
      <c r="U44" s="345"/>
      <c r="V44" s="346">
        <v>3.4</v>
      </c>
      <c r="W44" s="346">
        <v>2.4</v>
      </c>
      <c r="X44" s="347">
        <f t="shared" si="14"/>
        <v>5.8</v>
      </c>
      <c r="Y44" s="353">
        <f t="shared" si="15"/>
        <v>2319.3999999999992</v>
      </c>
      <c r="Z44" s="357"/>
      <c r="AA44" s="296"/>
      <c r="AB44" s="297"/>
      <c r="AC44" s="297"/>
      <c r="AD44" s="199">
        <f t="shared" si="24"/>
        <v>0</v>
      </c>
      <c r="AE44" s="159">
        <f t="shared" si="17"/>
        <v>600</v>
      </c>
      <c r="AF44" s="298"/>
      <c r="AG44" s="372" t="str">
        <f t="shared" si="0"/>
        <v/>
      </c>
      <c r="AH44" s="363">
        <f t="shared" si="4"/>
        <v>3.4</v>
      </c>
      <c r="AI44" s="363">
        <f t="shared" si="5"/>
        <v>2.4</v>
      </c>
      <c r="AJ44" s="362">
        <f t="shared" si="6"/>
        <v>5.8</v>
      </c>
      <c r="AK44" s="370">
        <f t="shared" si="18"/>
        <v>2919.3999999999992</v>
      </c>
      <c r="AL44" s="375">
        <f t="shared" si="7"/>
        <v>0</v>
      </c>
      <c r="AM44" s="299"/>
      <c r="AN44" s="300"/>
      <c r="AO44" s="300"/>
      <c r="AP44" s="203">
        <f t="shared" si="8"/>
        <v>0</v>
      </c>
      <c r="AQ44" s="150">
        <f t="shared" si="19"/>
        <v>74.599999999999994</v>
      </c>
      <c r="AR44" s="301"/>
      <c r="AS44" s="302">
        <v>3</v>
      </c>
      <c r="AT44" s="303"/>
      <c r="AU44" s="141">
        <f t="shared" si="23"/>
        <v>64</v>
      </c>
      <c r="AV44" s="304">
        <v>57780</v>
      </c>
      <c r="AW44" s="316">
        <v>31900</v>
      </c>
      <c r="AX44" s="317">
        <v>5700</v>
      </c>
      <c r="AY44" s="237" t="e">
        <f t="shared" si="25"/>
        <v>#VALUE!</v>
      </c>
      <c r="AZ44" s="400" t="str">
        <f t="shared" si="21"/>
        <v>SBE</v>
      </c>
      <c r="BA44" s="241">
        <f t="shared" si="22"/>
        <v>42586.400000000001</v>
      </c>
      <c r="BB44" s="45" t="s">
        <v>40</v>
      </c>
      <c r="BC44" s="98"/>
      <c r="BD44" s="99"/>
      <c r="BE44" s="99"/>
      <c r="BF44" s="100"/>
      <c r="BG44" s="101"/>
      <c r="BH44" s="100"/>
      <c r="BI44" s="101"/>
      <c r="BJ44" s="101"/>
      <c r="BK44" s="99"/>
      <c r="BL44" s="102"/>
      <c r="BM44" s="102"/>
      <c r="BN44" s="103"/>
      <c r="BO44" s="104"/>
      <c r="BP44" s="98"/>
      <c r="BQ44" s="105"/>
      <c r="BR44" s="104"/>
      <c r="BS44" s="115"/>
      <c r="BT44" s="104"/>
      <c r="BU44" s="98"/>
      <c r="BV44" s="105"/>
      <c r="BW44" s="104"/>
      <c r="BX44" s="104"/>
      <c r="BY44" s="107"/>
      <c r="BZ44" s="108"/>
      <c r="CA44" s="108"/>
      <c r="CB44" s="109"/>
      <c r="CC44" s="110"/>
      <c r="CD44" s="108"/>
      <c r="CE44" s="109"/>
      <c r="CF44" s="109"/>
      <c r="CG44" s="107"/>
      <c r="CH44" s="111"/>
      <c r="CI44" s="98"/>
      <c r="CJ44" s="113"/>
      <c r="CK44" s="113"/>
      <c r="CL44" s="114"/>
      <c r="CM44" s="114"/>
      <c r="CN44" s="114"/>
      <c r="CO44" s="99"/>
      <c r="CP44" s="115"/>
      <c r="CQ44" s="116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121"/>
      <c r="DC44" s="121"/>
      <c r="DD44" s="100"/>
      <c r="DE44" s="121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</row>
    <row r="45" spans="1:122" ht="24" customHeight="1" x14ac:dyDescent="0.25">
      <c r="A45" s="83" t="s">
        <v>27</v>
      </c>
      <c r="B45" s="442">
        <v>42586.4375</v>
      </c>
      <c r="C45" s="453"/>
      <c r="D45" s="84"/>
      <c r="E45" s="23">
        <v>1.1000000000000001</v>
      </c>
      <c r="F45" s="15">
        <v>1</v>
      </c>
      <c r="G45" s="213"/>
      <c r="H45" s="27">
        <f t="shared" si="9"/>
        <v>1</v>
      </c>
      <c r="I45" s="216">
        <f t="shared" si="10"/>
        <v>0.90909090909090906</v>
      </c>
      <c r="J45" s="29" t="str">
        <f ca="1">IF($J$5&gt;=B45,"N/A",SUM(INDIRECT(ADDRESS(6+(MATCH($J$5,$B$6:$B$59,0)),8)):H45))</f>
        <v>N/A</v>
      </c>
      <c r="K45" s="10">
        <v>486.2</v>
      </c>
      <c r="L45" s="88"/>
      <c r="M45" s="4">
        <f t="shared" si="11"/>
        <v>1.1000000000000227</v>
      </c>
      <c r="N45" s="220">
        <f t="shared" si="3"/>
        <v>1.0000000000000207</v>
      </c>
      <c r="O45" s="30" t="str">
        <f ca="1">IF($O$5&gt;=B45,"N/A",SUM(INDIRECT(ADDRESS(6+(MATCH($O$5,$B$6:$B$59,0)),13)):M45))</f>
        <v>N/A</v>
      </c>
      <c r="P45" s="325">
        <v>37</v>
      </c>
      <c r="Q45" s="325">
        <v>10.4</v>
      </c>
      <c r="R45" s="325">
        <v>3.3</v>
      </c>
      <c r="S45" s="70" t="str">
        <f t="shared" si="12"/>
        <v>BOSP</v>
      </c>
      <c r="T45" s="241">
        <f t="shared" si="13"/>
        <v>42586.4375</v>
      </c>
      <c r="U45" s="345">
        <v>0.2</v>
      </c>
      <c r="V45" s="346">
        <v>0.4</v>
      </c>
      <c r="W45" s="346">
        <v>0.3</v>
      </c>
      <c r="X45" s="347">
        <f t="shared" si="14"/>
        <v>0.90000000000000013</v>
      </c>
      <c r="Y45" s="353">
        <f t="shared" si="15"/>
        <v>2318.4999999999991</v>
      </c>
      <c r="Z45" s="357"/>
      <c r="AA45" s="296"/>
      <c r="AB45" s="297"/>
      <c r="AC45" s="297"/>
      <c r="AD45" s="199">
        <f t="shared" si="24"/>
        <v>0</v>
      </c>
      <c r="AE45" s="159">
        <f t="shared" si="17"/>
        <v>600</v>
      </c>
      <c r="AF45" s="298"/>
      <c r="AG45" s="372">
        <f t="shared" si="0"/>
        <v>0.2</v>
      </c>
      <c r="AH45" s="363">
        <f t="shared" si="4"/>
        <v>0.4</v>
      </c>
      <c r="AI45" s="363">
        <f t="shared" si="5"/>
        <v>0.3</v>
      </c>
      <c r="AJ45" s="362">
        <f t="shared" si="6"/>
        <v>0.90000000000000013</v>
      </c>
      <c r="AK45" s="370">
        <f t="shared" si="18"/>
        <v>2918.4999999999991</v>
      </c>
      <c r="AL45" s="375">
        <f t="shared" si="7"/>
        <v>0</v>
      </c>
      <c r="AM45" s="299"/>
      <c r="AN45" s="300"/>
      <c r="AO45" s="300"/>
      <c r="AP45" s="203">
        <f t="shared" si="8"/>
        <v>0</v>
      </c>
      <c r="AQ45" s="150">
        <f t="shared" si="19"/>
        <v>74.599999999999994</v>
      </c>
      <c r="AR45" s="301"/>
      <c r="AS45" s="302">
        <v>0</v>
      </c>
      <c r="AT45" s="303"/>
      <c r="AU45" s="141">
        <f t="shared" si="23"/>
        <v>64</v>
      </c>
      <c r="AV45" s="304">
        <v>57770</v>
      </c>
      <c r="AW45" s="316">
        <v>31900</v>
      </c>
      <c r="AX45" s="317">
        <v>5700</v>
      </c>
      <c r="AY45" s="237">
        <f t="shared" si="25"/>
        <v>0.69696969696969691</v>
      </c>
      <c r="AZ45" s="400" t="str">
        <f t="shared" si="21"/>
        <v>BOSP</v>
      </c>
      <c r="BA45" s="241">
        <f t="shared" si="22"/>
        <v>42586.4375</v>
      </c>
      <c r="BB45" s="45" t="s">
        <v>40</v>
      </c>
      <c r="BC45" s="98"/>
      <c r="BD45" s="99"/>
      <c r="BE45" s="99"/>
      <c r="BF45" s="100"/>
      <c r="BG45" s="101"/>
      <c r="BH45" s="100"/>
      <c r="BI45" s="101"/>
      <c r="BJ45" s="101"/>
      <c r="BK45" s="99"/>
      <c r="BL45" s="102"/>
      <c r="BM45" s="102"/>
      <c r="BN45" s="103"/>
      <c r="BO45" s="104"/>
      <c r="BP45" s="98"/>
      <c r="BQ45" s="105"/>
      <c r="BR45" s="104"/>
      <c r="BS45" s="115"/>
      <c r="BT45" s="104"/>
      <c r="BU45" s="98"/>
      <c r="BV45" s="105"/>
      <c r="BW45" s="104"/>
      <c r="BX45" s="104"/>
      <c r="BY45" s="107"/>
      <c r="BZ45" s="108"/>
      <c r="CA45" s="108"/>
      <c r="CB45" s="109"/>
      <c r="CC45" s="110"/>
      <c r="CD45" s="108"/>
      <c r="CE45" s="109"/>
      <c r="CF45" s="109"/>
      <c r="CG45" s="107"/>
      <c r="CH45" s="111"/>
      <c r="CI45" s="98"/>
      <c r="CJ45" s="113"/>
      <c r="CK45" s="113"/>
      <c r="CL45" s="114"/>
      <c r="CM45" s="114"/>
      <c r="CN45" s="114"/>
      <c r="CO45" s="99"/>
      <c r="CP45" s="115"/>
      <c r="CQ45" s="116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121"/>
      <c r="DC45" s="121"/>
      <c r="DD45" s="100"/>
      <c r="DE45" s="121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</row>
    <row r="46" spans="1:122" ht="24" customHeight="1" x14ac:dyDescent="0.25">
      <c r="A46" s="83" t="s">
        <v>11</v>
      </c>
      <c r="B46" s="442">
        <v>42586.5</v>
      </c>
      <c r="C46" s="453"/>
      <c r="D46" s="84"/>
      <c r="E46" s="23">
        <v>1.5</v>
      </c>
      <c r="F46" s="15">
        <v>15.5</v>
      </c>
      <c r="G46" s="213"/>
      <c r="H46" s="27">
        <f t="shared" si="9"/>
        <v>14.5</v>
      </c>
      <c r="I46" s="216">
        <f t="shared" si="10"/>
        <v>9.6666666666666661</v>
      </c>
      <c r="J46" s="29">
        <f ca="1">IF($J$5&gt;=B46,"N/A",SUM(INDIRECT(ADDRESS(6+(MATCH($J$5,$B$6:$B$59,0)),8)):H46))</f>
        <v>14.5</v>
      </c>
      <c r="K46" s="10">
        <v>470.7</v>
      </c>
      <c r="L46" s="88"/>
      <c r="M46" s="4">
        <f t="shared" si="11"/>
        <v>15.5</v>
      </c>
      <c r="N46" s="220">
        <f t="shared" si="3"/>
        <v>10.333333333333334</v>
      </c>
      <c r="O46" s="30">
        <f ca="1">IF($O$5&gt;=B46,"N/A",SUM(INDIRECT(ADDRESS(6+(MATCH($O$5,$B$6:$B$59,0)),13)):M46))</f>
        <v>15.5</v>
      </c>
      <c r="P46" s="325">
        <v>41.2</v>
      </c>
      <c r="Q46" s="325">
        <v>11</v>
      </c>
      <c r="R46" s="325">
        <v>17.399999999999999</v>
      </c>
      <c r="S46" s="70" t="str">
        <f t="shared" si="12"/>
        <v>NOON</v>
      </c>
      <c r="T46" s="241">
        <f t="shared" si="13"/>
        <v>42586.5</v>
      </c>
      <c r="U46" s="345">
        <v>2.5</v>
      </c>
      <c r="V46" s="346">
        <v>0.5</v>
      </c>
      <c r="W46" s="346">
        <v>0.3</v>
      </c>
      <c r="X46" s="347">
        <f t="shared" si="14"/>
        <v>3.3</v>
      </c>
      <c r="Y46" s="353">
        <f t="shared" si="15"/>
        <v>2315.1999999999989</v>
      </c>
      <c r="Z46" s="357"/>
      <c r="AA46" s="296"/>
      <c r="AB46" s="297"/>
      <c r="AC46" s="297"/>
      <c r="AD46" s="199">
        <f t="shared" si="24"/>
        <v>0</v>
      </c>
      <c r="AE46" s="159">
        <f t="shared" si="17"/>
        <v>600</v>
      </c>
      <c r="AF46" s="298"/>
      <c r="AG46" s="372">
        <f t="shared" si="0"/>
        <v>2.5</v>
      </c>
      <c r="AH46" s="363">
        <f t="shared" si="4"/>
        <v>0.5</v>
      </c>
      <c r="AI46" s="363">
        <f t="shared" si="5"/>
        <v>0.3</v>
      </c>
      <c r="AJ46" s="362">
        <f t="shared" si="6"/>
        <v>3.3</v>
      </c>
      <c r="AK46" s="370">
        <f t="shared" si="18"/>
        <v>2915.1999999999989</v>
      </c>
      <c r="AL46" s="375">
        <f t="shared" si="7"/>
        <v>0</v>
      </c>
      <c r="AM46" s="299"/>
      <c r="AN46" s="300"/>
      <c r="AO46" s="300"/>
      <c r="AP46" s="203">
        <f t="shared" si="8"/>
        <v>0</v>
      </c>
      <c r="AQ46" s="150">
        <f t="shared" si="19"/>
        <v>74.599999999999994</v>
      </c>
      <c r="AR46" s="301"/>
      <c r="AS46" s="302">
        <v>0</v>
      </c>
      <c r="AT46" s="303"/>
      <c r="AU46" s="141">
        <f t="shared" si="23"/>
        <v>64</v>
      </c>
      <c r="AV46" s="304">
        <v>57740</v>
      </c>
      <c r="AW46" s="316">
        <v>31900</v>
      </c>
      <c r="AX46" s="317">
        <v>5700</v>
      </c>
      <c r="AY46" s="237">
        <f t="shared" si="25"/>
        <v>0.1666666666666666</v>
      </c>
      <c r="AZ46" s="400" t="str">
        <f t="shared" si="21"/>
        <v>NOON</v>
      </c>
      <c r="BA46" s="241">
        <f t="shared" si="22"/>
        <v>42586.5</v>
      </c>
      <c r="BB46" s="45" t="s">
        <v>40</v>
      </c>
      <c r="BC46" s="98"/>
      <c r="BD46" s="99"/>
      <c r="BE46" s="99"/>
      <c r="BF46" s="100"/>
      <c r="BG46" s="101"/>
      <c r="BH46" s="100"/>
      <c r="BI46" s="101"/>
      <c r="BJ46" s="101"/>
      <c r="BK46" s="99"/>
      <c r="BL46" s="102"/>
      <c r="BM46" s="102"/>
      <c r="BN46" s="103"/>
      <c r="BO46" s="104"/>
      <c r="BP46" s="98"/>
      <c r="BQ46" s="105"/>
      <c r="BR46" s="104"/>
      <c r="BS46" s="115"/>
      <c r="BT46" s="104"/>
      <c r="BU46" s="98"/>
      <c r="BV46" s="105"/>
      <c r="BW46" s="104"/>
      <c r="BX46" s="104"/>
      <c r="BY46" s="107"/>
      <c r="BZ46" s="108"/>
      <c r="CA46" s="108"/>
      <c r="CB46" s="109"/>
      <c r="CC46" s="110"/>
      <c r="CD46" s="108"/>
      <c r="CE46" s="109"/>
      <c r="CF46" s="109"/>
      <c r="CG46" s="107"/>
      <c r="CH46" s="111"/>
      <c r="CI46" s="98"/>
      <c r="CJ46" s="113"/>
      <c r="CK46" s="113"/>
      <c r="CL46" s="114"/>
      <c r="CM46" s="114"/>
      <c r="CN46" s="114"/>
      <c r="CO46" s="99"/>
      <c r="CP46" s="115"/>
      <c r="CQ46" s="116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121"/>
      <c r="DC46" s="121"/>
      <c r="DD46" s="100"/>
      <c r="DE46" s="121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</row>
    <row r="47" spans="1:122" ht="24" customHeight="1" x14ac:dyDescent="0.25">
      <c r="A47" s="83" t="s">
        <v>11</v>
      </c>
      <c r="B47" s="442">
        <v>42587.5</v>
      </c>
      <c r="C47" s="453"/>
      <c r="D47" s="84"/>
      <c r="E47" s="23">
        <v>24</v>
      </c>
      <c r="F47" s="15">
        <v>311.3</v>
      </c>
      <c r="G47" s="213"/>
      <c r="H47" s="27">
        <f t="shared" si="9"/>
        <v>295.8</v>
      </c>
      <c r="I47" s="216">
        <f t="shared" si="10"/>
        <v>12.325000000000001</v>
      </c>
      <c r="J47" s="29">
        <f ca="1">IF($J$5&gt;=B47,"N/A",SUM(INDIRECT(ADDRESS(6+(MATCH($J$5,$B$6:$B$59,0)),8)):H47))</f>
        <v>310.3</v>
      </c>
      <c r="K47" s="10">
        <v>159</v>
      </c>
      <c r="L47" s="88"/>
      <c r="M47" s="4">
        <f t="shared" si="11"/>
        <v>311.7</v>
      </c>
      <c r="N47" s="220">
        <f t="shared" si="3"/>
        <v>12.987499999999999</v>
      </c>
      <c r="O47" s="30">
        <f ca="1">IF($O$5&gt;=B47,"N/A",SUM(INDIRECT(ADDRESS(6+(MATCH($O$5,$B$6:$B$59,0)),13)):M47))</f>
        <v>327.2</v>
      </c>
      <c r="P47" s="325">
        <v>47</v>
      </c>
      <c r="Q47" s="325">
        <v>8.5</v>
      </c>
      <c r="R47" s="325">
        <v>340.6</v>
      </c>
      <c r="S47" s="70" t="str">
        <f t="shared" si="12"/>
        <v>NOON</v>
      </c>
      <c r="T47" s="241">
        <f t="shared" si="13"/>
        <v>42587.5</v>
      </c>
      <c r="U47" s="345">
        <v>48</v>
      </c>
      <c r="V47" s="346">
        <v>7.4</v>
      </c>
      <c r="W47" s="346">
        <v>0</v>
      </c>
      <c r="X47" s="347">
        <f t="shared" si="14"/>
        <v>55.4</v>
      </c>
      <c r="Y47" s="353">
        <f t="shared" si="15"/>
        <v>2259.7999999999988</v>
      </c>
      <c r="Z47" s="357"/>
      <c r="AA47" s="296"/>
      <c r="AB47" s="297"/>
      <c r="AC47" s="297"/>
      <c r="AD47" s="199">
        <f t="shared" si="24"/>
        <v>0</v>
      </c>
      <c r="AE47" s="159">
        <f t="shared" si="17"/>
        <v>600</v>
      </c>
      <c r="AF47" s="298"/>
      <c r="AG47" s="372">
        <f t="shared" si="0"/>
        <v>48</v>
      </c>
      <c r="AH47" s="363">
        <f t="shared" si="4"/>
        <v>7.4</v>
      </c>
      <c r="AI47" s="363" t="str">
        <f t="shared" si="5"/>
        <v/>
      </c>
      <c r="AJ47" s="362">
        <f t="shared" si="6"/>
        <v>55.4</v>
      </c>
      <c r="AK47" s="370">
        <f t="shared" si="18"/>
        <v>2859.7999999999988</v>
      </c>
      <c r="AL47" s="375">
        <f t="shared" si="7"/>
        <v>0</v>
      </c>
      <c r="AM47" s="299"/>
      <c r="AN47" s="300"/>
      <c r="AO47" s="300"/>
      <c r="AP47" s="203">
        <f t="shared" si="8"/>
        <v>0</v>
      </c>
      <c r="AQ47" s="150">
        <f t="shared" si="19"/>
        <v>74.599999999999994</v>
      </c>
      <c r="AR47" s="301"/>
      <c r="AS47" s="302">
        <v>3</v>
      </c>
      <c r="AT47" s="303">
        <v>24</v>
      </c>
      <c r="AU47" s="141">
        <f t="shared" si="23"/>
        <v>85</v>
      </c>
      <c r="AV47" s="304">
        <v>57270</v>
      </c>
      <c r="AW47" s="316">
        <v>28900</v>
      </c>
      <c r="AX47" s="317">
        <v>5650</v>
      </c>
      <c r="AY47" s="237">
        <f t="shared" si="25"/>
        <v>0.13153258954785674</v>
      </c>
      <c r="AZ47" s="400" t="str">
        <f t="shared" si="21"/>
        <v>NOON</v>
      </c>
      <c r="BA47" s="241">
        <f t="shared" si="22"/>
        <v>42587.5</v>
      </c>
      <c r="BB47" s="45" t="s">
        <v>40</v>
      </c>
      <c r="BC47" s="98"/>
      <c r="BD47" s="99"/>
      <c r="BE47" s="99"/>
      <c r="BF47" s="100"/>
      <c r="BG47" s="101"/>
      <c r="BH47" s="100"/>
      <c r="BI47" s="101"/>
      <c r="BJ47" s="101"/>
      <c r="BK47" s="99"/>
      <c r="BL47" s="102"/>
      <c r="BM47" s="102"/>
      <c r="BN47" s="103"/>
      <c r="BO47" s="104"/>
      <c r="BP47" s="98"/>
      <c r="BQ47" s="105"/>
      <c r="BR47" s="104"/>
      <c r="BS47" s="115"/>
      <c r="BT47" s="104"/>
      <c r="BU47" s="98"/>
      <c r="BV47" s="105"/>
      <c r="BW47" s="104"/>
      <c r="BX47" s="104"/>
      <c r="BY47" s="107"/>
      <c r="BZ47" s="108"/>
      <c r="CA47" s="108"/>
      <c r="CB47" s="109"/>
      <c r="CC47" s="110"/>
      <c r="CD47" s="108"/>
      <c r="CE47" s="109"/>
      <c r="CF47" s="109"/>
      <c r="CG47" s="107"/>
      <c r="CH47" s="111"/>
      <c r="CI47" s="98"/>
      <c r="CJ47" s="113"/>
      <c r="CK47" s="113"/>
      <c r="CL47" s="114"/>
      <c r="CM47" s="114"/>
      <c r="CN47" s="114"/>
      <c r="CO47" s="99"/>
      <c r="CP47" s="115"/>
      <c r="CQ47" s="116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121"/>
      <c r="DC47" s="121"/>
      <c r="DD47" s="100"/>
      <c r="DE47" s="121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</row>
    <row r="48" spans="1:122" ht="24" customHeight="1" x14ac:dyDescent="0.25">
      <c r="A48" s="83" t="s">
        <v>97</v>
      </c>
      <c r="B48" s="442">
        <v>42587.816666666666</v>
      </c>
      <c r="C48" s="453"/>
      <c r="D48" s="84"/>
      <c r="E48" s="23">
        <v>7.5</v>
      </c>
      <c r="F48" s="15">
        <v>410.5</v>
      </c>
      <c r="G48" s="213"/>
      <c r="H48" s="27">
        <f t="shared" si="9"/>
        <v>99.199999999999989</v>
      </c>
      <c r="I48" s="216">
        <f t="shared" si="10"/>
        <v>13.226666666666665</v>
      </c>
      <c r="J48" s="29">
        <f ca="1">IF($J$5&gt;=B48,"N/A",SUM(INDIRECT(ADDRESS(6+(MATCH($J$5,$B$6:$B$59,0)),8)):H48))</f>
        <v>409.5</v>
      </c>
      <c r="K48" s="10">
        <v>54</v>
      </c>
      <c r="L48" s="88"/>
      <c r="M48" s="4">
        <f t="shared" si="11"/>
        <v>105</v>
      </c>
      <c r="N48" s="220">
        <f t="shared" si="3"/>
        <v>14</v>
      </c>
      <c r="O48" s="30">
        <f ca="1">IF($O$5&gt;=B48,"N/A",SUM(INDIRECT(ADDRESS(6+(MATCH($O$5,$B$6:$B$59,0)),13)):M48))</f>
        <v>432.2</v>
      </c>
      <c r="P48" s="325">
        <v>48.1</v>
      </c>
      <c r="Q48" s="325">
        <v>4.9000000000000004</v>
      </c>
      <c r="R48" s="325">
        <v>110.4</v>
      </c>
      <c r="S48" s="70" t="str">
        <f t="shared" si="12"/>
        <v>EOSP</v>
      </c>
      <c r="T48" s="241">
        <f t="shared" si="13"/>
        <v>42587.816666666666</v>
      </c>
      <c r="U48" s="345">
        <v>15.7</v>
      </c>
      <c r="V48" s="346">
        <v>2.4</v>
      </c>
      <c r="W48" s="346"/>
      <c r="X48" s="347">
        <f t="shared" si="14"/>
        <v>18.099999999999998</v>
      </c>
      <c r="Y48" s="353">
        <f t="shared" si="15"/>
        <v>2241.6999999999989</v>
      </c>
      <c r="Z48" s="357"/>
      <c r="AA48" s="296"/>
      <c r="AB48" s="297"/>
      <c r="AC48" s="297"/>
      <c r="AD48" s="199">
        <f t="shared" si="24"/>
        <v>0</v>
      </c>
      <c r="AE48" s="159">
        <f t="shared" si="17"/>
        <v>600</v>
      </c>
      <c r="AF48" s="298"/>
      <c r="AG48" s="372">
        <f t="shared" si="0"/>
        <v>15.7</v>
      </c>
      <c r="AH48" s="363">
        <f t="shared" si="4"/>
        <v>2.4</v>
      </c>
      <c r="AI48" s="363" t="str">
        <f t="shared" si="5"/>
        <v/>
      </c>
      <c r="AJ48" s="362">
        <f t="shared" si="6"/>
        <v>18.099999999999998</v>
      </c>
      <c r="AK48" s="370">
        <f t="shared" si="18"/>
        <v>2841.6999999999989</v>
      </c>
      <c r="AL48" s="375">
        <f t="shared" si="7"/>
        <v>0</v>
      </c>
      <c r="AM48" s="299"/>
      <c r="AN48" s="300"/>
      <c r="AO48" s="300"/>
      <c r="AP48" s="203">
        <f t="shared" si="8"/>
        <v>0</v>
      </c>
      <c r="AQ48" s="150">
        <f t="shared" si="19"/>
        <v>74.599999999999994</v>
      </c>
      <c r="AR48" s="301"/>
      <c r="AS48" s="302">
        <v>2</v>
      </c>
      <c r="AT48" s="303">
        <v>12</v>
      </c>
      <c r="AU48" s="141">
        <f t="shared" si="23"/>
        <v>95</v>
      </c>
      <c r="AV48" s="304">
        <v>57115</v>
      </c>
      <c r="AW48" s="316">
        <v>28900</v>
      </c>
      <c r="AX48" s="317">
        <v>5640</v>
      </c>
      <c r="AY48" s="237">
        <f t="shared" si="25"/>
        <v>0.10144927536231899</v>
      </c>
      <c r="AZ48" s="400" t="str">
        <f t="shared" si="21"/>
        <v>EOSP</v>
      </c>
      <c r="BA48" s="241">
        <f t="shared" si="22"/>
        <v>42587.816666666666</v>
      </c>
      <c r="BB48" s="45" t="s">
        <v>40</v>
      </c>
      <c r="BC48" s="98"/>
      <c r="BD48" s="99"/>
      <c r="BE48" s="99"/>
      <c r="BF48" s="100"/>
      <c r="BG48" s="101"/>
      <c r="BH48" s="100"/>
      <c r="BI48" s="101"/>
      <c r="BJ48" s="101"/>
      <c r="BK48" s="99"/>
      <c r="BL48" s="102"/>
      <c r="BM48" s="102"/>
      <c r="BN48" s="103"/>
      <c r="BO48" s="104"/>
      <c r="BP48" s="98"/>
      <c r="BQ48" s="105"/>
      <c r="BR48" s="104"/>
      <c r="BS48" s="115"/>
      <c r="BT48" s="104"/>
      <c r="BU48" s="98"/>
      <c r="BV48" s="105"/>
      <c r="BW48" s="104"/>
      <c r="BX48" s="104"/>
      <c r="BY48" s="107"/>
      <c r="BZ48" s="108"/>
      <c r="CA48" s="108"/>
      <c r="CB48" s="109"/>
      <c r="CC48" s="110"/>
      <c r="CD48" s="108"/>
      <c r="CE48" s="109"/>
      <c r="CF48" s="109"/>
      <c r="CG48" s="107"/>
      <c r="CH48" s="111"/>
      <c r="CI48" s="98"/>
      <c r="CJ48" s="113"/>
      <c r="CK48" s="113"/>
      <c r="CL48" s="114"/>
      <c r="CM48" s="114"/>
      <c r="CN48" s="114"/>
      <c r="CO48" s="99"/>
      <c r="CP48" s="115"/>
      <c r="CQ48" s="116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121"/>
      <c r="DC48" s="121"/>
      <c r="DD48" s="100"/>
      <c r="DE48" s="121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</row>
    <row r="49" spans="1:122" ht="24" customHeight="1" x14ac:dyDescent="0.25">
      <c r="A49" s="83" t="s">
        <v>10</v>
      </c>
      <c r="B49" s="442">
        <v>42587.837500000001</v>
      </c>
      <c r="C49" s="453"/>
      <c r="D49" s="84" t="s">
        <v>143</v>
      </c>
      <c r="E49" s="23">
        <v>0.5</v>
      </c>
      <c r="F49" s="15">
        <v>412</v>
      </c>
      <c r="G49" s="213"/>
      <c r="H49" s="27">
        <f t="shared" si="9"/>
        <v>1.5</v>
      </c>
      <c r="I49" s="216">
        <f t="shared" si="10"/>
        <v>3</v>
      </c>
      <c r="J49" s="29">
        <f ca="1">IF($J$5&gt;=B49,"N/A",SUM(INDIRECT(ADDRESS(6+(MATCH($J$5,$B$6:$B$59,0)),8)):H49))</f>
        <v>411</v>
      </c>
      <c r="K49" s="10">
        <v>53.7</v>
      </c>
      <c r="L49" s="88"/>
      <c r="M49" s="4">
        <f t="shared" si="11"/>
        <v>0.29999999999999716</v>
      </c>
      <c r="N49" s="220">
        <f t="shared" si="3"/>
        <v>0.59999999999999432</v>
      </c>
      <c r="O49" s="30">
        <f ca="1">IF($O$5&gt;=B49,"N/A",SUM(INDIRECT(ADDRESS(6+(MATCH($O$5,$B$6:$B$59,0)),13)):M49))</f>
        <v>432.5</v>
      </c>
      <c r="P49" s="325">
        <v>19.8</v>
      </c>
      <c r="Q49" s="325">
        <v>8.1</v>
      </c>
      <c r="R49" s="325">
        <v>1.2</v>
      </c>
      <c r="S49" s="70" t="str">
        <f t="shared" si="12"/>
        <v>FWE</v>
      </c>
      <c r="T49" s="241">
        <f t="shared" si="13"/>
        <v>42587.837500000001</v>
      </c>
      <c r="U49" s="345">
        <v>0.1</v>
      </c>
      <c r="V49" s="346">
        <v>0.2</v>
      </c>
      <c r="W49" s="346">
        <v>0.3</v>
      </c>
      <c r="X49" s="347">
        <f t="shared" si="14"/>
        <v>0.60000000000000009</v>
      </c>
      <c r="Y49" s="353">
        <f t="shared" si="15"/>
        <v>2241.099999999999</v>
      </c>
      <c r="Z49" s="357"/>
      <c r="AA49" s="296"/>
      <c r="AB49" s="297"/>
      <c r="AC49" s="297"/>
      <c r="AD49" s="199">
        <f t="shared" si="24"/>
        <v>0</v>
      </c>
      <c r="AE49" s="159">
        <f t="shared" si="17"/>
        <v>600</v>
      </c>
      <c r="AF49" s="298"/>
      <c r="AG49" s="372">
        <f t="shared" si="0"/>
        <v>0.1</v>
      </c>
      <c r="AH49" s="363">
        <f t="shared" si="4"/>
        <v>0.2</v>
      </c>
      <c r="AI49" s="363">
        <f t="shared" si="5"/>
        <v>0.3</v>
      </c>
      <c r="AJ49" s="362">
        <f t="shared" si="6"/>
        <v>0.60000000000000009</v>
      </c>
      <c r="AK49" s="370">
        <f t="shared" si="18"/>
        <v>2841.099999999999</v>
      </c>
      <c r="AL49" s="375">
        <f t="shared" si="7"/>
        <v>0</v>
      </c>
      <c r="AM49" s="299"/>
      <c r="AN49" s="300"/>
      <c r="AO49" s="300"/>
      <c r="AP49" s="203">
        <f t="shared" si="8"/>
        <v>0</v>
      </c>
      <c r="AQ49" s="150">
        <f t="shared" si="19"/>
        <v>74.599999999999994</v>
      </c>
      <c r="AR49" s="301"/>
      <c r="AS49" s="302"/>
      <c r="AT49" s="303"/>
      <c r="AU49" s="141">
        <f t="shared" si="23"/>
        <v>95</v>
      </c>
      <c r="AV49" s="304">
        <v>57114</v>
      </c>
      <c r="AW49" s="316">
        <v>28900</v>
      </c>
      <c r="AX49" s="317">
        <v>5640</v>
      </c>
      <c r="AY49" s="237">
        <f t="shared" si="25"/>
        <v>-0.25000000000000006</v>
      </c>
      <c r="AZ49" s="400" t="str">
        <f t="shared" si="21"/>
        <v>FWE</v>
      </c>
      <c r="BA49" s="241">
        <f t="shared" si="22"/>
        <v>42587.837500000001</v>
      </c>
      <c r="BB49" s="45" t="s">
        <v>40</v>
      </c>
      <c r="BC49" s="98"/>
      <c r="BD49" s="99"/>
      <c r="BE49" s="99"/>
      <c r="BF49" s="100"/>
      <c r="BG49" s="101"/>
      <c r="BH49" s="100"/>
      <c r="BI49" s="101"/>
      <c r="BJ49" s="101"/>
      <c r="BK49" s="99"/>
      <c r="BL49" s="102"/>
      <c r="BM49" s="102"/>
      <c r="BN49" s="103"/>
      <c r="BO49" s="104"/>
      <c r="BP49" s="98"/>
      <c r="BQ49" s="105"/>
      <c r="BR49" s="104"/>
      <c r="BS49" s="115"/>
      <c r="BT49" s="104"/>
      <c r="BU49" s="98"/>
      <c r="BV49" s="105"/>
      <c r="BW49" s="104"/>
      <c r="BX49" s="104"/>
      <c r="BY49" s="107"/>
      <c r="BZ49" s="108"/>
      <c r="CA49" s="108"/>
      <c r="CB49" s="109"/>
      <c r="CC49" s="110"/>
      <c r="CD49" s="108"/>
      <c r="CE49" s="109"/>
      <c r="CF49" s="109"/>
      <c r="CG49" s="107"/>
      <c r="CH49" s="111"/>
      <c r="CI49" s="98"/>
      <c r="CJ49" s="113"/>
      <c r="CK49" s="113"/>
      <c r="CL49" s="114"/>
      <c r="CM49" s="114"/>
      <c r="CN49" s="114"/>
      <c r="CO49" s="99"/>
      <c r="CP49" s="115"/>
      <c r="CQ49" s="116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121"/>
      <c r="DC49" s="121"/>
      <c r="DD49" s="100"/>
      <c r="DE49" s="121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</row>
    <row r="50" spans="1:122" ht="24" customHeight="1" x14ac:dyDescent="0.25">
      <c r="A50" s="83" t="s">
        <v>103</v>
      </c>
      <c r="B50" s="442">
        <v>42588.5</v>
      </c>
      <c r="C50" s="453"/>
      <c r="D50" s="84"/>
      <c r="E50" s="23"/>
      <c r="F50" s="15">
        <v>412</v>
      </c>
      <c r="G50" s="213"/>
      <c r="H50" s="27">
        <f t="shared" si="9"/>
        <v>0</v>
      </c>
      <c r="I50" s="216" t="str">
        <f t="shared" si="10"/>
        <v/>
      </c>
      <c r="J50" s="29">
        <f ca="1">IF($J$5&gt;=B50,"N/A",SUM(INDIRECT(ADDRESS(6+(MATCH($J$5,$B$6:$B$59,0)),8)):H50))</f>
        <v>411</v>
      </c>
      <c r="K50" s="10">
        <v>53.7</v>
      </c>
      <c r="L50" s="88"/>
      <c r="M50" s="4">
        <f t="shared" si="11"/>
        <v>0</v>
      </c>
      <c r="N50" s="220" t="str">
        <f t="shared" si="3"/>
        <v/>
      </c>
      <c r="O50" s="30">
        <f ca="1">IF($O$5&gt;=B50,"N/A",SUM(INDIRECT(ADDRESS(6+(MATCH($O$5,$B$6:$B$59,0)),13)):M50))</f>
        <v>432.5</v>
      </c>
      <c r="P50" s="325"/>
      <c r="Q50" s="325"/>
      <c r="R50" s="325"/>
      <c r="S50" s="70" t="str">
        <f t="shared" si="12"/>
        <v>PNOON</v>
      </c>
      <c r="T50" s="241">
        <f t="shared" si="13"/>
        <v>42588.5</v>
      </c>
      <c r="U50" s="345">
        <v>0</v>
      </c>
      <c r="V50" s="346">
        <v>3.4</v>
      </c>
      <c r="W50" s="346">
        <v>1.8</v>
      </c>
      <c r="X50" s="347">
        <f t="shared" si="14"/>
        <v>5.2</v>
      </c>
      <c r="Y50" s="353">
        <f t="shared" si="15"/>
        <v>2235.8999999999992</v>
      </c>
      <c r="Z50" s="357"/>
      <c r="AA50" s="296"/>
      <c r="AB50" s="297"/>
      <c r="AC50" s="297"/>
      <c r="AD50" s="199">
        <f t="shared" si="24"/>
        <v>0</v>
      </c>
      <c r="AE50" s="159">
        <f t="shared" si="17"/>
        <v>600</v>
      </c>
      <c r="AF50" s="298"/>
      <c r="AG50" s="372" t="str">
        <f t="shared" si="0"/>
        <v/>
      </c>
      <c r="AH50" s="363">
        <f t="shared" si="4"/>
        <v>3.4</v>
      </c>
      <c r="AI50" s="363">
        <f t="shared" si="5"/>
        <v>1.8</v>
      </c>
      <c r="AJ50" s="362">
        <f t="shared" si="6"/>
        <v>5.2</v>
      </c>
      <c r="AK50" s="370">
        <f t="shared" si="18"/>
        <v>2835.8999999999992</v>
      </c>
      <c r="AL50" s="375">
        <f t="shared" si="7"/>
        <v>0</v>
      </c>
      <c r="AM50" s="299"/>
      <c r="AN50" s="300"/>
      <c r="AO50" s="300"/>
      <c r="AP50" s="203">
        <f t="shared" si="8"/>
        <v>0</v>
      </c>
      <c r="AQ50" s="150">
        <f t="shared" si="19"/>
        <v>74.599999999999994</v>
      </c>
      <c r="AR50" s="301"/>
      <c r="AS50" s="302">
        <v>3</v>
      </c>
      <c r="AT50" s="303">
        <v>28</v>
      </c>
      <c r="AU50" s="141">
        <f t="shared" si="23"/>
        <v>120</v>
      </c>
      <c r="AV50" s="304">
        <v>57114</v>
      </c>
      <c r="AW50" s="316">
        <v>28900</v>
      </c>
      <c r="AX50" s="317">
        <v>5610</v>
      </c>
      <c r="AY50" s="237" t="e">
        <f t="shared" si="25"/>
        <v>#DIV/0!</v>
      </c>
      <c r="AZ50" s="400" t="str">
        <f t="shared" si="21"/>
        <v>PNOON</v>
      </c>
      <c r="BA50" s="241">
        <f t="shared" si="22"/>
        <v>42588.5</v>
      </c>
      <c r="BB50" s="45" t="s">
        <v>40</v>
      </c>
      <c r="BC50" s="98"/>
      <c r="BD50" s="99"/>
      <c r="BE50" s="99"/>
      <c r="BF50" s="100"/>
      <c r="BG50" s="101"/>
      <c r="BH50" s="100"/>
      <c r="BI50" s="101"/>
      <c r="BJ50" s="101"/>
      <c r="BK50" s="99"/>
      <c r="BL50" s="102"/>
      <c r="BM50" s="102"/>
      <c r="BN50" s="103"/>
      <c r="BO50" s="104"/>
      <c r="BP50" s="98"/>
      <c r="BQ50" s="105"/>
      <c r="BR50" s="104"/>
      <c r="BS50" s="115"/>
      <c r="BT50" s="104"/>
      <c r="BU50" s="98"/>
      <c r="BV50" s="105"/>
      <c r="BW50" s="104"/>
      <c r="BX50" s="104"/>
      <c r="BY50" s="107"/>
      <c r="BZ50" s="108"/>
      <c r="CA50" s="108"/>
      <c r="CB50" s="109"/>
      <c r="CC50" s="110"/>
      <c r="CD50" s="108"/>
      <c r="CE50" s="109"/>
      <c r="CF50" s="109"/>
      <c r="CG50" s="107"/>
      <c r="CH50" s="111"/>
      <c r="CI50" s="98"/>
      <c r="CJ50" s="113"/>
      <c r="CK50" s="113"/>
      <c r="CL50" s="114"/>
      <c r="CM50" s="114"/>
      <c r="CN50" s="114"/>
      <c r="CO50" s="99"/>
      <c r="CP50" s="115"/>
      <c r="CQ50" s="116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121"/>
      <c r="DC50" s="121"/>
      <c r="DD50" s="100"/>
      <c r="DE50" s="121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</row>
    <row r="51" spans="1:122" ht="24" customHeight="1" x14ac:dyDescent="0.25">
      <c r="A51" s="83" t="s">
        <v>103</v>
      </c>
      <c r="B51" s="442">
        <v>42589.5</v>
      </c>
      <c r="C51" s="453"/>
      <c r="D51" s="84"/>
      <c r="E51" s="23"/>
      <c r="F51" s="15">
        <v>412</v>
      </c>
      <c r="G51" s="213"/>
      <c r="H51" s="27">
        <f t="shared" si="9"/>
        <v>0</v>
      </c>
      <c r="I51" s="216" t="str">
        <f t="shared" si="10"/>
        <v/>
      </c>
      <c r="J51" s="29">
        <f ca="1">IF($J$5&gt;=B51,"N/A",SUM(INDIRECT(ADDRESS(6+(MATCH($J$5,$B$6:$B$59,0)),8)):H51))</f>
        <v>411</v>
      </c>
      <c r="K51" s="10">
        <v>53.7</v>
      </c>
      <c r="L51" s="88"/>
      <c r="M51" s="4">
        <f t="shared" si="11"/>
        <v>0</v>
      </c>
      <c r="N51" s="220" t="str">
        <f t="shared" si="3"/>
        <v/>
      </c>
      <c r="O51" s="30">
        <f ca="1">IF($O$5&gt;=B51,"N/A",SUM(INDIRECT(ADDRESS(6+(MATCH($O$5,$B$6:$B$59,0)),13)):M51))</f>
        <v>432.5</v>
      </c>
      <c r="P51" s="325"/>
      <c r="Q51" s="325"/>
      <c r="R51" s="325"/>
      <c r="S51" s="70" t="str">
        <f t="shared" si="12"/>
        <v>PNOON</v>
      </c>
      <c r="T51" s="241">
        <f t="shared" si="13"/>
        <v>42589.5</v>
      </c>
      <c r="U51" s="345"/>
      <c r="V51" s="346">
        <v>4.3</v>
      </c>
      <c r="W51" s="346">
        <v>2.9</v>
      </c>
      <c r="X51" s="347">
        <f t="shared" si="14"/>
        <v>7.1999999999999993</v>
      </c>
      <c r="Y51" s="353">
        <f t="shared" si="15"/>
        <v>2228.6999999999994</v>
      </c>
      <c r="Z51" s="357"/>
      <c r="AA51" s="296"/>
      <c r="AB51" s="297"/>
      <c r="AC51" s="297"/>
      <c r="AD51" s="199">
        <f t="shared" si="24"/>
        <v>0</v>
      </c>
      <c r="AE51" s="159">
        <f t="shared" si="17"/>
        <v>600</v>
      </c>
      <c r="AF51" s="298"/>
      <c r="AG51" s="372" t="str">
        <f t="shared" si="0"/>
        <v/>
      </c>
      <c r="AH51" s="363">
        <f t="shared" si="4"/>
        <v>4.3</v>
      </c>
      <c r="AI51" s="363">
        <f t="shared" si="5"/>
        <v>2.9</v>
      </c>
      <c r="AJ51" s="362">
        <f t="shared" si="6"/>
        <v>7.1999999999999993</v>
      </c>
      <c r="AK51" s="370">
        <f t="shared" si="18"/>
        <v>2828.6999999999994</v>
      </c>
      <c r="AL51" s="375">
        <f t="shared" si="7"/>
        <v>0</v>
      </c>
      <c r="AM51" s="299"/>
      <c r="AN51" s="300"/>
      <c r="AO51" s="300"/>
      <c r="AP51" s="203">
        <f t="shared" si="8"/>
        <v>0</v>
      </c>
      <c r="AQ51" s="150">
        <f t="shared" si="19"/>
        <v>74.599999999999994</v>
      </c>
      <c r="AR51" s="301"/>
      <c r="AS51" s="302">
        <v>3</v>
      </c>
      <c r="AT51" s="303"/>
      <c r="AU51" s="141">
        <f t="shared" si="23"/>
        <v>117</v>
      </c>
      <c r="AV51" s="304">
        <v>57114</v>
      </c>
      <c r="AW51" s="316">
        <v>28900</v>
      </c>
      <c r="AX51" s="317">
        <v>5560</v>
      </c>
      <c r="AY51" s="237" t="e">
        <f t="shared" si="25"/>
        <v>#DIV/0!</v>
      </c>
      <c r="AZ51" s="400" t="str">
        <f t="shared" si="21"/>
        <v>PNOON</v>
      </c>
      <c r="BA51" s="241">
        <f t="shared" si="22"/>
        <v>42589.5</v>
      </c>
      <c r="BB51" s="45" t="s">
        <v>40</v>
      </c>
      <c r="BC51" s="98"/>
      <c r="BD51" s="99"/>
      <c r="BE51" s="99"/>
      <c r="BF51" s="100"/>
      <c r="BG51" s="101"/>
      <c r="BH51" s="100"/>
      <c r="BI51" s="101"/>
      <c r="BJ51" s="101"/>
      <c r="BK51" s="99"/>
      <c r="BL51" s="102"/>
      <c r="BM51" s="102"/>
      <c r="BN51" s="103"/>
      <c r="BO51" s="104"/>
      <c r="BP51" s="98"/>
      <c r="BQ51" s="105"/>
      <c r="BR51" s="104"/>
      <c r="BS51" s="115"/>
      <c r="BT51" s="104"/>
      <c r="BU51" s="98"/>
      <c r="BV51" s="105"/>
      <c r="BW51" s="104"/>
      <c r="BX51" s="104"/>
      <c r="BY51" s="107"/>
      <c r="BZ51" s="108"/>
      <c r="CA51" s="108"/>
      <c r="CB51" s="109"/>
      <c r="CC51" s="110"/>
      <c r="CD51" s="108"/>
      <c r="CE51" s="109"/>
      <c r="CF51" s="109"/>
      <c r="CG51" s="107"/>
      <c r="CH51" s="111"/>
      <c r="CI51" s="98"/>
      <c r="CJ51" s="113"/>
      <c r="CK51" s="113"/>
      <c r="CL51" s="114"/>
      <c r="CM51" s="114"/>
      <c r="CN51" s="114"/>
      <c r="CO51" s="99"/>
      <c r="CP51" s="115"/>
      <c r="CQ51" s="116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121"/>
      <c r="DC51" s="121"/>
      <c r="DD51" s="100"/>
      <c r="DE51" s="121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</row>
    <row r="52" spans="1:122" ht="24" customHeight="1" x14ac:dyDescent="0.25">
      <c r="A52" s="83" t="s">
        <v>103</v>
      </c>
      <c r="B52" s="442">
        <v>42590.5</v>
      </c>
      <c r="C52" s="453"/>
      <c r="D52" s="84"/>
      <c r="E52" s="23"/>
      <c r="F52" s="15">
        <v>412</v>
      </c>
      <c r="G52" s="213"/>
      <c r="H52" s="27">
        <f t="shared" si="9"/>
        <v>0</v>
      </c>
      <c r="I52" s="216" t="str">
        <f t="shared" si="10"/>
        <v/>
      </c>
      <c r="J52" s="29">
        <f ca="1">IF($J$5&gt;=B52,"N/A",SUM(INDIRECT(ADDRESS(6+(MATCH($J$5,$B$6:$B$59,0)),8)):H52))</f>
        <v>411</v>
      </c>
      <c r="K52" s="10">
        <v>53.7</v>
      </c>
      <c r="L52" s="88"/>
      <c r="M52" s="4">
        <f t="shared" si="11"/>
        <v>0</v>
      </c>
      <c r="N52" s="220" t="str">
        <f t="shared" si="3"/>
        <v/>
      </c>
      <c r="O52" s="30">
        <f ca="1">IF($O$5&gt;=B52,"N/A",SUM(INDIRECT(ADDRESS(6+(MATCH($O$5,$B$6:$B$59,0)),13)):M52))</f>
        <v>432.5</v>
      </c>
      <c r="P52" s="325"/>
      <c r="Q52" s="325"/>
      <c r="R52" s="325"/>
      <c r="S52" s="70" t="str">
        <f t="shared" si="12"/>
        <v>PNOON</v>
      </c>
      <c r="T52" s="241">
        <f t="shared" si="13"/>
        <v>42590.5</v>
      </c>
      <c r="U52" s="345"/>
      <c r="V52" s="346">
        <v>4</v>
      </c>
      <c r="W52" s="346">
        <v>2.9</v>
      </c>
      <c r="X52" s="347">
        <f t="shared" si="14"/>
        <v>6.9</v>
      </c>
      <c r="Y52" s="353">
        <f t="shared" si="15"/>
        <v>2221.7999999999993</v>
      </c>
      <c r="Z52" s="357"/>
      <c r="AA52" s="296"/>
      <c r="AB52" s="297"/>
      <c r="AC52" s="297"/>
      <c r="AD52" s="199">
        <f t="shared" si="24"/>
        <v>0</v>
      </c>
      <c r="AE52" s="159">
        <f t="shared" si="17"/>
        <v>600</v>
      </c>
      <c r="AF52" s="298"/>
      <c r="AG52" s="372" t="str">
        <f t="shared" si="0"/>
        <v/>
      </c>
      <c r="AH52" s="363">
        <f t="shared" si="4"/>
        <v>4</v>
      </c>
      <c r="AI52" s="363">
        <f t="shared" si="5"/>
        <v>2.9</v>
      </c>
      <c r="AJ52" s="362">
        <f t="shared" si="6"/>
        <v>6.9</v>
      </c>
      <c r="AK52" s="370">
        <f t="shared" si="18"/>
        <v>2821.7999999999993</v>
      </c>
      <c r="AL52" s="375">
        <f t="shared" si="7"/>
        <v>0</v>
      </c>
      <c r="AM52" s="299"/>
      <c r="AN52" s="300"/>
      <c r="AO52" s="300"/>
      <c r="AP52" s="203">
        <f t="shared" si="8"/>
        <v>0</v>
      </c>
      <c r="AQ52" s="150">
        <f t="shared" si="19"/>
        <v>74.599999999999994</v>
      </c>
      <c r="AR52" s="301"/>
      <c r="AS52" s="302">
        <v>16</v>
      </c>
      <c r="AT52" s="303"/>
      <c r="AU52" s="141">
        <f t="shared" si="23"/>
        <v>101</v>
      </c>
      <c r="AV52" s="304">
        <v>57114</v>
      </c>
      <c r="AW52" s="316">
        <v>28900</v>
      </c>
      <c r="AX52" s="317">
        <v>5510</v>
      </c>
      <c r="AY52" s="237" t="e">
        <f t="shared" si="25"/>
        <v>#DIV/0!</v>
      </c>
      <c r="AZ52" s="400" t="str">
        <f t="shared" si="21"/>
        <v>PNOON</v>
      </c>
      <c r="BA52" s="241">
        <f t="shared" si="22"/>
        <v>42590.5</v>
      </c>
      <c r="BB52" s="45" t="s">
        <v>40</v>
      </c>
      <c r="BC52" s="98"/>
      <c r="BD52" s="99"/>
      <c r="BE52" s="99"/>
      <c r="BF52" s="100"/>
      <c r="BG52" s="101"/>
      <c r="BH52" s="100"/>
      <c r="BI52" s="101"/>
      <c r="BJ52" s="101"/>
      <c r="BK52" s="99"/>
      <c r="BL52" s="102"/>
      <c r="BM52" s="102"/>
      <c r="BN52" s="103"/>
      <c r="BO52" s="104"/>
      <c r="BP52" s="98"/>
      <c r="BQ52" s="105"/>
      <c r="BR52" s="104"/>
      <c r="BS52" s="115"/>
      <c r="BT52" s="104"/>
      <c r="BU52" s="98"/>
      <c r="BV52" s="105"/>
      <c r="BW52" s="104"/>
      <c r="BX52" s="104"/>
      <c r="BY52" s="107"/>
      <c r="BZ52" s="108"/>
      <c r="CA52" s="108"/>
      <c r="CB52" s="109"/>
      <c r="CC52" s="110"/>
      <c r="CD52" s="108"/>
      <c r="CE52" s="109"/>
      <c r="CF52" s="109"/>
      <c r="CG52" s="107"/>
      <c r="CH52" s="111"/>
      <c r="CI52" s="98"/>
      <c r="CJ52" s="113"/>
      <c r="CK52" s="113"/>
      <c r="CL52" s="114"/>
      <c r="CM52" s="114"/>
      <c r="CN52" s="114"/>
      <c r="CO52" s="99"/>
      <c r="CP52" s="115"/>
      <c r="CQ52" s="116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121"/>
      <c r="DC52" s="121"/>
      <c r="DD52" s="100"/>
      <c r="DE52" s="121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</row>
    <row r="53" spans="1:122" ht="24" customHeight="1" x14ac:dyDescent="0.25">
      <c r="A53" s="83" t="s">
        <v>9</v>
      </c>
      <c r="B53" s="442">
        <v>42590.637499999997</v>
      </c>
      <c r="C53" s="453"/>
      <c r="D53" s="84"/>
      <c r="E53" s="23"/>
      <c r="F53" s="15">
        <v>421.6</v>
      </c>
      <c r="G53" s="213">
        <v>-9.6</v>
      </c>
      <c r="H53" s="27">
        <f t="shared" si="9"/>
        <v>2.3092638912203256E-14</v>
      </c>
      <c r="I53" s="216" t="str">
        <f t="shared" si="10"/>
        <v/>
      </c>
      <c r="J53" s="29">
        <f ca="1">IF($J$5&gt;=B53,"N/A",SUM(INDIRECT(ADDRESS(6+(MATCH($J$5,$B$6:$B$59,0)),8)):H53))</f>
        <v>411</v>
      </c>
      <c r="K53" s="10">
        <v>53.7</v>
      </c>
      <c r="L53" s="88"/>
      <c r="M53" s="4">
        <f t="shared" si="11"/>
        <v>0</v>
      </c>
      <c r="N53" s="220" t="str">
        <f t="shared" si="3"/>
        <v/>
      </c>
      <c r="O53" s="30">
        <f ca="1">IF($O$5&gt;=B53,"N/A",SUM(INDIRECT(ADDRESS(6+(MATCH($O$5,$B$6:$B$59,0)),13)):M53))</f>
        <v>432.5</v>
      </c>
      <c r="P53" s="325"/>
      <c r="Q53" s="325"/>
      <c r="R53" s="325"/>
      <c r="S53" s="70" t="str">
        <f t="shared" si="12"/>
        <v>SBE</v>
      </c>
      <c r="T53" s="241">
        <f t="shared" si="13"/>
        <v>42590.637499999997</v>
      </c>
      <c r="U53" s="345"/>
      <c r="V53" s="346">
        <v>0.5</v>
      </c>
      <c r="W53" s="346">
        <v>0.3</v>
      </c>
      <c r="X53" s="347">
        <f t="shared" si="14"/>
        <v>0.8</v>
      </c>
      <c r="Y53" s="353">
        <f t="shared" si="15"/>
        <v>2220.9999999999991</v>
      </c>
      <c r="Z53" s="357"/>
      <c r="AA53" s="296"/>
      <c r="AB53" s="297"/>
      <c r="AC53" s="297"/>
      <c r="AD53" s="199">
        <f t="shared" si="24"/>
        <v>0</v>
      </c>
      <c r="AE53" s="159">
        <f t="shared" si="17"/>
        <v>600</v>
      </c>
      <c r="AF53" s="298"/>
      <c r="AG53" s="372" t="str">
        <f t="shared" si="0"/>
        <v/>
      </c>
      <c r="AH53" s="363">
        <f t="shared" si="4"/>
        <v>0.5</v>
      </c>
      <c r="AI53" s="363">
        <f t="shared" si="5"/>
        <v>0.3</v>
      </c>
      <c r="AJ53" s="362">
        <f t="shared" si="6"/>
        <v>0.8</v>
      </c>
      <c r="AK53" s="370">
        <f t="shared" si="18"/>
        <v>2820.9999999999991</v>
      </c>
      <c r="AL53" s="375">
        <f t="shared" si="7"/>
        <v>0</v>
      </c>
      <c r="AM53" s="299"/>
      <c r="AN53" s="300"/>
      <c r="AO53" s="300"/>
      <c r="AP53" s="203">
        <f t="shared" si="8"/>
        <v>0</v>
      </c>
      <c r="AQ53" s="150">
        <f t="shared" si="19"/>
        <v>74.599999999999994</v>
      </c>
      <c r="AR53" s="301"/>
      <c r="AS53" s="302"/>
      <c r="AT53" s="303"/>
      <c r="AU53" s="141">
        <f t="shared" si="23"/>
        <v>101</v>
      </c>
      <c r="AV53" s="304">
        <v>57114</v>
      </c>
      <c r="AW53" s="316">
        <v>28900</v>
      </c>
      <c r="AX53" s="317">
        <v>5510</v>
      </c>
      <c r="AY53" s="237" t="e">
        <f t="shared" si="25"/>
        <v>#DIV/0!</v>
      </c>
      <c r="AZ53" s="400" t="str">
        <f t="shared" si="21"/>
        <v>SBE</v>
      </c>
      <c r="BA53" s="241">
        <f t="shared" si="22"/>
        <v>42590.637499999997</v>
      </c>
      <c r="BB53" s="45" t="s">
        <v>40</v>
      </c>
      <c r="BC53" s="98"/>
      <c r="BD53" s="99"/>
      <c r="BE53" s="99"/>
      <c r="BF53" s="100"/>
      <c r="BG53" s="101"/>
      <c r="BH53" s="100"/>
      <c r="BI53" s="101"/>
      <c r="BJ53" s="101"/>
      <c r="BK53" s="99"/>
      <c r="BL53" s="102"/>
      <c r="BM53" s="102"/>
      <c r="BN53" s="103"/>
      <c r="BO53" s="104"/>
      <c r="BP53" s="98"/>
      <c r="BQ53" s="105"/>
      <c r="BR53" s="104"/>
      <c r="BS53" s="115"/>
      <c r="BT53" s="104"/>
      <c r="BU53" s="98"/>
      <c r="BV53" s="105"/>
      <c r="BW53" s="104"/>
      <c r="BX53" s="104"/>
      <c r="BY53" s="107"/>
      <c r="BZ53" s="108"/>
      <c r="CA53" s="108"/>
      <c r="CB53" s="109"/>
      <c r="CC53" s="110"/>
      <c r="CD53" s="108"/>
      <c r="CE53" s="109"/>
      <c r="CF53" s="109"/>
      <c r="CG53" s="107"/>
      <c r="CH53" s="111"/>
      <c r="CI53" s="98"/>
      <c r="CJ53" s="113"/>
      <c r="CK53" s="113"/>
      <c r="CL53" s="114"/>
      <c r="CM53" s="114"/>
      <c r="CN53" s="114"/>
      <c r="CO53" s="99"/>
      <c r="CP53" s="115"/>
      <c r="CQ53" s="116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121"/>
      <c r="DC53" s="121"/>
      <c r="DD53" s="100"/>
      <c r="DE53" s="121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</row>
    <row r="54" spans="1:122" ht="24" customHeight="1" x14ac:dyDescent="0.25">
      <c r="A54" s="83" t="s">
        <v>27</v>
      </c>
      <c r="B54" s="442">
        <v>42590.658333333333</v>
      </c>
      <c r="C54" s="453"/>
      <c r="D54" s="84"/>
      <c r="E54" s="23">
        <v>0.5</v>
      </c>
      <c r="F54" s="15">
        <v>422.7</v>
      </c>
      <c r="G54" s="213"/>
      <c r="H54" s="27">
        <f t="shared" si="9"/>
        <v>1.0999999999999659</v>
      </c>
      <c r="I54" s="216">
        <f t="shared" si="10"/>
        <v>2.1999999999999318</v>
      </c>
      <c r="J54" s="29">
        <f ca="1">IF($J$5&gt;=B54,"N/A",SUM(INDIRECT(ADDRESS(6+(MATCH($J$5,$B$6:$B$59,0)),8)):H54))</f>
        <v>412.09999999999997</v>
      </c>
      <c r="K54" s="10">
        <v>53.7</v>
      </c>
      <c r="L54" s="88"/>
      <c r="M54" s="4">
        <f t="shared" si="11"/>
        <v>0</v>
      </c>
      <c r="N54" s="220">
        <f t="shared" si="3"/>
        <v>0</v>
      </c>
      <c r="O54" s="30">
        <f ca="1">IF($O$5&gt;=B54,"N/A",SUM(INDIRECT(ADDRESS(6+(MATCH($O$5,$B$6:$B$59,0)),13)):M54))</f>
        <v>432.5</v>
      </c>
      <c r="P54" s="325">
        <v>22.7</v>
      </c>
      <c r="Q54" s="325">
        <v>7.6</v>
      </c>
      <c r="R54" s="325">
        <v>2.1</v>
      </c>
      <c r="S54" s="70" t="str">
        <f t="shared" si="12"/>
        <v>BOSP</v>
      </c>
      <c r="T54" s="241">
        <f t="shared" si="13"/>
        <v>42590.658333333333</v>
      </c>
      <c r="U54" s="345">
        <v>0.1</v>
      </c>
      <c r="V54" s="346">
        <v>0.3</v>
      </c>
      <c r="W54" s="346">
        <v>0.2</v>
      </c>
      <c r="X54" s="347">
        <f t="shared" si="14"/>
        <v>0.60000000000000009</v>
      </c>
      <c r="Y54" s="353">
        <f t="shared" si="15"/>
        <v>2220.3999999999992</v>
      </c>
      <c r="Z54" s="357"/>
      <c r="AA54" s="296"/>
      <c r="AB54" s="297"/>
      <c r="AC54" s="297"/>
      <c r="AD54" s="199">
        <f t="shared" si="24"/>
        <v>0</v>
      </c>
      <c r="AE54" s="159">
        <f t="shared" si="17"/>
        <v>600</v>
      </c>
      <c r="AF54" s="298"/>
      <c r="AG54" s="372">
        <f t="shared" si="0"/>
        <v>0.1</v>
      </c>
      <c r="AH54" s="363">
        <f t="shared" si="4"/>
        <v>0.3</v>
      </c>
      <c r="AI54" s="363">
        <f t="shared" si="5"/>
        <v>0.2</v>
      </c>
      <c r="AJ54" s="362">
        <f t="shared" si="6"/>
        <v>0.60000000000000009</v>
      </c>
      <c r="AK54" s="370">
        <f t="shared" si="18"/>
        <v>2820.3999999999992</v>
      </c>
      <c r="AL54" s="375">
        <f t="shared" si="7"/>
        <v>0</v>
      </c>
      <c r="AM54" s="299"/>
      <c r="AN54" s="300"/>
      <c r="AO54" s="300"/>
      <c r="AP54" s="203">
        <f t="shared" si="8"/>
        <v>0</v>
      </c>
      <c r="AQ54" s="150">
        <f t="shared" si="19"/>
        <v>74.599999999999994</v>
      </c>
      <c r="AR54" s="301"/>
      <c r="AS54" s="302"/>
      <c r="AT54" s="303"/>
      <c r="AU54" s="141">
        <f t="shared" si="23"/>
        <v>101</v>
      </c>
      <c r="AV54" s="304">
        <v>57105</v>
      </c>
      <c r="AW54" s="316">
        <v>28900</v>
      </c>
      <c r="AX54" s="317">
        <v>5510</v>
      </c>
      <c r="AY54" s="237">
        <f t="shared" si="25"/>
        <v>0.47619047619049243</v>
      </c>
      <c r="AZ54" s="400" t="str">
        <f t="shared" si="21"/>
        <v>BOSP</v>
      </c>
      <c r="BA54" s="241">
        <f t="shared" si="22"/>
        <v>42590.658333333333</v>
      </c>
      <c r="BB54" s="45" t="s">
        <v>40</v>
      </c>
      <c r="BC54" s="98"/>
      <c r="BD54" s="99"/>
      <c r="BE54" s="99"/>
      <c r="BF54" s="100"/>
      <c r="BG54" s="101"/>
      <c r="BH54" s="100"/>
      <c r="BI54" s="101"/>
      <c r="BJ54" s="101"/>
      <c r="BK54" s="99"/>
      <c r="BL54" s="102"/>
      <c r="BM54" s="102"/>
      <c r="BN54" s="103"/>
      <c r="BO54" s="104"/>
      <c r="BP54" s="98"/>
      <c r="BQ54" s="105"/>
      <c r="BR54" s="104"/>
      <c r="BS54" s="115"/>
      <c r="BT54" s="104"/>
      <c r="BU54" s="98"/>
      <c r="BV54" s="105"/>
      <c r="BW54" s="104"/>
      <c r="BX54" s="104"/>
      <c r="BY54" s="107"/>
      <c r="BZ54" s="108"/>
      <c r="CA54" s="108"/>
      <c r="CB54" s="109"/>
      <c r="CC54" s="110"/>
      <c r="CD54" s="108"/>
      <c r="CE54" s="109"/>
      <c r="CF54" s="109"/>
      <c r="CG54" s="107"/>
      <c r="CH54" s="111"/>
      <c r="CI54" s="98"/>
      <c r="CJ54" s="113"/>
      <c r="CK54" s="113"/>
      <c r="CL54" s="114"/>
      <c r="CM54" s="114"/>
      <c r="CN54" s="114"/>
      <c r="CO54" s="99"/>
      <c r="CP54" s="115"/>
      <c r="CQ54" s="116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121"/>
      <c r="DC54" s="121"/>
      <c r="DD54" s="100"/>
      <c r="DE54" s="121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</row>
    <row r="55" spans="1:122" ht="24" customHeight="1" x14ac:dyDescent="0.25">
      <c r="A55" s="83" t="s">
        <v>97</v>
      </c>
      <c r="B55" s="442">
        <v>42590.8125</v>
      </c>
      <c r="C55" s="453"/>
      <c r="D55" s="84"/>
      <c r="E55" s="23">
        <v>3.7</v>
      </c>
      <c r="F55" s="15">
        <v>468.3</v>
      </c>
      <c r="G55" s="213"/>
      <c r="H55" s="27">
        <f t="shared" si="9"/>
        <v>45.600000000000023</v>
      </c>
      <c r="I55" s="216">
        <f t="shared" si="10"/>
        <v>12.32432432432433</v>
      </c>
      <c r="J55" s="29">
        <f ca="1">IF($J$5&gt;=B55,"N/A",SUM(INDIRECT(ADDRESS(6+(MATCH($J$5,$B$6:$B$59,0)),8)):H55))</f>
        <v>457.7</v>
      </c>
      <c r="K55" s="10">
        <v>3.7</v>
      </c>
      <c r="L55" s="88"/>
      <c r="M55" s="4">
        <f t="shared" si="11"/>
        <v>50</v>
      </c>
      <c r="N55" s="220">
        <f t="shared" si="3"/>
        <v>13.513513513513512</v>
      </c>
      <c r="O55" s="30">
        <f ca="1">IF($O$5&gt;=B55,"N/A",SUM(INDIRECT(ADDRESS(6+(MATCH($O$5,$B$6:$B$59,0)),13)):M55))</f>
        <v>482.5</v>
      </c>
      <c r="P55" s="325">
        <v>46.9</v>
      </c>
      <c r="Q55" s="325">
        <v>4.5</v>
      </c>
      <c r="R55" s="325">
        <v>52.4</v>
      </c>
      <c r="S55" s="70" t="str">
        <f t="shared" si="12"/>
        <v>EOSP</v>
      </c>
      <c r="T55" s="241">
        <f t="shared" si="13"/>
        <v>42590.8125</v>
      </c>
      <c r="U55" s="345">
        <v>7.7</v>
      </c>
      <c r="V55" s="346">
        <v>1.1000000000000001</v>
      </c>
      <c r="W55" s="346">
        <v>0.2</v>
      </c>
      <c r="X55" s="347">
        <f t="shared" si="14"/>
        <v>9</v>
      </c>
      <c r="Y55" s="353">
        <f t="shared" si="15"/>
        <v>2211.3999999999992</v>
      </c>
      <c r="Z55" s="357"/>
      <c r="AA55" s="296"/>
      <c r="AB55" s="297"/>
      <c r="AC55" s="297"/>
      <c r="AD55" s="199">
        <f t="shared" si="24"/>
        <v>0</v>
      </c>
      <c r="AE55" s="159">
        <f t="shared" si="17"/>
        <v>600</v>
      </c>
      <c r="AF55" s="298"/>
      <c r="AG55" s="372">
        <f t="shared" si="0"/>
        <v>7.7</v>
      </c>
      <c r="AH55" s="363">
        <f t="shared" si="4"/>
        <v>1.1000000000000001</v>
      </c>
      <c r="AI55" s="363">
        <f t="shared" si="5"/>
        <v>0.2</v>
      </c>
      <c r="AJ55" s="362">
        <f t="shared" si="6"/>
        <v>9</v>
      </c>
      <c r="AK55" s="370">
        <f t="shared" si="18"/>
        <v>2811.3999999999992</v>
      </c>
      <c r="AL55" s="375">
        <f t="shared" si="7"/>
        <v>0</v>
      </c>
      <c r="AM55" s="299"/>
      <c r="AN55" s="300"/>
      <c r="AO55" s="300"/>
      <c r="AP55" s="203">
        <f t="shared" si="8"/>
        <v>0</v>
      </c>
      <c r="AQ55" s="150">
        <f t="shared" si="19"/>
        <v>74.599999999999994</v>
      </c>
      <c r="AR55" s="301"/>
      <c r="AS55" s="302">
        <v>4</v>
      </c>
      <c r="AT55" s="303"/>
      <c r="AU55" s="141">
        <f t="shared" si="23"/>
        <v>97</v>
      </c>
      <c r="AV55" s="304">
        <v>57020</v>
      </c>
      <c r="AW55" s="316">
        <v>28900</v>
      </c>
      <c r="AX55" s="317">
        <v>5510</v>
      </c>
      <c r="AY55" s="237">
        <f t="shared" si="25"/>
        <v>0.12977099236641176</v>
      </c>
      <c r="AZ55" s="400" t="str">
        <f t="shared" si="21"/>
        <v>EOSP</v>
      </c>
      <c r="BA55" s="241">
        <f t="shared" si="22"/>
        <v>42590.8125</v>
      </c>
      <c r="BB55" s="45" t="s">
        <v>40</v>
      </c>
      <c r="BC55" s="98"/>
      <c r="BD55" s="99"/>
      <c r="BE55" s="99"/>
      <c r="BF55" s="100"/>
      <c r="BG55" s="101"/>
      <c r="BH55" s="100"/>
      <c r="BI55" s="101"/>
      <c r="BJ55" s="101"/>
      <c r="BK55" s="99"/>
      <c r="BL55" s="102"/>
      <c r="BM55" s="102"/>
      <c r="BN55" s="103"/>
      <c r="BO55" s="104"/>
      <c r="BP55" s="98"/>
      <c r="BQ55" s="105"/>
      <c r="BR55" s="104"/>
      <c r="BS55" s="115"/>
      <c r="BT55" s="104"/>
      <c r="BU55" s="98"/>
      <c r="BV55" s="105"/>
      <c r="BW55" s="104"/>
      <c r="BX55" s="104"/>
      <c r="BY55" s="107"/>
      <c r="BZ55" s="108"/>
      <c r="CA55" s="108"/>
      <c r="CB55" s="109"/>
      <c r="CC55" s="110"/>
      <c r="CD55" s="108"/>
      <c r="CE55" s="109"/>
      <c r="CF55" s="109"/>
      <c r="CG55" s="107"/>
      <c r="CH55" s="111"/>
      <c r="CI55" s="98"/>
      <c r="CJ55" s="113"/>
      <c r="CK55" s="113"/>
      <c r="CL55" s="114"/>
      <c r="CM55" s="114"/>
      <c r="CN55" s="114"/>
      <c r="CO55" s="99"/>
      <c r="CP55" s="115"/>
      <c r="CQ55" s="116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121"/>
      <c r="DC55" s="121"/>
      <c r="DD55" s="100"/>
      <c r="DE55" s="121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</row>
    <row r="56" spans="1:122" ht="24" customHeight="1" x14ac:dyDescent="0.25">
      <c r="A56" s="83" t="s">
        <v>10</v>
      </c>
      <c r="B56" s="442">
        <v>42590.875</v>
      </c>
      <c r="C56" s="453"/>
      <c r="D56" s="84" t="s">
        <v>146</v>
      </c>
      <c r="E56" s="23">
        <v>1.5</v>
      </c>
      <c r="F56" s="15">
        <v>479.3</v>
      </c>
      <c r="G56" s="213"/>
      <c r="H56" s="27">
        <f t="shared" si="9"/>
        <v>11</v>
      </c>
      <c r="I56" s="216">
        <f t="shared" si="10"/>
        <v>7.333333333333333</v>
      </c>
      <c r="J56" s="29">
        <f ca="1">IF($J$5&gt;=B56,"N/A",SUM(INDIRECT(ADDRESS(6+(MATCH($J$5,$B$6:$B$59,0)),8)):H56))</f>
        <v>468.7</v>
      </c>
      <c r="K56" s="10">
        <v>-5.7</v>
      </c>
      <c r="L56" s="88"/>
      <c r="M56" s="4">
        <f t="shared" si="11"/>
        <v>9.4</v>
      </c>
      <c r="N56" s="220">
        <f t="shared" si="3"/>
        <v>6.2666666666666666</v>
      </c>
      <c r="O56" s="30">
        <f ca="1">IF($O$5&gt;=B56,"N/A",SUM(INDIRECT(ADDRESS(6+(MATCH($O$5,$B$6:$B$59,0)),13)):M56))</f>
        <v>491.9</v>
      </c>
      <c r="P56" s="325">
        <v>31.3</v>
      </c>
      <c r="Q56" s="325">
        <v>6.7</v>
      </c>
      <c r="R56" s="325">
        <v>9.4</v>
      </c>
      <c r="S56" s="70" t="str">
        <f t="shared" si="12"/>
        <v>FWE</v>
      </c>
      <c r="T56" s="241">
        <f t="shared" si="13"/>
        <v>42590.875</v>
      </c>
      <c r="U56" s="345">
        <v>0.8</v>
      </c>
      <c r="V56" s="346">
        <v>0.5</v>
      </c>
      <c r="W56" s="346">
        <v>0.3</v>
      </c>
      <c r="X56" s="347">
        <f t="shared" si="14"/>
        <v>1.6</v>
      </c>
      <c r="Y56" s="353">
        <f t="shared" si="15"/>
        <v>2209.7999999999993</v>
      </c>
      <c r="Z56" s="357"/>
      <c r="AA56" s="296"/>
      <c r="AB56" s="297"/>
      <c r="AC56" s="297"/>
      <c r="AD56" s="199">
        <f t="shared" si="24"/>
        <v>0</v>
      </c>
      <c r="AE56" s="159">
        <f t="shared" si="17"/>
        <v>600</v>
      </c>
      <c r="AF56" s="298"/>
      <c r="AG56" s="372">
        <f t="shared" si="0"/>
        <v>0.8</v>
      </c>
      <c r="AH56" s="363">
        <f t="shared" si="4"/>
        <v>0.5</v>
      </c>
      <c r="AI56" s="363">
        <f t="shared" si="5"/>
        <v>0.3</v>
      </c>
      <c r="AJ56" s="362">
        <f t="shared" si="6"/>
        <v>1.6</v>
      </c>
      <c r="AK56" s="370">
        <f t="shared" si="18"/>
        <v>2809.7999999999993</v>
      </c>
      <c r="AL56" s="375">
        <f t="shared" si="7"/>
        <v>0</v>
      </c>
      <c r="AM56" s="299"/>
      <c r="AN56" s="300"/>
      <c r="AO56" s="300"/>
      <c r="AP56" s="203">
        <f t="shared" si="8"/>
        <v>0</v>
      </c>
      <c r="AQ56" s="150">
        <f t="shared" si="19"/>
        <v>74.599999999999994</v>
      </c>
      <c r="AR56" s="301"/>
      <c r="AS56" s="302"/>
      <c r="AT56" s="303"/>
      <c r="AU56" s="141">
        <f t="shared" si="23"/>
        <v>97</v>
      </c>
      <c r="AV56" s="304">
        <v>57000</v>
      </c>
      <c r="AW56" s="316">
        <v>28900</v>
      </c>
      <c r="AX56" s="317">
        <v>5510</v>
      </c>
      <c r="AY56" s="237">
        <f t="shared" si="25"/>
        <v>-0.17021276595744678</v>
      </c>
      <c r="AZ56" s="400" t="str">
        <f t="shared" si="21"/>
        <v>FWE</v>
      </c>
      <c r="BA56" s="241">
        <f t="shared" si="22"/>
        <v>42590.875</v>
      </c>
      <c r="BB56" s="45" t="s">
        <v>40</v>
      </c>
      <c r="BC56" s="98"/>
      <c r="BD56" s="99"/>
      <c r="BE56" s="99"/>
      <c r="BF56" s="100"/>
      <c r="BG56" s="101"/>
      <c r="BH56" s="100"/>
      <c r="BI56" s="101"/>
      <c r="BJ56" s="101"/>
      <c r="BK56" s="99"/>
      <c r="BL56" s="102"/>
      <c r="BM56" s="102"/>
      <c r="BN56" s="103"/>
      <c r="BO56" s="104"/>
      <c r="BP56" s="98"/>
      <c r="BQ56" s="105"/>
      <c r="BR56" s="104"/>
      <c r="BS56" s="115"/>
      <c r="BT56" s="104"/>
      <c r="BU56" s="98"/>
      <c r="BV56" s="105"/>
      <c r="BW56" s="104"/>
      <c r="BX56" s="104"/>
      <c r="BY56" s="107"/>
      <c r="BZ56" s="108"/>
      <c r="CA56" s="108"/>
      <c r="CB56" s="109"/>
      <c r="CC56" s="110"/>
      <c r="CD56" s="108"/>
      <c r="CE56" s="109"/>
      <c r="CF56" s="109"/>
      <c r="CG56" s="107"/>
      <c r="CH56" s="111"/>
      <c r="CI56" s="98"/>
      <c r="CJ56" s="113"/>
      <c r="CK56" s="113"/>
      <c r="CL56" s="114"/>
      <c r="CM56" s="114"/>
      <c r="CN56" s="114"/>
      <c r="CO56" s="99"/>
      <c r="CP56" s="115"/>
      <c r="CQ56" s="116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121"/>
      <c r="DC56" s="121"/>
      <c r="DD56" s="100"/>
      <c r="DE56" s="121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</row>
    <row r="57" spans="1:122" ht="24" customHeight="1" x14ac:dyDescent="0.25">
      <c r="A57" s="83"/>
      <c r="B57" s="442"/>
      <c r="C57" s="453"/>
      <c r="D57" s="84"/>
      <c r="E57" s="23"/>
      <c r="F57" s="15"/>
      <c r="G57" s="213"/>
      <c r="H57" s="27" t="str">
        <f t="shared" si="9"/>
        <v/>
      </c>
      <c r="I57" s="216" t="str">
        <f t="shared" si="10"/>
        <v/>
      </c>
      <c r="J57" s="29" t="str">
        <f ca="1">IF($J$5&gt;=B57,"N/A",SUM(INDIRECT(ADDRESS(6+(MATCH($J$5,$B$6:$B$59,0)),8)):H57))</f>
        <v>N/A</v>
      </c>
      <c r="K57" s="10"/>
      <c r="L57" s="88"/>
      <c r="M57" s="4" t="str">
        <f t="shared" si="11"/>
        <v/>
      </c>
      <c r="N57" s="220" t="str">
        <f t="shared" si="3"/>
        <v/>
      </c>
      <c r="O57" s="30" t="str">
        <f ca="1">IF($O$5&gt;=B57,"N/A",SUM(INDIRECT(ADDRESS(6+(MATCH($O$5,$B$6:$B$59,0)),13)):M57))</f>
        <v>N/A</v>
      </c>
      <c r="P57" s="325"/>
      <c r="Q57" s="325"/>
      <c r="R57" s="325"/>
      <c r="S57" s="70" t="str">
        <f t="shared" si="12"/>
        <v/>
      </c>
      <c r="T57" s="241" t="str">
        <f t="shared" si="13"/>
        <v/>
      </c>
      <c r="U57" s="345"/>
      <c r="V57" s="346"/>
      <c r="W57" s="346"/>
      <c r="X57" s="347">
        <f t="shared" si="14"/>
        <v>0</v>
      </c>
      <c r="Y57" s="353">
        <f t="shared" si="15"/>
        <v>2209.7999999999993</v>
      </c>
      <c r="Z57" s="357"/>
      <c r="AA57" s="296"/>
      <c r="AB57" s="297"/>
      <c r="AC57" s="297"/>
      <c r="AD57" s="199">
        <f t="shared" si="24"/>
        <v>0</v>
      </c>
      <c r="AE57" s="159">
        <f t="shared" si="17"/>
        <v>600</v>
      </c>
      <c r="AF57" s="298"/>
      <c r="AG57" s="372" t="str">
        <f t="shared" si="0"/>
        <v/>
      </c>
      <c r="AH57" s="363" t="str">
        <f t="shared" si="4"/>
        <v/>
      </c>
      <c r="AI57" s="363" t="str">
        <f t="shared" si="5"/>
        <v/>
      </c>
      <c r="AJ57" s="362">
        <f t="shared" si="6"/>
        <v>0</v>
      </c>
      <c r="AK57" s="370">
        <f t="shared" si="18"/>
        <v>2809.7999999999993</v>
      </c>
      <c r="AL57" s="375">
        <f t="shared" si="7"/>
        <v>0</v>
      </c>
      <c r="AM57" s="299"/>
      <c r="AN57" s="300"/>
      <c r="AO57" s="300"/>
      <c r="AP57" s="203">
        <f t="shared" si="8"/>
        <v>0</v>
      </c>
      <c r="AQ57" s="150">
        <f t="shared" si="19"/>
        <v>74.599999999999994</v>
      </c>
      <c r="AR57" s="301"/>
      <c r="AS57" s="302"/>
      <c r="AT57" s="303"/>
      <c r="AU57" s="141">
        <f t="shared" si="23"/>
        <v>97</v>
      </c>
      <c r="AV57" s="304"/>
      <c r="AW57" s="316"/>
      <c r="AX57" s="317"/>
      <c r="AY57" s="237" t="e">
        <f t="shared" si="25"/>
        <v>#VALUE!</v>
      </c>
      <c r="AZ57" s="400" t="str">
        <f t="shared" si="21"/>
        <v/>
      </c>
      <c r="BA57" s="241" t="str">
        <f t="shared" si="22"/>
        <v/>
      </c>
      <c r="BB57" s="45" t="s">
        <v>40</v>
      </c>
      <c r="BC57" s="98"/>
      <c r="BD57" s="99"/>
      <c r="BE57" s="99"/>
      <c r="BF57" s="100"/>
      <c r="BG57" s="101"/>
      <c r="BH57" s="100"/>
      <c r="BI57" s="101"/>
      <c r="BJ57" s="101"/>
      <c r="BK57" s="99"/>
      <c r="BL57" s="102"/>
      <c r="BM57" s="102"/>
      <c r="BN57" s="103"/>
      <c r="BO57" s="104"/>
      <c r="BP57" s="98"/>
      <c r="BQ57" s="105"/>
      <c r="BR57" s="104"/>
      <c r="BS57" s="115"/>
      <c r="BT57" s="104"/>
      <c r="BU57" s="98"/>
      <c r="BV57" s="105"/>
      <c r="BW57" s="104"/>
      <c r="BX57" s="104"/>
      <c r="BY57" s="107"/>
      <c r="BZ57" s="108"/>
      <c r="CA57" s="108"/>
      <c r="CB57" s="109"/>
      <c r="CC57" s="110"/>
      <c r="CD57" s="108"/>
      <c r="CE57" s="109"/>
      <c r="CF57" s="109"/>
      <c r="CG57" s="107"/>
      <c r="CH57" s="111"/>
      <c r="CI57" s="98"/>
      <c r="CJ57" s="113"/>
      <c r="CK57" s="113"/>
      <c r="CL57" s="114"/>
      <c r="CM57" s="114"/>
      <c r="CN57" s="114"/>
      <c r="CO57" s="99"/>
      <c r="CP57" s="115"/>
      <c r="CQ57" s="116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121"/>
      <c r="DC57" s="121"/>
      <c r="DD57" s="100"/>
      <c r="DE57" s="121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</row>
    <row r="58" spans="1:122" ht="24" customHeight="1" x14ac:dyDescent="0.25">
      <c r="A58" s="83"/>
      <c r="B58" s="442"/>
      <c r="C58" s="453"/>
      <c r="D58" s="84"/>
      <c r="E58" s="23"/>
      <c r="F58" s="15"/>
      <c r="G58" s="213"/>
      <c r="H58" s="27" t="str">
        <f t="shared" si="9"/>
        <v/>
      </c>
      <c r="I58" s="216" t="str">
        <f t="shared" si="10"/>
        <v/>
      </c>
      <c r="J58" s="29" t="str">
        <f ca="1">IF($J$5&gt;=B58,"N/A",SUM(INDIRECT(ADDRESS(6+(MATCH($J$5,$B$6:$B$59,0)),8)):H58))</f>
        <v>N/A</v>
      </c>
      <c r="K58" s="10"/>
      <c r="L58" s="88"/>
      <c r="M58" s="4" t="str">
        <f t="shared" si="11"/>
        <v/>
      </c>
      <c r="N58" s="220" t="str">
        <f t="shared" si="3"/>
        <v/>
      </c>
      <c r="O58" s="30" t="str">
        <f ca="1">IF($O$5&gt;=B58,"N/A",SUM(INDIRECT(ADDRESS(6+(MATCH($O$5,$B$6:$B$59,0)),13)):M58))</f>
        <v>N/A</v>
      </c>
      <c r="P58" s="325"/>
      <c r="Q58" s="325"/>
      <c r="R58" s="325"/>
      <c r="S58" s="70" t="str">
        <f t="shared" si="12"/>
        <v/>
      </c>
      <c r="T58" s="241" t="str">
        <f t="shared" si="13"/>
        <v/>
      </c>
      <c r="U58" s="345"/>
      <c r="V58" s="346"/>
      <c r="W58" s="346"/>
      <c r="X58" s="347">
        <f t="shared" si="14"/>
        <v>0</v>
      </c>
      <c r="Y58" s="353">
        <f t="shared" si="15"/>
        <v>2209.7999999999993</v>
      </c>
      <c r="Z58" s="357"/>
      <c r="AA58" s="296"/>
      <c r="AB58" s="297"/>
      <c r="AC58" s="297"/>
      <c r="AD58" s="199">
        <f t="shared" si="24"/>
        <v>0</v>
      </c>
      <c r="AE58" s="159">
        <f t="shared" si="17"/>
        <v>600</v>
      </c>
      <c r="AF58" s="298"/>
      <c r="AG58" s="372" t="str">
        <f t="shared" si="0"/>
        <v/>
      </c>
      <c r="AH58" s="363" t="str">
        <f t="shared" si="4"/>
        <v/>
      </c>
      <c r="AI58" s="363" t="str">
        <f t="shared" si="5"/>
        <v/>
      </c>
      <c r="AJ58" s="362">
        <f t="shared" si="6"/>
        <v>0</v>
      </c>
      <c r="AK58" s="370">
        <f t="shared" si="18"/>
        <v>2809.7999999999993</v>
      </c>
      <c r="AL58" s="375">
        <f t="shared" si="7"/>
        <v>0</v>
      </c>
      <c r="AM58" s="299"/>
      <c r="AN58" s="300"/>
      <c r="AO58" s="300"/>
      <c r="AP58" s="203">
        <f t="shared" si="8"/>
        <v>0</v>
      </c>
      <c r="AQ58" s="150">
        <f t="shared" si="19"/>
        <v>74.599999999999994</v>
      </c>
      <c r="AR58" s="301"/>
      <c r="AS58" s="302"/>
      <c r="AT58" s="303"/>
      <c r="AU58" s="141">
        <f t="shared" si="23"/>
        <v>97</v>
      </c>
      <c r="AV58" s="304"/>
      <c r="AW58" s="316"/>
      <c r="AX58" s="317"/>
      <c r="AY58" s="237" t="e">
        <f t="shared" si="25"/>
        <v>#VALUE!</v>
      </c>
      <c r="AZ58" s="400" t="str">
        <f t="shared" si="21"/>
        <v/>
      </c>
      <c r="BA58" s="241" t="str">
        <f t="shared" si="22"/>
        <v/>
      </c>
      <c r="BB58" s="45" t="s">
        <v>40</v>
      </c>
      <c r="BC58" s="98"/>
      <c r="BD58" s="99"/>
      <c r="BE58" s="99"/>
      <c r="BF58" s="100"/>
      <c r="BG58" s="101"/>
      <c r="BH58" s="100"/>
      <c r="BI58" s="101"/>
      <c r="BJ58" s="101"/>
      <c r="BK58" s="99"/>
      <c r="BL58" s="102"/>
      <c r="BM58" s="102"/>
      <c r="BN58" s="103"/>
      <c r="BO58" s="104"/>
      <c r="BP58" s="98"/>
      <c r="BQ58" s="105"/>
      <c r="BR58" s="104"/>
      <c r="BS58" s="115"/>
      <c r="BT58" s="104"/>
      <c r="BU58" s="98"/>
      <c r="BV58" s="105"/>
      <c r="BW58" s="104"/>
      <c r="BX58" s="104"/>
      <c r="BY58" s="107"/>
      <c r="BZ58" s="108"/>
      <c r="CA58" s="108"/>
      <c r="CB58" s="109"/>
      <c r="CC58" s="110"/>
      <c r="CD58" s="108"/>
      <c r="CE58" s="109"/>
      <c r="CF58" s="109"/>
      <c r="CG58" s="107"/>
      <c r="CH58" s="111"/>
      <c r="CI58" s="98"/>
      <c r="CJ58" s="113"/>
      <c r="CK58" s="113"/>
      <c r="CL58" s="114"/>
      <c r="CM58" s="114"/>
      <c r="CN58" s="114"/>
      <c r="CO58" s="99"/>
      <c r="CP58" s="115"/>
      <c r="CQ58" s="116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121"/>
      <c r="DC58" s="121"/>
      <c r="DD58" s="100"/>
      <c r="DE58" s="121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</row>
    <row r="59" spans="1:122" ht="24" customHeight="1" thickBot="1" x14ac:dyDescent="0.3">
      <c r="A59" s="267"/>
      <c r="B59" s="454"/>
      <c r="C59" s="455"/>
      <c r="D59" s="86"/>
      <c r="E59" s="24"/>
      <c r="F59" s="95"/>
      <c r="G59" s="214"/>
      <c r="H59" s="27" t="str">
        <f t="shared" si="9"/>
        <v/>
      </c>
      <c r="I59" s="217" t="str">
        <f t="shared" si="10"/>
        <v/>
      </c>
      <c r="J59" s="29" t="str">
        <f ca="1">IF($J$5&gt;=B59,"N/A",SUM(INDIRECT(ADDRESS(6+(MATCH($J$5,$B$6:$B$59,0)),8)):H59))</f>
        <v>N/A</v>
      </c>
      <c r="K59" s="10"/>
      <c r="L59" s="89"/>
      <c r="M59" s="4" t="str">
        <f t="shared" si="11"/>
        <v/>
      </c>
      <c r="N59" s="221" t="str">
        <f t="shared" si="3"/>
        <v/>
      </c>
      <c r="O59" s="30" t="str">
        <f ca="1">IF($O$5&gt;=B59,"N/A",SUM(INDIRECT(ADDRESS(6+(MATCH($O$5,$B$6:$B$59,0)),13)):M59))</f>
        <v>N/A</v>
      </c>
      <c r="P59" s="326"/>
      <c r="Q59" s="326"/>
      <c r="R59" s="326"/>
      <c r="S59" s="71" t="str">
        <f t="shared" si="12"/>
        <v/>
      </c>
      <c r="T59" s="242" t="str">
        <f t="shared" si="13"/>
        <v/>
      </c>
      <c r="U59" s="348"/>
      <c r="V59" s="349"/>
      <c r="W59" s="349"/>
      <c r="X59" s="350">
        <f t="shared" si="14"/>
        <v>0</v>
      </c>
      <c r="Y59" s="354">
        <f t="shared" si="15"/>
        <v>2209.7999999999993</v>
      </c>
      <c r="Z59" s="358"/>
      <c r="AA59" s="305"/>
      <c r="AB59" s="306"/>
      <c r="AC59" s="306"/>
      <c r="AD59" s="200">
        <f t="shared" si="24"/>
        <v>0</v>
      </c>
      <c r="AE59" s="185">
        <f t="shared" si="17"/>
        <v>600</v>
      </c>
      <c r="AF59" s="307"/>
      <c r="AG59" s="372" t="str">
        <f t="shared" si="0"/>
        <v/>
      </c>
      <c r="AH59" s="365" t="str">
        <f t="shared" si="4"/>
        <v/>
      </c>
      <c r="AI59" s="365" t="str">
        <f t="shared" si="5"/>
        <v/>
      </c>
      <c r="AJ59" s="364">
        <f t="shared" si="6"/>
        <v>0</v>
      </c>
      <c r="AK59" s="371">
        <f t="shared" si="18"/>
        <v>2809.7999999999993</v>
      </c>
      <c r="AL59" s="376">
        <f t="shared" si="7"/>
        <v>0</v>
      </c>
      <c r="AM59" s="308"/>
      <c r="AN59" s="309"/>
      <c r="AO59" s="309"/>
      <c r="AP59" s="204">
        <f t="shared" si="8"/>
        <v>0</v>
      </c>
      <c r="AQ59" s="189">
        <f t="shared" si="19"/>
        <v>74.599999999999994</v>
      </c>
      <c r="AR59" s="310"/>
      <c r="AS59" s="311"/>
      <c r="AT59" s="312"/>
      <c r="AU59" s="193">
        <f t="shared" si="23"/>
        <v>97</v>
      </c>
      <c r="AV59" s="313"/>
      <c r="AW59" s="318"/>
      <c r="AX59" s="319"/>
      <c r="AY59" s="237" t="e">
        <f t="shared" si="25"/>
        <v>#VALUE!</v>
      </c>
      <c r="AZ59" s="401" t="str">
        <f t="shared" si="21"/>
        <v/>
      </c>
      <c r="BA59" s="242" t="str">
        <f t="shared" si="22"/>
        <v/>
      </c>
      <c r="BB59" s="45" t="s">
        <v>40</v>
      </c>
      <c r="BC59" s="98"/>
      <c r="BD59" s="99"/>
      <c r="BE59" s="99"/>
      <c r="BF59" s="100"/>
      <c r="BG59" s="101"/>
      <c r="BH59" s="100"/>
      <c r="BI59" s="101"/>
      <c r="BJ59" s="101"/>
      <c r="BK59" s="99"/>
      <c r="BL59" s="102"/>
      <c r="BM59" s="102"/>
      <c r="BN59" s="103"/>
      <c r="BO59" s="104"/>
      <c r="BP59" s="98"/>
      <c r="BQ59" s="105"/>
      <c r="BR59" s="104"/>
      <c r="BS59" s="115"/>
      <c r="BT59" s="104"/>
      <c r="BU59" s="98"/>
      <c r="BV59" s="105"/>
      <c r="BW59" s="104"/>
      <c r="BX59" s="104"/>
      <c r="BY59" s="107"/>
      <c r="BZ59" s="108"/>
      <c r="CA59" s="108"/>
      <c r="CB59" s="109"/>
      <c r="CC59" s="110"/>
      <c r="CD59" s="108"/>
      <c r="CE59" s="109"/>
      <c r="CF59" s="109"/>
      <c r="CG59" s="107"/>
      <c r="CH59" s="111"/>
      <c r="CI59" s="98"/>
      <c r="CJ59" s="113"/>
      <c r="CK59" s="113"/>
      <c r="CL59" s="114"/>
      <c r="CM59" s="114"/>
      <c r="CN59" s="114"/>
      <c r="CO59" s="99"/>
      <c r="CP59" s="115"/>
      <c r="CQ59" s="116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121"/>
      <c r="DC59" s="121"/>
      <c r="DD59" s="100"/>
      <c r="DE59" s="121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</row>
    <row r="60" spans="1:122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</row>
    <row r="61" spans="1:122" ht="24.95" customHeight="1" thickBot="1" x14ac:dyDescent="0.3">
      <c r="A61" s="74"/>
      <c r="B61" s="468" t="s">
        <v>145</v>
      </c>
      <c r="C61" s="468"/>
      <c r="D61" s="468"/>
      <c r="E61" s="73"/>
      <c r="F61" s="461" t="s">
        <v>96</v>
      </c>
      <c r="G61" s="461"/>
      <c r="H61" s="461"/>
      <c r="I61" s="75" t="s">
        <v>95</v>
      </c>
      <c r="J61" s="75"/>
      <c r="K61" s="74" t="str">
        <f ca="1">INDIRECT(ADDRESS(5+$U$61,1))</f>
        <v>PNOON</v>
      </c>
      <c r="L61" s="462">
        <v>42549.5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>
        <f>MATCH(L61,B6:B59,0)</f>
        <v>2</v>
      </c>
      <c r="V61" s="72"/>
      <c r="W61" s="72"/>
      <c r="X61" s="72"/>
      <c r="Y61" s="72"/>
      <c r="Z61" s="72"/>
      <c r="AA61" s="206"/>
      <c r="AB61" s="72"/>
      <c r="AC61" s="72"/>
      <c r="AD61" s="72"/>
      <c r="AE61" s="72"/>
      <c r="AF61" s="72"/>
      <c r="AG61" s="206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</row>
    <row r="62" spans="1:122" ht="24.95" customHeight="1" thickBot="1" x14ac:dyDescent="0.3">
      <c r="A62" s="72"/>
      <c r="B62" s="72">
        <f>MATCH(B6,B6:B59,0)</f>
        <v>1</v>
      </c>
      <c r="C62" s="72">
        <f>MATCH(L61,B6:B59,0)</f>
        <v>2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139</v>
      </c>
      <c r="V62" s="418"/>
      <c r="W62" s="418"/>
      <c r="X62" s="418"/>
      <c r="Y62" s="418"/>
      <c r="Z62" s="423"/>
      <c r="AA62" s="417" t="s">
        <v>141</v>
      </c>
      <c r="AB62" s="418"/>
      <c r="AC62" s="418"/>
      <c r="AD62" s="418"/>
      <c r="AE62" s="418"/>
      <c r="AF62" s="423"/>
      <c r="AG62" s="417" t="s">
        <v>140</v>
      </c>
      <c r="AH62" s="418"/>
      <c r="AI62" s="418"/>
      <c r="AJ62" s="418"/>
      <c r="AK62" s="418"/>
      <c r="AL62" s="423"/>
      <c r="AM62" s="417" t="s">
        <v>24</v>
      </c>
      <c r="AN62" s="418"/>
      <c r="AO62" s="418"/>
      <c r="AP62" s="418"/>
      <c r="AQ62" s="418"/>
      <c r="AR62" s="423"/>
      <c r="AS62" s="417" t="s">
        <v>37</v>
      </c>
      <c r="AT62" s="418"/>
      <c r="AU62" s="424"/>
      <c r="AV62" s="417" t="s">
        <v>38</v>
      </c>
      <c r="AW62" s="418"/>
      <c r="AX62" s="424"/>
      <c r="AY62" s="469" t="str">
        <f>F61</f>
        <v>PORT ARR / NOON</v>
      </c>
      <c r="AZ62" s="470"/>
      <c r="BA62" s="72"/>
      <c r="BB62" s="72"/>
    </row>
    <row r="63" spans="1:122" ht="52.5" customHeight="1" thickBot="1" x14ac:dyDescent="0.3">
      <c r="A63" s="72"/>
      <c r="B63" s="72"/>
      <c r="C63" s="72"/>
      <c r="D63" s="396"/>
      <c r="E63" s="76" t="s">
        <v>5</v>
      </c>
      <c r="F63" s="32"/>
      <c r="G63" s="381"/>
      <c r="H63" s="33" t="s">
        <v>2</v>
      </c>
      <c r="I63" s="210" t="s">
        <v>4</v>
      </c>
      <c r="J63" s="77"/>
      <c r="K63" s="380"/>
      <c r="L63" s="78"/>
      <c r="M63" s="78" t="s">
        <v>28</v>
      </c>
      <c r="N63" s="210" t="s">
        <v>4</v>
      </c>
      <c r="O63" s="77"/>
      <c r="P63" s="383"/>
      <c r="Q63" s="382"/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35</v>
      </c>
      <c r="AD63" s="33" t="s">
        <v>36</v>
      </c>
      <c r="AE63" s="33" t="s">
        <v>15</v>
      </c>
      <c r="AF63" s="80" t="s">
        <v>19</v>
      </c>
      <c r="AG63" s="32" t="s">
        <v>21</v>
      </c>
      <c r="AH63" s="33" t="s">
        <v>22</v>
      </c>
      <c r="AI63" s="33" t="s">
        <v>35</v>
      </c>
      <c r="AJ63" s="33" t="s">
        <v>36</v>
      </c>
      <c r="AK63" s="33" t="s">
        <v>15</v>
      </c>
      <c r="AL63" s="80" t="s">
        <v>19</v>
      </c>
      <c r="AM63" s="32" t="s">
        <v>21</v>
      </c>
      <c r="AN63" s="33" t="s">
        <v>22</v>
      </c>
      <c r="AO63" s="33" t="s">
        <v>23</v>
      </c>
      <c r="AP63" s="33" t="s">
        <v>20</v>
      </c>
      <c r="AQ63" s="33" t="s">
        <v>15</v>
      </c>
      <c r="AR63" s="80" t="s">
        <v>19</v>
      </c>
      <c r="AS63" s="32" t="s">
        <v>13</v>
      </c>
      <c r="AT63" s="33" t="s">
        <v>14</v>
      </c>
      <c r="AU63" s="77" t="s">
        <v>7</v>
      </c>
      <c r="AV63" s="32" t="s">
        <v>91</v>
      </c>
      <c r="AW63" s="33" t="s">
        <v>92</v>
      </c>
      <c r="AX63" s="77" t="s">
        <v>26</v>
      </c>
      <c r="AY63" s="205"/>
      <c r="AZ63" s="93" t="s">
        <v>95</v>
      </c>
      <c r="BA63" s="72"/>
      <c r="BB63" s="72"/>
    </row>
    <row r="64" spans="1:122" ht="24.95" customHeight="1" thickBot="1" x14ac:dyDescent="0.3">
      <c r="A64" s="72"/>
      <c r="B64" s="72"/>
      <c r="C64" s="72"/>
      <c r="D64" s="397"/>
      <c r="E64" s="388">
        <f ca="1">SUM(E6:INDIRECT(ADDRESS(5+$C$62,5)))</f>
        <v>0</v>
      </c>
      <c r="F64" s="389">
        <f ca="1">INDIRECT(ADDRESS(5+$C$62,6))</f>
        <v>0</v>
      </c>
      <c r="G64" s="390"/>
      <c r="H64" s="16">
        <f ca="1">SUM(H6:INDIRECT(ADDRESS(5+$C$62,8)))</f>
        <v>0</v>
      </c>
      <c r="I64" s="222" t="e">
        <f ca="1">H64/E64</f>
        <v>#DIV/0!</v>
      </c>
      <c r="J64" s="17"/>
      <c r="K64" s="391">
        <f ca="1">INDIRECT(ADDRESS(5+$C$62,11))</f>
        <v>0</v>
      </c>
      <c r="L64" s="392"/>
      <c r="M64" s="11">
        <f ca="1">SUM(M6:INDIRECT(ADDRESS(5+$C$62,13)))</f>
        <v>0</v>
      </c>
      <c r="N64" s="12" t="e">
        <f ca="1">M64/E64</f>
        <v>#DIV/0!</v>
      </c>
      <c r="O64" s="172"/>
      <c r="P64" s="393"/>
      <c r="Q64" s="393"/>
      <c r="R64" s="394">
        <f ca="1">SUM(R6:INDIRECT(ADDRESS(5+$C$62,18)))</f>
        <v>0</v>
      </c>
      <c r="S64" s="458">
        <f>L61</f>
        <v>42549.5</v>
      </c>
      <c r="T64" s="459"/>
      <c r="U64" s="359">
        <f ca="1">SUM(U6:INDIRECT(ADDRESS(5+$C$62,21)))</f>
        <v>0</v>
      </c>
      <c r="V64" s="153">
        <f ca="1">SUM(V6:INDIRECT(ADDRESS(5+$C$62,22)))</f>
        <v>3.75</v>
      </c>
      <c r="W64" s="153">
        <f ca="1">SUM(W6:INDIRECT(ADDRESS(5+$C$62,23)))</f>
        <v>2.62</v>
      </c>
      <c r="X64" s="360">
        <f ca="1">SUM(X6:INDIRECT(ADDRESS(5+$C$62,24)))</f>
        <v>6.37</v>
      </c>
      <c r="Y64" s="351">
        <f ca="1">INDIRECT(ADDRESS(5+$C$62,25))</f>
        <v>2555.0700000000002</v>
      </c>
      <c r="Z64" s="384">
        <f ca="1">SUM(Z6:INDIRECT(ADDRESS(5+$C$62,26)))</f>
        <v>2000</v>
      </c>
      <c r="AA64" s="151">
        <f ca="1">SUM(AA6:INDIRECT(ADDRESS(5+$C$62,27)))</f>
        <v>0</v>
      </c>
      <c r="AB64" s="152">
        <f ca="1">SUM(AB6:INDIRECT(ADDRESS(5+$C$62,28)))</f>
        <v>0</v>
      </c>
      <c r="AC64" s="152">
        <f ca="1">SUM(AC6:INDIRECT(ADDRESS(5+$C$62,29)))</f>
        <v>0</v>
      </c>
      <c r="AD64" s="197">
        <f ca="1">SUM(AD6:INDIRECT(ADDRESS(5+$C$62,30)))</f>
        <v>0</v>
      </c>
      <c r="AE64" s="153">
        <f ca="1">INDIRECT(ADDRESS(5+$C$62,31))</f>
        <v>600</v>
      </c>
      <c r="AF64" s="385">
        <f ca="1">SUM(AF6:INDIRECT(ADDRESS(5+$C$62,32)))</f>
        <v>600</v>
      </c>
      <c r="AG64" s="366">
        <f ca="1">SUM(AG6:INDIRECT(ADDRESS(5+$C$62,33)))</f>
        <v>0</v>
      </c>
      <c r="AH64" s="361">
        <f ca="1">SUM(AH6:INDIRECT(ADDRESS(5+$C$62,34)))</f>
        <v>3.75</v>
      </c>
      <c r="AI64" s="361">
        <f ca="1">SUM(AI6:INDIRECT(ADDRESS(5+$C$62,35)))</f>
        <v>2.62</v>
      </c>
      <c r="AJ64" s="367">
        <f ca="1">SUM(AJ6:INDIRECT(ADDRESS(5+$C$62,36)))</f>
        <v>6.37</v>
      </c>
      <c r="AK64" s="368">
        <f ca="1">INDIRECT(ADDRESS(5+$C$62,37))</f>
        <v>3155.07</v>
      </c>
      <c r="AL64" s="386">
        <f ca="1">SUM(AL6:INDIRECT(ADDRESS(5+$C$62,38)))</f>
        <v>2600</v>
      </c>
      <c r="AM64" s="142">
        <f ca="1">SUM(AM6:INDIRECT(ADDRESS(5+$C$62,39)))</f>
        <v>0</v>
      </c>
      <c r="AN64" s="143">
        <f ca="1">SUM(AN6:INDIRECT(ADDRESS(5+$C$62,40)))</f>
        <v>0</v>
      </c>
      <c r="AO64" s="143">
        <f ca="1">SUM(AO6:INDIRECT(ADDRESS(5+$C$62,41)))</f>
        <v>0</v>
      </c>
      <c r="AP64" s="201">
        <f ca="1">SUM(AP6:INDIRECT(ADDRESS(5+$C$62,42)))</f>
        <v>0</v>
      </c>
      <c r="AQ64" s="144">
        <f ca="1">INDIRECT(ADDRESS(5+$C$62,43))</f>
        <v>74.599999999999994</v>
      </c>
      <c r="AR64" s="387">
        <f ca="1">SUM(AR6:INDIRECT(ADDRESS(5+$C$62,44)))</f>
        <v>0</v>
      </c>
      <c r="AS64" s="133">
        <f ca="1">SUM(AS6:INDIRECT(ADDRESS(5+$C$62,45)))</f>
        <v>3</v>
      </c>
      <c r="AT64" s="134">
        <f ca="1">SUM(AT6:INDIRECT(ADDRESS(5+$C$62,46)))</f>
        <v>0</v>
      </c>
      <c r="AU64" s="135">
        <f ca="1">INDIRECT(ADDRESS(5+$C$62,47))</f>
        <v>175</v>
      </c>
      <c r="AV64" s="160">
        <f ca="1">INDIRECT(ADDRESS(5+$C$62,48))</f>
        <v>57780</v>
      </c>
      <c r="AW64" s="161">
        <f ca="1">INDIRECT(ADDRESS(5+$C$62,49))</f>
        <v>31900</v>
      </c>
      <c r="AX64" s="162">
        <f ca="1">INDIRECT(ADDRESS(5+$C$62,50))</f>
        <v>6690</v>
      </c>
      <c r="AY64" s="471">
        <f>L61</f>
        <v>42549.5</v>
      </c>
      <c r="AZ64" s="472"/>
      <c r="BA64" s="72"/>
      <c r="BB64" s="72"/>
    </row>
    <row r="65" spans="1:54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4"/>
      <c r="AB65" s="94"/>
      <c r="AC65" s="94"/>
      <c r="AD65" s="94"/>
      <c r="AE65" s="96"/>
      <c r="AF65" s="94"/>
      <c r="AG65" s="94"/>
      <c r="AH65" s="94"/>
      <c r="AI65" s="94"/>
      <c r="AJ65" s="94"/>
      <c r="AK65" s="96"/>
      <c r="AL65" s="94"/>
      <c r="AM65" s="96"/>
      <c r="AN65" s="96"/>
      <c r="AO65" s="96"/>
      <c r="AP65" s="96"/>
      <c r="AQ65" s="96"/>
      <c r="AR65" s="96"/>
      <c r="AS65" s="94"/>
      <c r="AT65" s="94"/>
      <c r="AU65" s="94"/>
      <c r="AV65" s="97"/>
      <c r="AW65" s="97"/>
      <c r="AX65" s="94"/>
      <c r="AY65" s="94"/>
      <c r="AZ65" s="94"/>
      <c r="BA65" s="72"/>
      <c r="BB65" s="72"/>
    </row>
    <row r="66" spans="1:54" ht="24.95" customHeight="1" thickBot="1" x14ac:dyDescent="0.3">
      <c r="A66" s="74"/>
      <c r="B66" s="468" t="s">
        <v>145</v>
      </c>
      <c r="C66" s="468"/>
      <c r="D66" s="468"/>
      <c r="E66" s="73" t="str">
        <f ca="1">INDIRECT(ADDRESS(5+$T$66,1))</f>
        <v>SBE</v>
      </c>
      <c r="F66" s="462">
        <v>42590.637499999997</v>
      </c>
      <c r="G66" s="462"/>
      <c r="H66" s="462"/>
      <c r="I66" s="75" t="s">
        <v>95</v>
      </c>
      <c r="J66" s="75"/>
      <c r="K66" s="74" t="str">
        <f ca="1">INDIRECT(ADDRESS(5+$U$66,1))</f>
        <v>FWE</v>
      </c>
      <c r="L66" s="462">
        <v>42590.875</v>
      </c>
      <c r="M66" s="462"/>
      <c r="N66" s="462"/>
      <c r="O66" s="211"/>
      <c r="P66" s="72"/>
      <c r="Q66" s="72"/>
      <c r="R66" s="72"/>
      <c r="S66" s="94"/>
      <c r="T66" s="207">
        <f>MATCH(F66,B6:B59,0)</f>
        <v>48</v>
      </c>
      <c r="U66" s="206">
        <f>MATCH(L66,B6:B59,0)</f>
        <v>51</v>
      </c>
      <c r="V66" s="72"/>
      <c r="W66" s="72"/>
      <c r="X66" s="72"/>
      <c r="Y66" s="72"/>
      <c r="Z66" s="72"/>
      <c r="AA66" s="206"/>
      <c r="AB66" s="72"/>
      <c r="AC66" s="72"/>
      <c r="AD66" s="72"/>
      <c r="AE66" s="72"/>
      <c r="AF66" s="72"/>
      <c r="AG66" s="206"/>
      <c r="AH66" s="72"/>
      <c r="AI66" s="72"/>
      <c r="AJ66" s="72"/>
      <c r="AK66" s="72"/>
      <c r="AL66" s="72"/>
      <c r="AM66" s="129"/>
      <c r="AN66" s="129"/>
      <c r="AO66" s="129"/>
      <c r="AP66" s="129"/>
      <c r="AQ66" s="129"/>
      <c r="AR66" s="129"/>
      <c r="AS66" s="72"/>
      <c r="AT66" s="72"/>
      <c r="AU66" s="72"/>
      <c r="AV66" s="72"/>
      <c r="AW66" s="72"/>
      <c r="AX66" s="72"/>
      <c r="AY66" s="94"/>
      <c r="AZ66" s="207"/>
      <c r="BA66" s="72"/>
      <c r="BB66" s="72"/>
    </row>
    <row r="67" spans="1:54" ht="24.95" customHeight="1" thickBot="1" x14ac:dyDescent="0.3">
      <c r="A67" s="72"/>
      <c r="B67" s="72">
        <f>MATCH(F66,B6:B59,0)</f>
        <v>48</v>
      </c>
      <c r="C67" s="72">
        <f>MATCH(L66,B6:B59,0)</f>
        <v>51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42590.637499999997</v>
      </c>
      <c r="T67" s="467"/>
      <c r="U67" s="417" t="s">
        <v>139</v>
      </c>
      <c r="V67" s="418"/>
      <c r="W67" s="418"/>
      <c r="X67" s="418"/>
      <c r="Y67" s="418"/>
      <c r="Z67" s="423"/>
      <c r="AA67" s="417" t="s">
        <v>141</v>
      </c>
      <c r="AB67" s="418"/>
      <c r="AC67" s="418"/>
      <c r="AD67" s="418"/>
      <c r="AE67" s="418"/>
      <c r="AF67" s="423"/>
      <c r="AG67" s="417" t="s">
        <v>140</v>
      </c>
      <c r="AH67" s="418"/>
      <c r="AI67" s="418"/>
      <c r="AJ67" s="418"/>
      <c r="AK67" s="418"/>
      <c r="AL67" s="423"/>
      <c r="AM67" s="463" t="s">
        <v>24</v>
      </c>
      <c r="AN67" s="464"/>
      <c r="AO67" s="464"/>
      <c r="AP67" s="464"/>
      <c r="AQ67" s="464"/>
      <c r="AR67" s="465"/>
      <c r="AS67" s="417" t="s">
        <v>37</v>
      </c>
      <c r="AT67" s="418"/>
      <c r="AU67" s="424"/>
      <c r="AV67" s="417" t="s">
        <v>38</v>
      </c>
      <c r="AW67" s="418"/>
      <c r="AX67" s="424"/>
      <c r="AY67" s="473">
        <f>F66</f>
        <v>42590.637499999997</v>
      </c>
      <c r="AZ67" s="474"/>
      <c r="BA67" s="72"/>
      <c r="BB67" s="72"/>
    </row>
    <row r="68" spans="1:54" ht="49.5" customHeight="1" thickBot="1" x14ac:dyDescent="0.3">
      <c r="A68" s="72"/>
      <c r="B68" s="72"/>
      <c r="C68" s="72"/>
      <c r="D68" s="76" t="s">
        <v>144</v>
      </c>
      <c r="E68" s="76" t="s">
        <v>5</v>
      </c>
      <c r="F68" s="32"/>
      <c r="G68" s="381"/>
      <c r="H68" s="33" t="s">
        <v>2</v>
      </c>
      <c r="I68" s="210" t="s">
        <v>4</v>
      </c>
      <c r="J68" s="77"/>
      <c r="K68" s="380"/>
      <c r="L68" s="78"/>
      <c r="M68" s="78" t="s">
        <v>28</v>
      </c>
      <c r="N68" s="210" t="s">
        <v>4</v>
      </c>
      <c r="O68" s="77"/>
      <c r="P68" s="383" t="s">
        <v>0</v>
      </c>
      <c r="Q68" s="382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32" t="s">
        <v>21</v>
      </c>
      <c r="AB68" s="33" t="s">
        <v>22</v>
      </c>
      <c r="AC68" s="33" t="s">
        <v>35</v>
      </c>
      <c r="AD68" s="33" t="s">
        <v>36</v>
      </c>
      <c r="AE68" s="33" t="s">
        <v>15</v>
      </c>
      <c r="AF68" s="80" t="s">
        <v>19</v>
      </c>
      <c r="AG68" s="32" t="s">
        <v>21</v>
      </c>
      <c r="AH68" s="33" t="s">
        <v>22</v>
      </c>
      <c r="AI68" s="33" t="s">
        <v>35</v>
      </c>
      <c r="AJ68" s="33" t="s">
        <v>36</v>
      </c>
      <c r="AK68" s="33" t="s">
        <v>15</v>
      </c>
      <c r="AL68" s="80" t="s">
        <v>19</v>
      </c>
      <c r="AM68" s="130" t="s">
        <v>21</v>
      </c>
      <c r="AN68" s="131" t="s">
        <v>22</v>
      </c>
      <c r="AO68" s="131" t="s">
        <v>23</v>
      </c>
      <c r="AP68" s="131" t="s">
        <v>20</v>
      </c>
      <c r="AQ68" s="131" t="s">
        <v>15</v>
      </c>
      <c r="AR68" s="132" t="s">
        <v>19</v>
      </c>
      <c r="AS68" s="32" t="s">
        <v>13</v>
      </c>
      <c r="AT68" s="33" t="s">
        <v>14</v>
      </c>
      <c r="AU68" s="77" t="s">
        <v>7</v>
      </c>
      <c r="AV68" s="32" t="s">
        <v>91</v>
      </c>
      <c r="AW68" s="33" t="s">
        <v>92</v>
      </c>
      <c r="AX68" s="77" t="s">
        <v>26</v>
      </c>
      <c r="AY68" s="205"/>
      <c r="AZ68" s="93" t="s">
        <v>95</v>
      </c>
      <c r="BA68" s="72"/>
      <c r="BB68" s="72"/>
    </row>
    <row r="69" spans="1:54" ht="24.95" customHeight="1" thickBot="1" x14ac:dyDescent="0.3">
      <c r="A69" s="72"/>
      <c r="B69" s="72"/>
      <c r="C69" s="72"/>
      <c r="D69" s="395">
        <f ca="1">(INDIRECT(ADDRESS(5+$C$67,2))-INDIRECT(ADDRESS(5+$B$67,2)))*24</f>
        <v>5.7000000000698492</v>
      </c>
      <c r="E69" s="388">
        <f ca="1">SUM(INDIRECT(ADDRESS(6+$B$67,5)):INDIRECT(ADDRESS(5+$C$67,5)))</f>
        <v>5.7</v>
      </c>
      <c r="F69" s="389">
        <f ca="1">INDIRECT(ADDRESS(5+$C$67,6))</f>
        <v>479.3</v>
      </c>
      <c r="G69" s="390"/>
      <c r="H69" s="16">
        <f ca="1">SUM(INDIRECT(ADDRESS(6+$B$67,8)):INDIRECT(ADDRESS(5+$C$67,8)))</f>
        <v>57.699999999999989</v>
      </c>
      <c r="I69" s="222">
        <f ca="1">H69/E69</f>
        <v>10.122807017543858</v>
      </c>
      <c r="J69" s="17"/>
      <c r="K69" s="391">
        <f ca="1">INDIRECT(ADDRESS(5+$C$67,11))</f>
        <v>-5.7</v>
      </c>
      <c r="L69" s="392"/>
      <c r="M69" s="11">
        <f ca="1">SUM(INDIRECT(ADDRESS(6+$B$67,13)):INDIRECT(ADDRESS(5+$C$67,13)))</f>
        <v>59.4</v>
      </c>
      <c r="N69" s="12">
        <f ca="1">M69/E69</f>
        <v>10.421052631578947</v>
      </c>
      <c r="O69" s="172"/>
      <c r="P69" s="393">
        <f ca="1">(SUMPRODUCT((INDIRECT(ADDRESS(6+$B$67,16)):INDIRECT(ADDRESS(5+$C$67,16))),((INDIRECT(ADDRESS(6+$B$67,5)):INDIRECT(ADDRESS(5+$C$67,5))))))/E69</f>
        <v>40.671929824561403</v>
      </c>
      <c r="Q69" s="393">
        <f ca="1">(SUMPRODUCT((INDIRECT(ADDRESS(6+$B$67,17)):INDIRECT(ADDRESS(5+$C$67,17))),((INDIRECT(ADDRESS(6+$B$67,5)):INDIRECT(ADDRESS(5+$C$67,5))))))/E69</f>
        <v>5.3508771929824563</v>
      </c>
      <c r="R69" s="394">
        <f ca="1">SUM(INDIRECT(ADDRESS(6+$B$67,18)):INDIRECT(ADDRESS(5+$C$67,18)))</f>
        <v>63.9</v>
      </c>
      <c r="S69" s="458">
        <f>L66</f>
        <v>42590.875</v>
      </c>
      <c r="T69" s="459"/>
      <c r="U69" s="359">
        <f ca="1">SUM(INDIRECT(ADDRESS(6+$B$67,21)):INDIRECT(ADDRESS(5+$C$67,21)))</f>
        <v>8.6</v>
      </c>
      <c r="V69" s="153">
        <f ca="1">SUM(INDIRECT(ADDRESS(6+$B$67,22)):INDIRECT(ADDRESS(5+$C$67,22)))</f>
        <v>1.9000000000000001</v>
      </c>
      <c r="W69" s="153">
        <f ca="1">SUM(INDIRECT(ADDRESS(6+$B$67,23)):INDIRECT(ADDRESS(5+$C$67,23)))</f>
        <v>0.7</v>
      </c>
      <c r="X69" s="360">
        <f ca="1">SUM(INDIRECT(ADDRESS(6+$B$67,24)):INDIRECT(ADDRESS(5+$C$67,24)))</f>
        <v>11.2</v>
      </c>
      <c r="Y69" s="351">
        <f ca="1">INDIRECT(ADDRESS(5+$C$67,25))</f>
        <v>2209.7999999999993</v>
      </c>
      <c r="Z69" s="384">
        <f ca="1">SUM(INDIRECT(ADDRESS(6+$B$67,26)):INDIRECT(ADDRESS(5+$C$67,26)))</f>
        <v>0</v>
      </c>
      <c r="AA69" s="151">
        <f ca="1">SUM(INDIRECT(ADDRESS(6+$B$67,27)):INDIRECT(ADDRESS(5+$C$67,27)))</f>
        <v>0</v>
      </c>
      <c r="AB69" s="152">
        <f ca="1">SUM(INDIRECT(ADDRESS(6+$B$67,28)):INDIRECT(ADDRESS(5+$C$67,28)))</f>
        <v>0</v>
      </c>
      <c r="AC69" s="152">
        <f ca="1">SUM(INDIRECT(ADDRESS(6+$B$67,29)):INDIRECT(ADDRESS(5+$C$67,29)))</f>
        <v>0</v>
      </c>
      <c r="AD69" s="197">
        <f ca="1">SUM(INDIRECT(ADDRESS(6+$B$67,30)):INDIRECT(ADDRESS(5+$C$67,30)))</f>
        <v>0</v>
      </c>
      <c r="AE69" s="153">
        <f ca="1">INDIRECT(ADDRESS(5+$C$67,31))</f>
        <v>600</v>
      </c>
      <c r="AF69" s="385">
        <f ca="1">SUM(INDIRECT(ADDRESS(6+$B$67,32)):INDIRECT(ADDRESS(5+$C$67,32)))</f>
        <v>0</v>
      </c>
      <c r="AG69" s="366">
        <f ca="1">SUM(INDIRECT(ADDRESS(6+$B$67,33)):INDIRECT(ADDRESS(5+$C$67,33)))</f>
        <v>8.6</v>
      </c>
      <c r="AH69" s="361">
        <f ca="1">SUM(INDIRECT(ADDRESS(6+$B$67,34)):INDIRECT(ADDRESS(5+$C$67,34)))</f>
        <v>1.9000000000000001</v>
      </c>
      <c r="AI69" s="361">
        <f ca="1">SUM(INDIRECT(ADDRESS(6+$B$67,35)):INDIRECT(ADDRESS(5+$C$67,35)))</f>
        <v>0.7</v>
      </c>
      <c r="AJ69" s="367">
        <f ca="1">SUM(INDIRECT(ADDRESS(6+$B$67,36)):INDIRECT(ADDRESS(5+$C$67,36)))</f>
        <v>11.2</v>
      </c>
      <c r="AK69" s="368">
        <f ca="1">INDIRECT(ADDRESS(5+$C$67,37))</f>
        <v>2809.7999999999993</v>
      </c>
      <c r="AL69" s="386">
        <f ca="1">SUM(INDIRECT(ADDRESS(6+$B$67,38)):INDIRECT(ADDRESS(5+$C$67,38)))</f>
        <v>0</v>
      </c>
      <c r="AM69" s="142">
        <f ca="1">SUM(INDIRECT(ADDRESS(6+$B$67,39)):INDIRECT(ADDRESS(5+$C$67,39)))</f>
        <v>0</v>
      </c>
      <c r="AN69" s="143">
        <f ca="1">SUM(INDIRECT(ADDRESS(6+$B$67,40)):INDIRECT(ADDRESS(5+$C$67,40)))</f>
        <v>0</v>
      </c>
      <c r="AO69" s="143">
        <f ca="1">SUM(INDIRECT(ADDRESS(6+$B$67,41)):INDIRECT(ADDRESS(5+$C$67,41)))</f>
        <v>0</v>
      </c>
      <c r="AP69" s="201">
        <f ca="1">SUM(INDIRECT(ADDRESS(6+$B$67,42)):INDIRECT(ADDRESS(5+$C$67,42)))</f>
        <v>0</v>
      </c>
      <c r="AQ69" s="144">
        <f ca="1">INDIRECT(ADDRESS(5+$C$67,43))</f>
        <v>74.599999999999994</v>
      </c>
      <c r="AR69" s="387">
        <f ca="1">SUM(INDIRECT(ADDRESS(6+$B$67,44)):INDIRECT(ADDRESS(5+$C$67,44)))</f>
        <v>0</v>
      </c>
      <c r="AS69" s="133">
        <f ca="1">SUM(INDIRECT(ADDRESS(6+$B$67,45)):INDIRECT(ADDRESS(5+$C$67,45)))</f>
        <v>4</v>
      </c>
      <c r="AT69" s="134">
        <f ca="1">SUM(INDIRECT(ADDRESS(6+$B$67,46)):INDIRECT(ADDRESS(5+$C$67,46)))</f>
        <v>0</v>
      </c>
      <c r="AU69" s="135">
        <f ca="1">INDIRECT(ADDRESS(5+$C$67,47))</f>
        <v>97</v>
      </c>
      <c r="AV69" s="160">
        <f ca="1">INDIRECT(ADDRESS(5+$C$67,48))</f>
        <v>57000</v>
      </c>
      <c r="AW69" s="161">
        <f ca="1">INDIRECT(ADDRESS(5+$C$67,49))</f>
        <v>28900</v>
      </c>
      <c r="AX69" s="162">
        <f ca="1">INDIRECT(ADDRESS(5+$C$67,50))</f>
        <v>5510</v>
      </c>
      <c r="AY69" s="471">
        <f>L66</f>
        <v>42590.875</v>
      </c>
      <c r="AZ69" s="472"/>
      <c r="BA69" s="72"/>
      <c r="BB69" s="72"/>
    </row>
    <row r="70" spans="1:54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4"/>
      <c r="AB70" s="94"/>
      <c r="AC70" s="94"/>
      <c r="AD70" s="94"/>
      <c r="AE70" s="96"/>
      <c r="AF70" s="94"/>
      <c r="AG70" s="94"/>
      <c r="AH70" s="94"/>
      <c r="AI70" s="94"/>
      <c r="AJ70" s="94"/>
      <c r="AK70" s="96"/>
      <c r="AL70" s="94"/>
      <c r="AM70" s="96"/>
      <c r="AN70" s="96"/>
      <c r="AO70" s="96"/>
      <c r="AP70" s="96"/>
      <c r="AQ70" s="96"/>
      <c r="AR70" s="96"/>
      <c r="AS70" s="94"/>
      <c r="AT70" s="94"/>
      <c r="AU70" s="94"/>
      <c r="AV70" s="97"/>
      <c r="AW70" s="97"/>
      <c r="AX70" s="94"/>
      <c r="AY70" s="94"/>
      <c r="AZ70" s="94"/>
      <c r="BA70" s="72"/>
      <c r="BB70" s="72"/>
    </row>
    <row r="71" spans="1:54" ht="24.95" customHeight="1" thickBot="1" x14ac:dyDescent="0.3">
      <c r="A71" s="72"/>
      <c r="B71" s="468" t="s">
        <v>145</v>
      </c>
      <c r="C71" s="468"/>
      <c r="D71" s="468"/>
      <c r="E71" s="73" t="str">
        <f ca="1">INDIRECT(ADDRESS(5+$T$71,1))</f>
        <v>PNOON</v>
      </c>
      <c r="F71" s="462">
        <v>42590.5</v>
      </c>
      <c r="G71" s="462"/>
      <c r="H71" s="462"/>
      <c r="I71" s="75" t="s">
        <v>95</v>
      </c>
      <c r="J71" s="75"/>
      <c r="K71" s="74" t="str">
        <f ca="1">INDIRECT(ADDRESS(5+$U$71,1))</f>
        <v>FWE</v>
      </c>
      <c r="L71" s="462">
        <v>42590.875</v>
      </c>
      <c r="M71" s="462"/>
      <c r="N71" s="462"/>
      <c r="O71" s="211"/>
      <c r="P71" s="72"/>
      <c r="Q71" s="72"/>
      <c r="R71" s="72"/>
      <c r="S71" s="94"/>
      <c r="T71" s="207">
        <f>MATCH(F71,B6:B59,0)</f>
        <v>47</v>
      </c>
      <c r="U71" s="206">
        <f>MATCH(L71,B6:B59,0)</f>
        <v>51</v>
      </c>
      <c r="V71" s="72"/>
      <c r="W71" s="72"/>
      <c r="X71" s="72"/>
      <c r="Y71" s="72"/>
      <c r="Z71" s="72"/>
      <c r="AA71" s="206"/>
      <c r="AB71" s="72"/>
      <c r="AC71" s="72"/>
      <c r="AD71" s="72"/>
      <c r="AE71" s="72"/>
      <c r="AF71" s="72"/>
      <c r="AG71" s="206"/>
      <c r="AH71" s="72"/>
      <c r="AI71" s="72"/>
      <c r="AJ71" s="72"/>
      <c r="AK71" s="72"/>
      <c r="AL71" s="72"/>
      <c r="AM71" s="129"/>
      <c r="AN71" s="129"/>
      <c r="AO71" s="129"/>
      <c r="AP71" s="129"/>
      <c r="AQ71" s="129"/>
      <c r="AR71" s="129"/>
      <c r="AS71" s="72"/>
      <c r="AT71" s="72"/>
      <c r="AU71" s="72"/>
      <c r="AV71" s="72"/>
      <c r="AW71" s="72"/>
      <c r="AX71" s="72"/>
      <c r="AY71" s="94"/>
      <c r="AZ71" s="207"/>
      <c r="BA71" s="72"/>
      <c r="BB71" s="72"/>
    </row>
    <row r="72" spans="1:54" ht="24.95" customHeight="1" thickBot="1" x14ac:dyDescent="0.3">
      <c r="A72" s="72"/>
      <c r="B72" s="72">
        <f>MATCH(F71,B6:B59,0)</f>
        <v>47</v>
      </c>
      <c r="C72" s="72">
        <f>MATCH(L71,B6:B59,0)</f>
        <v>51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42590.5</v>
      </c>
      <c r="T72" s="467"/>
      <c r="U72" s="417" t="s">
        <v>139</v>
      </c>
      <c r="V72" s="418"/>
      <c r="W72" s="418"/>
      <c r="X72" s="418"/>
      <c r="Y72" s="418"/>
      <c r="Z72" s="423"/>
      <c r="AA72" s="417" t="s">
        <v>141</v>
      </c>
      <c r="AB72" s="418"/>
      <c r="AC72" s="418"/>
      <c r="AD72" s="418"/>
      <c r="AE72" s="418"/>
      <c r="AF72" s="423"/>
      <c r="AG72" s="417" t="s">
        <v>140</v>
      </c>
      <c r="AH72" s="418"/>
      <c r="AI72" s="418"/>
      <c r="AJ72" s="418"/>
      <c r="AK72" s="418"/>
      <c r="AL72" s="423"/>
      <c r="AM72" s="463" t="s">
        <v>24</v>
      </c>
      <c r="AN72" s="464"/>
      <c r="AO72" s="464"/>
      <c r="AP72" s="464"/>
      <c r="AQ72" s="464"/>
      <c r="AR72" s="465"/>
      <c r="AS72" s="417" t="s">
        <v>37</v>
      </c>
      <c r="AT72" s="418"/>
      <c r="AU72" s="424"/>
      <c r="AV72" s="417" t="s">
        <v>38</v>
      </c>
      <c r="AW72" s="418"/>
      <c r="AX72" s="424"/>
      <c r="AY72" s="473">
        <f>F71</f>
        <v>42590.5</v>
      </c>
      <c r="AZ72" s="474"/>
      <c r="BA72" s="72"/>
      <c r="BB72" s="72"/>
    </row>
    <row r="73" spans="1:54" ht="49.5" customHeight="1" thickBot="1" x14ac:dyDescent="0.3">
      <c r="A73" s="72"/>
      <c r="B73" s="72"/>
      <c r="C73" s="72"/>
      <c r="D73" s="76" t="s">
        <v>144</v>
      </c>
      <c r="E73" s="76" t="s">
        <v>5</v>
      </c>
      <c r="F73" s="32"/>
      <c r="G73" s="381"/>
      <c r="H73" s="33" t="s">
        <v>2</v>
      </c>
      <c r="I73" s="210" t="s">
        <v>4</v>
      </c>
      <c r="J73" s="77"/>
      <c r="K73" s="380"/>
      <c r="L73" s="78"/>
      <c r="M73" s="78" t="s">
        <v>28</v>
      </c>
      <c r="N73" s="210" t="s">
        <v>4</v>
      </c>
      <c r="O73" s="77"/>
      <c r="P73" s="383" t="s">
        <v>0</v>
      </c>
      <c r="Q73" s="382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32" t="s">
        <v>21</v>
      </c>
      <c r="AB73" s="33" t="s">
        <v>22</v>
      </c>
      <c r="AC73" s="33" t="s">
        <v>35</v>
      </c>
      <c r="AD73" s="33" t="s">
        <v>36</v>
      </c>
      <c r="AE73" s="33" t="s">
        <v>15</v>
      </c>
      <c r="AF73" s="80" t="s">
        <v>19</v>
      </c>
      <c r="AG73" s="32" t="s">
        <v>21</v>
      </c>
      <c r="AH73" s="33" t="s">
        <v>22</v>
      </c>
      <c r="AI73" s="33" t="s">
        <v>35</v>
      </c>
      <c r="AJ73" s="33" t="s">
        <v>36</v>
      </c>
      <c r="AK73" s="33" t="s">
        <v>15</v>
      </c>
      <c r="AL73" s="80" t="s">
        <v>19</v>
      </c>
      <c r="AM73" s="130" t="s">
        <v>21</v>
      </c>
      <c r="AN73" s="131" t="s">
        <v>22</v>
      </c>
      <c r="AO73" s="131" t="s">
        <v>23</v>
      </c>
      <c r="AP73" s="131" t="s">
        <v>20</v>
      </c>
      <c r="AQ73" s="131" t="s">
        <v>15</v>
      </c>
      <c r="AR73" s="132" t="s">
        <v>19</v>
      </c>
      <c r="AS73" s="32" t="s">
        <v>13</v>
      </c>
      <c r="AT73" s="33" t="s">
        <v>14</v>
      </c>
      <c r="AU73" s="77" t="s">
        <v>7</v>
      </c>
      <c r="AV73" s="32" t="s">
        <v>91</v>
      </c>
      <c r="AW73" s="33" t="s">
        <v>92</v>
      </c>
      <c r="AX73" s="77" t="s">
        <v>26</v>
      </c>
      <c r="AY73" s="205"/>
      <c r="AZ73" s="93" t="s">
        <v>95</v>
      </c>
      <c r="BA73" s="72"/>
      <c r="BB73" s="72"/>
    </row>
    <row r="74" spans="1:54" ht="24.95" customHeight="1" thickBot="1" x14ac:dyDescent="0.3">
      <c r="A74" s="72"/>
      <c r="B74" s="72"/>
      <c r="C74" s="72"/>
      <c r="D74" s="395">
        <f ca="1">(INDIRECT(ADDRESS(5+$C$72,2))-INDIRECT(ADDRESS(5+$B$72,2)))*24</f>
        <v>9</v>
      </c>
      <c r="E74" s="388">
        <f ca="1">SUM(INDIRECT(ADDRESS(6+$B$72,5)):INDIRECT(ADDRESS(5+$C$72,5)))</f>
        <v>5.7</v>
      </c>
      <c r="F74" s="389">
        <f ca="1">INDIRECT(ADDRESS(5+$C$72,6))</f>
        <v>479.3</v>
      </c>
      <c r="G74" s="390"/>
      <c r="H74" s="16">
        <f ca="1">SUM(INDIRECT(ADDRESS(6+$B$72,8)):INDIRECT(ADDRESS(5+$C$72,8)))</f>
        <v>57.70000000000001</v>
      </c>
      <c r="I74" s="222">
        <f ca="1">H74/E74</f>
        <v>10.122807017543861</v>
      </c>
      <c r="J74" s="17"/>
      <c r="K74" s="391">
        <f ca="1">INDIRECT(ADDRESS(5+$C$72,11))</f>
        <v>-5.7</v>
      </c>
      <c r="L74" s="392"/>
      <c r="M74" s="11">
        <f ca="1">SUM(INDIRECT(ADDRESS(6+$B$72,13)):INDIRECT(ADDRESS(5+$C$72,13)))</f>
        <v>59.4</v>
      </c>
      <c r="N74" s="12">
        <f ca="1">M74/E74</f>
        <v>10.421052631578947</v>
      </c>
      <c r="O74" s="172"/>
      <c r="P74" s="393">
        <f ca="1">(SUMPRODUCT((INDIRECT(ADDRESS(6+$B$72,16)):INDIRECT(ADDRESS(5+$C$72,16))),((INDIRECT(ADDRESS(6+$B$72,5)):INDIRECT(ADDRESS(5+$C$72,5))))))/E74</f>
        <v>40.671929824561403</v>
      </c>
      <c r="Q74" s="393">
        <f ca="1">(SUMPRODUCT((INDIRECT(ADDRESS(6+$B$72,17)):INDIRECT(ADDRESS(5+$C$72,17))),((INDIRECT(ADDRESS(6+$B$72,5)):INDIRECT(ADDRESS(5+$C$72,5))))))/E74</f>
        <v>5.3508771929824563</v>
      </c>
      <c r="R74" s="394">
        <f ca="1">SUM(INDIRECT(ADDRESS(6+$B$72,18)):INDIRECT(ADDRESS(5+$C$72,18)))</f>
        <v>63.9</v>
      </c>
      <c r="S74" s="458">
        <f>L71</f>
        <v>42590.875</v>
      </c>
      <c r="T74" s="459"/>
      <c r="U74" s="359">
        <f ca="1">SUM(INDIRECT(ADDRESS(6+$B$72,21)):INDIRECT(ADDRESS(5+$C$72,21)))</f>
        <v>8.6</v>
      </c>
      <c r="V74" s="153">
        <f ca="1">SUM(INDIRECT(ADDRESS(6+$B$72,22)):INDIRECT(ADDRESS(5+$C$72,22)))</f>
        <v>2.4000000000000004</v>
      </c>
      <c r="W74" s="153">
        <f ca="1">SUM(INDIRECT(ADDRESS(6+$B$72,23)):INDIRECT(ADDRESS(5+$C$72,23)))</f>
        <v>1</v>
      </c>
      <c r="X74" s="360">
        <f ca="1">SUM(INDIRECT(ADDRESS(6+$B$72,24)):INDIRECT(ADDRESS(5+$C$72,24)))</f>
        <v>12</v>
      </c>
      <c r="Y74" s="351">
        <f ca="1">INDIRECT(ADDRESS(5+$C$72,25))</f>
        <v>2209.7999999999993</v>
      </c>
      <c r="Z74" s="384">
        <f ca="1">SUM(INDIRECT(ADDRESS(6+$B$72,26)):INDIRECT(ADDRESS(5+$C$72,26)))</f>
        <v>0</v>
      </c>
      <c r="AA74" s="151">
        <f ca="1">SUM(INDIRECT(ADDRESS(6+$B$72,27)):INDIRECT(ADDRESS(5+$C$72,27)))</f>
        <v>0</v>
      </c>
      <c r="AB74" s="152">
        <f ca="1">SUM(INDIRECT(ADDRESS(6+$B$72,28)):INDIRECT(ADDRESS(5+$C$72,28)))</f>
        <v>0</v>
      </c>
      <c r="AC74" s="152">
        <f ca="1">SUM(INDIRECT(ADDRESS(6+$B$72,29)):INDIRECT(ADDRESS(5+$C$72,29)))</f>
        <v>0</v>
      </c>
      <c r="AD74" s="197">
        <f ca="1">SUM(INDIRECT(ADDRESS(6+$B$72,30)):INDIRECT(ADDRESS(5+$C$72,30)))</f>
        <v>0</v>
      </c>
      <c r="AE74" s="153">
        <f ca="1">INDIRECT(ADDRESS(5+$C$72,31))</f>
        <v>600</v>
      </c>
      <c r="AF74" s="385">
        <f ca="1">SUM(INDIRECT(ADDRESS(6+$B$72,32)):INDIRECT(ADDRESS(5+$C$72,32)))</f>
        <v>0</v>
      </c>
      <c r="AG74" s="366">
        <f ca="1">SUM(INDIRECT(ADDRESS(6+$B$72,33)):INDIRECT(ADDRESS(5+$C$72,33)))</f>
        <v>8.6</v>
      </c>
      <c r="AH74" s="361">
        <f ca="1">SUM(INDIRECT(ADDRESS(6+$B$72,34)):INDIRECT(ADDRESS(5+$C$72,34)))</f>
        <v>2.4000000000000004</v>
      </c>
      <c r="AI74" s="361">
        <f ca="1">SUM(INDIRECT(ADDRESS(6+$B$72,35)):INDIRECT(ADDRESS(5+$C$72,35)))</f>
        <v>1</v>
      </c>
      <c r="AJ74" s="367">
        <f ca="1">SUM(INDIRECT(ADDRESS(6+$B$72,36)):INDIRECT(ADDRESS(5+$C$72,36)))</f>
        <v>12</v>
      </c>
      <c r="AK74" s="368">
        <f ca="1">INDIRECT(ADDRESS(5+$C$72,37))</f>
        <v>2809.7999999999993</v>
      </c>
      <c r="AL74" s="386">
        <f ca="1">SUM(INDIRECT(ADDRESS(6+$B$72,38)):INDIRECT(ADDRESS(5+$C$72,38)))</f>
        <v>0</v>
      </c>
      <c r="AM74" s="142">
        <f ca="1">SUM(INDIRECT(ADDRESS(6+$B$72,39)):INDIRECT(ADDRESS(5+$C$72,39)))</f>
        <v>0</v>
      </c>
      <c r="AN74" s="143">
        <f ca="1">SUM(INDIRECT(ADDRESS(6+$B$72,40)):INDIRECT(ADDRESS(5+$C$72,40)))</f>
        <v>0</v>
      </c>
      <c r="AO74" s="143">
        <f ca="1">SUM(INDIRECT(ADDRESS(6+$B$72,41)):INDIRECT(ADDRESS(5+$C$72,41)))</f>
        <v>0</v>
      </c>
      <c r="AP74" s="201">
        <f ca="1">SUM(INDIRECT(ADDRESS(6+$B$72,42)):INDIRECT(ADDRESS(5+$C$72,42)))</f>
        <v>0</v>
      </c>
      <c r="AQ74" s="144">
        <f ca="1">INDIRECT(ADDRESS(5+$C$72,43))</f>
        <v>74.599999999999994</v>
      </c>
      <c r="AR74" s="387">
        <f ca="1">SUM(INDIRECT(ADDRESS(6+$B$72,44)):INDIRECT(ADDRESS(5+$C$72,44)))</f>
        <v>0</v>
      </c>
      <c r="AS74" s="133">
        <f ca="1">SUM(INDIRECT(ADDRESS(6+$B$72,45)):INDIRECT(ADDRESS(5+$C$72,45)))</f>
        <v>4</v>
      </c>
      <c r="AT74" s="134">
        <f ca="1">SUM(INDIRECT(ADDRESS(6+$B$72,46)):INDIRECT(ADDRESS(5+$C$72,46)))</f>
        <v>0</v>
      </c>
      <c r="AU74" s="135">
        <f ca="1">INDIRECT(ADDRESS(5+$C$72,47))</f>
        <v>97</v>
      </c>
      <c r="AV74" s="160">
        <f ca="1">INDIRECT(ADDRESS(5+$C$72,48))</f>
        <v>57000</v>
      </c>
      <c r="AW74" s="161">
        <f ca="1">INDIRECT(ADDRESS(5+$C$72,49))</f>
        <v>28900</v>
      </c>
      <c r="AX74" s="162">
        <f ca="1">INDIRECT(ADDRESS(5+$C$72,50))</f>
        <v>5510</v>
      </c>
      <c r="AY74" s="471">
        <f>L71</f>
        <v>42590.875</v>
      </c>
      <c r="AZ74" s="472"/>
      <c r="BA74" s="72"/>
      <c r="BB74" s="72"/>
    </row>
    <row r="75" spans="1:54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6"/>
      <c r="AF75" s="94"/>
      <c r="AG75" s="94"/>
      <c r="AH75" s="94"/>
      <c r="AI75" s="94"/>
      <c r="AJ75" s="94"/>
      <c r="AK75" s="96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7"/>
      <c r="AW75" s="97"/>
      <c r="AX75" s="94"/>
      <c r="AY75" s="72"/>
      <c r="AZ75" s="72"/>
      <c r="BA75" s="72"/>
      <c r="BB75" s="72"/>
    </row>
    <row r="76" spans="1:54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</row>
    <row r="77" spans="1:54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>
        <v>39</v>
      </c>
      <c r="AN77" s="72">
        <v>40</v>
      </c>
      <c r="AO77" s="72">
        <v>41</v>
      </c>
      <c r="AP77" s="72">
        <v>42</v>
      </c>
      <c r="AQ77" s="72">
        <v>43</v>
      </c>
      <c r="AR77" s="72">
        <v>44</v>
      </c>
      <c r="AS77" s="72">
        <v>45</v>
      </c>
      <c r="AT77" s="72">
        <v>46</v>
      </c>
      <c r="AU77" s="72">
        <v>47</v>
      </c>
      <c r="AV77" s="72">
        <v>48</v>
      </c>
      <c r="AW77" s="72">
        <v>49</v>
      </c>
      <c r="AX77" s="72">
        <v>50</v>
      </c>
      <c r="AY77" s="72"/>
      <c r="AZ77" s="72"/>
      <c r="BA77" s="72"/>
      <c r="BB77" s="72"/>
    </row>
    <row r="78" spans="1:54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</row>
    <row r="79" spans="1:54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</row>
    <row r="80" spans="1:54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</row>
    <row r="81" spans="1:54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>
        <v>2</v>
      </c>
      <c r="L81" s="72"/>
      <c r="M81" s="72">
        <v>3</v>
      </c>
      <c r="N81" s="398"/>
      <c r="O81" s="72">
        <v>24</v>
      </c>
      <c r="P81" s="72">
        <v>8.5</v>
      </c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</row>
    <row r="82" spans="1:54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>
        <v>24</v>
      </c>
      <c r="P82" s="72">
        <v>8.5</v>
      </c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</row>
    <row r="83" spans="1:54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>
        <f>(SUMPRODUCT(O81:O82,P81:P82))/24</f>
        <v>17</v>
      </c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</row>
    <row r="84" spans="1:54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</row>
    <row r="85" spans="1:54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</row>
    <row r="86" spans="1:54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</row>
    <row r="87" spans="1:54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</row>
    <row r="88" spans="1:54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</row>
    <row r="89" spans="1:54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</row>
    <row r="90" spans="1:54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</row>
    <row r="91" spans="1:54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</sheetData>
  <sheetProtection sheet="1" objects="1" scenarios="1" selectLockedCells="1"/>
  <dataConsolidate/>
  <mergeCells count="158">
    <mergeCell ref="F71:H71"/>
    <mergeCell ref="L71:N71"/>
    <mergeCell ref="F66:H66"/>
    <mergeCell ref="L66:N66"/>
    <mergeCell ref="F67:I67"/>
    <mergeCell ref="K67:N67"/>
    <mergeCell ref="P67:R67"/>
    <mergeCell ref="AS72:AU72"/>
    <mergeCell ref="S67:T67"/>
    <mergeCell ref="AA67:AF67"/>
    <mergeCell ref="AG67:AL67"/>
    <mergeCell ref="S74:T74"/>
    <mergeCell ref="F72:I72"/>
    <mergeCell ref="K72:N72"/>
    <mergeCell ref="P72:R72"/>
    <mergeCell ref="S72:T72"/>
    <mergeCell ref="U72:Z72"/>
    <mergeCell ref="AM72:AR72"/>
    <mergeCell ref="AA72:AF72"/>
    <mergeCell ref="AG72:AL72"/>
    <mergeCell ref="AM62:AR62"/>
    <mergeCell ref="AS62:AU62"/>
    <mergeCell ref="AV62:AX62"/>
    <mergeCell ref="S64:T64"/>
    <mergeCell ref="U67:Z67"/>
    <mergeCell ref="AM67:AR67"/>
    <mergeCell ref="AS67:AU67"/>
    <mergeCell ref="AV67:AX67"/>
    <mergeCell ref="AV72:AX72"/>
    <mergeCell ref="S69:T69"/>
    <mergeCell ref="C60:E60"/>
    <mergeCell ref="F61:H61"/>
    <mergeCell ref="L61:N61"/>
    <mergeCell ref="F62:I62"/>
    <mergeCell ref="K62:N62"/>
    <mergeCell ref="P62:R62"/>
    <mergeCell ref="AA62:AF62"/>
    <mergeCell ref="AG62:AL62"/>
    <mergeCell ref="B54:C54"/>
    <mergeCell ref="B55:C55"/>
    <mergeCell ref="B56:C56"/>
    <mergeCell ref="B57:C57"/>
    <mergeCell ref="B58:C58"/>
    <mergeCell ref="B59:C59"/>
    <mergeCell ref="S62:T62"/>
    <mergeCell ref="U62:Z62"/>
    <mergeCell ref="B61:D61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CK4:CK5"/>
    <mergeCell ref="CL4:CL5"/>
    <mergeCell ref="BZ4:BZ5"/>
    <mergeCell ref="CA4:CA5"/>
    <mergeCell ref="B12:C12"/>
    <mergeCell ref="B13:C13"/>
    <mergeCell ref="B14:C14"/>
    <mergeCell ref="BR4:BR5"/>
    <mergeCell ref="B15:C15"/>
    <mergeCell ref="B6:C6"/>
    <mergeCell ref="B7:C7"/>
    <mergeCell ref="BB7:BB11"/>
    <mergeCell ref="B8:C8"/>
    <mergeCell ref="B9:C9"/>
    <mergeCell ref="B10:C10"/>
    <mergeCell ref="B11:C11"/>
    <mergeCell ref="DC4:DC5"/>
    <mergeCell ref="DD4:DD5"/>
    <mergeCell ref="DE4:DE5"/>
    <mergeCell ref="B5:C5"/>
    <mergeCell ref="CT4:CT5"/>
    <mergeCell ref="CU4:CU5"/>
    <mergeCell ref="CV4:CV5"/>
    <mergeCell ref="CW4:CW5"/>
    <mergeCell ref="CY4:CY5"/>
    <mergeCell ref="CZ4:CZ5"/>
    <mergeCell ref="CM4:CM5"/>
    <mergeCell ref="CN4:CN5"/>
    <mergeCell ref="CO4:CO5"/>
    <mergeCell ref="CP4:CP5"/>
    <mergeCell ref="CR4:CR5"/>
    <mergeCell ref="CS4:CS5"/>
    <mergeCell ref="CF4:CF5"/>
    <mergeCell ref="CH4:CH5"/>
    <mergeCell ref="CI4:CI5"/>
    <mergeCell ref="DA4:DA5"/>
    <mergeCell ref="DB4:DB5"/>
    <mergeCell ref="CB4:CB5"/>
    <mergeCell ref="CC4:CC5"/>
    <mergeCell ref="CD4:CD5"/>
    <mergeCell ref="CQ3:CQ5"/>
    <mergeCell ref="B4:D4"/>
    <mergeCell ref="F4:I4"/>
    <mergeCell ref="K4:N4"/>
    <mergeCell ref="P4:R4"/>
    <mergeCell ref="S4:T4"/>
    <mergeCell ref="U4:Z4"/>
    <mergeCell ref="AM4:AR4"/>
    <mergeCell ref="AS4:AU4"/>
    <mergeCell ref="AA4:AF4"/>
    <mergeCell ref="AG4:AL4"/>
    <mergeCell ref="AV4:AX4"/>
    <mergeCell ref="BJ4:BK4"/>
    <mergeCell ref="BN4:BN5"/>
    <mergeCell ref="BO4:BO5"/>
    <mergeCell ref="BQ4:BQ5"/>
    <mergeCell ref="CE4:CE5"/>
    <mergeCell ref="BS4:BS5"/>
    <mergeCell ref="BT4:BT5"/>
    <mergeCell ref="BU4:BU5"/>
    <mergeCell ref="BV4:BV5"/>
    <mergeCell ref="BW4:BW5"/>
    <mergeCell ref="BX4:BX5"/>
    <mergeCell ref="CJ4:CJ5"/>
    <mergeCell ref="B66:D66"/>
    <mergeCell ref="B71:D71"/>
    <mergeCell ref="AY62:AZ62"/>
    <mergeCell ref="AY64:AZ64"/>
    <mergeCell ref="AY67:AZ67"/>
    <mergeCell ref="AY69:AZ69"/>
    <mergeCell ref="AY72:AZ72"/>
    <mergeCell ref="AY74:AZ74"/>
    <mergeCell ref="A2:E2"/>
    <mergeCell ref="B16:C16"/>
    <mergeCell ref="B17:C17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36:C36"/>
  </mergeCells>
  <conditionalFormatting sqref="X6:X59">
    <cfRule type="cellIs" dxfId="67" priority="34" operator="notEqual">
      <formula>$U6+$V6+$W6</formula>
    </cfRule>
  </conditionalFormatting>
  <conditionalFormatting sqref="Y7:Y59">
    <cfRule type="cellIs" dxfId="66" priority="33" operator="notEqual">
      <formula>$Y6-$X7+$Z7</formula>
    </cfRule>
  </conditionalFormatting>
  <conditionalFormatting sqref="AP6:AP59">
    <cfRule type="cellIs" dxfId="65" priority="32" operator="notEqual">
      <formula>$AM6+$AN6+$AO6</formula>
    </cfRule>
  </conditionalFormatting>
  <conditionalFormatting sqref="AQ7:AQ59">
    <cfRule type="cellIs" dxfId="64" priority="31" operator="notEqual">
      <formula>$AQ6-$AP7+$AR7</formula>
    </cfRule>
  </conditionalFormatting>
  <conditionalFormatting sqref="L66">
    <cfRule type="cellIs" dxfId="63" priority="30" operator="lessThan">
      <formula>$F$66</formula>
    </cfRule>
  </conditionalFormatting>
  <conditionalFormatting sqref="L71">
    <cfRule type="cellIs" dxfId="62" priority="29" operator="lessThan">
      <formula>$F$71</formula>
    </cfRule>
  </conditionalFormatting>
  <conditionalFormatting sqref="X64">
    <cfRule type="cellIs" dxfId="61" priority="28" operator="notEqual">
      <formula>$U64+$V64+$W64</formula>
    </cfRule>
  </conditionalFormatting>
  <conditionalFormatting sqref="Y64">
    <cfRule type="cellIs" dxfId="60" priority="27" operator="notEqual">
      <formula>$Y63-$X64+$Z64</formula>
    </cfRule>
  </conditionalFormatting>
  <conditionalFormatting sqref="AP64">
    <cfRule type="cellIs" dxfId="59" priority="26" operator="notEqual">
      <formula>$AM64+$AN64+$AO64</formula>
    </cfRule>
  </conditionalFormatting>
  <conditionalFormatting sqref="AQ64">
    <cfRule type="cellIs" dxfId="58" priority="25" operator="notEqual">
      <formula>$AQ63-$AP64+$AR64</formula>
    </cfRule>
  </conditionalFormatting>
  <conditionalFormatting sqref="X69">
    <cfRule type="cellIs" dxfId="57" priority="24" operator="notEqual">
      <formula>$U69+$V69+$W69</formula>
    </cfRule>
  </conditionalFormatting>
  <conditionalFormatting sqref="Y69">
    <cfRule type="cellIs" dxfId="56" priority="23" operator="notEqual">
      <formula>$Y68-$X69+$Z69</formula>
    </cfRule>
  </conditionalFormatting>
  <conditionalFormatting sqref="AP69">
    <cfRule type="cellIs" dxfId="55" priority="22" operator="notEqual">
      <formula>$AM69+$AN69+$AO69</formula>
    </cfRule>
  </conditionalFormatting>
  <conditionalFormatting sqref="AQ69">
    <cfRule type="cellIs" dxfId="54" priority="21" operator="notEqual">
      <formula>$AQ68-$AP69+$AR69</formula>
    </cfRule>
  </conditionalFormatting>
  <conditionalFormatting sqref="X74">
    <cfRule type="cellIs" dxfId="53" priority="20" operator="notEqual">
      <formula>$U74+$V74+$W74</formula>
    </cfRule>
  </conditionalFormatting>
  <conditionalFormatting sqref="Y74">
    <cfRule type="cellIs" dxfId="52" priority="19" operator="notEqual">
      <formula>$Y73-$X74+$Z74</formula>
    </cfRule>
  </conditionalFormatting>
  <conditionalFormatting sqref="AP74">
    <cfRule type="cellIs" dxfId="51" priority="18" operator="notEqual">
      <formula>$AM74+$AN74+$AO74</formula>
    </cfRule>
  </conditionalFormatting>
  <conditionalFormatting sqref="AQ74">
    <cfRule type="cellIs" dxfId="50" priority="17" operator="notEqual">
      <formula>$AQ73-$AP74+$AR74</formula>
    </cfRule>
  </conditionalFormatting>
  <conditionalFormatting sqref="AD6:AD59">
    <cfRule type="cellIs" dxfId="49" priority="16" operator="notEqual">
      <formula>$AA6+$AB6+$AC6</formula>
    </cfRule>
  </conditionalFormatting>
  <conditionalFormatting sqref="AE7:AE59">
    <cfRule type="cellIs" dxfId="48" priority="15" operator="notEqual">
      <formula>$AE6-$AD7+$AF7</formula>
    </cfRule>
  </conditionalFormatting>
  <conditionalFormatting sqref="AD64">
    <cfRule type="cellIs" dxfId="47" priority="14" operator="notEqual">
      <formula>SUM($AA$64:$AC$64)</formula>
    </cfRule>
  </conditionalFormatting>
  <conditionalFormatting sqref="AE64">
    <cfRule type="cellIs" dxfId="46" priority="13" operator="notEqual">
      <formula>$Y63-$X64+$Z64</formula>
    </cfRule>
  </conditionalFormatting>
  <conditionalFormatting sqref="AD69">
    <cfRule type="cellIs" dxfId="45" priority="12" operator="notEqual">
      <formula>SUM($AA$69:$AC$69)</formula>
    </cfRule>
  </conditionalFormatting>
  <conditionalFormatting sqref="AE69">
    <cfRule type="cellIs" dxfId="44" priority="11" operator="notEqual">
      <formula>$Y68-$X69+$Z69</formula>
    </cfRule>
  </conditionalFormatting>
  <conditionalFormatting sqref="AD74">
    <cfRule type="cellIs" dxfId="43" priority="10" operator="notEqual">
      <formula>SUM($AA$74:$AC$74)</formula>
    </cfRule>
  </conditionalFormatting>
  <conditionalFormatting sqref="AE74">
    <cfRule type="cellIs" dxfId="42" priority="9" operator="notEqual">
      <formula>$Y73-$X74+$Z74</formula>
    </cfRule>
  </conditionalFormatting>
  <conditionalFormatting sqref="AJ6:AJ59">
    <cfRule type="cellIs" dxfId="41" priority="8" operator="notEqual">
      <formula>$AG6+$AH6+$AI6</formula>
    </cfRule>
  </conditionalFormatting>
  <conditionalFormatting sqref="AK7:AK59">
    <cfRule type="cellIs" dxfId="40" priority="7" operator="notEqual">
      <formula>$AK6-$AJ7+$AL7</formula>
    </cfRule>
  </conditionalFormatting>
  <conditionalFormatting sqref="AJ64">
    <cfRule type="cellIs" dxfId="39" priority="6" operator="notEqual">
      <formula>SUM($AG64:$AI64)</formula>
    </cfRule>
  </conditionalFormatting>
  <conditionalFormatting sqref="AK64">
    <cfRule type="cellIs" dxfId="38" priority="5" operator="notEqual">
      <formula>$Y63-$X64+$Z64</formula>
    </cfRule>
  </conditionalFormatting>
  <conditionalFormatting sqref="AJ69">
    <cfRule type="cellIs" dxfId="37" priority="4" operator="notEqual">
      <formula>SUM($AG69:$AI69)</formula>
    </cfRule>
  </conditionalFormatting>
  <conditionalFormatting sqref="AK69">
    <cfRule type="cellIs" dxfId="36" priority="3" operator="notEqual">
      <formula>$Y68-$X69+$Z69</formula>
    </cfRule>
  </conditionalFormatting>
  <conditionalFormatting sqref="AJ74">
    <cfRule type="cellIs" dxfId="35" priority="2" operator="notEqual">
      <formula>SUM($AG74:$AI74)</formula>
    </cfRule>
  </conditionalFormatting>
  <conditionalFormatting sqref="AK74">
    <cfRule type="cellIs" dxfId="34" priority="1" operator="notEqual">
      <formula>$Y73-$X74+$Z74</formula>
    </cfRule>
  </conditionalFormatting>
  <dataValidations count="1">
    <dataValidation type="list" allowBlank="1" showInputMessage="1" showErrorMessage="1" sqref="L71 J5 F71:G71 L66 F66:G66 L61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1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93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71" sqref="L71:N71"/>
    </sheetView>
  </sheetViews>
  <sheetFormatPr defaultRowHeight="15" x14ac:dyDescent="0.25"/>
  <cols>
    <col min="1" max="1" width="13.140625" style="1" customWidth="1"/>
    <col min="2" max="2" width="11.7109375" style="1" customWidth="1"/>
    <col min="3" max="3" width="11.28515625" style="1" customWidth="1"/>
    <col min="4" max="4" width="20" style="1" customWidth="1"/>
    <col min="5" max="5" width="11.7109375" style="1" customWidth="1"/>
    <col min="6" max="6" width="14.85546875" style="1" customWidth="1"/>
    <col min="7" max="7" width="12.7109375" style="1" customWidth="1"/>
    <col min="8" max="8" width="12" style="1" customWidth="1"/>
    <col min="9" max="9" width="11.5703125" style="1" customWidth="1"/>
    <col min="10" max="10" width="21.140625" style="1" customWidth="1"/>
    <col min="11" max="11" width="11.7109375" style="1" customWidth="1"/>
    <col min="12" max="12" width="12.5703125" style="1" customWidth="1"/>
    <col min="13" max="13" width="11.7109375" style="1" customWidth="1"/>
    <col min="14" max="14" width="12.42578125" style="1" customWidth="1"/>
    <col min="15" max="15" width="21.28515625" style="1" customWidth="1"/>
    <col min="16" max="16" width="10.140625" style="1" customWidth="1"/>
    <col min="17" max="17" width="9.140625" style="1"/>
    <col min="18" max="18" width="12" style="1" customWidth="1"/>
    <col min="19" max="19" width="11.42578125" style="1" customWidth="1"/>
    <col min="20" max="20" width="18.42578125" style="1" customWidth="1"/>
    <col min="21" max="21" width="10.85546875" style="1" customWidth="1"/>
    <col min="22" max="22" width="10.7109375" style="1" customWidth="1"/>
    <col min="23" max="24" width="10.85546875" style="1" customWidth="1"/>
    <col min="25" max="25" width="15" style="1" customWidth="1"/>
    <col min="26" max="26" width="11.7109375" style="1" customWidth="1"/>
    <col min="27" max="30" width="10.7109375" style="1" customWidth="1"/>
    <col min="31" max="31" width="13.5703125" style="1" customWidth="1"/>
    <col min="32" max="32" width="11.7109375" style="1" customWidth="1"/>
    <col min="33" max="33" width="12.5703125" style="1" customWidth="1"/>
    <col min="34" max="35" width="10.7109375" style="1" customWidth="1"/>
    <col min="36" max="36" width="11.7109375" style="1" customWidth="1"/>
    <col min="37" max="37" width="13.140625" style="1" customWidth="1"/>
    <col min="38" max="38" width="11.7109375" style="1" customWidth="1"/>
    <col min="39" max="39" width="10.85546875" style="1" customWidth="1"/>
    <col min="40" max="41" width="10.7109375" style="1" customWidth="1"/>
    <col min="42" max="42" width="10.85546875" style="1" customWidth="1"/>
    <col min="43" max="43" width="15" style="1" customWidth="1"/>
    <col min="44" max="44" width="11.7109375" style="1" customWidth="1"/>
    <col min="45" max="45" width="10.7109375" style="1" customWidth="1"/>
    <col min="46" max="46" width="10.85546875" style="1" customWidth="1"/>
    <col min="47" max="47" width="13.5703125" style="1" customWidth="1"/>
    <col min="48" max="49" width="10.28515625" style="1" customWidth="1"/>
    <col min="50" max="50" width="9.7109375" style="1" customWidth="1"/>
    <col min="51" max="51" width="9.140625" style="1"/>
    <col min="52" max="52" width="15" style="1" customWidth="1"/>
    <col min="53" max="53" width="18.85546875" style="1" customWidth="1"/>
    <col min="54" max="54" width="19.42578125" style="1" customWidth="1"/>
    <col min="55" max="55" width="9.140625" style="1"/>
    <col min="56" max="56" width="9.140625" style="1" customWidth="1"/>
    <col min="57" max="57" width="0" style="1" hidden="1" customWidth="1"/>
    <col min="58" max="58" width="9.140625" style="1" hidden="1" customWidth="1"/>
    <col min="59" max="59" width="0" style="1" hidden="1" customWidth="1"/>
    <col min="60" max="62" width="9.140625" style="1" hidden="1" customWidth="1"/>
    <col min="63" max="63" width="9.140625" style="1"/>
    <col min="64" max="66" width="0" style="1" hidden="1" customWidth="1"/>
    <col min="67" max="68" width="9.140625" style="1"/>
    <col min="69" max="69" width="0" style="1" hidden="1" customWidth="1"/>
    <col min="70" max="70" width="9.140625" style="1"/>
    <col min="71" max="71" width="0" style="1" hidden="1" customWidth="1"/>
    <col min="72" max="73" width="9.140625" style="1"/>
    <col min="74" max="74" width="0" style="1" hidden="1" customWidth="1"/>
    <col min="75" max="76" width="9.140625" style="1"/>
    <col min="77" max="77" width="0" style="1" hidden="1" customWidth="1"/>
    <col min="78" max="80" width="9.140625" style="1"/>
    <col min="81" max="81" width="0" style="1" hidden="1" customWidth="1"/>
    <col min="82" max="85" width="9.140625" style="1"/>
    <col min="86" max="86" width="0" style="1" hidden="1" customWidth="1"/>
    <col min="87" max="87" width="9.140625" style="1"/>
    <col min="88" max="92" width="0" style="1" hidden="1" customWidth="1"/>
    <col min="93" max="93" width="9.140625" style="1"/>
    <col min="94" max="94" width="0" style="1" hidden="1" customWidth="1"/>
    <col min="95" max="95" width="9.140625" style="1"/>
    <col min="96" max="101" width="0" style="1" hidden="1" customWidth="1"/>
    <col min="102" max="102" width="9.140625" style="1"/>
    <col min="103" max="105" width="0" style="1" hidden="1" customWidth="1"/>
    <col min="106" max="107" width="9.140625" style="1"/>
    <col min="108" max="108" width="0" style="1" hidden="1" customWidth="1"/>
    <col min="109" max="16384" width="9.140625" style="1"/>
  </cols>
  <sheetData>
    <row r="1" spans="1:123" ht="3" customHeight="1" x14ac:dyDescent="0.25"/>
    <row r="2" spans="1:123" ht="9" customHeight="1" thickBot="1" x14ac:dyDescent="0.3">
      <c r="A2" s="411"/>
      <c r="B2" s="411"/>
      <c r="C2" s="411"/>
      <c r="D2" s="411"/>
      <c r="E2" s="411"/>
    </row>
    <row r="3" spans="1:123" ht="12.75" customHeight="1" thickBot="1" x14ac:dyDescent="0.3">
      <c r="BC3" s="46"/>
      <c r="BD3" s="47"/>
      <c r="BE3" s="47"/>
      <c r="BF3" s="48"/>
      <c r="BG3" s="49"/>
      <c r="BH3" s="48"/>
      <c r="BI3" s="49"/>
      <c r="BJ3" s="49"/>
      <c r="BK3" s="46"/>
      <c r="BL3" s="50"/>
      <c r="BM3" s="50"/>
      <c r="BN3" s="51"/>
      <c r="BO3" s="49"/>
      <c r="BP3" s="47"/>
      <c r="BQ3" s="51"/>
      <c r="BR3" s="49"/>
      <c r="BS3" s="52"/>
      <c r="BT3" s="49"/>
      <c r="BU3" s="47"/>
      <c r="BV3" s="51"/>
      <c r="BW3" s="49"/>
      <c r="BX3" s="49"/>
      <c r="BY3" s="53"/>
      <c r="BZ3" s="54"/>
      <c r="CA3" s="54"/>
      <c r="CB3" s="54"/>
      <c r="CC3" s="48"/>
      <c r="CD3" s="54"/>
      <c r="CE3" s="54"/>
      <c r="CF3" s="54"/>
      <c r="CG3" s="53"/>
      <c r="CH3" s="52"/>
      <c r="CI3" s="47"/>
      <c r="CJ3" s="47"/>
      <c r="CK3" s="47"/>
      <c r="CL3" s="47"/>
      <c r="CM3" s="47"/>
      <c r="CN3" s="47"/>
      <c r="CO3" s="46"/>
      <c r="CP3" s="52"/>
      <c r="CQ3" s="412" t="s">
        <v>41</v>
      </c>
      <c r="CR3" s="55"/>
      <c r="CS3" s="55"/>
      <c r="CT3" s="55"/>
      <c r="CU3" s="55"/>
      <c r="CV3" s="55"/>
      <c r="CW3" s="55"/>
      <c r="CX3" s="50"/>
      <c r="CY3" s="56"/>
      <c r="CZ3" s="48"/>
      <c r="DA3" s="56"/>
      <c r="DB3" s="48"/>
      <c r="DC3" s="48"/>
      <c r="DD3" s="48"/>
      <c r="DE3" s="48"/>
    </row>
    <row r="4" spans="1:123" ht="25.5" customHeight="1" thickBot="1" x14ac:dyDescent="0.3">
      <c r="A4" s="224">
        <v>0</v>
      </c>
      <c r="B4" s="415" t="s">
        <v>142</v>
      </c>
      <c r="C4" s="415"/>
      <c r="D4" s="416"/>
      <c r="E4" s="20"/>
      <c r="F4" s="417" t="s">
        <v>101</v>
      </c>
      <c r="G4" s="418"/>
      <c r="H4" s="418"/>
      <c r="I4" s="418"/>
      <c r="J4" s="218" t="s">
        <v>98</v>
      </c>
      <c r="K4" s="418" t="s">
        <v>30</v>
      </c>
      <c r="L4" s="418"/>
      <c r="M4" s="418"/>
      <c r="N4" s="418"/>
      <c r="O4" s="218" t="s">
        <v>98</v>
      </c>
      <c r="P4" s="419"/>
      <c r="Q4" s="419"/>
      <c r="R4" s="420"/>
      <c r="S4" s="421"/>
      <c r="T4" s="422"/>
      <c r="U4" s="417" t="s">
        <v>139</v>
      </c>
      <c r="V4" s="418"/>
      <c r="W4" s="418"/>
      <c r="X4" s="418"/>
      <c r="Y4" s="418"/>
      <c r="Z4" s="423"/>
      <c r="AA4" s="417" t="s">
        <v>141</v>
      </c>
      <c r="AB4" s="418"/>
      <c r="AC4" s="418"/>
      <c r="AD4" s="418"/>
      <c r="AE4" s="418"/>
      <c r="AF4" s="423"/>
      <c r="AG4" s="417" t="s">
        <v>140</v>
      </c>
      <c r="AH4" s="418"/>
      <c r="AI4" s="418"/>
      <c r="AJ4" s="418"/>
      <c r="AK4" s="418"/>
      <c r="AL4" s="423"/>
      <c r="AM4" s="417" t="s">
        <v>24</v>
      </c>
      <c r="AN4" s="418"/>
      <c r="AO4" s="418"/>
      <c r="AP4" s="418"/>
      <c r="AQ4" s="418"/>
      <c r="AR4" s="423"/>
      <c r="AS4" s="417" t="s">
        <v>37</v>
      </c>
      <c r="AT4" s="418"/>
      <c r="AU4" s="424"/>
      <c r="AV4" s="417" t="s">
        <v>38</v>
      </c>
      <c r="AW4" s="418"/>
      <c r="AX4" s="424"/>
      <c r="BC4" s="406" t="s">
        <v>0</v>
      </c>
      <c r="BD4" s="57" t="s">
        <v>42</v>
      </c>
      <c r="BE4" s="57" t="s">
        <v>42</v>
      </c>
      <c r="BF4" s="58" t="s">
        <v>43</v>
      </c>
      <c r="BG4" s="59" t="s">
        <v>32</v>
      </c>
      <c r="BH4" s="58" t="s">
        <v>44</v>
      </c>
      <c r="BI4" s="59" t="s">
        <v>45</v>
      </c>
      <c r="BJ4" s="451" t="s">
        <v>46</v>
      </c>
      <c r="BK4" s="452"/>
      <c r="BL4" s="60"/>
      <c r="BM4" s="60"/>
      <c r="BN4" s="449" t="s">
        <v>47</v>
      </c>
      <c r="BO4" s="409" t="s">
        <v>48</v>
      </c>
      <c r="BP4" s="406" t="s">
        <v>49</v>
      </c>
      <c r="BQ4" s="449" t="s">
        <v>50</v>
      </c>
      <c r="BR4" s="409" t="s">
        <v>51</v>
      </c>
      <c r="BS4" s="445" t="s">
        <v>52</v>
      </c>
      <c r="BT4" s="409" t="s">
        <v>53</v>
      </c>
      <c r="BU4" s="447" t="s">
        <v>54</v>
      </c>
      <c r="BV4" s="449" t="s">
        <v>55</v>
      </c>
      <c r="BW4" s="409" t="s">
        <v>56</v>
      </c>
      <c r="BX4" s="409" t="s">
        <v>57</v>
      </c>
      <c r="BY4" s="61"/>
      <c r="BZ4" s="435" t="s">
        <v>58</v>
      </c>
      <c r="CA4" s="435" t="s">
        <v>59</v>
      </c>
      <c r="CB4" s="435" t="s">
        <v>60</v>
      </c>
      <c r="CC4" s="444"/>
      <c r="CD4" s="435" t="s">
        <v>61</v>
      </c>
      <c r="CE4" s="435" t="s">
        <v>62</v>
      </c>
      <c r="CF4" s="435" t="s">
        <v>63</v>
      </c>
      <c r="CG4" s="61"/>
      <c r="CH4" s="427" t="s">
        <v>64</v>
      </c>
      <c r="CI4" s="425" t="s">
        <v>65</v>
      </c>
      <c r="CJ4" s="427" t="s">
        <v>66</v>
      </c>
      <c r="CK4" s="427" t="s">
        <v>67</v>
      </c>
      <c r="CL4" s="425" t="s">
        <v>68</v>
      </c>
      <c r="CM4" s="425" t="s">
        <v>69</v>
      </c>
      <c r="CN4" s="425" t="s">
        <v>70</v>
      </c>
      <c r="CO4" s="427" t="s">
        <v>71</v>
      </c>
      <c r="CP4" s="431" t="s">
        <v>72</v>
      </c>
      <c r="CQ4" s="413"/>
      <c r="CR4" s="433" t="s">
        <v>73</v>
      </c>
      <c r="CS4" s="427" t="s">
        <v>74</v>
      </c>
      <c r="CT4" s="427" t="s">
        <v>75</v>
      </c>
      <c r="CU4" s="427" t="s">
        <v>76</v>
      </c>
      <c r="CV4" s="427" t="s">
        <v>77</v>
      </c>
      <c r="CW4" s="427" t="s">
        <v>78</v>
      </c>
      <c r="CX4" s="50"/>
      <c r="CY4" s="427" t="s">
        <v>79</v>
      </c>
      <c r="CZ4" s="425" t="s">
        <v>80</v>
      </c>
      <c r="DA4" s="427" t="s">
        <v>81</v>
      </c>
      <c r="DB4" s="425" t="s">
        <v>82</v>
      </c>
      <c r="DC4" s="425" t="s">
        <v>83</v>
      </c>
      <c r="DD4" s="427" t="s">
        <v>84</v>
      </c>
      <c r="DE4" s="425" t="s">
        <v>85</v>
      </c>
    </row>
    <row r="5" spans="1:123" ht="49.5" customHeight="1" thickBot="1" x14ac:dyDescent="0.3">
      <c r="A5" s="31" t="s">
        <v>34</v>
      </c>
      <c r="B5" s="429" t="s">
        <v>16</v>
      </c>
      <c r="C5" s="430"/>
      <c r="D5" s="41" t="s">
        <v>18</v>
      </c>
      <c r="E5" s="20" t="s">
        <v>5</v>
      </c>
      <c r="F5" s="7" t="s">
        <v>31</v>
      </c>
      <c r="G5" s="208" t="s">
        <v>12</v>
      </c>
      <c r="H5" s="2" t="s">
        <v>2</v>
      </c>
      <c r="I5" s="18" t="s">
        <v>4</v>
      </c>
      <c r="J5" s="244">
        <v>42586.4375</v>
      </c>
      <c r="K5" s="6" t="s">
        <v>29</v>
      </c>
      <c r="L5" s="3" t="s">
        <v>12</v>
      </c>
      <c r="M5" s="3" t="s">
        <v>28</v>
      </c>
      <c r="N5" s="18" t="s">
        <v>4</v>
      </c>
      <c r="O5" s="245">
        <f>J5</f>
        <v>42586.4375</v>
      </c>
      <c r="P5" s="19" t="s">
        <v>0</v>
      </c>
      <c r="Q5" s="5" t="s">
        <v>1</v>
      </c>
      <c r="R5" s="25" t="s">
        <v>6</v>
      </c>
      <c r="S5" s="34" t="s">
        <v>17</v>
      </c>
      <c r="T5" s="35" t="s">
        <v>16</v>
      </c>
      <c r="U5" s="7" t="s">
        <v>21</v>
      </c>
      <c r="V5" s="2" t="s">
        <v>22</v>
      </c>
      <c r="W5" s="2" t="s">
        <v>35</v>
      </c>
      <c r="X5" s="2" t="s">
        <v>36</v>
      </c>
      <c r="Y5" s="2" t="s">
        <v>15</v>
      </c>
      <c r="Z5" s="44" t="s">
        <v>19</v>
      </c>
      <c r="AA5" s="7" t="s">
        <v>21</v>
      </c>
      <c r="AB5" s="2" t="s">
        <v>22</v>
      </c>
      <c r="AC5" s="2" t="s">
        <v>35</v>
      </c>
      <c r="AD5" s="2" t="s">
        <v>36</v>
      </c>
      <c r="AE5" s="2" t="s">
        <v>15</v>
      </c>
      <c r="AF5" s="44" t="s">
        <v>19</v>
      </c>
      <c r="AG5" s="32" t="s">
        <v>21</v>
      </c>
      <c r="AH5" s="2" t="s">
        <v>22</v>
      </c>
      <c r="AI5" s="2" t="s">
        <v>35</v>
      </c>
      <c r="AJ5" s="2" t="s">
        <v>36</v>
      </c>
      <c r="AK5" s="2" t="s">
        <v>15</v>
      </c>
      <c r="AL5" s="44" t="s">
        <v>19</v>
      </c>
      <c r="AM5" s="7" t="s">
        <v>21</v>
      </c>
      <c r="AN5" s="2" t="s">
        <v>22</v>
      </c>
      <c r="AO5" s="2" t="s">
        <v>23</v>
      </c>
      <c r="AP5" s="2" t="s">
        <v>20</v>
      </c>
      <c r="AQ5" s="2" t="s">
        <v>15</v>
      </c>
      <c r="AR5" s="44" t="s">
        <v>19</v>
      </c>
      <c r="AS5" s="7" t="s">
        <v>13</v>
      </c>
      <c r="AT5" s="2" t="s">
        <v>14</v>
      </c>
      <c r="AU5" s="28" t="s">
        <v>7</v>
      </c>
      <c r="AV5" s="7" t="s">
        <v>91</v>
      </c>
      <c r="AW5" s="2" t="s">
        <v>92</v>
      </c>
      <c r="AX5" s="28" t="s">
        <v>26</v>
      </c>
      <c r="AY5" s="238" t="s">
        <v>102</v>
      </c>
      <c r="AZ5" s="34" t="s">
        <v>17</v>
      </c>
      <c r="BA5" s="35" t="s">
        <v>16</v>
      </c>
      <c r="BC5" s="62" t="s">
        <v>32</v>
      </c>
      <c r="BD5" s="63" t="s">
        <v>86</v>
      </c>
      <c r="BE5" s="63" t="s">
        <v>4</v>
      </c>
      <c r="BF5" s="64" t="s">
        <v>87</v>
      </c>
      <c r="BG5" s="65" t="s">
        <v>4</v>
      </c>
      <c r="BH5" s="64" t="s">
        <v>88</v>
      </c>
      <c r="BI5" s="65" t="s">
        <v>4</v>
      </c>
      <c r="BJ5" s="65" t="s">
        <v>32</v>
      </c>
      <c r="BK5" s="66" t="s">
        <v>89</v>
      </c>
      <c r="BL5" s="60"/>
      <c r="BM5" s="60"/>
      <c r="BN5" s="450"/>
      <c r="BO5" s="410"/>
      <c r="BP5" s="407" t="s">
        <v>32</v>
      </c>
      <c r="BQ5" s="450"/>
      <c r="BR5" s="410"/>
      <c r="BS5" s="446"/>
      <c r="BT5" s="410"/>
      <c r="BU5" s="448"/>
      <c r="BV5" s="450"/>
      <c r="BW5" s="410"/>
      <c r="BX5" s="410"/>
      <c r="BY5" s="67"/>
      <c r="BZ5" s="436"/>
      <c r="CA5" s="436"/>
      <c r="CB5" s="436"/>
      <c r="CC5" s="444"/>
      <c r="CD5" s="436"/>
      <c r="CE5" s="436"/>
      <c r="CF5" s="436"/>
      <c r="CG5" s="67"/>
      <c r="CH5" s="428"/>
      <c r="CI5" s="426"/>
      <c r="CJ5" s="428"/>
      <c r="CK5" s="428"/>
      <c r="CL5" s="426"/>
      <c r="CM5" s="426"/>
      <c r="CN5" s="426"/>
      <c r="CO5" s="428"/>
      <c r="CP5" s="432"/>
      <c r="CQ5" s="414"/>
      <c r="CR5" s="434"/>
      <c r="CS5" s="428"/>
      <c r="CT5" s="428"/>
      <c r="CU5" s="428"/>
      <c r="CV5" s="428"/>
      <c r="CW5" s="428"/>
      <c r="CX5" s="50"/>
      <c r="CY5" s="428"/>
      <c r="CZ5" s="426"/>
      <c r="DA5" s="428"/>
      <c r="DB5" s="426"/>
      <c r="DC5" s="426"/>
      <c r="DD5" s="428"/>
      <c r="DE5" s="426"/>
    </row>
    <row r="6" spans="1:123" ht="24" customHeight="1" thickBot="1" x14ac:dyDescent="0.3">
      <c r="A6" s="335" t="s">
        <v>10</v>
      </c>
      <c r="B6" s="437">
        <v>42590.875</v>
      </c>
      <c r="C6" s="438"/>
      <c r="D6" s="42" t="s">
        <v>33</v>
      </c>
      <c r="E6" s="39" t="s">
        <v>3</v>
      </c>
      <c r="F6" s="13">
        <v>0</v>
      </c>
      <c r="G6" s="209" t="s">
        <v>3</v>
      </c>
      <c r="H6" s="36" t="s">
        <v>3</v>
      </c>
      <c r="I6" s="215" t="s">
        <v>3</v>
      </c>
      <c r="J6" s="37" t="s">
        <v>3</v>
      </c>
      <c r="K6" s="8">
        <v>477</v>
      </c>
      <c r="L6" s="38" t="s">
        <v>3</v>
      </c>
      <c r="M6" s="38" t="s">
        <v>3</v>
      </c>
      <c r="N6" s="219" t="s">
        <v>3</v>
      </c>
      <c r="O6" s="37" t="s">
        <v>3</v>
      </c>
      <c r="P6" s="405" t="s">
        <v>3</v>
      </c>
      <c r="Q6" s="404" t="s">
        <v>3</v>
      </c>
      <c r="R6" s="26" t="s">
        <v>3</v>
      </c>
      <c r="S6" s="40" t="str">
        <f>$A6</f>
        <v>FWE</v>
      </c>
      <c r="T6" s="239">
        <f>$B6</f>
        <v>42590.875</v>
      </c>
      <c r="U6" s="340">
        <v>0.8</v>
      </c>
      <c r="V6" s="341">
        <v>0.5</v>
      </c>
      <c r="W6" s="341">
        <v>0.3</v>
      </c>
      <c r="X6" s="342">
        <f>U6+V6+W6</f>
        <v>1.6</v>
      </c>
      <c r="Y6" s="351">
        <v>2209.8000000000002</v>
      </c>
      <c r="Z6" s="355"/>
      <c r="AA6" s="282"/>
      <c r="AB6" s="283"/>
      <c r="AC6" s="283"/>
      <c r="AD6" s="198">
        <f>AA6+AB6+AC6</f>
        <v>0</v>
      </c>
      <c r="AE6" s="153">
        <v>600</v>
      </c>
      <c r="AF6" s="284"/>
      <c r="AG6" s="366">
        <f t="shared" ref="AG6:AI59" si="0">IF(U6+AA6=0,"",U6+AA6)</f>
        <v>0.8</v>
      </c>
      <c r="AH6" s="361">
        <f t="shared" si="0"/>
        <v>0.5</v>
      </c>
      <c r="AI6" s="361">
        <f t="shared" si="0"/>
        <v>0.3</v>
      </c>
      <c r="AJ6" s="367">
        <f>SUM(AG6:AI6)</f>
        <v>1.6</v>
      </c>
      <c r="AK6" s="368">
        <f>Y6+AE6</f>
        <v>2809.8</v>
      </c>
      <c r="AL6" s="378">
        <f>Z6+AF6</f>
        <v>0</v>
      </c>
      <c r="AM6" s="285"/>
      <c r="AN6" s="286"/>
      <c r="AO6" s="286"/>
      <c r="AP6" s="201">
        <f>AM6+AN6+AO6</f>
        <v>0</v>
      </c>
      <c r="AQ6" s="144">
        <v>74.599999999999994</v>
      </c>
      <c r="AR6" s="287"/>
      <c r="AS6" s="288"/>
      <c r="AT6" s="289"/>
      <c r="AU6" s="135">
        <v>97</v>
      </c>
      <c r="AV6" s="290">
        <v>57000</v>
      </c>
      <c r="AW6" s="333">
        <v>28900</v>
      </c>
      <c r="AX6" s="334">
        <v>5510</v>
      </c>
      <c r="AY6" s="237"/>
      <c r="AZ6" s="399" t="str">
        <f>$A6</f>
        <v>FWE</v>
      </c>
      <c r="BA6" s="243">
        <f>$B6</f>
        <v>42590.875</v>
      </c>
      <c r="BB6" s="45" t="s">
        <v>40</v>
      </c>
      <c r="BC6" s="98"/>
      <c r="BD6" s="99"/>
      <c r="BE6" s="99"/>
      <c r="BF6" s="100"/>
      <c r="BG6" s="101"/>
      <c r="BH6" s="100"/>
      <c r="BI6" s="101"/>
      <c r="BJ6" s="101"/>
      <c r="BK6" s="99"/>
      <c r="BL6" s="102"/>
      <c r="BM6" s="102"/>
      <c r="BN6" s="103"/>
      <c r="BO6" s="104"/>
      <c r="BP6" s="98"/>
      <c r="BQ6" s="105"/>
      <c r="BR6" s="104"/>
      <c r="BS6" s="106"/>
      <c r="BT6" s="104"/>
      <c r="BU6" s="98"/>
      <c r="BV6" s="105"/>
      <c r="BW6" s="104"/>
      <c r="BX6" s="104"/>
      <c r="BY6" s="107"/>
      <c r="BZ6" s="108"/>
      <c r="CA6" s="108"/>
      <c r="CB6" s="109"/>
      <c r="CC6" s="110"/>
      <c r="CD6" s="108"/>
      <c r="CE6" s="109"/>
      <c r="CF6" s="109"/>
      <c r="CG6" s="107"/>
      <c r="CH6" s="111"/>
      <c r="CI6" s="98"/>
      <c r="CJ6" s="112"/>
      <c r="CK6" s="113"/>
      <c r="CL6" s="114"/>
      <c r="CM6" s="114"/>
      <c r="CN6" s="114"/>
      <c r="CO6" s="99"/>
      <c r="CP6" s="115"/>
      <c r="CQ6" s="116"/>
      <c r="CR6" s="117"/>
      <c r="CS6" s="118"/>
      <c r="CT6" s="117"/>
      <c r="CU6" s="118"/>
      <c r="CV6" s="117"/>
      <c r="CW6" s="118"/>
      <c r="CX6" s="119"/>
      <c r="CY6" s="120"/>
      <c r="CZ6" s="121"/>
      <c r="DA6" s="120"/>
      <c r="DB6" s="121"/>
      <c r="DC6" s="121"/>
      <c r="DD6" s="100"/>
      <c r="DE6" s="121"/>
      <c r="DF6" s="91"/>
      <c r="DG6" s="230"/>
      <c r="DH6" s="231"/>
      <c r="DI6" s="232"/>
      <c r="DJ6" s="232"/>
      <c r="DK6" s="232"/>
      <c r="DL6" s="232"/>
      <c r="DM6" s="233"/>
      <c r="DN6" s="233"/>
      <c r="DO6" s="90"/>
      <c r="DP6" s="90"/>
      <c r="DQ6" s="90"/>
      <c r="DR6" s="90"/>
    </row>
    <row r="7" spans="1:123" ht="24" customHeight="1" x14ac:dyDescent="0.25">
      <c r="A7" s="83" t="s">
        <v>9</v>
      </c>
      <c r="B7" s="475">
        <v>42591.1875</v>
      </c>
      <c r="C7" s="476"/>
      <c r="D7" s="84" t="s">
        <v>147</v>
      </c>
      <c r="E7" s="23">
        <v>0</v>
      </c>
      <c r="F7" s="15">
        <v>0</v>
      </c>
      <c r="G7" s="213"/>
      <c r="H7" s="27" t="str">
        <f>IF(F7=0,"",F7-F6+G7)</f>
        <v/>
      </c>
      <c r="I7" s="216" t="str">
        <f>IF(E7=0,"",$H7/$E7)</f>
        <v/>
      </c>
      <c r="J7" s="29" t="e">
        <f ca="1">IF($J$5&gt;=B7,"N/A",SUM(INDIRECT(ADDRESS(6+(MATCH($J$5,$B$6:$B$59,0)),8)):H7))</f>
        <v>#N/A</v>
      </c>
      <c r="K7" s="10">
        <v>477</v>
      </c>
      <c r="L7" s="87"/>
      <c r="M7" s="4">
        <f>IF(K7="","",K6-K7+L7)</f>
        <v>0</v>
      </c>
      <c r="N7" s="220" t="str">
        <f t="shared" ref="N7:N59" si="1">IF(E7=0,"",M7/E7)</f>
        <v/>
      </c>
      <c r="O7" s="30" t="e">
        <f ca="1">IF($O$5&gt;=B7,"N/A",SUM(INDIRECT(ADDRESS(6+(MATCH($O$5,$B$6:$B$59,0)),13)):M7))</f>
        <v>#N/A</v>
      </c>
      <c r="P7" s="325"/>
      <c r="Q7" s="325"/>
      <c r="R7" s="325"/>
      <c r="S7" s="43" t="str">
        <f>IF($A7="","",$A7)</f>
        <v>SBE</v>
      </c>
      <c r="T7" s="240">
        <f>IF($B7="","",$B7)</f>
        <v>42591.1875</v>
      </c>
      <c r="U7" s="343">
        <v>0</v>
      </c>
      <c r="V7" s="344">
        <v>1.4</v>
      </c>
      <c r="W7" s="344">
        <v>0.9</v>
      </c>
      <c r="X7" s="342">
        <f>U7+V7+W7</f>
        <v>2.2999999999999998</v>
      </c>
      <c r="Y7" s="352">
        <f>Y6-X7+Z7</f>
        <v>2207.5</v>
      </c>
      <c r="Z7" s="356"/>
      <c r="AA7" s="291"/>
      <c r="AB7" s="292"/>
      <c r="AC7" s="292"/>
      <c r="AD7" s="198">
        <f>AA7+AB7+AC7</f>
        <v>0</v>
      </c>
      <c r="AE7" s="156">
        <f>AE6-AD7+AF7</f>
        <v>600</v>
      </c>
      <c r="AF7" s="320"/>
      <c r="AG7" s="373" t="str">
        <f t="shared" si="0"/>
        <v/>
      </c>
      <c r="AH7" s="374">
        <f t="shared" si="0"/>
        <v>1.4</v>
      </c>
      <c r="AI7" s="374">
        <f t="shared" si="0"/>
        <v>0.9</v>
      </c>
      <c r="AJ7" s="379">
        <f t="shared" ref="AJ7:AJ59" si="2">SUM(AG7:AI7)</f>
        <v>2.2999999999999998</v>
      </c>
      <c r="AK7" s="369">
        <f>AK6-AJ7+AL7</f>
        <v>2807.5</v>
      </c>
      <c r="AL7" s="377">
        <f t="shared" ref="AL7:AL59" si="3">Z7+AF7</f>
        <v>0</v>
      </c>
      <c r="AM7" s="321"/>
      <c r="AN7" s="322"/>
      <c r="AO7" s="322"/>
      <c r="AP7" s="323">
        <f t="shared" ref="AP7:AP59" si="4">AM7+AN7+AO7</f>
        <v>0</v>
      </c>
      <c r="AQ7" s="147">
        <f>AQ6-AP7+AR7</f>
        <v>74.599999999999994</v>
      </c>
      <c r="AR7" s="324"/>
      <c r="AS7" s="293">
        <v>3</v>
      </c>
      <c r="AT7" s="294"/>
      <c r="AU7" s="138">
        <f>AU6-AS7+AT7</f>
        <v>94</v>
      </c>
      <c r="AV7" s="295">
        <v>57000</v>
      </c>
      <c r="AW7" s="314">
        <v>28900</v>
      </c>
      <c r="AX7" s="315">
        <v>5510</v>
      </c>
      <c r="AY7" s="237" t="e">
        <f>((R7-H7)/H7)</f>
        <v>#VALUE!</v>
      </c>
      <c r="AZ7" s="400" t="str">
        <f>IF($A7="","",$A7)</f>
        <v>SBE</v>
      </c>
      <c r="BA7" s="241">
        <f>IF($B7="","",$B7)</f>
        <v>42591.1875</v>
      </c>
      <c r="BB7" s="441" t="s">
        <v>90</v>
      </c>
      <c r="BC7" s="98"/>
      <c r="BD7" s="99"/>
      <c r="BE7" s="99"/>
      <c r="BF7" s="100"/>
      <c r="BG7" s="101"/>
      <c r="BH7" s="100"/>
      <c r="BI7" s="101"/>
      <c r="BJ7" s="101"/>
      <c r="BK7" s="99"/>
      <c r="BL7" s="102"/>
      <c r="BM7" s="102"/>
      <c r="BN7" s="105"/>
      <c r="BO7" s="104"/>
      <c r="BP7" s="98"/>
      <c r="BQ7" s="105"/>
      <c r="BR7" s="104"/>
      <c r="BS7" s="106"/>
      <c r="BT7" s="104"/>
      <c r="BU7" s="98"/>
      <c r="BV7" s="105"/>
      <c r="BW7" s="104"/>
      <c r="BX7" s="104"/>
      <c r="BY7" s="107"/>
      <c r="BZ7" s="108"/>
      <c r="CA7" s="108"/>
      <c r="CB7" s="109"/>
      <c r="CC7" s="110"/>
      <c r="CD7" s="108"/>
      <c r="CE7" s="109"/>
      <c r="CF7" s="109"/>
      <c r="CG7" s="107"/>
      <c r="CH7" s="111"/>
      <c r="CI7" s="98"/>
      <c r="CJ7" s="113"/>
      <c r="CK7" s="113"/>
      <c r="CL7" s="114"/>
      <c r="CM7" s="114"/>
      <c r="CN7" s="114"/>
      <c r="CO7" s="99"/>
      <c r="CP7" s="111"/>
      <c r="CQ7" s="116"/>
      <c r="CR7" s="117"/>
      <c r="CS7" s="118"/>
      <c r="CT7" s="117"/>
      <c r="CU7" s="118"/>
      <c r="CV7" s="117"/>
      <c r="CW7" s="118"/>
      <c r="CX7" s="119"/>
      <c r="CY7" s="122"/>
      <c r="CZ7" s="121"/>
      <c r="DA7" s="120"/>
      <c r="DB7" s="121"/>
      <c r="DC7" s="121"/>
      <c r="DD7" s="100"/>
      <c r="DE7" s="121"/>
      <c r="DF7" s="91"/>
      <c r="DG7" s="234"/>
      <c r="DH7" s="235"/>
      <c r="DI7" s="232"/>
      <c r="DJ7" s="232"/>
      <c r="DK7" s="232"/>
      <c r="DL7" s="232"/>
      <c r="DM7" s="233"/>
      <c r="DN7" s="233"/>
      <c r="DO7" s="92"/>
      <c r="DP7" s="92"/>
      <c r="DQ7" s="92"/>
      <c r="DR7" s="92"/>
      <c r="DS7" s="68"/>
    </row>
    <row r="8" spans="1:123" ht="24" customHeight="1" x14ac:dyDescent="0.25">
      <c r="A8" s="83" t="s">
        <v>27</v>
      </c>
      <c r="B8" s="442">
        <v>42591.270833333336</v>
      </c>
      <c r="C8" s="453"/>
      <c r="D8" s="84"/>
      <c r="E8" s="23">
        <v>1.1000000000000001</v>
      </c>
      <c r="F8" s="15">
        <v>6.4</v>
      </c>
      <c r="G8" s="213"/>
      <c r="H8" s="27">
        <f t="shared" ref="H8:H59" si="5">IF(F8=0,"",F8-F7+G8)</f>
        <v>6.4</v>
      </c>
      <c r="I8" s="216">
        <f t="shared" ref="I8:I59" si="6">IF(E8=0,"",$H8/$E8)</f>
        <v>5.8181818181818183</v>
      </c>
      <c r="J8" s="29" t="e">
        <f ca="1">IF($J$5&gt;=B8,"N/A",SUM(INDIRECT(ADDRESS(6+(MATCH($J$5,$B$6:$B$59,0)),8)):H8))</f>
        <v>#N/A</v>
      </c>
      <c r="K8" s="10">
        <v>470.2</v>
      </c>
      <c r="L8" s="87"/>
      <c r="M8" s="4">
        <f t="shared" ref="M8:M59" si="7">IF(K8="","",K7-K8+L8)</f>
        <v>6.8000000000000114</v>
      </c>
      <c r="N8" s="220">
        <f t="shared" si="1"/>
        <v>6.1818181818181914</v>
      </c>
      <c r="O8" s="30" t="e">
        <f ca="1">IF($O$5&gt;=B8,"N/A",SUM(INDIRECT(ADDRESS(6+(MATCH($O$5,$B$6:$B$59,0)),13)):M8))</f>
        <v>#N/A</v>
      </c>
      <c r="P8" s="325">
        <v>34.6</v>
      </c>
      <c r="Q8" s="325">
        <v>7.8</v>
      </c>
      <c r="R8" s="325">
        <v>8.3000000000000007</v>
      </c>
      <c r="S8" s="70" t="str">
        <f t="shared" ref="S8:S59" si="8">IF($A8="","",$A8)</f>
        <v>BOSP</v>
      </c>
      <c r="T8" s="241">
        <f t="shared" ref="T8:T59" si="9">IF($B8="","",$B8)</f>
        <v>42591.270833333336</v>
      </c>
      <c r="U8" s="345">
        <v>1.1000000000000001</v>
      </c>
      <c r="V8" s="346">
        <v>0.8</v>
      </c>
      <c r="W8" s="346">
        <v>0.4</v>
      </c>
      <c r="X8" s="347">
        <f t="shared" ref="X8:X59" si="10">U8+V8+W8</f>
        <v>2.3000000000000003</v>
      </c>
      <c r="Y8" s="353">
        <f t="shared" ref="Y8:Y59" si="11">Y7-X8+Z8</f>
        <v>2205.1999999999998</v>
      </c>
      <c r="Z8" s="357"/>
      <c r="AA8" s="296"/>
      <c r="AB8" s="297"/>
      <c r="AC8" s="297"/>
      <c r="AD8" s="199">
        <f t="shared" ref="AD8:AD14" si="12">AA8+AB8+AC8</f>
        <v>0</v>
      </c>
      <c r="AE8" s="159">
        <f t="shared" ref="AE8:AE59" si="13">AE7-AD8+AF8</f>
        <v>600</v>
      </c>
      <c r="AF8" s="298"/>
      <c r="AG8" s="372">
        <f t="shared" si="0"/>
        <v>1.1000000000000001</v>
      </c>
      <c r="AH8" s="363">
        <f t="shared" si="0"/>
        <v>0.8</v>
      </c>
      <c r="AI8" s="363">
        <f t="shared" si="0"/>
        <v>0.4</v>
      </c>
      <c r="AJ8" s="362">
        <f t="shared" si="2"/>
        <v>2.3000000000000003</v>
      </c>
      <c r="AK8" s="370">
        <f t="shared" ref="AK8:AK59" si="14">AK7-AJ8+AL8</f>
        <v>2805.2</v>
      </c>
      <c r="AL8" s="375">
        <f t="shared" si="3"/>
        <v>0</v>
      </c>
      <c r="AM8" s="299"/>
      <c r="AN8" s="300"/>
      <c r="AO8" s="300"/>
      <c r="AP8" s="203">
        <f t="shared" si="4"/>
        <v>0</v>
      </c>
      <c r="AQ8" s="150">
        <f t="shared" ref="AQ8:AQ59" si="15">AQ7-AP8+AR8</f>
        <v>74.599999999999994</v>
      </c>
      <c r="AR8" s="301"/>
      <c r="AS8" s="302"/>
      <c r="AT8" s="303"/>
      <c r="AU8" s="141">
        <f>AU7-AS8+AT8</f>
        <v>94</v>
      </c>
      <c r="AV8" s="304">
        <v>56985</v>
      </c>
      <c r="AW8" s="316">
        <v>28900</v>
      </c>
      <c r="AX8" s="317">
        <v>5510</v>
      </c>
      <c r="AY8" s="237">
        <f t="shared" ref="AY8:AY20" si="16">((R8-H8)/H8)</f>
        <v>0.29687500000000006</v>
      </c>
      <c r="AZ8" s="400" t="str">
        <f t="shared" ref="AZ8:AZ59" si="17">IF($A8="","",$A8)</f>
        <v>BOSP</v>
      </c>
      <c r="BA8" s="241">
        <f t="shared" ref="BA8:BA59" si="18">IF($B8="","",$B8)</f>
        <v>42591.270833333336</v>
      </c>
      <c r="BB8" s="441"/>
      <c r="BC8" s="98"/>
      <c r="BD8" s="99"/>
      <c r="BE8" s="99"/>
      <c r="BF8" s="100"/>
      <c r="BG8" s="101"/>
      <c r="BH8" s="100"/>
      <c r="BI8" s="101"/>
      <c r="BJ8" s="101"/>
      <c r="BK8" s="99"/>
      <c r="BL8" s="102"/>
      <c r="BM8" s="102"/>
      <c r="BN8" s="105"/>
      <c r="BO8" s="104"/>
      <c r="BP8" s="98"/>
      <c r="BQ8" s="105"/>
      <c r="BR8" s="104"/>
      <c r="BS8" s="106"/>
      <c r="BT8" s="104"/>
      <c r="BU8" s="98"/>
      <c r="BV8" s="105"/>
      <c r="BW8" s="104"/>
      <c r="BX8" s="104"/>
      <c r="BY8" s="107"/>
      <c r="BZ8" s="108"/>
      <c r="CA8" s="108"/>
      <c r="CB8" s="109"/>
      <c r="CC8" s="110"/>
      <c r="CD8" s="108"/>
      <c r="CE8" s="109"/>
      <c r="CF8" s="109"/>
      <c r="CG8" s="107"/>
      <c r="CH8" s="111"/>
      <c r="CI8" s="98"/>
      <c r="CJ8" s="113"/>
      <c r="CK8" s="113"/>
      <c r="CL8" s="114"/>
      <c r="CM8" s="114"/>
      <c r="CN8" s="114"/>
      <c r="CO8" s="99"/>
      <c r="CP8" s="115"/>
      <c r="CQ8" s="116"/>
      <c r="CR8" s="117"/>
      <c r="CS8" s="118"/>
      <c r="CT8" s="117"/>
      <c r="CU8" s="118"/>
      <c r="CV8" s="117"/>
      <c r="CW8" s="118"/>
      <c r="CX8" s="119"/>
      <c r="CY8" s="122"/>
      <c r="CZ8" s="121"/>
      <c r="DA8" s="120"/>
      <c r="DB8" s="121"/>
      <c r="DC8" s="121"/>
      <c r="DD8" s="100"/>
      <c r="DE8" s="121"/>
      <c r="DF8" s="91"/>
      <c r="DG8" s="230"/>
      <c r="DH8" s="231"/>
      <c r="DI8" s="232"/>
      <c r="DJ8" s="232"/>
      <c r="DK8" s="232"/>
      <c r="DL8" s="232"/>
      <c r="DM8" s="236"/>
      <c r="DN8" s="236"/>
      <c r="DO8" s="90"/>
      <c r="DP8" s="90"/>
      <c r="DQ8" s="90"/>
      <c r="DR8" s="90"/>
    </row>
    <row r="9" spans="1:123" ht="24" customHeight="1" x14ac:dyDescent="0.25">
      <c r="A9" s="83" t="s">
        <v>11</v>
      </c>
      <c r="B9" s="442">
        <v>42591.5</v>
      </c>
      <c r="C9" s="443"/>
      <c r="D9" s="84"/>
      <c r="E9" s="23">
        <v>5.5</v>
      </c>
      <c r="F9" s="15">
        <v>95</v>
      </c>
      <c r="G9" s="213"/>
      <c r="H9" s="27">
        <f t="shared" si="5"/>
        <v>88.6</v>
      </c>
      <c r="I9" s="216">
        <f t="shared" si="6"/>
        <v>16.109090909090909</v>
      </c>
      <c r="J9" s="29" t="e">
        <f ca="1">IF($J$5&gt;=B9,"N/A",SUM(INDIRECT(ADDRESS(6+(MATCH($J$5,$B$6:$B$59,0)),8)):H9))</f>
        <v>#N/A</v>
      </c>
      <c r="K9" s="10">
        <v>375</v>
      </c>
      <c r="L9" s="87"/>
      <c r="M9" s="4">
        <f t="shared" si="7"/>
        <v>95.199999999999989</v>
      </c>
      <c r="N9" s="220">
        <f t="shared" si="1"/>
        <v>17.309090909090909</v>
      </c>
      <c r="O9" s="30" t="e">
        <f ca="1">IF($O$5&gt;=B9,"N/A",SUM(INDIRECT(ADDRESS(6+(MATCH($O$5,$B$6:$B$59,0)),13)):M9))</f>
        <v>#N/A</v>
      </c>
      <c r="P9" s="325">
        <v>60.1</v>
      </c>
      <c r="Q9" s="325">
        <v>4.8</v>
      </c>
      <c r="R9" s="325">
        <v>99.8</v>
      </c>
      <c r="S9" s="70" t="str">
        <f t="shared" si="8"/>
        <v>NOON</v>
      </c>
      <c r="T9" s="241">
        <f t="shared" si="9"/>
        <v>42591.5</v>
      </c>
      <c r="U9" s="345">
        <v>24.7</v>
      </c>
      <c r="V9" s="346">
        <v>1.8</v>
      </c>
      <c r="W9" s="346">
        <v>0</v>
      </c>
      <c r="X9" s="347">
        <f t="shared" si="10"/>
        <v>26.5</v>
      </c>
      <c r="Y9" s="353">
        <f t="shared" si="11"/>
        <v>2178.6999999999998</v>
      </c>
      <c r="Z9" s="357"/>
      <c r="AA9" s="296"/>
      <c r="AB9" s="297"/>
      <c r="AC9" s="297"/>
      <c r="AD9" s="199">
        <f t="shared" si="12"/>
        <v>0</v>
      </c>
      <c r="AE9" s="159">
        <f t="shared" si="13"/>
        <v>600</v>
      </c>
      <c r="AF9" s="298"/>
      <c r="AG9" s="372">
        <f t="shared" si="0"/>
        <v>24.7</v>
      </c>
      <c r="AH9" s="363">
        <f t="shared" si="0"/>
        <v>1.8</v>
      </c>
      <c r="AI9" s="363" t="str">
        <f t="shared" si="0"/>
        <v/>
      </c>
      <c r="AJ9" s="362">
        <f t="shared" si="2"/>
        <v>26.5</v>
      </c>
      <c r="AK9" s="370">
        <f t="shared" si="14"/>
        <v>2778.7</v>
      </c>
      <c r="AL9" s="375">
        <f t="shared" si="3"/>
        <v>0</v>
      </c>
      <c r="AM9" s="299"/>
      <c r="AN9" s="300"/>
      <c r="AO9" s="300"/>
      <c r="AP9" s="203">
        <f t="shared" si="4"/>
        <v>0</v>
      </c>
      <c r="AQ9" s="150">
        <f t="shared" si="15"/>
        <v>74.599999999999994</v>
      </c>
      <c r="AR9" s="301"/>
      <c r="AS9" s="302">
        <v>3</v>
      </c>
      <c r="AT9" s="303">
        <v>3</v>
      </c>
      <c r="AU9" s="141">
        <f t="shared" ref="AU9:AU59" si="19">AU8-AS9+AT9</f>
        <v>94</v>
      </c>
      <c r="AV9" s="304">
        <v>56755</v>
      </c>
      <c r="AW9" s="316">
        <v>28900</v>
      </c>
      <c r="AX9" s="317">
        <v>5500</v>
      </c>
      <c r="AY9" s="237">
        <f t="shared" si="16"/>
        <v>0.12641083521444699</v>
      </c>
      <c r="AZ9" s="400" t="str">
        <f t="shared" si="17"/>
        <v>NOON</v>
      </c>
      <c r="BA9" s="241">
        <f t="shared" si="18"/>
        <v>42591.5</v>
      </c>
      <c r="BB9" s="441"/>
      <c r="BC9" s="98"/>
      <c r="BD9" s="99"/>
      <c r="BE9" s="99"/>
      <c r="BF9" s="100"/>
      <c r="BG9" s="101"/>
      <c r="BH9" s="100"/>
      <c r="BI9" s="101"/>
      <c r="BJ9" s="101"/>
      <c r="BK9" s="99"/>
      <c r="BL9" s="102"/>
      <c r="BM9" s="102"/>
      <c r="BN9" s="105"/>
      <c r="BO9" s="104"/>
      <c r="BP9" s="98"/>
      <c r="BQ9" s="105"/>
      <c r="BR9" s="104"/>
      <c r="BS9" s="106"/>
      <c r="BT9" s="104"/>
      <c r="BU9" s="98"/>
      <c r="BV9" s="105"/>
      <c r="BW9" s="104"/>
      <c r="BX9" s="104"/>
      <c r="BY9" s="107"/>
      <c r="BZ9" s="108"/>
      <c r="CA9" s="108"/>
      <c r="CB9" s="109"/>
      <c r="CC9" s="110"/>
      <c r="CD9" s="108"/>
      <c r="CE9" s="109"/>
      <c r="CF9" s="109"/>
      <c r="CG9" s="107"/>
      <c r="CH9" s="111"/>
      <c r="CI9" s="98"/>
      <c r="CJ9" s="113"/>
      <c r="CK9" s="113"/>
      <c r="CL9" s="114"/>
      <c r="CM9" s="114"/>
      <c r="CN9" s="114"/>
      <c r="CO9" s="99"/>
      <c r="CP9" s="111"/>
      <c r="CQ9" s="116"/>
      <c r="CR9" s="117"/>
      <c r="CS9" s="118"/>
      <c r="CT9" s="117"/>
      <c r="CU9" s="118"/>
      <c r="CV9" s="117"/>
      <c r="CW9" s="118"/>
      <c r="CX9" s="119"/>
      <c r="CY9" s="122"/>
      <c r="CZ9" s="121"/>
      <c r="DA9" s="120"/>
      <c r="DB9" s="121"/>
      <c r="DC9" s="121"/>
      <c r="DD9" s="100"/>
      <c r="DE9" s="121"/>
      <c r="DF9" s="91"/>
      <c r="DG9" s="230"/>
      <c r="DH9" s="231"/>
      <c r="DI9" s="232"/>
      <c r="DJ9" s="232"/>
      <c r="DK9" s="232"/>
      <c r="DL9" s="232"/>
      <c r="DM9" s="236"/>
      <c r="DN9" s="236"/>
      <c r="DO9" s="90"/>
      <c r="DP9" s="90"/>
      <c r="DQ9" s="90"/>
      <c r="DR9" s="90"/>
    </row>
    <row r="10" spans="1:123" ht="24" customHeight="1" x14ac:dyDescent="0.25">
      <c r="A10" s="83" t="s">
        <v>97</v>
      </c>
      <c r="B10" s="442">
        <v>42592.425000000003</v>
      </c>
      <c r="C10" s="443"/>
      <c r="D10" s="84"/>
      <c r="E10" s="23">
        <v>22.2</v>
      </c>
      <c r="F10" s="15">
        <v>448.6</v>
      </c>
      <c r="G10" s="213"/>
      <c r="H10" s="27">
        <f t="shared" si="5"/>
        <v>353.6</v>
      </c>
      <c r="I10" s="216">
        <f t="shared" si="6"/>
        <v>15.927927927927929</v>
      </c>
      <c r="J10" s="29" t="e">
        <f ca="1">IF($J$5&gt;=B10,"N/A",SUM(INDIRECT(ADDRESS(6+(MATCH($J$5,$B$6:$B$59,0)),8)):H10))</f>
        <v>#N/A</v>
      </c>
      <c r="K10" s="10">
        <v>3</v>
      </c>
      <c r="L10" s="88">
        <v>0</v>
      </c>
      <c r="M10" s="4">
        <f t="shared" si="7"/>
        <v>372</v>
      </c>
      <c r="N10" s="220">
        <f t="shared" si="1"/>
        <v>16.756756756756758</v>
      </c>
      <c r="O10" s="30" t="e">
        <f ca="1">IF($O$5&gt;=B10,"N/A",SUM(INDIRECT(ADDRESS(6+(MATCH($O$5,$B$6:$B$59,0)),13)):M10))</f>
        <v>#N/A</v>
      </c>
      <c r="P10" s="325">
        <v>61.3</v>
      </c>
      <c r="Q10" s="325">
        <v>9.4</v>
      </c>
      <c r="R10" s="325">
        <v>410.6</v>
      </c>
      <c r="S10" s="70" t="str">
        <f t="shared" si="8"/>
        <v>EOSP</v>
      </c>
      <c r="T10" s="241">
        <f t="shared" si="9"/>
        <v>42592.425000000003</v>
      </c>
      <c r="U10" s="345">
        <v>96.8</v>
      </c>
      <c r="V10" s="346">
        <v>6.9</v>
      </c>
      <c r="W10" s="346">
        <v>0</v>
      </c>
      <c r="X10" s="347">
        <f t="shared" si="10"/>
        <v>103.7</v>
      </c>
      <c r="Y10" s="353">
        <f t="shared" si="11"/>
        <v>2075</v>
      </c>
      <c r="Z10" s="357"/>
      <c r="AA10" s="296"/>
      <c r="AB10" s="297"/>
      <c r="AC10" s="297"/>
      <c r="AD10" s="199">
        <f t="shared" si="12"/>
        <v>0</v>
      </c>
      <c r="AE10" s="159">
        <f t="shared" si="13"/>
        <v>600</v>
      </c>
      <c r="AF10" s="298"/>
      <c r="AG10" s="372">
        <f t="shared" si="0"/>
        <v>96.8</v>
      </c>
      <c r="AH10" s="363">
        <f t="shared" si="0"/>
        <v>6.9</v>
      </c>
      <c r="AI10" s="363" t="str">
        <f t="shared" si="0"/>
        <v/>
      </c>
      <c r="AJ10" s="362">
        <f t="shared" si="2"/>
        <v>103.7</v>
      </c>
      <c r="AK10" s="370">
        <f t="shared" si="14"/>
        <v>2675</v>
      </c>
      <c r="AL10" s="375">
        <f t="shared" si="3"/>
        <v>0</v>
      </c>
      <c r="AM10" s="299"/>
      <c r="AN10" s="300"/>
      <c r="AO10" s="300"/>
      <c r="AP10" s="203">
        <f t="shared" si="4"/>
        <v>0</v>
      </c>
      <c r="AQ10" s="150">
        <f t="shared" si="15"/>
        <v>74.599999999999994</v>
      </c>
      <c r="AR10" s="301"/>
      <c r="AS10" s="302">
        <v>3</v>
      </c>
      <c r="AT10" s="303">
        <v>48</v>
      </c>
      <c r="AU10" s="141">
        <f t="shared" si="19"/>
        <v>139</v>
      </c>
      <c r="AV10" s="304">
        <v>55815</v>
      </c>
      <c r="AW10" s="316">
        <v>28900</v>
      </c>
      <c r="AX10" s="317">
        <v>5450</v>
      </c>
      <c r="AY10" s="237">
        <f t="shared" si="16"/>
        <v>0.16119909502262442</v>
      </c>
      <c r="AZ10" s="400" t="str">
        <f t="shared" si="17"/>
        <v>EOSP</v>
      </c>
      <c r="BA10" s="241">
        <f t="shared" si="18"/>
        <v>42592.425000000003</v>
      </c>
      <c r="BB10" s="441"/>
      <c r="BC10" s="98"/>
      <c r="BD10" s="99"/>
      <c r="BE10" s="99"/>
      <c r="BF10" s="100"/>
      <c r="BG10" s="101"/>
      <c r="BH10" s="100"/>
      <c r="BI10" s="101"/>
      <c r="BJ10" s="101"/>
      <c r="BK10" s="99"/>
      <c r="BL10" s="102"/>
      <c r="BM10" s="102"/>
      <c r="BN10" s="103"/>
      <c r="BO10" s="104"/>
      <c r="BP10" s="98"/>
      <c r="BQ10" s="105"/>
      <c r="BR10" s="104"/>
      <c r="BS10" s="115"/>
      <c r="BT10" s="104"/>
      <c r="BU10" s="98"/>
      <c r="BV10" s="105"/>
      <c r="BW10" s="104"/>
      <c r="BX10" s="104"/>
      <c r="BY10" s="107"/>
      <c r="BZ10" s="108"/>
      <c r="CA10" s="108"/>
      <c r="CB10" s="109"/>
      <c r="CC10" s="110"/>
      <c r="CD10" s="108"/>
      <c r="CE10" s="109"/>
      <c r="CF10" s="109"/>
      <c r="CG10" s="107"/>
      <c r="CH10" s="111"/>
      <c r="CI10" s="98"/>
      <c r="CJ10" s="113"/>
      <c r="CK10" s="113"/>
      <c r="CL10" s="114"/>
      <c r="CM10" s="114"/>
      <c r="CN10" s="114"/>
      <c r="CO10" s="99"/>
      <c r="CP10" s="115"/>
      <c r="CQ10" s="116"/>
      <c r="CR10" s="117"/>
      <c r="CS10" s="118"/>
      <c r="CT10" s="117"/>
      <c r="CU10" s="118"/>
      <c r="CV10" s="117"/>
      <c r="CW10" s="118"/>
      <c r="CX10" s="119"/>
      <c r="CY10" s="120"/>
      <c r="CZ10" s="121"/>
      <c r="DA10" s="120"/>
      <c r="DB10" s="121"/>
      <c r="DC10" s="121"/>
      <c r="DD10" s="100"/>
      <c r="DE10" s="121"/>
      <c r="DF10" s="91"/>
      <c r="DG10" s="230"/>
      <c r="DH10" s="231"/>
      <c r="DI10" s="232"/>
      <c r="DJ10" s="232"/>
      <c r="DK10" s="232"/>
      <c r="DL10" s="232"/>
      <c r="DM10" s="236"/>
      <c r="DN10" s="236"/>
      <c r="DO10" s="90"/>
      <c r="DP10" s="90"/>
      <c r="DQ10" s="90"/>
      <c r="DR10" s="90"/>
    </row>
    <row r="11" spans="1:123" ht="24" customHeight="1" x14ac:dyDescent="0.25">
      <c r="A11" s="83" t="s">
        <v>10</v>
      </c>
      <c r="B11" s="442">
        <v>42592.54583333333</v>
      </c>
      <c r="C11" s="443"/>
      <c r="D11" s="84" t="s">
        <v>148</v>
      </c>
      <c r="E11" s="23">
        <v>2.9</v>
      </c>
      <c r="F11" s="15">
        <v>469.3</v>
      </c>
      <c r="G11" s="213"/>
      <c r="H11" s="27">
        <f t="shared" si="5"/>
        <v>20.699999999999989</v>
      </c>
      <c r="I11" s="216">
        <f t="shared" si="6"/>
        <v>7.1379310344827553</v>
      </c>
      <c r="J11" s="29" t="e">
        <f ca="1">IF($J$5&gt;=B11,"N/A",SUM(INDIRECT(ADDRESS(6+(MATCH($J$5,$B$6:$B$59,0)),8)):H11))</f>
        <v>#N/A</v>
      </c>
      <c r="K11" s="10">
        <v>-18.100000000000001</v>
      </c>
      <c r="L11" s="88"/>
      <c r="M11" s="4">
        <f t="shared" si="7"/>
        <v>21.1</v>
      </c>
      <c r="N11" s="220">
        <f t="shared" si="1"/>
        <v>7.2758620689655178</v>
      </c>
      <c r="O11" s="30" t="e">
        <f ca="1">IF($O$5&gt;=B11,"N/A",SUM(INDIRECT(ADDRESS(6+(MATCH($O$5,$B$6:$B$59,0)),13)):M11))</f>
        <v>#N/A</v>
      </c>
      <c r="P11" s="325">
        <v>39.799999999999997</v>
      </c>
      <c r="Q11" s="325">
        <v>7.4</v>
      </c>
      <c r="R11" s="325">
        <v>21.6</v>
      </c>
      <c r="S11" s="70" t="str">
        <f t="shared" si="8"/>
        <v>FWE</v>
      </c>
      <c r="T11" s="241">
        <f t="shared" si="9"/>
        <v>42592.54583333333</v>
      </c>
      <c r="U11" s="345">
        <v>2.1</v>
      </c>
      <c r="V11" s="346">
        <v>0.7</v>
      </c>
      <c r="W11" s="346">
        <v>0.3</v>
      </c>
      <c r="X11" s="347">
        <f t="shared" si="10"/>
        <v>3.0999999999999996</v>
      </c>
      <c r="Y11" s="353">
        <f t="shared" si="11"/>
        <v>2071.9</v>
      </c>
      <c r="Z11" s="357"/>
      <c r="AA11" s="296"/>
      <c r="AB11" s="297"/>
      <c r="AC11" s="297"/>
      <c r="AD11" s="199">
        <f t="shared" si="12"/>
        <v>0</v>
      </c>
      <c r="AE11" s="159">
        <f t="shared" si="13"/>
        <v>600</v>
      </c>
      <c r="AF11" s="298"/>
      <c r="AG11" s="372">
        <f t="shared" si="0"/>
        <v>2.1</v>
      </c>
      <c r="AH11" s="363">
        <f t="shared" si="0"/>
        <v>0.7</v>
      </c>
      <c r="AI11" s="363">
        <f t="shared" si="0"/>
        <v>0.3</v>
      </c>
      <c r="AJ11" s="362">
        <f t="shared" si="2"/>
        <v>3.0999999999999996</v>
      </c>
      <c r="AK11" s="370">
        <f t="shared" si="14"/>
        <v>2671.9</v>
      </c>
      <c r="AL11" s="375">
        <f t="shared" si="3"/>
        <v>0</v>
      </c>
      <c r="AM11" s="299"/>
      <c r="AN11" s="300">
        <v>0.5</v>
      </c>
      <c r="AO11" s="300">
        <v>0.3</v>
      </c>
      <c r="AP11" s="203">
        <f t="shared" si="4"/>
        <v>0.8</v>
      </c>
      <c r="AQ11" s="150">
        <f t="shared" si="15"/>
        <v>73.8</v>
      </c>
      <c r="AR11" s="301"/>
      <c r="AS11" s="302"/>
      <c r="AT11" s="303"/>
      <c r="AU11" s="141">
        <f t="shared" si="19"/>
        <v>139</v>
      </c>
      <c r="AV11" s="304">
        <v>55785</v>
      </c>
      <c r="AW11" s="316">
        <v>28900</v>
      </c>
      <c r="AX11" s="317">
        <v>5450</v>
      </c>
      <c r="AY11" s="237">
        <f t="shared" si="16"/>
        <v>4.3478260869565862E-2</v>
      </c>
      <c r="AZ11" s="400" t="str">
        <f t="shared" si="17"/>
        <v>FWE</v>
      </c>
      <c r="BA11" s="241">
        <f t="shared" si="18"/>
        <v>42592.54583333333</v>
      </c>
      <c r="BB11" s="441"/>
      <c r="BC11" s="98"/>
      <c r="BD11" s="99"/>
      <c r="BE11" s="99"/>
      <c r="BF11" s="100"/>
      <c r="BG11" s="101"/>
      <c r="BH11" s="100"/>
      <c r="BI11" s="101"/>
      <c r="BJ11" s="101"/>
      <c r="BK11" s="99"/>
      <c r="BL11" s="102"/>
      <c r="BM11" s="102"/>
      <c r="BN11" s="103"/>
      <c r="BO11" s="104"/>
      <c r="BP11" s="98"/>
      <c r="BQ11" s="105"/>
      <c r="BR11" s="104"/>
      <c r="BS11" s="115"/>
      <c r="BT11" s="104"/>
      <c r="BU11" s="98"/>
      <c r="BV11" s="105"/>
      <c r="BW11" s="104"/>
      <c r="BX11" s="104"/>
      <c r="BY11" s="107"/>
      <c r="BZ11" s="108"/>
      <c r="CA11" s="108"/>
      <c r="CB11" s="109"/>
      <c r="CC11" s="110"/>
      <c r="CD11" s="108"/>
      <c r="CE11" s="109"/>
      <c r="CF11" s="109"/>
      <c r="CG11" s="107"/>
      <c r="CH11" s="111"/>
      <c r="CI11" s="98"/>
      <c r="CJ11" s="113"/>
      <c r="CK11" s="113"/>
      <c r="CL11" s="114"/>
      <c r="CM11" s="114"/>
      <c r="CN11" s="114"/>
      <c r="CO11" s="99"/>
      <c r="CP11" s="115"/>
      <c r="CQ11" s="116"/>
      <c r="CR11" s="117"/>
      <c r="CS11" s="118"/>
      <c r="CT11" s="117"/>
      <c r="CU11" s="118"/>
      <c r="CV11" s="117"/>
      <c r="CW11" s="118"/>
      <c r="CX11" s="119"/>
      <c r="CY11" s="120"/>
      <c r="CZ11" s="121"/>
      <c r="DA11" s="120"/>
      <c r="DB11" s="121"/>
      <c r="DC11" s="121"/>
      <c r="DD11" s="100"/>
      <c r="DE11" s="121"/>
      <c r="DF11" s="90"/>
      <c r="DG11" s="90"/>
      <c r="DH11" s="90"/>
      <c r="DI11" s="90"/>
      <c r="DJ11" s="90"/>
      <c r="DK11" s="90"/>
      <c r="DL11" s="90"/>
      <c r="DM11" s="90"/>
      <c r="DN11" s="90"/>
      <c r="DO11" s="90"/>
      <c r="DP11" s="90"/>
      <c r="DQ11" s="90"/>
      <c r="DR11" s="90"/>
    </row>
    <row r="12" spans="1:123" ht="24" customHeight="1" x14ac:dyDescent="0.25">
      <c r="A12" s="83"/>
      <c r="B12" s="442"/>
      <c r="C12" s="443"/>
      <c r="D12" s="84"/>
      <c r="E12" s="23"/>
      <c r="F12" s="15"/>
      <c r="G12" s="213"/>
      <c r="H12" s="27" t="str">
        <f t="shared" si="5"/>
        <v/>
      </c>
      <c r="I12" s="216" t="str">
        <f t="shared" si="6"/>
        <v/>
      </c>
      <c r="J12" s="29" t="str">
        <f ca="1">IF($J$5&gt;=B12,"N/A",SUM(INDIRECT(ADDRESS(6+(MATCH($J$5,$B$6:$B$59,0)),8)):H12))</f>
        <v>N/A</v>
      </c>
      <c r="K12" s="10"/>
      <c r="L12" s="88"/>
      <c r="M12" s="4" t="str">
        <f t="shared" si="7"/>
        <v/>
      </c>
      <c r="N12" s="220" t="str">
        <f t="shared" si="1"/>
        <v/>
      </c>
      <c r="O12" s="30" t="str">
        <f ca="1">IF($O$5&gt;=B12,"N/A",SUM(INDIRECT(ADDRESS(6+(MATCH($O$5,$B$6:$B$59,0)),13)):M12))</f>
        <v>N/A</v>
      </c>
      <c r="P12" s="325"/>
      <c r="Q12" s="325"/>
      <c r="R12" s="325"/>
      <c r="S12" s="70" t="str">
        <f t="shared" si="8"/>
        <v/>
      </c>
      <c r="T12" s="241" t="str">
        <f t="shared" si="9"/>
        <v/>
      </c>
      <c r="U12" s="345"/>
      <c r="V12" s="346"/>
      <c r="W12" s="346"/>
      <c r="X12" s="347">
        <f t="shared" si="10"/>
        <v>0</v>
      </c>
      <c r="Y12" s="353">
        <f t="shared" si="11"/>
        <v>2071.9</v>
      </c>
      <c r="Z12" s="357"/>
      <c r="AA12" s="296"/>
      <c r="AB12" s="297"/>
      <c r="AC12" s="297"/>
      <c r="AD12" s="199">
        <f t="shared" si="12"/>
        <v>0</v>
      </c>
      <c r="AE12" s="159">
        <f t="shared" si="13"/>
        <v>600</v>
      </c>
      <c r="AF12" s="298"/>
      <c r="AG12" s="372" t="str">
        <f t="shared" si="0"/>
        <v/>
      </c>
      <c r="AH12" s="363" t="str">
        <f t="shared" si="0"/>
        <v/>
      </c>
      <c r="AI12" s="363" t="str">
        <f t="shared" si="0"/>
        <v/>
      </c>
      <c r="AJ12" s="362">
        <f t="shared" si="2"/>
        <v>0</v>
      </c>
      <c r="AK12" s="370">
        <f t="shared" si="14"/>
        <v>2671.9</v>
      </c>
      <c r="AL12" s="375">
        <f t="shared" si="3"/>
        <v>0</v>
      </c>
      <c r="AM12" s="299"/>
      <c r="AN12" s="300"/>
      <c r="AO12" s="300"/>
      <c r="AP12" s="203">
        <f t="shared" si="4"/>
        <v>0</v>
      </c>
      <c r="AQ12" s="150">
        <f t="shared" si="15"/>
        <v>73.8</v>
      </c>
      <c r="AR12" s="301"/>
      <c r="AS12" s="302"/>
      <c r="AT12" s="303"/>
      <c r="AU12" s="141">
        <f t="shared" si="19"/>
        <v>139</v>
      </c>
      <c r="AV12" s="304"/>
      <c r="AW12" s="316"/>
      <c r="AX12" s="317"/>
      <c r="AY12" s="237" t="e">
        <f t="shared" si="16"/>
        <v>#VALUE!</v>
      </c>
      <c r="AZ12" s="400" t="str">
        <f t="shared" si="17"/>
        <v/>
      </c>
      <c r="BA12" s="241" t="str">
        <f t="shared" si="18"/>
        <v/>
      </c>
      <c r="BB12" s="45" t="s">
        <v>40</v>
      </c>
      <c r="BC12" s="98"/>
      <c r="BD12" s="99"/>
      <c r="BE12" s="99"/>
      <c r="BF12" s="100"/>
      <c r="BG12" s="101"/>
      <c r="BH12" s="100"/>
      <c r="BI12" s="101"/>
      <c r="BJ12" s="101"/>
      <c r="BK12" s="99"/>
      <c r="BL12" s="102"/>
      <c r="BM12" s="102"/>
      <c r="BN12" s="103"/>
      <c r="BO12" s="104"/>
      <c r="BP12" s="98"/>
      <c r="BQ12" s="105"/>
      <c r="BR12" s="104"/>
      <c r="BS12" s="115"/>
      <c r="BT12" s="104"/>
      <c r="BU12" s="98"/>
      <c r="BV12" s="105"/>
      <c r="BW12" s="104"/>
      <c r="BX12" s="104"/>
      <c r="BY12" s="107"/>
      <c r="BZ12" s="108"/>
      <c r="CA12" s="108"/>
      <c r="CB12" s="109"/>
      <c r="CC12" s="110"/>
      <c r="CD12" s="108"/>
      <c r="CE12" s="109"/>
      <c r="CF12" s="109"/>
      <c r="CG12" s="107"/>
      <c r="CH12" s="111"/>
      <c r="CI12" s="98"/>
      <c r="CJ12" s="113"/>
      <c r="CK12" s="113"/>
      <c r="CL12" s="114"/>
      <c r="CM12" s="114"/>
      <c r="CN12" s="114"/>
      <c r="CO12" s="99"/>
      <c r="CP12" s="115"/>
      <c r="CQ12" s="116"/>
      <c r="CR12" s="117"/>
      <c r="CS12" s="118"/>
      <c r="CT12" s="117"/>
      <c r="CU12" s="118"/>
      <c r="CV12" s="117"/>
      <c r="CW12" s="118"/>
      <c r="CX12" s="119"/>
      <c r="CY12" s="120"/>
      <c r="CZ12" s="121"/>
      <c r="DA12" s="120"/>
      <c r="DB12" s="121"/>
      <c r="DC12" s="121"/>
      <c r="DD12" s="100"/>
      <c r="DE12" s="121"/>
      <c r="DF12" s="90"/>
      <c r="DG12" s="90"/>
      <c r="DH12" s="90"/>
      <c r="DI12" s="90"/>
      <c r="DJ12" s="90"/>
      <c r="DK12" s="90"/>
      <c r="DL12" s="90"/>
      <c r="DM12" s="90"/>
      <c r="DN12" s="90"/>
      <c r="DO12" s="90"/>
      <c r="DP12" s="90"/>
      <c r="DQ12" s="90"/>
      <c r="DR12" s="90"/>
    </row>
    <row r="13" spans="1:123" ht="24" customHeight="1" x14ac:dyDescent="0.25">
      <c r="A13" s="83"/>
      <c r="B13" s="442"/>
      <c r="C13" s="443"/>
      <c r="D13" s="84"/>
      <c r="E13" s="23"/>
      <c r="F13" s="15"/>
      <c r="G13" s="213"/>
      <c r="H13" s="27" t="str">
        <f t="shared" si="5"/>
        <v/>
      </c>
      <c r="I13" s="216" t="str">
        <f t="shared" si="6"/>
        <v/>
      </c>
      <c r="J13" s="29" t="str">
        <f ca="1">IF($J$5&gt;=B13,"N/A",SUM(INDIRECT(ADDRESS(6+(MATCH($J$5,$B$6:$B$59,0)),8)):H13))</f>
        <v>N/A</v>
      </c>
      <c r="K13" s="10"/>
      <c r="L13" s="88"/>
      <c r="M13" s="4" t="str">
        <f t="shared" si="7"/>
        <v/>
      </c>
      <c r="N13" s="220" t="str">
        <f t="shared" si="1"/>
        <v/>
      </c>
      <c r="O13" s="30" t="str">
        <f ca="1">IF($O$5&gt;=B13,"N/A",SUM(INDIRECT(ADDRESS(6+(MATCH($O$5,$B$6:$B$59,0)),13)):M13))</f>
        <v>N/A</v>
      </c>
      <c r="P13" s="325"/>
      <c r="Q13" s="325"/>
      <c r="R13" s="325"/>
      <c r="S13" s="70" t="str">
        <f t="shared" si="8"/>
        <v/>
      </c>
      <c r="T13" s="241" t="str">
        <f t="shared" si="9"/>
        <v/>
      </c>
      <c r="U13" s="345"/>
      <c r="V13" s="346"/>
      <c r="W13" s="346"/>
      <c r="X13" s="347">
        <f t="shared" si="10"/>
        <v>0</v>
      </c>
      <c r="Y13" s="353">
        <f t="shared" si="11"/>
        <v>2071.9</v>
      </c>
      <c r="Z13" s="357"/>
      <c r="AA13" s="296"/>
      <c r="AB13" s="297"/>
      <c r="AC13" s="297"/>
      <c r="AD13" s="199">
        <f t="shared" si="12"/>
        <v>0</v>
      </c>
      <c r="AE13" s="159">
        <f t="shared" si="13"/>
        <v>600</v>
      </c>
      <c r="AF13" s="298"/>
      <c r="AG13" s="372" t="str">
        <f t="shared" si="0"/>
        <v/>
      </c>
      <c r="AH13" s="363" t="str">
        <f t="shared" si="0"/>
        <v/>
      </c>
      <c r="AI13" s="363" t="str">
        <f t="shared" si="0"/>
        <v/>
      </c>
      <c r="AJ13" s="362">
        <f t="shared" si="2"/>
        <v>0</v>
      </c>
      <c r="AK13" s="370">
        <f t="shared" si="14"/>
        <v>2671.9</v>
      </c>
      <c r="AL13" s="375">
        <f t="shared" si="3"/>
        <v>0</v>
      </c>
      <c r="AM13" s="299"/>
      <c r="AN13" s="300"/>
      <c r="AO13" s="300"/>
      <c r="AP13" s="203">
        <f t="shared" si="4"/>
        <v>0</v>
      </c>
      <c r="AQ13" s="150">
        <f t="shared" si="15"/>
        <v>73.8</v>
      </c>
      <c r="AR13" s="301"/>
      <c r="AS13" s="302"/>
      <c r="AT13" s="303"/>
      <c r="AU13" s="141">
        <f t="shared" si="19"/>
        <v>139</v>
      </c>
      <c r="AV13" s="304"/>
      <c r="AW13" s="316"/>
      <c r="AX13" s="317"/>
      <c r="AY13" s="237" t="e">
        <f t="shared" si="16"/>
        <v>#VALUE!</v>
      </c>
      <c r="AZ13" s="400" t="str">
        <f t="shared" si="17"/>
        <v/>
      </c>
      <c r="BA13" s="241" t="str">
        <f t="shared" si="18"/>
        <v/>
      </c>
      <c r="BB13" s="45" t="s">
        <v>40</v>
      </c>
      <c r="BC13" s="98"/>
      <c r="BD13" s="99"/>
      <c r="BE13" s="99"/>
      <c r="BF13" s="100"/>
      <c r="BG13" s="101"/>
      <c r="BH13" s="100"/>
      <c r="BI13" s="101"/>
      <c r="BJ13" s="101"/>
      <c r="BK13" s="99"/>
      <c r="BL13" s="102"/>
      <c r="BM13" s="102"/>
      <c r="BN13" s="103"/>
      <c r="BO13" s="104"/>
      <c r="BP13" s="98"/>
      <c r="BQ13" s="105"/>
      <c r="BR13" s="104"/>
      <c r="BS13" s="115"/>
      <c r="BT13" s="104"/>
      <c r="BU13" s="98"/>
      <c r="BV13" s="105"/>
      <c r="BW13" s="104"/>
      <c r="BX13" s="104"/>
      <c r="BY13" s="107"/>
      <c r="BZ13" s="108"/>
      <c r="CA13" s="108"/>
      <c r="CB13" s="109"/>
      <c r="CC13" s="110"/>
      <c r="CD13" s="108"/>
      <c r="CE13" s="109"/>
      <c r="CF13" s="109"/>
      <c r="CG13" s="107"/>
      <c r="CH13" s="111"/>
      <c r="CI13" s="98"/>
      <c r="CJ13" s="113"/>
      <c r="CK13" s="113"/>
      <c r="CL13" s="114"/>
      <c r="CM13" s="114"/>
      <c r="CN13" s="114"/>
      <c r="CO13" s="99"/>
      <c r="CP13" s="115"/>
      <c r="CQ13" s="116"/>
      <c r="CR13" s="117"/>
      <c r="CS13" s="118"/>
      <c r="CT13" s="117"/>
      <c r="CU13" s="118"/>
      <c r="CV13" s="117"/>
      <c r="CW13" s="118"/>
      <c r="CX13" s="119"/>
      <c r="CY13" s="120"/>
      <c r="CZ13" s="121"/>
      <c r="DA13" s="120"/>
      <c r="DB13" s="121"/>
      <c r="DC13" s="121"/>
      <c r="DD13" s="100"/>
      <c r="DE13" s="121"/>
      <c r="DF13" s="90"/>
      <c r="DG13" s="90"/>
      <c r="DH13" s="90"/>
      <c r="DI13" s="90"/>
      <c r="DJ13" s="90"/>
      <c r="DK13" s="90"/>
      <c r="DL13" s="90"/>
      <c r="DM13" s="90"/>
      <c r="DN13" s="90"/>
      <c r="DO13" s="90"/>
      <c r="DP13" s="90"/>
      <c r="DQ13" s="90"/>
      <c r="DR13" s="90"/>
    </row>
    <row r="14" spans="1:123" ht="24" customHeight="1" x14ac:dyDescent="0.25">
      <c r="A14" s="83"/>
      <c r="B14" s="442"/>
      <c r="C14" s="443"/>
      <c r="D14" s="84"/>
      <c r="E14" s="23"/>
      <c r="F14" s="15"/>
      <c r="G14" s="213"/>
      <c r="H14" s="27" t="str">
        <f t="shared" si="5"/>
        <v/>
      </c>
      <c r="I14" s="216" t="str">
        <f t="shared" si="6"/>
        <v/>
      </c>
      <c r="J14" s="29" t="str">
        <f ca="1">IF($J$5&gt;=B14,"N/A",SUM(INDIRECT(ADDRESS(6+(MATCH($J$5,$B$6:$B$59,0)),8)):H14))</f>
        <v>N/A</v>
      </c>
      <c r="K14" s="10"/>
      <c r="L14" s="88"/>
      <c r="M14" s="4" t="str">
        <f t="shared" si="7"/>
        <v/>
      </c>
      <c r="N14" s="220" t="str">
        <f t="shared" si="1"/>
        <v/>
      </c>
      <c r="O14" s="30" t="str">
        <f ca="1">IF($O$5&gt;=B14,"N/A",SUM(INDIRECT(ADDRESS(6+(MATCH($O$5,$B$6:$B$59,0)),13)):M14))</f>
        <v>N/A</v>
      </c>
      <c r="P14" s="325"/>
      <c r="Q14" s="325"/>
      <c r="R14" s="325"/>
      <c r="S14" s="70" t="str">
        <f t="shared" si="8"/>
        <v/>
      </c>
      <c r="T14" s="241" t="str">
        <f t="shared" si="9"/>
        <v/>
      </c>
      <c r="U14" s="345"/>
      <c r="V14" s="346"/>
      <c r="W14" s="346"/>
      <c r="X14" s="347">
        <f t="shared" si="10"/>
        <v>0</v>
      </c>
      <c r="Y14" s="353">
        <f t="shared" si="11"/>
        <v>2071.9</v>
      </c>
      <c r="Z14" s="357"/>
      <c r="AA14" s="296"/>
      <c r="AB14" s="297"/>
      <c r="AC14" s="297"/>
      <c r="AD14" s="199">
        <f t="shared" si="12"/>
        <v>0</v>
      </c>
      <c r="AE14" s="159">
        <f t="shared" si="13"/>
        <v>600</v>
      </c>
      <c r="AF14" s="298"/>
      <c r="AG14" s="372" t="str">
        <f t="shared" si="0"/>
        <v/>
      </c>
      <c r="AH14" s="363" t="str">
        <f t="shared" si="0"/>
        <v/>
      </c>
      <c r="AI14" s="363" t="str">
        <f t="shared" si="0"/>
        <v/>
      </c>
      <c r="AJ14" s="362">
        <f t="shared" si="2"/>
        <v>0</v>
      </c>
      <c r="AK14" s="370">
        <f t="shared" si="14"/>
        <v>2671.9</v>
      </c>
      <c r="AL14" s="375">
        <f t="shared" si="3"/>
        <v>0</v>
      </c>
      <c r="AM14" s="299"/>
      <c r="AN14" s="300"/>
      <c r="AO14" s="300"/>
      <c r="AP14" s="203">
        <f t="shared" si="4"/>
        <v>0</v>
      </c>
      <c r="AQ14" s="150">
        <f t="shared" si="15"/>
        <v>73.8</v>
      </c>
      <c r="AR14" s="301"/>
      <c r="AS14" s="302"/>
      <c r="AT14" s="303"/>
      <c r="AU14" s="141">
        <f t="shared" si="19"/>
        <v>139</v>
      </c>
      <c r="AV14" s="304"/>
      <c r="AW14" s="316"/>
      <c r="AX14" s="317"/>
      <c r="AY14" s="237" t="e">
        <f t="shared" si="16"/>
        <v>#VALUE!</v>
      </c>
      <c r="AZ14" s="400" t="str">
        <f t="shared" si="17"/>
        <v/>
      </c>
      <c r="BA14" s="241" t="str">
        <f t="shared" si="18"/>
        <v/>
      </c>
      <c r="BB14" s="45" t="s">
        <v>40</v>
      </c>
      <c r="BC14" s="98"/>
      <c r="BD14" s="99"/>
      <c r="BE14" s="99"/>
      <c r="BF14" s="100"/>
      <c r="BG14" s="101"/>
      <c r="BH14" s="100"/>
      <c r="BI14" s="101"/>
      <c r="BJ14" s="101"/>
      <c r="BK14" s="99"/>
      <c r="BL14" s="102"/>
      <c r="BM14" s="102"/>
      <c r="BN14" s="103"/>
      <c r="BO14" s="104"/>
      <c r="BP14" s="98"/>
      <c r="BQ14" s="105"/>
      <c r="BR14" s="104"/>
      <c r="BS14" s="115"/>
      <c r="BT14" s="104"/>
      <c r="BU14" s="98"/>
      <c r="BV14" s="105"/>
      <c r="BW14" s="104"/>
      <c r="BX14" s="104"/>
      <c r="BY14" s="107"/>
      <c r="BZ14" s="108"/>
      <c r="CA14" s="108"/>
      <c r="CB14" s="109"/>
      <c r="CC14" s="110"/>
      <c r="CD14" s="108"/>
      <c r="CE14" s="109"/>
      <c r="CF14" s="109"/>
      <c r="CG14" s="107"/>
      <c r="CH14" s="111"/>
      <c r="CI14" s="98"/>
      <c r="CJ14" s="113"/>
      <c r="CK14" s="113"/>
      <c r="CL14" s="114"/>
      <c r="CM14" s="114"/>
      <c r="CN14" s="114"/>
      <c r="CO14" s="99"/>
      <c r="CP14" s="115"/>
      <c r="CQ14" s="116"/>
      <c r="CR14" s="117"/>
      <c r="CS14" s="118"/>
      <c r="CT14" s="117"/>
      <c r="CU14" s="118"/>
      <c r="CV14" s="117"/>
      <c r="CW14" s="118"/>
      <c r="CX14" s="119"/>
      <c r="CY14" s="120"/>
      <c r="CZ14" s="121"/>
      <c r="DA14" s="120"/>
      <c r="DB14" s="121"/>
      <c r="DC14" s="121"/>
      <c r="DD14" s="100"/>
      <c r="DE14" s="121"/>
      <c r="DF14" s="90"/>
      <c r="DG14" s="90"/>
      <c r="DH14" s="90"/>
      <c r="DI14" s="90"/>
      <c r="DJ14" s="90"/>
      <c r="DK14" s="90"/>
      <c r="DL14" s="90"/>
      <c r="DM14" s="90"/>
      <c r="DN14" s="90"/>
      <c r="DO14" s="90"/>
      <c r="DP14" s="90"/>
      <c r="DQ14" s="90"/>
      <c r="DR14" s="90"/>
    </row>
    <row r="15" spans="1:123" ht="24" customHeight="1" x14ac:dyDescent="0.25">
      <c r="A15" s="83"/>
      <c r="B15" s="442"/>
      <c r="C15" s="453"/>
      <c r="D15" s="84"/>
      <c r="E15" s="23"/>
      <c r="F15" s="15"/>
      <c r="G15" s="213"/>
      <c r="H15" s="27" t="str">
        <f t="shared" si="5"/>
        <v/>
      </c>
      <c r="I15" s="216" t="str">
        <f t="shared" si="6"/>
        <v/>
      </c>
      <c r="J15" s="29" t="str">
        <f ca="1">IF($J$5&gt;=B15,"N/A",SUM(INDIRECT(ADDRESS(6+(MATCH($J$5,$B$6:$B$59,0)),8)):H15))</f>
        <v>N/A</v>
      </c>
      <c r="K15" s="10"/>
      <c r="L15" s="88"/>
      <c r="M15" s="4" t="str">
        <f t="shared" si="7"/>
        <v/>
      </c>
      <c r="N15" s="220" t="str">
        <f t="shared" si="1"/>
        <v/>
      </c>
      <c r="O15" s="30" t="str">
        <f ca="1">IF($O$5&gt;=B15,"N/A",SUM(INDIRECT(ADDRESS(6+(MATCH($O$5,$B$6:$B$59,0)),13)):M15))</f>
        <v>N/A</v>
      </c>
      <c r="P15" s="325"/>
      <c r="Q15" s="325"/>
      <c r="R15" s="325"/>
      <c r="S15" s="70" t="str">
        <f t="shared" si="8"/>
        <v/>
      </c>
      <c r="T15" s="241" t="str">
        <f t="shared" si="9"/>
        <v/>
      </c>
      <c r="U15" s="345"/>
      <c r="V15" s="346"/>
      <c r="W15" s="346"/>
      <c r="X15" s="347">
        <f>U15+V15+W15</f>
        <v>0</v>
      </c>
      <c r="Y15" s="353">
        <f t="shared" si="11"/>
        <v>2071.9</v>
      </c>
      <c r="Z15" s="357"/>
      <c r="AA15" s="296"/>
      <c r="AB15" s="297"/>
      <c r="AC15" s="297"/>
      <c r="AD15" s="199">
        <f>AA15+AB15+AC15</f>
        <v>0</v>
      </c>
      <c r="AE15" s="159">
        <f t="shared" si="13"/>
        <v>600</v>
      </c>
      <c r="AF15" s="298"/>
      <c r="AG15" s="372" t="str">
        <f t="shared" si="0"/>
        <v/>
      </c>
      <c r="AH15" s="363" t="str">
        <f t="shared" si="0"/>
        <v/>
      </c>
      <c r="AI15" s="363" t="str">
        <f t="shared" si="0"/>
        <v/>
      </c>
      <c r="AJ15" s="362">
        <f t="shared" si="2"/>
        <v>0</v>
      </c>
      <c r="AK15" s="370">
        <f t="shared" si="14"/>
        <v>2671.9</v>
      </c>
      <c r="AL15" s="375">
        <f t="shared" si="3"/>
        <v>0</v>
      </c>
      <c r="AM15" s="299"/>
      <c r="AN15" s="300"/>
      <c r="AO15" s="300"/>
      <c r="AP15" s="203">
        <f t="shared" si="4"/>
        <v>0</v>
      </c>
      <c r="AQ15" s="150">
        <f t="shared" si="15"/>
        <v>73.8</v>
      </c>
      <c r="AR15" s="301"/>
      <c r="AS15" s="302"/>
      <c r="AT15" s="303"/>
      <c r="AU15" s="141">
        <f t="shared" si="19"/>
        <v>139</v>
      </c>
      <c r="AV15" s="304"/>
      <c r="AW15" s="316"/>
      <c r="AX15" s="317"/>
      <c r="AY15" s="237" t="e">
        <f t="shared" si="16"/>
        <v>#VALUE!</v>
      </c>
      <c r="AZ15" s="400" t="str">
        <f t="shared" si="17"/>
        <v/>
      </c>
      <c r="BA15" s="241" t="str">
        <f t="shared" si="18"/>
        <v/>
      </c>
      <c r="BB15" s="45" t="s">
        <v>40</v>
      </c>
      <c r="BC15" s="98"/>
      <c r="BD15" s="99"/>
      <c r="BE15" s="99"/>
      <c r="BF15" s="100"/>
      <c r="BG15" s="101"/>
      <c r="BH15" s="100"/>
      <c r="BI15" s="101"/>
      <c r="BJ15" s="101"/>
      <c r="BK15" s="99"/>
      <c r="BL15" s="102"/>
      <c r="BM15" s="102"/>
      <c r="BN15" s="103"/>
      <c r="BO15" s="104"/>
      <c r="BP15" s="98"/>
      <c r="BQ15" s="105"/>
      <c r="BR15" s="104"/>
      <c r="BS15" s="115"/>
      <c r="BT15" s="104"/>
      <c r="BU15" s="98"/>
      <c r="BV15" s="105"/>
      <c r="BW15" s="104"/>
      <c r="BX15" s="104"/>
      <c r="BY15" s="107"/>
      <c r="BZ15" s="108"/>
      <c r="CA15" s="108"/>
      <c r="CB15" s="109"/>
      <c r="CC15" s="110"/>
      <c r="CD15" s="108"/>
      <c r="CE15" s="109"/>
      <c r="CF15" s="109"/>
      <c r="CG15" s="107"/>
      <c r="CH15" s="111"/>
      <c r="CI15" s="98"/>
      <c r="CJ15" s="113"/>
      <c r="CK15" s="113"/>
      <c r="CL15" s="114"/>
      <c r="CM15" s="114"/>
      <c r="CN15" s="114"/>
      <c r="CO15" s="99"/>
      <c r="CP15" s="115"/>
      <c r="CQ15" s="116"/>
      <c r="CR15" s="117"/>
      <c r="CS15" s="118"/>
      <c r="CT15" s="117"/>
      <c r="CU15" s="118"/>
      <c r="CV15" s="117"/>
      <c r="CW15" s="118"/>
      <c r="CX15" s="119"/>
      <c r="CY15" s="120"/>
      <c r="CZ15" s="121"/>
      <c r="DA15" s="120"/>
      <c r="DB15" s="121"/>
      <c r="DC15" s="121"/>
      <c r="DD15" s="100"/>
      <c r="DE15" s="121"/>
      <c r="DF15" s="90"/>
      <c r="DG15" s="90"/>
      <c r="DH15" s="90"/>
      <c r="DI15" s="90"/>
      <c r="DJ15" s="90"/>
      <c r="DK15" s="90"/>
      <c r="DL15" s="90"/>
      <c r="DM15" s="90"/>
      <c r="DN15" s="90"/>
      <c r="DO15" s="90"/>
      <c r="DP15" s="90"/>
      <c r="DQ15" s="90"/>
      <c r="DR15" s="90"/>
    </row>
    <row r="16" spans="1:123" ht="24" customHeight="1" x14ac:dyDescent="0.25">
      <c r="A16" s="83"/>
      <c r="B16" s="442"/>
      <c r="C16" s="453"/>
      <c r="D16" s="84"/>
      <c r="E16" s="23"/>
      <c r="F16" s="15"/>
      <c r="G16" s="213"/>
      <c r="H16" s="27" t="str">
        <f t="shared" si="5"/>
        <v/>
      </c>
      <c r="I16" s="216" t="str">
        <f t="shared" si="6"/>
        <v/>
      </c>
      <c r="J16" s="29" t="str">
        <f ca="1">IF($J$5&gt;=B16,"N/A",SUM(INDIRECT(ADDRESS(6+(MATCH($J$5,$B$6:$B$59,0)),8)):H16))</f>
        <v>N/A</v>
      </c>
      <c r="K16" s="10"/>
      <c r="L16" s="88"/>
      <c r="M16" s="4" t="str">
        <f t="shared" si="7"/>
        <v/>
      </c>
      <c r="N16" s="220" t="str">
        <f t="shared" si="1"/>
        <v/>
      </c>
      <c r="O16" s="30" t="str">
        <f ca="1">IF($O$5&gt;=B16,"N/A",SUM(INDIRECT(ADDRESS(6+(MATCH($O$5,$B$6:$B$59,0)),13)):M16))</f>
        <v>N/A</v>
      </c>
      <c r="P16" s="325"/>
      <c r="Q16" s="325"/>
      <c r="R16" s="325"/>
      <c r="S16" s="70" t="str">
        <f t="shared" si="8"/>
        <v/>
      </c>
      <c r="T16" s="241" t="str">
        <f t="shared" si="9"/>
        <v/>
      </c>
      <c r="U16" s="345"/>
      <c r="V16" s="346"/>
      <c r="W16" s="346"/>
      <c r="X16" s="347">
        <f t="shared" si="10"/>
        <v>0</v>
      </c>
      <c r="Y16" s="353">
        <f t="shared" si="11"/>
        <v>2071.9</v>
      </c>
      <c r="Z16" s="357"/>
      <c r="AA16" s="296"/>
      <c r="AB16" s="297"/>
      <c r="AC16" s="297"/>
      <c r="AD16" s="199">
        <f t="shared" ref="AD16:AD59" si="20">AA16+AB16+AC16</f>
        <v>0</v>
      </c>
      <c r="AE16" s="159">
        <f t="shared" si="13"/>
        <v>600</v>
      </c>
      <c r="AF16" s="298"/>
      <c r="AG16" s="372" t="str">
        <f t="shared" si="0"/>
        <v/>
      </c>
      <c r="AH16" s="363" t="str">
        <f t="shared" si="0"/>
        <v/>
      </c>
      <c r="AI16" s="363" t="str">
        <f t="shared" si="0"/>
        <v/>
      </c>
      <c r="AJ16" s="362">
        <f t="shared" si="2"/>
        <v>0</v>
      </c>
      <c r="AK16" s="370">
        <f t="shared" si="14"/>
        <v>2671.9</v>
      </c>
      <c r="AL16" s="375">
        <f t="shared" si="3"/>
        <v>0</v>
      </c>
      <c r="AM16" s="299"/>
      <c r="AN16" s="300"/>
      <c r="AO16" s="300"/>
      <c r="AP16" s="203">
        <f t="shared" si="4"/>
        <v>0</v>
      </c>
      <c r="AQ16" s="150">
        <f t="shared" si="15"/>
        <v>73.8</v>
      </c>
      <c r="AR16" s="301"/>
      <c r="AS16" s="302"/>
      <c r="AT16" s="303"/>
      <c r="AU16" s="141">
        <f t="shared" si="19"/>
        <v>139</v>
      </c>
      <c r="AV16" s="304"/>
      <c r="AW16" s="316"/>
      <c r="AX16" s="317"/>
      <c r="AY16" s="237" t="e">
        <f t="shared" si="16"/>
        <v>#VALUE!</v>
      </c>
      <c r="AZ16" s="400" t="str">
        <f t="shared" si="17"/>
        <v/>
      </c>
      <c r="BA16" s="241" t="str">
        <f t="shared" si="18"/>
        <v/>
      </c>
      <c r="BB16" s="45" t="s">
        <v>40</v>
      </c>
      <c r="BC16" s="98"/>
      <c r="BD16" s="99"/>
      <c r="BE16" s="99"/>
      <c r="BF16" s="100"/>
      <c r="BG16" s="101"/>
      <c r="BH16" s="100"/>
      <c r="BI16" s="101"/>
      <c r="BJ16" s="101"/>
      <c r="BK16" s="99"/>
      <c r="BL16" s="102"/>
      <c r="BM16" s="102"/>
      <c r="BN16" s="103"/>
      <c r="BO16" s="104"/>
      <c r="BP16" s="98"/>
      <c r="BQ16" s="105"/>
      <c r="BR16" s="104"/>
      <c r="BS16" s="115"/>
      <c r="BT16" s="104"/>
      <c r="BU16" s="98"/>
      <c r="BV16" s="105"/>
      <c r="BW16" s="104"/>
      <c r="BX16" s="104"/>
      <c r="BY16" s="107"/>
      <c r="BZ16" s="108"/>
      <c r="CA16" s="108"/>
      <c r="CB16" s="109"/>
      <c r="CC16" s="110"/>
      <c r="CD16" s="108"/>
      <c r="CE16" s="109"/>
      <c r="CF16" s="109"/>
      <c r="CG16" s="107"/>
      <c r="CH16" s="111"/>
      <c r="CI16" s="98"/>
      <c r="CJ16" s="113"/>
      <c r="CK16" s="113"/>
      <c r="CL16" s="114"/>
      <c r="CM16" s="114"/>
      <c r="CN16" s="114"/>
      <c r="CO16" s="99"/>
      <c r="CP16" s="115"/>
      <c r="CQ16" s="116"/>
      <c r="CR16" s="117"/>
      <c r="CS16" s="118"/>
      <c r="CT16" s="117"/>
      <c r="CU16" s="118"/>
      <c r="CV16" s="117"/>
      <c r="CW16" s="118"/>
      <c r="CX16" s="119"/>
      <c r="CY16" s="120"/>
      <c r="CZ16" s="121"/>
      <c r="DA16" s="120"/>
      <c r="DB16" s="121"/>
      <c r="DC16" s="121"/>
      <c r="DD16" s="100"/>
      <c r="DE16" s="121"/>
      <c r="DF16" s="90"/>
      <c r="DG16" s="90"/>
      <c r="DH16" s="90"/>
      <c r="DI16" s="90"/>
      <c r="DJ16" s="90"/>
      <c r="DK16" s="90"/>
      <c r="DL16" s="90"/>
      <c r="DM16" s="90"/>
      <c r="DN16" s="90"/>
      <c r="DO16" s="90"/>
      <c r="DP16" s="90"/>
      <c r="DQ16" s="90"/>
      <c r="DR16" s="90"/>
    </row>
    <row r="17" spans="1:122" ht="24" customHeight="1" x14ac:dyDescent="0.25">
      <c r="A17" s="83"/>
      <c r="B17" s="442"/>
      <c r="C17" s="453"/>
      <c r="D17" s="84"/>
      <c r="E17" s="23"/>
      <c r="F17" s="15"/>
      <c r="G17" s="213"/>
      <c r="H17" s="27" t="str">
        <f t="shared" si="5"/>
        <v/>
      </c>
      <c r="I17" s="216" t="str">
        <f t="shared" si="6"/>
        <v/>
      </c>
      <c r="J17" s="29" t="str">
        <f ca="1">IF($J$5&gt;=B17,"N/A",SUM(INDIRECT(ADDRESS(6+(MATCH($J$5,$B$6:$B$59,0)),8)):H17))</f>
        <v>N/A</v>
      </c>
      <c r="K17" s="10"/>
      <c r="L17" s="88"/>
      <c r="M17" s="4" t="str">
        <f t="shared" si="7"/>
        <v/>
      </c>
      <c r="N17" s="220" t="str">
        <f t="shared" si="1"/>
        <v/>
      </c>
      <c r="O17" s="30" t="str">
        <f ca="1">IF($O$5&gt;=B17,"N/A",SUM(INDIRECT(ADDRESS(6+(MATCH($O$5,$B$6:$B$59,0)),13)):M17))</f>
        <v>N/A</v>
      </c>
      <c r="P17" s="325"/>
      <c r="Q17" s="325"/>
      <c r="R17" s="325"/>
      <c r="S17" s="70" t="str">
        <f t="shared" si="8"/>
        <v/>
      </c>
      <c r="T17" s="241" t="str">
        <f t="shared" si="9"/>
        <v/>
      </c>
      <c r="U17" s="345"/>
      <c r="V17" s="346"/>
      <c r="W17" s="346"/>
      <c r="X17" s="347">
        <f t="shared" si="10"/>
        <v>0</v>
      </c>
      <c r="Y17" s="353">
        <f t="shared" si="11"/>
        <v>2071.9</v>
      </c>
      <c r="Z17" s="357"/>
      <c r="AA17" s="296"/>
      <c r="AB17" s="297"/>
      <c r="AC17" s="297"/>
      <c r="AD17" s="199">
        <f t="shared" si="20"/>
        <v>0</v>
      </c>
      <c r="AE17" s="159">
        <f t="shared" si="13"/>
        <v>600</v>
      </c>
      <c r="AF17" s="298"/>
      <c r="AG17" s="372" t="str">
        <f t="shared" si="0"/>
        <v/>
      </c>
      <c r="AH17" s="363" t="str">
        <f t="shared" si="0"/>
        <v/>
      </c>
      <c r="AI17" s="363" t="str">
        <f t="shared" si="0"/>
        <v/>
      </c>
      <c r="AJ17" s="362">
        <f t="shared" si="2"/>
        <v>0</v>
      </c>
      <c r="AK17" s="370">
        <f t="shared" si="14"/>
        <v>2671.9</v>
      </c>
      <c r="AL17" s="375">
        <f t="shared" si="3"/>
        <v>0</v>
      </c>
      <c r="AM17" s="299"/>
      <c r="AN17" s="300"/>
      <c r="AO17" s="300"/>
      <c r="AP17" s="203">
        <f t="shared" si="4"/>
        <v>0</v>
      </c>
      <c r="AQ17" s="150">
        <f t="shared" si="15"/>
        <v>73.8</v>
      </c>
      <c r="AR17" s="301"/>
      <c r="AS17" s="302"/>
      <c r="AT17" s="303"/>
      <c r="AU17" s="141">
        <f t="shared" si="19"/>
        <v>139</v>
      </c>
      <c r="AV17" s="304"/>
      <c r="AW17" s="316"/>
      <c r="AX17" s="317"/>
      <c r="AY17" s="237" t="e">
        <f t="shared" si="16"/>
        <v>#VALUE!</v>
      </c>
      <c r="AZ17" s="400" t="str">
        <f t="shared" si="17"/>
        <v/>
      </c>
      <c r="BA17" s="241" t="str">
        <f t="shared" si="18"/>
        <v/>
      </c>
      <c r="BB17" s="45" t="s">
        <v>40</v>
      </c>
      <c r="BC17" s="98"/>
      <c r="BD17" s="99"/>
      <c r="BE17" s="99"/>
      <c r="BF17" s="100"/>
      <c r="BG17" s="101"/>
      <c r="BH17" s="100"/>
      <c r="BI17" s="101"/>
      <c r="BJ17" s="101"/>
      <c r="BK17" s="99"/>
      <c r="BL17" s="102"/>
      <c r="BM17" s="102"/>
      <c r="BN17" s="103"/>
      <c r="BO17" s="104"/>
      <c r="BP17" s="98"/>
      <c r="BQ17" s="105"/>
      <c r="BR17" s="104"/>
      <c r="BS17" s="115"/>
      <c r="BT17" s="104"/>
      <c r="BU17" s="98"/>
      <c r="BV17" s="105"/>
      <c r="BW17" s="104"/>
      <c r="BX17" s="104"/>
      <c r="BY17" s="107"/>
      <c r="BZ17" s="108"/>
      <c r="CA17" s="108"/>
      <c r="CB17" s="109"/>
      <c r="CC17" s="110"/>
      <c r="CD17" s="108"/>
      <c r="CE17" s="109"/>
      <c r="CF17" s="109"/>
      <c r="CG17" s="107"/>
      <c r="CH17" s="111"/>
      <c r="CI17" s="98"/>
      <c r="CJ17" s="113"/>
      <c r="CK17" s="113"/>
      <c r="CL17" s="114"/>
      <c r="CM17" s="114"/>
      <c r="CN17" s="114"/>
      <c r="CO17" s="99"/>
      <c r="CP17" s="115"/>
      <c r="CQ17" s="116"/>
      <c r="CR17" s="117"/>
      <c r="CS17" s="118"/>
      <c r="CT17" s="117"/>
      <c r="CU17" s="118"/>
      <c r="CV17" s="117"/>
      <c r="CW17" s="118"/>
      <c r="CX17" s="119"/>
      <c r="CY17" s="120"/>
      <c r="CZ17" s="121"/>
      <c r="DA17" s="120"/>
      <c r="DB17" s="121"/>
      <c r="DC17" s="121"/>
      <c r="DD17" s="100"/>
      <c r="DE17" s="121"/>
      <c r="DF17" s="90"/>
      <c r="DG17" s="90"/>
      <c r="DH17" s="90"/>
      <c r="DI17" s="90"/>
      <c r="DJ17" s="90"/>
      <c r="DK17" s="90"/>
      <c r="DL17" s="90"/>
      <c r="DM17" s="90"/>
      <c r="DN17" s="90"/>
      <c r="DO17" s="90"/>
      <c r="DP17" s="90"/>
      <c r="DQ17" s="90"/>
      <c r="DR17" s="90"/>
    </row>
    <row r="18" spans="1:122" ht="24" customHeight="1" x14ac:dyDescent="0.25">
      <c r="A18" s="83"/>
      <c r="B18" s="442"/>
      <c r="C18" s="453"/>
      <c r="D18" s="84"/>
      <c r="E18" s="23"/>
      <c r="F18" s="15"/>
      <c r="G18" s="213"/>
      <c r="H18" s="27" t="str">
        <f t="shared" si="5"/>
        <v/>
      </c>
      <c r="I18" s="216" t="str">
        <f t="shared" si="6"/>
        <v/>
      </c>
      <c r="J18" s="29" t="str">
        <f ca="1">IF($J$5&gt;=B18,"N/A",SUM(INDIRECT(ADDRESS(6+(MATCH($J$5,$B$6:$B$59,0)),8)):H18))</f>
        <v>N/A</v>
      </c>
      <c r="K18" s="10"/>
      <c r="L18" s="88"/>
      <c r="M18" s="4" t="str">
        <f t="shared" si="7"/>
        <v/>
      </c>
      <c r="N18" s="220" t="str">
        <f t="shared" si="1"/>
        <v/>
      </c>
      <c r="O18" s="30" t="str">
        <f ca="1">IF($O$5&gt;=B18,"N/A",SUM(INDIRECT(ADDRESS(6+(MATCH($O$5,$B$6:$B$59,0)),13)):M18))</f>
        <v>N/A</v>
      </c>
      <c r="P18" s="325"/>
      <c r="Q18" s="325"/>
      <c r="R18" s="325"/>
      <c r="S18" s="70" t="str">
        <f t="shared" si="8"/>
        <v/>
      </c>
      <c r="T18" s="241" t="str">
        <f t="shared" si="9"/>
        <v/>
      </c>
      <c r="U18" s="345"/>
      <c r="V18" s="346"/>
      <c r="W18" s="346"/>
      <c r="X18" s="347">
        <f t="shared" si="10"/>
        <v>0</v>
      </c>
      <c r="Y18" s="353">
        <f t="shared" si="11"/>
        <v>2071.9</v>
      </c>
      <c r="Z18" s="357"/>
      <c r="AA18" s="296"/>
      <c r="AB18" s="297"/>
      <c r="AC18" s="297"/>
      <c r="AD18" s="199">
        <f t="shared" si="20"/>
        <v>0</v>
      </c>
      <c r="AE18" s="159">
        <f t="shared" si="13"/>
        <v>600</v>
      </c>
      <c r="AF18" s="298"/>
      <c r="AG18" s="372" t="str">
        <f t="shared" si="0"/>
        <v/>
      </c>
      <c r="AH18" s="363" t="str">
        <f t="shared" si="0"/>
        <v/>
      </c>
      <c r="AI18" s="363" t="str">
        <f t="shared" si="0"/>
        <v/>
      </c>
      <c r="AJ18" s="362">
        <f t="shared" si="2"/>
        <v>0</v>
      </c>
      <c r="AK18" s="370">
        <f t="shared" si="14"/>
        <v>2671.9</v>
      </c>
      <c r="AL18" s="375">
        <f t="shared" si="3"/>
        <v>0</v>
      </c>
      <c r="AM18" s="299"/>
      <c r="AN18" s="300"/>
      <c r="AO18" s="300"/>
      <c r="AP18" s="203">
        <f t="shared" si="4"/>
        <v>0</v>
      </c>
      <c r="AQ18" s="150">
        <f t="shared" si="15"/>
        <v>73.8</v>
      </c>
      <c r="AR18" s="301"/>
      <c r="AS18" s="302"/>
      <c r="AT18" s="303"/>
      <c r="AU18" s="141">
        <f t="shared" si="19"/>
        <v>139</v>
      </c>
      <c r="AV18" s="304"/>
      <c r="AW18" s="316"/>
      <c r="AX18" s="317"/>
      <c r="AY18" s="237" t="e">
        <f t="shared" si="16"/>
        <v>#VALUE!</v>
      </c>
      <c r="AZ18" s="400" t="str">
        <f t="shared" si="17"/>
        <v/>
      </c>
      <c r="BA18" s="241" t="str">
        <f t="shared" si="18"/>
        <v/>
      </c>
      <c r="BB18" s="45" t="s">
        <v>40</v>
      </c>
      <c r="BC18" s="98"/>
      <c r="BD18" s="99"/>
      <c r="BE18" s="99"/>
      <c r="BF18" s="100"/>
      <c r="BG18" s="101"/>
      <c r="BH18" s="100"/>
      <c r="BI18" s="101"/>
      <c r="BJ18" s="101"/>
      <c r="BK18" s="99"/>
      <c r="BL18" s="102"/>
      <c r="BM18" s="102"/>
      <c r="BN18" s="103"/>
      <c r="BO18" s="104"/>
      <c r="BP18" s="98"/>
      <c r="BQ18" s="105"/>
      <c r="BR18" s="104"/>
      <c r="BS18" s="115"/>
      <c r="BT18" s="104"/>
      <c r="BU18" s="98"/>
      <c r="BV18" s="105"/>
      <c r="BW18" s="104"/>
      <c r="BX18" s="104"/>
      <c r="BY18" s="107"/>
      <c r="BZ18" s="108"/>
      <c r="CA18" s="108"/>
      <c r="CB18" s="109"/>
      <c r="CC18" s="110"/>
      <c r="CD18" s="108"/>
      <c r="CE18" s="109"/>
      <c r="CF18" s="109"/>
      <c r="CG18" s="107"/>
      <c r="CH18" s="111"/>
      <c r="CI18" s="98"/>
      <c r="CJ18" s="113"/>
      <c r="CK18" s="113"/>
      <c r="CL18" s="114"/>
      <c r="CM18" s="114"/>
      <c r="CN18" s="114"/>
      <c r="CO18" s="99"/>
      <c r="CP18" s="115"/>
      <c r="CQ18" s="116"/>
      <c r="CR18" s="117"/>
      <c r="CS18" s="118"/>
      <c r="CT18" s="117"/>
      <c r="CU18" s="118"/>
      <c r="CV18" s="117"/>
      <c r="CW18" s="118"/>
      <c r="CX18" s="119"/>
      <c r="CY18" s="120"/>
      <c r="CZ18" s="121"/>
      <c r="DA18" s="120"/>
      <c r="DB18" s="121"/>
      <c r="DC18" s="121"/>
      <c r="DD18" s="100"/>
      <c r="DE18" s="121"/>
      <c r="DF18" s="90"/>
      <c r="DG18" s="90"/>
      <c r="DH18" s="90"/>
      <c r="DI18" s="90"/>
      <c r="DJ18" s="90"/>
      <c r="DK18" s="90"/>
      <c r="DL18" s="90"/>
      <c r="DM18" s="90"/>
      <c r="DN18" s="90"/>
      <c r="DO18" s="90"/>
      <c r="DP18" s="90"/>
      <c r="DQ18" s="90"/>
      <c r="DR18" s="90"/>
    </row>
    <row r="19" spans="1:122" ht="24" customHeight="1" x14ac:dyDescent="0.25">
      <c r="A19" s="83"/>
      <c r="B19" s="442"/>
      <c r="C19" s="453"/>
      <c r="D19" s="84"/>
      <c r="E19" s="23"/>
      <c r="F19" s="15"/>
      <c r="G19" s="213"/>
      <c r="H19" s="27" t="str">
        <f t="shared" si="5"/>
        <v/>
      </c>
      <c r="I19" s="216" t="str">
        <f t="shared" si="6"/>
        <v/>
      </c>
      <c r="J19" s="29" t="str">
        <f ca="1">IF($J$5&gt;=B19,"N/A",SUM(INDIRECT(ADDRESS(6+(MATCH($J$5,$B$6:$B$59,0)),8)):H19))</f>
        <v>N/A</v>
      </c>
      <c r="K19" s="10"/>
      <c r="L19" s="88"/>
      <c r="M19" s="4" t="str">
        <f t="shared" si="7"/>
        <v/>
      </c>
      <c r="N19" s="220" t="str">
        <f t="shared" si="1"/>
        <v/>
      </c>
      <c r="O19" s="30" t="str">
        <f ca="1">IF($O$5&gt;=B19,"N/A",SUM(INDIRECT(ADDRESS(6+(MATCH($O$5,$B$6:$B$59,0)),13)):M19))</f>
        <v>N/A</v>
      </c>
      <c r="P19" s="325"/>
      <c r="Q19" s="325"/>
      <c r="R19" s="325"/>
      <c r="S19" s="70" t="str">
        <f t="shared" si="8"/>
        <v/>
      </c>
      <c r="T19" s="241" t="str">
        <f t="shared" si="9"/>
        <v/>
      </c>
      <c r="U19" s="345"/>
      <c r="V19" s="346"/>
      <c r="W19" s="346"/>
      <c r="X19" s="347">
        <f t="shared" si="10"/>
        <v>0</v>
      </c>
      <c r="Y19" s="353">
        <f t="shared" si="11"/>
        <v>2071.9</v>
      </c>
      <c r="Z19" s="357"/>
      <c r="AA19" s="296"/>
      <c r="AB19" s="297"/>
      <c r="AC19" s="297"/>
      <c r="AD19" s="199">
        <f t="shared" si="20"/>
        <v>0</v>
      </c>
      <c r="AE19" s="159">
        <f t="shared" si="13"/>
        <v>600</v>
      </c>
      <c r="AF19" s="298"/>
      <c r="AG19" s="372" t="str">
        <f t="shared" si="0"/>
        <v/>
      </c>
      <c r="AH19" s="363" t="str">
        <f t="shared" si="0"/>
        <v/>
      </c>
      <c r="AI19" s="363" t="str">
        <f t="shared" si="0"/>
        <v/>
      </c>
      <c r="AJ19" s="362">
        <f t="shared" si="2"/>
        <v>0</v>
      </c>
      <c r="AK19" s="370">
        <f t="shared" si="14"/>
        <v>2671.9</v>
      </c>
      <c r="AL19" s="375">
        <f t="shared" si="3"/>
        <v>0</v>
      </c>
      <c r="AM19" s="299"/>
      <c r="AN19" s="300"/>
      <c r="AO19" s="300"/>
      <c r="AP19" s="203">
        <f t="shared" si="4"/>
        <v>0</v>
      </c>
      <c r="AQ19" s="150">
        <f t="shared" si="15"/>
        <v>73.8</v>
      </c>
      <c r="AR19" s="301"/>
      <c r="AS19" s="302"/>
      <c r="AT19" s="303"/>
      <c r="AU19" s="141">
        <f t="shared" si="19"/>
        <v>139</v>
      </c>
      <c r="AV19" s="304"/>
      <c r="AW19" s="316"/>
      <c r="AX19" s="317"/>
      <c r="AY19" s="237" t="e">
        <f t="shared" si="16"/>
        <v>#VALUE!</v>
      </c>
      <c r="AZ19" s="400" t="str">
        <f t="shared" si="17"/>
        <v/>
      </c>
      <c r="BA19" s="241" t="str">
        <f t="shared" si="18"/>
        <v/>
      </c>
      <c r="BB19" s="45" t="s">
        <v>40</v>
      </c>
      <c r="BC19" s="98"/>
      <c r="BD19" s="99"/>
      <c r="BE19" s="99"/>
      <c r="BF19" s="100"/>
      <c r="BG19" s="101"/>
      <c r="BH19" s="100"/>
      <c r="BI19" s="101"/>
      <c r="BJ19" s="101"/>
      <c r="BK19" s="99"/>
      <c r="BL19" s="102"/>
      <c r="BM19" s="102"/>
      <c r="BN19" s="103"/>
      <c r="BO19" s="104"/>
      <c r="BP19" s="98"/>
      <c r="BQ19" s="105"/>
      <c r="BR19" s="104"/>
      <c r="BS19" s="115"/>
      <c r="BT19" s="104"/>
      <c r="BU19" s="98"/>
      <c r="BV19" s="105"/>
      <c r="BW19" s="104"/>
      <c r="BX19" s="104"/>
      <c r="BY19" s="107"/>
      <c r="BZ19" s="108"/>
      <c r="CA19" s="108"/>
      <c r="CB19" s="109"/>
      <c r="CC19" s="110"/>
      <c r="CD19" s="108"/>
      <c r="CE19" s="109"/>
      <c r="CF19" s="109"/>
      <c r="CG19" s="107"/>
      <c r="CH19" s="111"/>
      <c r="CI19" s="98"/>
      <c r="CJ19" s="113"/>
      <c r="CK19" s="113"/>
      <c r="CL19" s="114"/>
      <c r="CM19" s="114"/>
      <c r="CN19" s="114"/>
      <c r="CO19" s="99"/>
      <c r="CP19" s="115"/>
      <c r="CQ19" s="116"/>
      <c r="CR19" s="117"/>
      <c r="CS19" s="118"/>
      <c r="CT19" s="117"/>
      <c r="CU19" s="118"/>
      <c r="CV19" s="117"/>
      <c r="CW19" s="118"/>
      <c r="CX19" s="119"/>
      <c r="CY19" s="120"/>
      <c r="CZ19" s="121"/>
      <c r="DA19" s="120"/>
      <c r="DB19" s="121"/>
      <c r="DC19" s="121"/>
      <c r="DD19" s="100"/>
      <c r="DE19" s="121"/>
      <c r="DF19" s="90"/>
      <c r="DG19" s="90"/>
      <c r="DH19" s="90"/>
      <c r="DI19" s="90"/>
      <c r="DJ19" s="90"/>
      <c r="DK19" s="90"/>
      <c r="DL19" s="90"/>
      <c r="DM19" s="90"/>
      <c r="DN19" s="90"/>
      <c r="DO19" s="90"/>
      <c r="DP19" s="90"/>
      <c r="DQ19" s="90"/>
      <c r="DR19" s="90"/>
    </row>
    <row r="20" spans="1:122" ht="24" customHeight="1" x14ac:dyDescent="0.25">
      <c r="A20" s="83"/>
      <c r="B20" s="442"/>
      <c r="C20" s="453"/>
      <c r="D20" s="84"/>
      <c r="E20" s="23"/>
      <c r="F20" s="15"/>
      <c r="G20" s="213"/>
      <c r="H20" s="27" t="str">
        <f t="shared" si="5"/>
        <v/>
      </c>
      <c r="I20" s="216" t="str">
        <f t="shared" si="6"/>
        <v/>
      </c>
      <c r="J20" s="29" t="str">
        <f ca="1">IF($J$5&gt;=B20,"N/A",SUM(INDIRECT(ADDRESS(6+(MATCH($J$5,$B$6:$B$59,0)),8)):H20))</f>
        <v>N/A</v>
      </c>
      <c r="K20" s="10"/>
      <c r="L20" s="88"/>
      <c r="M20" s="4" t="str">
        <f t="shared" si="7"/>
        <v/>
      </c>
      <c r="N20" s="220" t="str">
        <f t="shared" si="1"/>
        <v/>
      </c>
      <c r="O20" s="30" t="str">
        <f ca="1">IF($O$5&gt;=B20,"N/A",SUM(INDIRECT(ADDRESS(6+(MATCH($O$5,$B$6:$B$59,0)),13)):M20))</f>
        <v>N/A</v>
      </c>
      <c r="P20" s="325"/>
      <c r="Q20" s="325"/>
      <c r="R20" s="325"/>
      <c r="S20" s="70" t="str">
        <f t="shared" si="8"/>
        <v/>
      </c>
      <c r="T20" s="241" t="str">
        <f t="shared" si="9"/>
        <v/>
      </c>
      <c r="U20" s="345"/>
      <c r="V20" s="346"/>
      <c r="W20" s="346"/>
      <c r="X20" s="347">
        <f t="shared" si="10"/>
        <v>0</v>
      </c>
      <c r="Y20" s="353">
        <f t="shared" si="11"/>
        <v>2071.9</v>
      </c>
      <c r="Z20" s="357"/>
      <c r="AA20" s="296"/>
      <c r="AB20" s="297"/>
      <c r="AC20" s="297"/>
      <c r="AD20" s="199">
        <f t="shared" si="20"/>
        <v>0</v>
      </c>
      <c r="AE20" s="159">
        <f t="shared" si="13"/>
        <v>600</v>
      </c>
      <c r="AF20" s="298"/>
      <c r="AG20" s="372" t="str">
        <f t="shared" si="0"/>
        <v/>
      </c>
      <c r="AH20" s="363" t="str">
        <f t="shared" si="0"/>
        <v/>
      </c>
      <c r="AI20" s="363" t="str">
        <f t="shared" si="0"/>
        <v/>
      </c>
      <c r="AJ20" s="362">
        <f t="shared" si="2"/>
        <v>0</v>
      </c>
      <c r="AK20" s="370">
        <f t="shared" si="14"/>
        <v>2671.9</v>
      </c>
      <c r="AL20" s="375">
        <f t="shared" si="3"/>
        <v>0</v>
      </c>
      <c r="AM20" s="299"/>
      <c r="AN20" s="300"/>
      <c r="AO20" s="300"/>
      <c r="AP20" s="203">
        <f t="shared" si="4"/>
        <v>0</v>
      </c>
      <c r="AQ20" s="150">
        <f t="shared" si="15"/>
        <v>73.8</v>
      </c>
      <c r="AR20" s="301"/>
      <c r="AS20" s="302"/>
      <c r="AT20" s="303"/>
      <c r="AU20" s="141">
        <f t="shared" si="19"/>
        <v>139</v>
      </c>
      <c r="AV20" s="304"/>
      <c r="AW20" s="316"/>
      <c r="AX20" s="317"/>
      <c r="AY20" s="237" t="e">
        <f t="shared" si="16"/>
        <v>#VALUE!</v>
      </c>
      <c r="AZ20" s="400" t="str">
        <f t="shared" si="17"/>
        <v/>
      </c>
      <c r="BA20" s="241" t="str">
        <f t="shared" si="18"/>
        <v/>
      </c>
      <c r="BB20" s="45" t="s">
        <v>40</v>
      </c>
      <c r="BC20" s="98"/>
      <c r="BD20" s="99"/>
      <c r="BE20" s="99"/>
      <c r="BF20" s="100"/>
      <c r="BG20" s="101"/>
      <c r="BH20" s="100"/>
      <c r="BI20" s="101"/>
      <c r="BJ20" s="101"/>
      <c r="BK20" s="99"/>
      <c r="BL20" s="102"/>
      <c r="BM20" s="102"/>
      <c r="BN20" s="103"/>
      <c r="BO20" s="104"/>
      <c r="BP20" s="98"/>
      <c r="BQ20" s="105"/>
      <c r="BR20" s="104"/>
      <c r="BS20" s="115"/>
      <c r="BT20" s="104"/>
      <c r="BU20" s="98"/>
      <c r="BV20" s="105"/>
      <c r="BW20" s="104"/>
      <c r="BX20" s="104"/>
      <c r="BY20" s="107"/>
      <c r="BZ20" s="108"/>
      <c r="CA20" s="108"/>
      <c r="CB20" s="109"/>
      <c r="CC20" s="110"/>
      <c r="CD20" s="108"/>
      <c r="CE20" s="109"/>
      <c r="CF20" s="109"/>
      <c r="CG20" s="107"/>
      <c r="CH20" s="111"/>
      <c r="CI20" s="98"/>
      <c r="CJ20" s="113"/>
      <c r="CK20" s="113"/>
      <c r="CL20" s="114"/>
      <c r="CM20" s="114"/>
      <c r="CN20" s="114"/>
      <c r="CO20" s="99"/>
      <c r="CP20" s="115"/>
      <c r="CQ20" s="116"/>
      <c r="CR20" s="117"/>
      <c r="CS20" s="118"/>
      <c r="CT20" s="117"/>
      <c r="CU20" s="118"/>
      <c r="CV20" s="117"/>
      <c r="CW20" s="118"/>
      <c r="CX20" s="119"/>
      <c r="CY20" s="120"/>
      <c r="CZ20" s="121"/>
      <c r="DA20" s="120"/>
      <c r="DB20" s="121"/>
      <c r="DC20" s="121"/>
      <c r="DD20" s="100"/>
      <c r="DE20" s="121"/>
      <c r="DF20" s="90"/>
      <c r="DG20" s="90"/>
      <c r="DH20" s="90"/>
      <c r="DI20" s="90"/>
      <c r="DJ20" s="90"/>
      <c r="DK20" s="90"/>
      <c r="DL20" s="90"/>
      <c r="DM20" s="90"/>
      <c r="DN20" s="90"/>
      <c r="DO20" s="90"/>
      <c r="DP20" s="90"/>
      <c r="DQ20" s="90"/>
      <c r="DR20" s="90"/>
    </row>
    <row r="21" spans="1:122" ht="24" customHeight="1" x14ac:dyDescent="0.25">
      <c r="A21" s="83"/>
      <c r="B21" s="442"/>
      <c r="C21" s="453"/>
      <c r="D21" s="84"/>
      <c r="E21" s="23"/>
      <c r="F21" s="15"/>
      <c r="G21" s="213"/>
      <c r="H21" s="27" t="str">
        <f t="shared" si="5"/>
        <v/>
      </c>
      <c r="I21" s="216" t="str">
        <f t="shared" si="6"/>
        <v/>
      </c>
      <c r="J21" s="29" t="str">
        <f ca="1">IF($J$5&gt;=B21,"N/A",SUM(INDIRECT(ADDRESS(6+(MATCH($J$5,$B$6:$B$59,0)),8)):H21))</f>
        <v>N/A</v>
      </c>
      <c r="K21" s="10"/>
      <c r="L21" s="88"/>
      <c r="M21" s="4" t="str">
        <f t="shared" si="7"/>
        <v/>
      </c>
      <c r="N21" s="220" t="str">
        <f t="shared" si="1"/>
        <v/>
      </c>
      <c r="O21" s="30" t="str">
        <f ca="1">IF($O$5&gt;=B21,"N/A",SUM(INDIRECT(ADDRESS(6+(MATCH($O$5,$B$6:$B$59,0)),13)):M21))</f>
        <v>N/A</v>
      </c>
      <c r="P21" s="325"/>
      <c r="Q21" s="325"/>
      <c r="R21" s="325"/>
      <c r="S21" s="70" t="str">
        <f t="shared" si="8"/>
        <v/>
      </c>
      <c r="T21" s="241" t="str">
        <f t="shared" si="9"/>
        <v/>
      </c>
      <c r="U21" s="345"/>
      <c r="V21" s="346"/>
      <c r="W21" s="346"/>
      <c r="X21" s="347">
        <f t="shared" si="10"/>
        <v>0</v>
      </c>
      <c r="Y21" s="353">
        <f t="shared" si="11"/>
        <v>2071.9</v>
      </c>
      <c r="Z21" s="357"/>
      <c r="AA21" s="296"/>
      <c r="AB21" s="297"/>
      <c r="AC21" s="297"/>
      <c r="AD21" s="199">
        <f t="shared" si="20"/>
        <v>0</v>
      </c>
      <c r="AE21" s="159">
        <f t="shared" si="13"/>
        <v>600</v>
      </c>
      <c r="AF21" s="298"/>
      <c r="AG21" s="372" t="str">
        <f t="shared" si="0"/>
        <v/>
      </c>
      <c r="AH21" s="363" t="str">
        <f t="shared" si="0"/>
        <v/>
      </c>
      <c r="AI21" s="363" t="str">
        <f t="shared" si="0"/>
        <v/>
      </c>
      <c r="AJ21" s="362">
        <f t="shared" si="2"/>
        <v>0</v>
      </c>
      <c r="AK21" s="370">
        <f t="shared" si="14"/>
        <v>2671.9</v>
      </c>
      <c r="AL21" s="375">
        <f t="shared" si="3"/>
        <v>0</v>
      </c>
      <c r="AM21" s="299"/>
      <c r="AN21" s="300"/>
      <c r="AO21" s="300"/>
      <c r="AP21" s="203">
        <f t="shared" si="4"/>
        <v>0</v>
      </c>
      <c r="AQ21" s="150">
        <f t="shared" si="15"/>
        <v>73.8</v>
      </c>
      <c r="AR21" s="301"/>
      <c r="AS21" s="302"/>
      <c r="AT21" s="303"/>
      <c r="AU21" s="141">
        <f t="shared" si="19"/>
        <v>139</v>
      </c>
      <c r="AV21" s="304"/>
      <c r="AW21" s="316"/>
      <c r="AX21" s="317"/>
      <c r="AY21" s="237" t="e">
        <f t="shared" ref="AY21:AY59" si="21">((R21-H21)/R21)</f>
        <v>#VALUE!</v>
      </c>
      <c r="AZ21" s="400" t="str">
        <f t="shared" si="17"/>
        <v/>
      </c>
      <c r="BA21" s="241" t="str">
        <f t="shared" si="18"/>
        <v/>
      </c>
      <c r="BB21" s="45" t="s">
        <v>40</v>
      </c>
      <c r="BC21" s="98"/>
      <c r="BD21" s="99"/>
      <c r="BE21" s="99"/>
      <c r="BF21" s="100"/>
      <c r="BG21" s="101"/>
      <c r="BH21" s="100"/>
      <c r="BI21" s="101"/>
      <c r="BJ21" s="101"/>
      <c r="BK21" s="99"/>
      <c r="BL21" s="102"/>
      <c r="BM21" s="102"/>
      <c r="BN21" s="103"/>
      <c r="BO21" s="104"/>
      <c r="BP21" s="98"/>
      <c r="BQ21" s="105"/>
      <c r="BR21" s="104"/>
      <c r="BS21" s="115"/>
      <c r="BT21" s="104"/>
      <c r="BU21" s="98"/>
      <c r="BV21" s="105"/>
      <c r="BW21" s="104"/>
      <c r="BX21" s="104"/>
      <c r="BY21" s="107"/>
      <c r="BZ21" s="108"/>
      <c r="CA21" s="108"/>
      <c r="CB21" s="109"/>
      <c r="CC21" s="110"/>
      <c r="CD21" s="108"/>
      <c r="CE21" s="109"/>
      <c r="CF21" s="109"/>
      <c r="CG21" s="107"/>
      <c r="CH21" s="111"/>
      <c r="CI21" s="98"/>
      <c r="CJ21" s="113"/>
      <c r="CK21" s="113"/>
      <c r="CL21" s="114"/>
      <c r="CM21" s="114"/>
      <c r="CN21" s="114"/>
      <c r="CO21" s="99"/>
      <c r="CP21" s="115"/>
      <c r="CQ21" s="116"/>
      <c r="CR21" s="117"/>
      <c r="CS21" s="118"/>
      <c r="CT21" s="117"/>
      <c r="CU21" s="118"/>
      <c r="CV21" s="117"/>
      <c r="CW21" s="118"/>
      <c r="CX21" s="119"/>
      <c r="CY21" s="120"/>
      <c r="CZ21" s="121"/>
      <c r="DA21" s="120"/>
      <c r="DB21" s="121"/>
      <c r="DC21" s="121"/>
      <c r="DD21" s="100"/>
      <c r="DE21" s="121"/>
      <c r="DF21" s="90"/>
      <c r="DG21" s="90"/>
      <c r="DH21" s="90"/>
      <c r="DI21" s="90"/>
      <c r="DJ21" s="90"/>
      <c r="DK21" s="90"/>
      <c r="DL21" s="90"/>
      <c r="DM21" s="90"/>
      <c r="DN21" s="90"/>
      <c r="DO21" s="90"/>
      <c r="DP21" s="90"/>
      <c r="DQ21" s="90"/>
      <c r="DR21" s="90"/>
    </row>
    <row r="22" spans="1:122" ht="24" customHeight="1" x14ac:dyDescent="0.25">
      <c r="A22" s="83"/>
      <c r="B22" s="442"/>
      <c r="C22" s="453"/>
      <c r="D22" s="84"/>
      <c r="E22" s="23"/>
      <c r="F22" s="15"/>
      <c r="G22" s="213"/>
      <c r="H22" s="27" t="str">
        <f t="shared" si="5"/>
        <v/>
      </c>
      <c r="I22" s="216" t="str">
        <f t="shared" si="6"/>
        <v/>
      </c>
      <c r="J22" s="29" t="str">
        <f ca="1">IF($J$5&gt;=B22,"N/A",SUM(INDIRECT(ADDRESS(6+(MATCH($J$5,$B$6:$B$59,0)),8)):H22))</f>
        <v>N/A</v>
      </c>
      <c r="K22" s="10"/>
      <c r="L22" s="88"/>
      <c r="M22" s="4" t="str">
        <f t="shared" si="7"/>
        <v/>
      </c>
      <c r="N22" s="220" t="str">
        <f t="shared" si="1"/>
        <v/>
      </c>
      <c r="O22" s="30" t="str">
        <f ca="1">IF($O$5&gt;=B22,"N/A",SUM(INDIRECT(ADDRESS(6+(MATCH($O$5,$B$6:$B$59,0)),13)):M22))</f>
        <v>N/A</v>
      </c>
      <c r="P22" s="325"/>
      <c r="Q22" s="325"/>
      <c r="R22" s="325"/>
      <c r="S22" s="70" t="str">
        <f t="shared" si="8"/>
        <v/>
      </c>
      <c r="T22" s="241" t="str">
        <f t="shared" si="9"/>
        <v/>
      </c>
      <c r="U22" s="345"/>
      <c r="V22" s="346"/>
      <c r="W22" s="346"/>
      <c r="X22" s="347">
        <f t="shared" si="10"/>
        <v>0</v>
      </c>
      <c r="Y22" s="353">
        <f t="shared" si="11"/>
        <v>2071.9</v>
      </c>
      <c r="Z22" s="357"/>
      <c r="AA22" s="296"/>
      <c r="AB22" s="297"/>
      <c r="AC22" s="297"/>
      <c r="AD22" s="199">
        <f t="shared" si="20"/>
        <v>0</v>
      </c>
      <c r="AE22" s="159">
        <f t="shared" si="13"/>
        <v>600</v>
      </c>
      <c r="AF22" s="298"/>
      <c r="AG22" s="372" t="str">
        <f>IF(U22+AA22=0,"",U22+AA22)</f>
        <v/>
      </c>
      <c r="AH22" s="363" t="str">
        <f t="shared" si="0"/>
        <v/>
      </c>
      <c r="AI22" s="363" t="str">
        <f t="shared" si="0"/>
        <v/>
      </c>
      <c r="AJ22" s="362">
        <f t="shared" si="2"/>
        <v>0</v>
      </c>
      <c r="AK22" s="370">
        <f t="shared" si="14"/>
        <v>2671.9</v>
      </c>
      <c r="AL22" s="375">
        <f t="shared" si="3"/>
        <v>0</v>
      </c>
      <c r="AM22" s="299"/>
      <c r="AN22" s="300"/>
      <c r="AO22" s="300"/>
      <c r="AP22" s="203">
        <f t="shared" si="4"/>
        <v>0</v>
      </c>
      <c r="AQ22" s="150">
        <f t="shared" si="15"/>
        <v>73.8</v>
      </c>
      <c r="AR22" s="301"/>
      <c r="AS22" s="302"/>
      <c r="AT22" s="303"/>
      <c r="AU22" s="141">
        <f t="shared" si="19"/>
        <v>139</v>
      </c>
      <c r="AV22" s="304"/>
      <c r="AW22" s="316"/>
      <c r="AX22" s="317"/>
      <c r="AY22" s="237" t="e">
        <f t="shared" si="21"/>
        <v>#VALUE!</v>
      </c>
      <c r="AZ22" s="400" t="str">
        <f t="shared" si="17"/>
        <v/>
      </c>
      <c r="BA22" s="241" t="str">
        <f t="shared" si="18"/>
        <v/>
      </c>
      <c r="BB22" s="45" t="s">
        <v>40</v>
      </c>
      <c r="BC22" s="98"/>
      <c r="BD22" s="99"/>
      <c r="BE22" s="99"/>
      <c r="BF22" s="100"/>
      <c r="BG22" s="101"/>
      <c r="BH22" s="100"/>
      <c r="BI22" s="101"/>
      <c r="BJ22" s="101"/>
      <c r="BK22" s="99"/>
      <c r="BL22" s="102"/>
      <c r="BM22" s="102"/>
      <c r="BN22" s="103"/>
      <c r="BO22" s="104"/>
      <c r="BP22" s="98"/>
      <c r="BQ22" s="105"/>
      <c r="BR22" s="104"/>
      <c r="BS22" s="115"/>
      <c r="BT22" s="104"/>
      <c r="BU22" s="98"/>
      <c r="BV22" s="105"/>
      <c r="BW22" s="104"/>
      <c r="BX22" s="104"/>
      <c r="BY22" s="107"/>
      <c r="BZ22" s="108"/>
      <c r="CA22" s="108"/>
      <c r="CB22" s="109"/>
      <c r="CC22" s="110"/>
      <c r="CD22" s="108"/>
      <c r="CE22" s="109"/>
      <c r="CF22" s="109"/>
      <c r="CG22" s="107"/>
      <c r="CH22" s="111"/>
      <c r="CI22" s="98"/>
      <c r="CJ22" s="113"/>
      <c r="CK22" s="113"/>
      <c r="CL22" s="114"/>
      <c r="CM22" s="114"/>
      <c r="CN22" s="114"/>
      <c r="CO22" s="99"/>
      <c r="CP22" s="115"/>
      <c r="CQ22" s="116"/>
      <c r="CR22" s="117"/>
      <c r="CS22" s="118"/>
      <c r="CT22" s="117"/>
      <c r="CU22" s="118"/>
      <c r="CV22" s="117"/>
      <c r="CW22" s="118"/>
      <c r="CX22" s="119"/>
      <c r="CY22" s="120"/>
      <c r="CZ22" s="121"/>
      <c r="DA22" s="120"/>
      <c r="DB22" s="121"/>
      <c r="DC22" s="121"/>
      <c r="DD22" s="100"/>
      <c r="DE22" s="121"/>
      <c r="DF22" s="90"/>
      <c r="DG22" s="90"/>
      <c r="DH22" s="90"/>
      <c r="DI22" s="90"/>
      <c r="DJ22" s="90"/>
      <c r="DK22" s="90"/>
      <c r="DL22" s="90"/>
      <c r="DM22" s="90"/>
      <c r="DN22" s="90"/>
      <c r="DO22" s="90"/>
      <c r="DP22" s="90"/>
      <c r="DQ22" s="90"/>
      <c r="DR22" s="90"/>
    </row>
    <row r="23" spans="1:122" ht="24" customHeight="1" x14ac:dyDescent="0.25">
      <c r="A23" s="83"/>
      <c r="B23" s="442"/>
      <c r="C23" s="453"/>
      <c r="D23" s="84"/>
      <c r="E23" s="23"/>
      <c r="F23" s="15"/>
      <c r="G23" s="213"/>
      <c r="H23" s="27" t="str">
        <f t="shared" si="5"/>
        <v/>
      </c>
      <c r="I23" s="216" t="str">
        <f t="shared" si="6"/>
        <v/>
      </c>
      <c r="J23" s="29" t="str">
        <f ca="1">IF($J$5&gt;=B23,"N/A",SUM(INDIRECT(ADDRESS(6+(MATCH($J$5,$B$6:$B$59,0)),8)):H23))</f>
        <v>N/A</v>
      </c>
      <c r="K23" s="10"/>
      <c r="L23" s="88"/>
      <c r="M23" s="4" t="str">
        <f t="shared" si="7"/>
        <v/>
      </c>
      <c r="N23" s="220" t="str">
        <f t="shared" si="1"/>
        <v/>
      </c>
      <c r="O23" s="30" t="str">
        <f ca="1">IF($O$5&gt;=B23,"N/A",SUM(INDIRECT(ADDRESS(6+(MATCH($O$5,$B$6:$B$59,0)),13)):M23))</f>
        <v>N/A</v>
      </c>
      <c r="P23" s="325"/>
      <c r="Q23" s="325"/>
      <c r="R23" s="325"/>
      <c r="S23" s="70" t="str">
        <f t="shared" si="8"/>
        <v/>
      </c>
      <c r="T23" s="241" t="str">
        <f t="shared" si="9"/>
        <v/>
      </c>
      <c r="U23" s="345"/>
      <c r="V23" s="346"/>
      <c r="W23" s="346"/>
      <c r="X23" s="347">
        <f t="shared" si="10"/>
        <v>0</v>
      </c>
      <c r="Y23" s="353">
        <f t="shared" si="11"/>
        <v>2071.9</v>
      </c>
      <c r="Z23" s="357"/>
      <c r="AA23" s="296"/>
      <c r="AB23" s="297"/>
      <c r="AC23" s="297"/>
      <c r="AD23" s="199">
        <f t="shared" si="20"/>
        <v>0</v>
      </c>
      <c r="AE23" s="159">
        <f t="shared" si="13"/>
        <v>600</v>
      </c>
      <c r="AF23" s="298"/>
      <c r="AG23" s="372" t="str">
        <f t="shared" si="0"/>
        <v/>
      </c>
      <c r="AH23" s="363" t="str">
        <f t="shared" si="0"/>
        <v/>
      </c>
      <c r="AI23" s="363" t="str">
        <f t="shared" si="0"/>
        <v/>
      </c>
      <c r="AJ23" s="362">
        <f t="shared" si="2"/>
        <v>0</v>
      </c>
      <c r="AK23" s="370">
        <f t="shared" si="14"/>
        <v>2671.9</v>
      </c>
      <c r="AL23" s="375">
        <f t="shared" si="3"/>
        <v>0</v>
      </c>
      <c r="AM23" s="299"/>
      <c r="AN23" s="300"/>
      <c r="AO23" s="300"/>
      <c r="AP23" s="203">
        <f t="shared" si="4"/>
        <v>0</v>
      </c>
      <c r="AQ23" s="150">
        <f t="shared" si="15"/>
        <v>73.8</v>
      </c>
      <c r="AR23" s="301"/>
      <c r="AS23" s="302"/>
      <c r="AT23" s="303"/>
      <c r="AU23" s="141">
        <f t="shared" si="19"/>
        <v>139</v>
      </c>
      <c r="AV23" s="304"/>
      <c r="AW23" s="316"/>
      <c r="AX23" s="317"/>
      <c r="AY23" s="237" t="e">
        <f t="shared" si="21"/>
        <v>#VALUE!</v>
      </c>
      <c r="AZ23" s="400" t="str">
        <f t="shared" si="17"/>
        <v/>
      </c>
      <c r="BA23" s="241" t="str">
        <f t="shared" si="18"/>
        <v/>
      </c>
      <c r="BB23" s="45" t="s">
        <v>40</v>
      </c>
      <c r="BC23" s="98"/>
      <c r="BD23" s="99"/>
      <c r="BE23" s="99"/>
      <c r="BF23" s="100"/>
      <c r="BG23" s="101"/>
      <c r="BH23" s="100"/>
      <c r="BI23" s="101"/>
      <c r="BJ23" s="101"/>
      <c r="BK23" s="99"/>
      <c r="BL23" s="102"/>
      <c r="BM23" s="102"/>
      <c r="BN23" s="103"/>
      <c r="BO23" s="104"/>
      <c r="BP23" s="98"/>
      <c r="BQ23" s="105"/>
      <c r="BR23" s="104"/>
      <c r="BS23" s="115"/>
      <c r="BT23" s="104"/>
      <c r="BU23" s="98"/>
      <c r="BV23" s="105"/>
      <c r="BW23" s="104"/>
      <c r="BX23" s="104"/>
      <c r="BY23" s="107"/>
      <c r="BZ23" s="108"/>
      <c r="CA23" s="108"/>
      <c r="CB23" s="109"/>
      <c r="CC23" s="110"/>
      <c r="CD23" s="108"/>
      <c r="CE23" s="109"/>
      <c r="CF23" s="109"/>
      <c r="CG23" s="107"/>
      <c r="CH23" s="111"/>
      <c r="CI23" s="98"/>
      <c r="CJ23" s="113"/>
      <c r="CK23" s="113"/>
      <c r="CL23" s="114"/>
      <c r="CM23" s="114"/>
      <c r="CN23" s="114"/>
      <c r="CO23" s="99"/>
      <c r="CP23" s="115"/>
      <c r="CQ23" s="116"/>
      <c r="CR23" s="117"/>
      <c r="CS23" s="118"/>
      <c r="CT23" s="117"/>
      <c r="CU23" s="118"/>
      <c r="CV23" s="117"/>
      <c r="CW23" s="118"/>
      <c r="CX23" s="119"/>
      <c r="CY23" s="120"/>
      <c r="CZ23" s="121"/>
      <c r="DA23" s="120"/>
      <c r="DB23" s="121"/>
      <c r="DC23" s="121"/>
      <c r="DD23" s="100"/>
      <c r="DE23" s="121"/>
      <c r="DF23" s="90"/>
      <c r="DG23" s="90"/>
      <c r="DH23" s="90"/>
      <c r="DI23" s="90"/>
      <c r="DJ23" s="90"/>
      <c r="DK23" s="90"/>
      <c r="DL23" s="90"/>
      <c r="DM23" s="90"/>
      <c r="DN23" s="90"/>
      <c r="DO23" s="90"/>
      <c r="DP23" s="90"/>
      <c r="DQ23" s="90"/>
      <c r="DR23" s="90"/>
    </row>
    <row r="24" spans="1:122" ht="24" customHeight="1" x14ac:dyDescent="0.25">
      <c r="A24" s="83"/>
      <c r="B24" s="442"/>
      <c r="C24" s="453"/>
      <c r="D24" s="84"/>
      <c r="E24" s="23"/>
      <c r="F24" s="15"/>
      <c r="G24" s="213"/>
      <c r="H24" s="27" t="str">
        <f t="shared" si="5"/>
        <v/>
      </c>
      <c r="I24" s="216" t="str">
        <f t="shared" si="6"/>
        <v/>
      </c>
      <c r="J24" s="29" t="str">
        <f ca="1">IF($J$5&gt;=B24,"N/A",SUM(INDIRECT(ADDRESS(6+(MATCH($J$5,$B$6:$B$59,0)),8)):H24))</f>
        <v>N/A</v>
      </c>
      <c r="K24" s="10"/>
      <c r="L24" s="88"/>
      <c r="M24" s="4" t="str">
        <f t="shared" si="7"/>
        <v/>
      </c>
      <c r="N24" s="220" t="str">
        <f t="shared" si="1"/>
        <v/>
      </c>
      <c r="O24" s="30" t="str">
        <f ca="1">IF($O$5&gt;=B24,"N/A",SUM(INDIRECT(ADDRESS(6+(MATCH($O$5,$B$6:$B$59,0)),13)):M24))</f>
        <v>N/A</v>
      </c>
      <c r="P24" s="325"/>
      <c r="Q24" s="325"/>
      <c r="R24" s="325"/>
      <c r="S24" s="70" t="str">
        <f t="shared" si="8"/>
        <v/>
      </c>
      <c r="T24" s="241" t="str">
        <f t="shared" si="9"/>
        <v/>
      </c>
      <c r="U24" s="345"/>
      <c r="V24" s="346"/>
      <c r="W24" s="346"/>
      <c r="X24" s="347">
        <f t="shared" si="10"/>
        <v>0</v>
      </c>
      <c r="Y24" s="353">
        <f t="shared" si="11"/>
        <v>2071.9</v>
      </c>
      <c r="Z24" s="357"/>
      <c r="AA24" s="296"/>
      <c r="AB24" s="297"/>
      <c r="AC24" s="297"/>
      <c r="AD24" s="199">
        <f t="shared" si="20"/>
        <v>0</v>
      </c>
      <c r="AE24" s="159">
        <f t="shared" si="13"/>
        <v>600</v>
      </c>
      <c r="AF24" s="298"/>
      <c r="AG24" s="372" t="str">
        <f t="shared" si="0"/>
        <v/>
      </c>
      <c r="AH24" s="363" t="str">
        <f t="shared" si="0"/>
        <v/>
      </c>
      <c r="AI24" s="363" t="str">
        <f t="shared" si="0"/>
        <v/>
      </c>
      <c r="AJ24" s="362">
        <f t="shared" si="2"/>
        <v>0</v>
      </c>
      <c r="AK24" s="370">
        <f t="shared" si="14"/>
        <v>2671.9</v>
      </c>
      <c r="AL24" s="375">
        <f t="shared" si="3"/>
        <v>0</v>
      </c>
      <c r="AM24" s="299"/>
      <c r="AN24" s="300"/>
      <c r="AO24" s="300"/>
      <c r="AP24" s="203">
        <f t="shared" si="4"/>
        <v>0</v>
      </c>
      <c r="AQ24" s="150">
        <f t="shared" si="15"/>
        <v>73.8</v>
      </c>
      <c r="AR24" s="301"/>
      <c r="AS24" s="302"/>
      <c r="AT24" s="303"/>
      <c r="AU24" s="141">
        <f t="shared" si="19"/>
        <v>139</v>
      </c>
      <c r="AV24" s="304"/>
      <c r="AW24" s="316"/>
      <c r="AX24" s="317"/>
      <c r="AY24" s="237" t="e">
        <f t="shared" si="21"/>
        <v>#VALUE!</v>
      </c>
      <c r="AZ24" s="400" t="str">
        <f t="shared" si="17"/>
        <v/>
      </c>
      <c r="BA24" s="241" t="str">
        <f t="shared" si="18"/>
        <v/>
      </c>
      <c r="BB24" s="45" t="s">
        <v>40</v>
      </c>
      <c r="BC24" s="98"/>
      <c r="BD24" s="99"/>
      <c r="BE24" s="99"/>
      <c r="BF24" s="100"/>
      <c r="BG24" s="101"/>
      <c r="BH24" s="100"/>
      <c r="BI24" s="101"/>
      <c r="BJ24" s="101"/>
      <c r="BK24" s="99"/>
      <c r="BL24" s="102"/>
      <c r="BM24" s="102"/>
      <c r="BN24" s="103"/>
      <c r="BO24" s="104"/>
      <c r="BP24" s="98"/>
      <c r="BQ24" s="105"/>
      <c r="BR24" s="104"/>
      <c r="BS24" s="115"/>
      <c r="BT24" s="104"/>
      <c r="BU24" s="98"/>
      <c r="BV24" s="105"/>
      <c r="BW24" s="104"/>
      <c r="BX24" s="104"/>
      <c r="BY24" s="107"/>
      <c r="BZ24" s="108"/>
      <c r="CA24" s="108"/>
      <c r="CB24" s="109"/>
      <c r="CC24" s="110"/>
      <c r="CD24" s="108"/>
      <c r="CE24" s="109"/>
      <c r="CF24" s="109"/>
      <c r="CG24" s="107"/>
      <c r="CH24" s="111"/>
      <c r="CI24" s="98"/>
      <c r="CJ24" s="113"/>
      <c r="CK24" s="113"/>
      <c r="CL24" s="114"/>
      <c r="CM24" s="114"/>
      <c r="CN24" s="114"/>
      <c r="CO24" s="99"/>
      <c r="CP24" s="115"/>
      <c r="CQ24" s="116"/>
      <c r="CR24" s="117"/>
      <c r="CS24" s="118"/>
      <c r="CT24" s="117"/>
      <c r="CU24" s="118"/>
      <c r="CV24" s="117"/>
      <c r="CW24" s="118"/>
      <c r="CX24" s="119"/>
      <c r="CY24" s="120"/>
      <c r="CZ24" s="121"/>
      <c r="DA24" s="120"/>
      <c r="DB24" s="121"/>
      <c r="DC24" s="121"/>
      <c r="DD24" s="100"/>
      <c r="DE24" s="121"/>
      <c r="DF24" s="90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90"/>
      <c r="DR24" s="90"/>
    </row>
    <row r="25" spans="1:122" ht="24" customHeight="1" x14ac:dyDescent="0.25">
      <c r="A25" s="83"/>
      <c r="B25" s="442"/>
      <c r="C25" s="453"/>
      <c r="D25" s="84"/>
      <c r="E25" s="23"/>
      <c r="F25" s="15"/>
      <c r="G25" s="213"/>
      <c r="H25" s="27" t="str">
        <f t="shared" si="5"/>
        <v/>
      </c>
      <c r="I25" s="216" t="str">
        <f t="shared" si="6"/>
        <v/>
      </c>
      <c r="J25" s="29" t="str">
        <f ca="1">IF($J$5&gt;=B25,"N/A",SUM(INDIRECT(ADDRESS(6+(MATCH($J$5,$B$6:$B$59,0)),8)):H25))</f>
        <v>N/A</v>
      </c>
      <c r="K25" s="10"/>
      <c r="L25" s="88"/>
      <c r="M25" s="4" t="str">
        <f t="shared" si="7"/>
        <v/>
      </c>
      <c r="N25" s="220" t="str">
        <f t="shared" si="1"/>
        <v/>
      </c>
      <c r="O25" s="30" t="str">
        <f ca="1">IF($O$5&gt;=B25,"N/A",SUM(INDIRECT(ADDRESS(6+(MATCH($O$5,$B$6:$B$59,0)),13)):M25))</f>
        <v>N/A</v>
      </c>
      <c r="P25" s="325"/>
      <c r="Q25" s="325"/>
      <c r="R25" s="325"/>
      <c r="S25" s="70" t="str">
        <f t="shared" si="8"/>
        <v/>
      </c>
      <c r="T25" s="241" t="str">
        <f t="shared" si="9"/>
        <v/>
      </c>
      <c r="U25" s="345"/>
      <c r="V25" s="346"/>
      <c r="W25" s="346"/>
      <c r="X25" s="347">
        <f t="shared" si="10"/>
        <v>0</v>
      </c>
      <c r="Y25" s="353">
        <f t="shared" si="11"/>
        <v>2071.9</v>
      </c>
      <c r="Z25" s="357"/>
      <c r="AA25" s="296"/>
      <c r="AB25" s="297"/>
      <c r="AC25" s="297"/>
      <c r="AD25" s="199">
        <f t="shared" si="20"/>
        <v>0</v>
      </c>
      <c r="AE25" s="159">
        <f t="shared" si="13"/>
        <v>600</v>
      </c>
      <c r="AF25" s="298"/>
      <c r="AG25" s="372" t="str">
        <f t="shared" si="0"/>
        <v/>
      </c>
      <c r="AH25" s="363" t="str">
        <f t="shared" si="0"/>
        <v/>
      </c>
      <c r="AI25" s="363" t="str">
        <f t="shared" si="0"/>
        <v/>
      </c>
      <c r="AJ25" s="362">
        <f t="shared" si="2"/>
        <v>0</v>
      </c>
      <c r="AK25" s="370">
        <f t="shared" si="14"/>
        <v>2671.9</v>
      </c>
      <c r="AL25" s="375">
        <f t="shared" si="3"/>
        <v>0</v>
      </c>
      <c r="AM25" s="299"/>
      <c r="AN25" s="300"/>
      <c r="AO25" s="300"/>
      <c r="AP25" s="203">
        <f t="shared" si="4"/>
        <v>0</v>
      </c>
      <c r="AQ25" s="150">
        <f t="shared" si="15"/>
        <v>73.8</v>
      </c>
      <c r="AR25" s="301"/>
      <c r="AS25" s="302"/>
      <c r="AT25" s="303"/>
      <c r="AU25" s="141">
        <f t="shared" si="19"/>
        <v>139</v>
      </c>
      <c r="AV25" s="304"/>
      <c r="AW25" s="316"/>
      <c r="AX25" s="317"/>
      <c r="AY25" s="237" t="e">
        <f t="shared" si="21"/>
        <v>#VALUE!</v>
      </c>
      <c r="AZ25" s="400" t="str">
        <f t="shared" si="17"/>
        <v/>
      </c>
      <c r="BA25" s="241" t="str">
        <f t="shared" si="18"/>
        <v/>
      </c>
      <c r="BB25" s="45" t="s">
        <v>40</v>
      </c>
      <c r="BC25" s="98"/>
      <c r="BD25" s="99"/>
      <c r="BE25" s="99"/>
      <c r="BF25" s="100"/>
      <c r="BG25" s="101"/>
      <c r="BH25" s="100"/>
      <c r="BI25" s="101"/>
      <c r="BJ25" s="101"/>
      <c r="BK25" s="99"/>
      <c r="BL25" s="102"/>
      <c r="BM25" s="102"/>
      <c r="BN25" s="103"/>
      <c r="BO25" s="104"/>
      <c r="BP25" s="98"/>
      <c r="BQ25" s="105"/>
      <c r="BR25" s="104"/>
      <c r="BS25" s="115"/>
      <c r="BT25" s="104"/>
      <c r="BU25" s="98"/>
      <c r="BV25" s="105"/>
      <c r="BW25" s="104"/>
      <c r="BX25" s="104"/>
      <c r="BY25" s="107"/>
      <c r="BZ25" s="108"/>
      <c r="CA25" s="108"/>
      <c r="CB25" s="109"/>
      <c r="CC25" s="110"/>
      <c r="CD25" s="108"/>
      <c r="CE25" s="109"/>
      <c r="CF25" s="109"/>
      <c r="CG25" s="107"/>
      <c r="CH25" s="111"/>
      <c r="CI25" s="98"/>
      <c r="CJ25" s="113"/>
      <c r="CK25" s="113"/>
      <c r="CL25" s="114"/>
      <c r="CM25" s="114"/>
      <c r="CN25" s="114"/>
      <c r="CO25" s="99"/>
      <c r="CP25" s="115"/>
      <c r="CQ25" s="116"/>
      <c r="CR25" s="117"/>
      <c r="CS25" s="118"/>
      <c r="CT25" s="117"/>
      <c r="CU25" s="118"/>
      <c r="CV25" s="117"/>
      <c r="CW25" s="118"/>
      <c r="CX25" s="119"/>
      <c r="CY25" s="120"/>
      <c r="CZ25" s="121"/>
      <c r="DA25" s="120"/>
      <c r="DB25" s="121"/>
      <c r="DC25" s="121"/>
      <c r="DD25" s="100"/>
      <c r="DE25" s="121"/>
      <c r="DF25" s="90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90"/>
      <c r="DR25" s="90"/>
    </row>
    <row r="26" spans="1:122" ht="24" customHeight="1" x14ac:dyDescent="0.25">
      <c r="A26" s="83"/>
      <c r="B26" s="442"/>
      <c r="C26" s="453"/>
      <c r="D26" s="84"/>
      <c r="E26" s="23"/>
      <c r="F26" s="15"/>
      <c r="G26" s="213"/>
      <c r="H26" s="27" t="str">
        <f t="shared" si="5"/>
        <v/>
      </c>
      <c r="I26" s="216" t="str">
        <f t="shared" si="6"/>
        <v/>
      </c>
      <c r="J26" s="29" t="str">
        <f ca="1">IF($J$5&gt;=B26,"N/A",SUM(INDIRECT(ADDRESS(6+(MATCH($J$5,$B$6:$B$59,0)),8)):H26))</f>
        <v>N/A</v>
      </c>
      <c r="K26" s="10"/>
      <c r="L26" s="88"/>
      <c r="M26" s="4" t="str">
        <f t="shared" si="7"/>
        <v/>
      </c>
      <c r="N26" s="220" t="str">
        <f t="shared" si="1"/>
        <v/>
      </c>
      <c r="O26" s="30" t="str">
        <f ca="1">IF($O$5&gt;=B26,"N/A",SUM(INDIRECT(ADDRESS(6+(MATCH($O$5,$B$6:$B$59,0)),13)):M26))</f>
        <v>N/A</v>
      </c>
      <c r="P26" s="325"/>
      <c r="Q26" s="325"/>
      <c r="R26" s="325"/>
      <c r="S26" s="70" t="str">
        <f t="shared" si="8"/>
        <v/>
      </c>
      <c r="T26" s="241" t="str">
        <f t="shared" si="9"/>
        <v/>
      </c>
      <c r="U26" s="345"/>
      <c r="V26" s="346"/>
      <c r="W26" s="346"/>
      <c r="X26" s="347">
        <f t="shared" si="10"/>
        <v>0</v>
      </c>
      <c r="Y26" s="353">
        <f t="shared" si="11"/>
        <v>2071.9</v>
      </c>
      <c r="Z26" s="357"/>
      <c r="AA26" s="296"/>
      <c r="AB26" s="297"/>
      <c r="AC26" s="297"/>
      <c r="AD26" s="199">
        <f t="shared" si="20"/>
        <v>0</v>
      </c>
      <c r="AE26" s="159">
        <f t="shared" si="13"/>
        <v>600</v>
      </c>
      <c r="AF26" s="298"/>
      <c r="AG26" s="372" t="str">
        <f t="shared" si="0"/>
        <v/>
      </c>
      <c r="AH26" s="363" t="str">
        <f t="shared" si="0"/>
        <v/>
      </c>
      <c r="AI26" s="363" t="str">
        <f t="shared" si="0"/>
        <v/>
      </c>
      <c r="AJ26" s="362">
        <f t="shared" si="2"/>
        <v>0</v>
      </c>
      <c r="AK26" s="370">
        <f t="shared" si="14"/>
        <v>2671.9</v>
      </c>
      <c r="AL26" s="375">
        <f t="shared" si="3"/>
        <v>0</v>
      </c>
      <c r="AM26" s="299"/>
      <c r="AN26" s="300"/>
      <c r="AO26" s="300"/>
      <c r="AP26" s="203">
        <f t="shared" si="4"/>
        <v>0</v>
      </c>
      <c r="AQ26" s="150">
        <f t="shared" si="15"/>
        <v>73.8</v>
      </c>
      <c r="AR26" s="301"/>
      <c r="AS26" s="302"/>
      <c r="AT26" s="303"/>
      <c r="AU26" s="141">
        <f t="shared" si="19"/>
        <v>139</v>
      </c>
      <c r="AV26" s="304"/>
      <c r="AW26" s="316"/>
      <c r="AX26" s="317"/>
      <c r="AY26" s="237" t="e">
        <f t="shared" si="21"/>
        <v>#VALUE!</v>
      </c>
      <c r="AZ26" s="400" t="str">
        <f t="shared" si="17"/>
        <v/>
      </c>
      <c r="BA26" s="241" t="str">
        <f t="shared" si="18"/>
        <v/>
      </c>
      <c r="BB26" s="45" t="s">
        <v>40</v>
      </c>
      <c r="BC26" s="98"/>
      <c r="BD26" s="99"/>
      <c r="BE26" s="99"/>
      <c r="BF26" s="100"/>
      <c r="BG26" s="101"/>
      <c r="BH26" s="100"/>
      <c r="BI26" s="101"/>
      <c r="BJ26" s="101"/>
      <c r="BK26" s="99"/>
      <c r="BL26" s="102"/>
      <c r="BM26" s="102"/>
      <c r="BN26" s="103"/>
      <c r="BO26" s="104"/>
      <c r="BP26" s="98"/>
      <c r="BQ26" s="105"/>
      <c r="BR26" s="104"/>
      <c r="BS26" s="115"/>
      <c r="BT26" s="104"/>
      <c r="BU26" s="98"/>
      <c r="BV26" s="105"/>
      <c r="BW26" s="104"/>
      <c r="BX26" s="104"/>
      <c r="BY26" s="107"/>
      <c r="BZ26" s="108"/>
      <c r="CA26" s="108"/>
      <c r="CB26" s="109"/>
      <c r="CC26" s="110"/>
      <c r="CD26" s="108"/>
      <c r="CE26" s="109"/>
      <c r="CF26" s="109"/>
      <c r="CG26" s="107"/>
      <c r="CH26" s="111"/>
      <c r="CI26" s="98"/>
      <c r="CJ26" s="113"/>
      <c r="CK26" s="113"/>
      <c r="CL26" s="114"/>
      <c r="CM26" s="114"/>
      <c r="CN26" s="114"/>
      <c r="CO26" s="99"/>
      <c r="CP26" s="115"/>
      <c r="CQ26" s="116"/>
      <c r="CR26" s="117"/>
      <c r="CS26" s="118"/>
      <c r="CT26" s="117"/>
      <c r="CU26" s="118"/>
      <c r="CV26" s="117"/>
      <c r="CW26" s="118"/>
      <c r="CX26" s="119"/>
      <c r="CY26" s="120"/>
      <c r="CZ26" s="121"/>
      <c r="DA26" s="120"/>
      <c r="DB26" s="121"/>
      <c r="DC26" s="121"/>
      <c r="DD26" s="100"/>
      <c r="DE26" s="121"/>
      <c r="DF26" s="90"/>
      <c r="DG26" s="90"/>
      <c r="DH26" s="90"/>
      <c r="DI26" s="90"/>
      <c r="DJ26" s="90"/>
      <c r="DK26" s="90"/>
      <c r="DL26" s="90"/>
      <c r="DM26" s="90"/>
      <c r="DN26" s="90"/>
      <c r="DO26" s="90"/>
      <c r="DP26" s="90"/>
      <c r="DQ26" s="90"/>
      <c r="DR26" s="90"/>
    </row>
    <row r="27" spans="1:122" ht="24" customHeight="1" x14ac:dyDescent="0.25">
      <c r="A27" s="83"/>
      <c r="B27" s="442"/>
      <c r="C27" s="453"/>
      <c r="D27" s="84"/>
      <c r="E27" s="23"/>
      <c r="F27" s="15"/>
      <c r="G27" s="213"/>
      <c r="H27" s="27" t="str">
        <f t="shared" si="5"/>
        <v/>
      </c>
      <c r="I27" s="216" t="str">
        <f t="shared" si="6"/>
        <v/>
      </c>
      <c r="J27" s="29" t="str">
        <f ca="1">IF($J$5&gt;=B27,"N/A",SUM(INDIRECT(ADDRESS(6+(MATCH($J$5,$B$6:$B$59,0)),8)):H27))</f>
        <v>N/A</v>
      </c>
      <c r="K27" s="10"/>
      <c r="L27" s="88"/>
      <c r="M27" s="4" t="str">
        <f t="shared" si="7"/>
        <v/>
      </c>
      <c r="N27" s="220" t="str">
        <f t="shared" si="1"/>
        <v/>
      </c>
      <c r="O27" s="30" t="str">
        <f ca="1">IF($O$5&gt;=B27,"N/A",SUM(INDIRECT(ADDRESS(6+(MATCH($O$5,$B$6:$B$59,0)),13)):M27))</f>
        <v>N/A</v>
      </c>
      <c r="P27" s="325"/>
      <c r="Q27" s="325"/>
      <c r="R27" s="325"/>
      <c r="S27" s="70" t="str">
        <f t="shared" si="8"/>
        <v/>
      </c>
      <c r="T27" s="241" t="str">
        <f t="shared" si="9"/>
        <v/>
      </c>
      <c r="U27" s="345"/>
      <c r="V27" s="346"/>
      <c r="W27" s="346"/>
      <c r="X27" s="347">
        <f t="shared" si="10"/>
        <v>0</v>
      </c>
      <c r="Y27" s="353">
        <f t="shared" si="11"/>
        <v>2071.9</v>
      </c>
      <c r="Z27" s="357"/>
      <c r="AA27" s="296"/>
      <c r="AB27" s="297"/>
      <c r="AC27" s="297"/>
      <c r="AD27" s="199">
        <f t="shared" si="20"/>
        <v>0</v>
      </c>
      <c r="AE27" s="159">
        <f t="shared" si="13"/>
        <v>600</v>
      </c>
      <c r="AF27" s="298"/>
      <c r="AG27" s="372" t="str">
        <f t="shared" si="0"/>
        <v/>
      </c>
      <c r="AH27" s="363" t="str">
        <f t="shared" si="0"/>
        <v/>
      </c>
      <c r="AI27" s="363" t="str">
        <f t="shared" si="0"/>
        <v/>
      </c>
      <c r="AJ27" s="362">
        <f t="shared" si="2"/>
        <v>0</v>
      </c>
      <c r="AK27" s="370">
        <f t="shared" si="14"/>
        <v>2671.9</v>
      </c>
      <c r="AL27" s="375">
        <f t="shared" si="3"/>
        <v>0</v>
      </c>
      <c r="AM27" s="299"/>
      <c r="AN27" s="300"/>
      <c r="AO27" s="300"/>
      <c r="AP27" s="203">
        <f t="shared" si="4"/>
        <v>0</v>
      </c>
      <c r="AQ27" s="150">
        <f t="shared" si="15"/>
        <v>73.8</v>
      </c>
      <c r="AR27" s="301"/>
      <c r="AS27" s="302"/>
      <c r="AT27" s="303"/>
      <c r="AU27" s="141">
        <f t="shared" si="19"/>
        <v>139</v>
      </c>
      <c r="AV27" s="304"/>
      <c r="AW27" s="316"/>
      <c r="AX27" s="317"/>
      <c r="AY27" s="237" t="e">
        <f t="shared" si="21"/>
        <v>#VALUE!</v>
      </c>
      <c r="AZ27" s="400" t="str">
        <f t="shared" si="17"/>
        <v/>
      </c>
      <c r="BA27" s="241" t="str">
        <f t="shared" si="18"/>
        <v/>
      </c>
      <c r="BB27" s="45" t="s">
        <v>40</v>
      </c>
      <c r="BC27" s="98"/>
      <c r="BD27" s="99"/>
      <c r="BE27" s="99"/>
      <c r="BF27" s="100"/>
      <c r="BG27" s="101"/>
      <c r="BH27" s="100"/>
      <c r="BI27" s="101"/>
      <c r="BJ27" s="101"/>
      <c r="BK27" s="99"/>
      <c r="BL27" s="102"/>
      <c r="BM27" s="102"/>
      <c r="BN27" s="105"/>
      <c r="BO27" s="104"/>
      <c r="BP27" s="98"/>
      <c r="BQ27" s="105"/>
      <c r="BR27" s="104"/>
      <c r="BS27" s="106"/>
      <c r="BT27" s="104"/>
      <c r="BU27" s="98"/>
      <c r="BV27" s="105"/>
      <c r="BW27" s="104"/>
      <c r="BX27" s="104"/>
      <c r="BY27" s="107"/>
      <c r="BZ27" s="108"/>
      <c r="CA27" s="108"/>
      <c r="CB27" s="109"/>
      <c r="CC27" s="110"/>
      <c r="CD27" s="108"/>
      <c r="CE27" s="109"/>
      <c r="CF27" s="109"/>
      <c r="CG27" s="107"/>
      <c r="CH27" s="111"/>
      <c r="CI27" s="98"/>
      <c r="CJ27" s="113"/>
      <c r="CK27" s="113"/>
      <c r="CL27" s="114"/>
      <c r="CM27" s="114"/>
      <c r="CN27" s="114"/>
      <c r="CO27" s="99"/>
      <c r="CP27" s="111"/>
      <c r="CQ27" s="116"/>
      <c r="CR27" s="225"/>
      <c r="CS27" s="226"/>
      <c r="CT27" s="225"/>
      <c r="CU27" s="226"/>
      <c r="CV27" s="225"/>
      <c r="CW27" s="226"/>
      <c r="CX27" s="227"/>
      <c r="CY27" s="228"/>
      <c r="CZ27" s="229"/>
      <c r="DA27" s="228"/>
      <c r="DB27" s="121"/>
      <c r="DC27" s="121"/>
      <c r="DD27" s="100"/>
      <c r="DE27" s="121"/>
      <c r="DF27" s="90"/>
      <c r="DG27" s="90"/>
      <c r="DH27" s="90"/>
      <c r="DI27" s="90"/>
      <c r="DJ27" s="90"/>
      <c r="DK27" s="90"/>
      <c r="DL27" s="90"/>
      <c r="DM27" s="90"/>
      <c r="DN27" s="90"/>
      <c r="DO27" s="90"/>
      <c r="DP27" s="90"/>
      <c r="DQ27" s="90"/>
      <c r="DR27" s="90"/>
    </row>
    <row r="28" spans="1:122" ht="24" customHeight="1" x14ac:dyDescent="0.25">
      <c r="A28" s="83"/>
      <c r="B28" s="442"/>
      <c r="C28" s="453"/>
      <c r="D28" s="84"/>
      <c r="E28" s="23"/>
      <c r="F28" s="15"/>
      <c r="G28" s="213"/>
      <c r="H28" s="27" t="str">
        <f t="shared" si="5"/>
        <v/>
      </c>
      <c r="I28" s="216" t="str">
        <f t="shared" si="6"/>
        <v/>
      </c>
      <c r="J28" s="29" t="str">
        <f ca="1">IF($J$5&gt;=B28,"N/A",SUM(INDIRECT(ADDRESS(6+(MATCH($J$5,$B$6:$B$59,0)),8)):H28))</f>
        <v>N/A</v>
      </c>
      <c r="K28" s="10"/>
      <c r="L28" s="88"/>
      <c r="M28" s="4" t="str">
        <f t="shared" si="7"/>
        <v/>
      </c>
      <c r="N28" s="220" t="str">
        <f t="shared" si="1"/>
        <v/>
      </c>
      <c r="O28" s="30" t="str">
        <f ca="1">IF($O$5&gt;=B28,"N/A",SUM(INDIRECT(ADDRESS(6+(MATCH($O$5,$B$6:$B$59,0)),13)):M28))</f>
        <v>N/A</v>
      </c>
      <c r="P28" s="325"/>
      <c r="Q28" s="325"/>
      <c r="R28" s="325"/>
      <c r="S28" s="70" t="str">
        <f t="shared" si="8"/>
        <v/>
      </c>
      <c r="T28" s="241" t="str">
        <f t="shared" si="9"/>
        <v/>
      </c>
      <c r="U28" s="345"/>
      <c r="V28" s="346"/>
      <c r="W28" s="346"/>
      <c r="X28" s="347">
        <f t="shared" si="10"/>
        <v>0</v>
      </c>
      <c r="Y28" s="353">
        <f t="shared" si="11"/>
        <v>2071.9</v>
      </c>
      <c r="Z28" s="357"/>
      <c r="AA28" s="296"/>
      <c r="AB28" s="297"/>
      <c r="AC28" s="297"/>
      <c r="AD28" s="199">
        <f t="shared" si="20"/>
        <v>0</v>
      </c>
      <c r="AE28" s="159">
        <f t="shared" si="13"/>
        <v>600</v>
      </c>
      <c r="AF28" s="298"/>
      <c r="AG28" s="372" t="str">
        <f t="shared" si="0"/>
        <v/>
      </c>
      <c r="AH28" s="363" t="str">
        <f t="shared" si="0"/>
        <v/>
      </c>
      <c r="AI28" s="363" t="str">
        <f t="shared" si="0"/>
        <v/>
      </c>
      <c r="AJ28" s="362">
        <f t="shared" si="2"/>
        <v>0</v>
      </c>
      <c r="AK28" s="370">
        <f t="shared" si="14"/>
        <v>2671.9</v>
      </c>
      <c r="AL28" s="375">
        <f t="shared" si="3"/>
        <v>0</v>
      </c>
      <c r="AM28" s="299"/>
      <c r="AN28" s="300"/>
      <c r="AO28" s="300"/>
      <c r="AP28" s="203">
        <f t="shared" si="4"/>
        <v>0</v>
      </c>
      <c r="AQ28" s="150">
        <f t="shared" si="15"/>
        <v>73.8</v>
      </c>
      <c r="AR28" s="301"/>
      <c r="AS28" s="302"/>
      <c r="AT28" s="303"/>
      <c r="AU28" s="141">
        <f t="shared" si="19"/>
        <v>139</v>
      </c>
      <c r="AV28" s="304"/>
      <c r="AW28" s="316"/>
      <c r="AX28" s="317"/>
      <c r="AY28" s="237" t="e">
        <f t="shared" si="21"/>
        <v>#VALUE!</v>
      </c>
      <c r="AZ28" s="400" t="str">
        <f t="shared" si="17"/>
        <v/>
      </c>
      <c r="BA28" s="241" t="str">
        <f t="shared" si="18"/>
        <v/>
      </c>
      <c r="BB28" s="45" t="s">
        <v>40</v>
      </c>
      <c r="BC28" s="98"/>
      <c r="BD28" s="99"/>
      <c r="BE28" s="99"/>
      <c r="BF28" s="100"/>
      <c r="BG28" s="101"/>
      <c r="BH28" s="100"/>
      <c r="BI28" s="101"/>
      <c r="BJ28" s="101"/>
      <c r="BK28" s="99"/>
      <c r="BL28" s="102"/>
      <c r="BM28" s="102"/>
      <c r="BN28" s="105"/>
      <c r="BO28" s="104"/>
      <c r="BP28" s="98"/>
      <c r="BQ28" s="105"/>
      <c r="BR28" s="104"/>
      <c r="BS28" s="106"/>
      <c r="BT28" s="104"/>
      <c r="BU28" s="98"/>
      <c r="BV28" s="105"/>
      <c r="BW28" s="104"/>
      <c r="BX28" s="104"/>
      <c r="BY28" s="107"/>
      <c r="BZ28" s="108"/>
      <c r="CA28" s="108"/>
      <c r="CB28" s="109"/>
      <c r="CC28" s="110"/>
      <c r="CD28" s="108"/>
      <c r="CE28" s="109"/>
      <c r="CF28" s="109"/>
      <c r="CG28" s="107"/>
      <c r="CH28" s="111"/>
      <c r="CI28" s="98"/>
      <c r="CJ28" s="113"/>
      <c r="CK28" s="113"/>
      <c r="CL28" s="114"/>
      <c r="CM28" s="114"/>
      <c r="CN28" s="114"/>
      <c r="CO28" s="99"/>
      <c r="CP28" s="115"/>
      <c r="CQ28" s="116"/>
      <c r="CR28" s="225"/>
      <c r="CS28" s="226"/>
      <c r="CT28" s="225"/>
      <c r="CU28" s="226"/>
      <c r="CV28" s="225"/>
      <c r="CW28" s="226"/>
      <c r="CX28" s="227"/>
      <c r="CY28" s="228"/>
      <c r="CZ28" s="229"/>
      <c r="DA28" s="228"/>
      <c r="DB28" s="121"/>
      <c r="DC28" s="121"/>
      <c r="DD28" s="100"/>
      <c r="DE28" s="121"/>
      <c r="DF28" s="90"/>
      <c r="DG28" s="90"/>
      <c r="DH28" s="90"/>
      <c r="DI28" s="90"/>
      <c r="DJ28" s="90"/>
      <c r="DK28" s="90"/>
      <c r="DL28" s="90"/>
      <c r="DM28" s="90"/>
      <c r="DN28" s="90"/>
      <c r="DO28" s="90"/>
      <c r="DP28" s="90"/>
      <c r="DQ28" s="90"/>
      <c r="DR28" s="90"/>
    </row>
    <row r="29" spans="1:122" ht="24" customHeight="1" x14ac:dyDescent="0.25">
      <c r="A29" s="83"/>
      <c r="B29" s="442"/>
      <c r="C29" s="453"/>
      <c r="D29" s="84"/>
      <c r="E29" s="23"/>
      <c r="F29" s="15"/>
      <c r="G29" s="213"/>
      <c r="H29" s="27" t="str">
        <f t="shared" si="5"/>
        <v/>
      </c>
      <c r="I29" s="216" t="str">
        <f t="shared" si="6"/>
        <v/>
      </c>
      <c r="J29" s="29" t="str">
        <f ca="1">IF($J$5&gt;=B29,"N/A",SUM(INDIRECT(ADDRESS(6+(MATCH($J$5,$B$6:$B$59,0)),8)):H29))</f>
        <v>N/A</v>
      </c>
      <c r="K29" s="10"/>
      <c r="L29" s="88"/>
      <c r="M29" s="4" t="str">
        <f t="shared" si="7"/>
        <v/>
      </c>
      <c r="N29" s="220" t="str">
        <f t="shared" si="1"/>
        <v/>
      </c>
      <c r="O29" s="30" t="str">
        <f ca="1">IF($O$5&gt;=B29,"N/A",SUM(INDIRECT(ADDRESS(6+(MATCH($O$5,$B$6:$B$59,0)),13)):M29))</f>
        <v>N/A</v>
      </c>
      <c r="P29" s="325"/>
      <c r="Q29" s="325"/>
      <c r="R29" s="325"/>
      <c r="S29" s="70" t="str">
        <f t="shared" si="8"/>
        <v/>
      </c>
      <c r="T29" s="241" t="str">
        <f t="shared" si="9"/>
        <v/>
      </c>
      <c r="U29" s="345"/>
      <c r="V29" s="346"/>
      <c r="W29" s="346"/>
      <c r="X29" s="347">
        <f t="shared" si="10"/>
        <v>0</v>
      </c>
      <c r="Y29" s="353">
        <f t="shared" si="11"/>
        <v>2071.9</v>
      </c>
      <c r="Z29" s="357"/>
      <c r="AA29" s="296"/>
      <c r="AB29" s="297"/>
      <c r="AC29" s="297"/>
      <c r="AD29" s="199">
        <f t="shared" si="20"/>
        <v>0</v>
      </c>
      <c r="AE29" s="159">
        <f t="shared" si="13"/>
        <v>600</v>
      </c>
      <c r="AF29" s="298"/>
      <c r="AG29" s="372" t="str">
        <f t="shared" si="0"/>
        <v/>
      </c>
      <c r="AH29" s="363" t="str">
        <f t="shared" si="0"/>
        <v/>
      </c>
      <c r="AI29" s="363" t="str">
        <f t="shared" si="0"/>
        <v/>
      </c>
      <c r="AJ29" s="362">
        <f t="shared" si="2"/>
        <v>0</v>
      </c>
      <c r="AK29" s="370">
        <f t="shared" si="14"/>
        <v>2671.9</v>
      </c>
      <c r="AL29" s="375">
        <f t="shared" si="3"/>
        <v>0</v>
      </c>
      <c r="AM29" s="299"/>
      <c r="AN29" s="300"/>
      <c r="AO29" s="300"/>
      <c r="AP29" s="203">
        <f t="shared" si="4"/>
        <v>0</v>
      </c>
      <c r="AQ29" s="150">
        <f t="shared" si="15"/>
        <v>73.8</v>
      </c>
      <c r="AR29" s="301"/>
      <c r="AS29" s="302"/>
      <c r="AT29" s="303"/>
      <c r="AU29" s="141">
        <f t="shared" si="19"/>
        <v>139</v>
      </c>
      <c r="AV29" s="304"/>
      <c r="AW29" s="316"/>
      <c r="AX29" s="317"/>
      <c r="AY29" s="237" t="e">
        <f t="shared" si="21"/>
        <v>#VALUE!</v>
      </c>
      <c r="AZ29" s="400" t="str">
        <f t="shared" si="17"/>
        <v/>
      </c>
      <c r="BA29" s="241" t="str">
        <f t="shared" si="18"/>
        <v/>
      </c>
      <c r="BB29" s="45" t="s">
        <v>40</v>
      </c>
      <c r="BC29" s="98"/>
      <c r="BD29" s="99"/>
      <c r="BE29" s="99"/>
      <c r="BF29" s="100"/>
      <c r="BG29" s="101"/>
      <c r="BH29" s="100"/>
      <c r="BI29" s="101"/>
      <c r="BJ29" s="101"/>
      <c r="BK29" s="99"/>
      <c r="BL29" s="102"/>
      <c r="BM29" s="102"/>
      <c r="BN29" s="105"/>
      <c r="BO29" s="104"/>
      <c r="BP29" s="98"/>
      <c r="BQ29" s="105"/>
      <c r="BR29" s="104"/>
      <c r="BS29" s="106"/>
      <c r="BT29" s="104"/>
      <c r="BU29" s="98"/>
      <c r="BV29" s="105"/>
      <c r="BW29" s="104"/>
      <c r="BX29" s="104"/>
      <c r="BY29" s="107"/>
      <c r="BZ29" s="108"/>
      <c r="CA29" s="108"/>
      <c r="CB29" s="109"/>
      <c r="CC29" s="110"/>
      <c r="CD29" s="108"/>
      <c r="CE29" s="109"/>
      <c r="CF29" s="109"/>
      <c r="CG29" s="107"/>
      <c r="CH29" s="111"/>
      <c r="CI29" s="98"/>
      <c r="CJ29" s="113"/>
      <c r="CK29" s="113"/>
      <c r="CL29" s="114"/>
      <c r="CM29" s="114"/>
      <c r="CN29" s="114"/>
      <c r="CO29" s="99"/>
      <c r="CP29" s="111"/>
      <c r="CQ29" s="116"/>
      <c r="CR29" s="225"/>
      <c r="CS29" s="226"/>
      <c r="CT29" s="225"/>
      <c r="CU29" s="226"/>
      <c r="CV29" s="225"/>
      <c r="CW29" s="226"/>
      <c r="CX29" s="227"/>
      <c r="CY29" s="228"/>
      <c r="CZ29" s="229"/>
      <c r="DA29" s="228"/>
      <c r="DB29" s="121"/>
      <c r="DC29" s="121"/>
      <c r="DD29" s="100"/>
      <c r="DE29" s="121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</row>
    <row r="30" spans="1:122" ht="24" customHeight="1" x14ac:dyDescent="0.25">
      <c r="A30" s="83"/>
      <c r="B30" s="442"/>
      <c r="C30" s="453"/>
      <c r="D30" s="84"/>
      <c r="E30" s="23"/>
      <c r="F30" s="15"/>
      <c r="G30" s="213"/>
      <c r="H30" s="27" t="str">
        <f t="shared" si="5"/>
        <v/>
      </c>
      <c r="I30" s="216" t="str">
        <f t="shared" si="6"/>
        <v/>
      </c>
      <c r="J30" s="29" t="str">
        <f ca="1">IF($J$5&gt;=B30,"N/A",SUM(INDIRECT(ADDRESS(6+(MATCH($J$5,$B$6:$B$59,0)),8)):H30))</f>
        <v>N/A</v>
      </c>
      <c r="K30" s="10"/>
      <c r="L30" s="88"/>
      <c r="M30" s="4" t="str">
        <f t="shared" si="7"/>
        <v/>
      </c>
      <c r="N30" s="220" t="str">
        <f t="shared" si="1"/>
        <v/>
      </c>
      <c r="O30" s="30" t="str">
        <f ca="1">IF($O$5&gt;=B30,"N/A",SUM(INDIRECT(ADDRESS(6+(MATCH($O$5,$B$6:$B$59,0)),13)):M30))</f>
        <v>N/A</v>
      </c>
      <c r="P30" s="325"/>
      <c r="Q30" s="325"/>
      <c r="R30" s="325"/>
      <c r="S30" s="70" t="str">
        <f t="shared" si="8"/>
        <v/>
      </c>
      <c r="T30" s="241" t="str">
        <f t="shared" si="9"/>
        <v/>
      </c>
      <c r="U30" s="345"/>
      <c r="V30" s="346"/>
      <c r="W30" s="346"/>
      <c r="X30" s="347">
        <f t="shared" si="10"/>
        <v>0</v>
      </c>
      <c r="Y30" s="353">
        <f t="shared" si="11"/>
        <v>2071.9</v>
      </c>
      <c r="Z30" s="357"/>
      <c r="AA30" s="296"/>
      <c r="AB30" s="297"/>
      <c r="AC30" s="297"/>
      <c r="AD30" s="199">
        <f t="shared" si="20"/>
        <v>0</v>
      </c>
      <c r="AE30" s="159">
        <f t="shared" si="13"/>
        <v>600</v>
      </c>
      <c r="AF30" s="298"/>
      <c r="AG30" s="372" t="str">
        <f t="shared" si="0"/>
        <v/>
      </c>
      <c r="AH30" s="363" t="str">
        <f t="shared" si="0"/>
        <v/>
      </c>
      <c r="AI30" s="363" t="str">
        <f t="shared" si="0"/>
        <v/>
      </c>
      <c r="AJ30" s="362">
        <f t="shared" si="2"/>
        <v>0</v>
      </c>
      <c r="AK30" s="370">
        <f t="shared" si="14"/>
        <v>2671.9</v>
      </c>
      <c r="AL30" s="375">
        <f t="shared" si="3"/>
        <v>0</v>
      </c>
      <c r="AM30" s="299"/>
      <c r="AN30" s="300"/>
      <c r="AO30" s="300"/>
      <c r="AP30" s="203">
        <f t="shared" si="4"/>
        <v>0</v>
      </c>
      <c r="AQ30" s="150">
        <f t="shared" si="15"/>
        <v>73.8</v>
      </c>
      <c r="AR30" s="301"/>
      <c r="AS30" s="302"/>
      <c r="AT30" s="303"/>
      <c r="AU30" s="141">
        <f t="shared" si="19"/>
        <v>139</v>
      </c>
      <c r="AV30" s="304"/>
      <c r="AW30" s="316"/>
      <c r="AX30" s="317"/>
      <c r="AY30" s="237" t="e">
        <f t="shared" si="21"/>
        <v>#VALUE!</v>
      </c>
      <c r="AZ30" s="400" t="str">
        <f t="shared" si="17"/>
        <v/>
      </c>
      <c r="BA30" s="241" t="str">
        <f t="shared" si="18"/>
        <v/>
      </c>
      <c r="BB30" s="45" t="s">
        <v>40</v>
      </c>
      <c r="BC30" s="98"/>
      <c r="BD30" s="99"/>
      <c r="BE30" s="99"/>
      <c r="BF30" s="100"/>
      <c r="BG30" s="101"/>
      <c r="BH30" s="100"/>
      <c r="BI30" s="101"/>
      <c r="BJ30" s="101"/>
      <c r="BK30" s="99"/>
      <c r="BL30" s="102"/>
      <c r="BM30" s="102"/>
      <c r="BN30" s="103"/>
      <c r="BO30" s="104"/>
      <c r="BP30" s="98"/>
      <c r="BQ30" s="105"/>
      <c r="BR30" s="104"/>
      <c r="BS30" s="115"/>
      <c r="BT30" s="104"/>
      <c r="BU30" s="98"/>
      <c r="BV30" s="105"/>
      <c r="BW30" s="104"/>
      <c r="BX30" s="104"/>
      <c r="BY30" s="107"/>
      <c r="BZ30" s="108"/>
      <c r="CA30" s="108"/>
      <c r="CB30" s="109"/>
      <c r="CC30" s="110"/>
      <c r="CD30" s="108"/>
      <c r="CE30" s="109"/>
      <c r="CF30" s="109"/>
      <c r="CG30" s="107"/>
      <c r="CH30" s="111"/>
      <c r="CI30" s="98"/>
      <c r="CJ30" s="113"/>
      <c r="CK30" s="113"/>
      <c r="CL30" s="114"/>
      <c r="CM30" s="114"/>
      <c r="CN30" s="114"/>
      <c r="CO30" s="99"/>
      <c r="CP30" s="115"/>
      <c r="CQ30" s="116"/>
      <c r="CR30" s="90"/>
      <c r="CS30" s="90"/>
      <c r="CT30" s="90"/>
      <c r="CU30" s="90"/>
      <c r="CV30" s="90"/>
      <c r="CW30" s="90"/>
      <c r="CX30" s="90"/>
      <c r="CY30" s="90"/>
      <c r="CZ30" s="90"/>
      <c r="DA30" s="90"/>
      <c r="DB30" s="121"/>
      <c r="DC30" s="121"/>
      <c r="DD30" s="100"/>
      <c r="DE30" s="121"/>
      <c r="DF30" s="90"/>
      <c r="DG30" s="90"/>
      <c r="DH30" s="90"/>
      <c r="DI30" s="90"/>
      <c r="DJ30" s="90"/>
      <c r="DK30" s="90"/>
      <c r="DL30" s="90"/>
      <c r="DM30" s="90"/>
      <c r="DN30" s="90"/>
      <c r="DO30" s="90"/>
      <c r="DP30" s="90"/>
      <c r="DQ30" s="90"/>
      <c r="DR30" s="90"/>
    </row>
    <row r="31" spans="1:122" ht="24" customHeight="1" x14ac:dyDescent="0.25">
      <c r="A31" s="83"/>
      <c r="B31" s="442"/>
      <c r="C31" s="453"/>
      <c r="D31" s="84"/>
      <c r="E31" s="23"/>
      <c r="F31" s="15"/>
      <c r="G31" s="213"/>
      <c r="H31" s="27" t="str">
        <f t="shared" si="5"/>
        <v/>
      </c>
      <c r="I31" s="216" t="str">
        <f t="shared" si="6"/>
        <v/>
      </c>
      <c r="J31" s="29" t="str">
        <f ca="1">IF($J$5&gt;=B31,"N/A",SUM(INDIRECT(ADDRESS(6+(MATCH($J$5,$B$6:$B$59,0)),8)):H31))</f>
        <v>N/A</v>
      </c>
      <c r="K31" s="10"/>
      <c r="L31" s="88"/>
      <c r="M31" s="4" t="str">
        <f t="shared" si="7"/>
        <v/>
      </c>
      <c r="N31" s="220" t="str">
        <f t="shared" si="1"/>
        <v/>
      </c>
      <c r="O31" s="30" t="str">
        <f ca="1">IF($O$5&gt;=B31,"N/A",SUM(INDIRECT(ADDRESS(6+(MATCH($O$5,$B$6:$B$59,0)),13)):M31))</f>
        <v>N/A</v>
      </c>
      <c r="P31" s="325"/>
      <c r="Q31" s="325"/>
      <c r="R31" s="325"/>
      <c r="S31" s="70" t="str">
        <f t="shared" si="8"/>
        <v/>
      </c>
      <c r="T31" s="241" t="str">
        <f t="shared" si="9"/>
        <v/>
      </c>
      <c r="U31" s="345"/>
      <c r="V31" s="346"/>
      <c r="W31" s="346"/>
      <c r="X31" s="347">
        <f t="shared" si="10"/>
        <v>0</v>
      </c>
      <c r="Y31" s="353">
        <f t="shared" si="11"/>
        <v>2071.9</v>
      </c>
      <c r="Z31" s="357"/>
      <c r="AA31" s="296"/>
      <c r="AB31" s="297"/>
      <c r="AC31" s="297"/>
      <c r="AD31" s="199">
        <f t="shared" si="20"/>
        <v>0</v>
      </c>
      <c r="AE31" s="159">
        <f t="shared" si="13"/>
        <v>600</v>
      </c>
      <c r="AF31" s="298"/>
      <c r="AG31" s="372" t="str">
        <f t="shared" si="0"/>
        <v/>
      </c>
      <c r="AH31" s="363" t="str">
        <f t="shared" si="0"/>
        <v/>
      </c>
      <c r="AI31" s="363" t="str">
        <f t="shared" si="0"/>
        <v/>
      </c>
      <c r="AJ31" s="362">
        <f t="shared" si="2"/>
        <v>0</v>
      </c>
      <c r="AK31" s="370">
        <f t="shared" si="14"/>
        <v>2671.9</v>
      </c>
      <c r="AL31" s="375">
        <f t="shared" si="3"/>
        <v>0</v>
      </c>
      <c r="AM31" s="299"/>
      <c r="AN31" s="300"/>
      <c r="AO31" s="300"/>
      <c r="AP31" s="203">
        <f t="shared" si="4"/>
        <v>0</v>
      </c>
      <c r="AQ31" s="150">
        <f t="shared" si="15"/>
        <v>73.8</v>
      </c>
      <c r="AR31" s="301"/>
      <c r="AS31" s="302"/>
      <c r="AT31" s="303"/>
      <c r="AU31" s="141">
        <f t="shared" si="19"/>
        <v>139</v>
      </c>
      <c r="AV31" s="304"/>
      <c r="AW31" s="316"/>
      <c r="AX31" s="317"/>
      <c r="AY31" s="237" t="e">
        <f t="shared" si="21"/>
        <v>#VALUE!</v>
      </c>
      <c r="AZ31" s="400" t="str">
        <f t="shared" si="17"/>
        <v/>
      </c>
      <c r="BA31" s="241" t="str">
        <f t="shared" si="18"/>
        <v/>
      </c>
      <c r="BB31" s="45" t="s">
        <v>40</v>
      </c>
      <c r="BC31" s="98"/>
      <c r="BD31" s="99"/>
      <c r="BE31" s="99"/>
      <c r="BF31" s="100"/>
      <c r="BG31" s="101"/>
      <c r="BH31" s="100"/>
      <c r="BI31" s="101"/>
      <c r="BJ31" s="101"/>
      <c r="BK31" s="99"/>
      <c r="BL31" s="102"/>
      <c r="BM31" s="102"/>
      <c r="BN31" s="103"/>
      <c r="BO31" s="104"/>
      <c r="BP31" s="98"/>
      <c r="BQ31" s="105"/>
      <c r="BR31" s="104"/>
      <c r="BS31" s="115"/>
      <c r="BT31" s="104"/>
      <c r="BU31" s="98"/>
      <c r="BV31" s="105"/>
      <c r="BW31" s="104"/>
      <c r="BX31" s="104"/>
      <c r="BY31" s="107"/>
      <c r="BZ31" s="108"/>
      <c r="CA31" s="108"/>
      <c r="CB31" s="109"/>
      <c r="CC31" s="110"/>
      <c r="CD31" s="108"/>
      <c r="CE31" s="109"/>
      <c r="CF31" s="109"/>
      <c r="CG31" s="107"/>
      <c r="CH31" s="111"/>
      <c r="CI31" s="98"/>
      <c r="CJ31" s="113"/>
      <c r="CK31" s="113"/>
      <c r="CL31" s="114"/>
      <c r="CM31" s="114"/>
      <c r="CN31" s="114"/>
      <c r="CO31" s="99"/>
      <c r="CP31" s="115"/>
      <c r="CQ31" s="116"/>
      <c r="CR31" s="90"/>
      <c r="CS31" s="90"/>
      <c r="CT31" s="90"/>
      <c r="CU31" s="90"/>
      <c r="CV31" s="90"/>
      <c r="CW31" s="90"/>
      <c r="CX31" s="90"/>
      <c r="CY31" s="90"/>
      <c r="CZ31" s="90"/>
      <c r="DA31" s="90"/>
      <c r="DB31" s="121"/>
      <c r="DC31" s="121"/>
      <c r="DD31" s="100"/>
      <c r="DE31" s="121"/>
      <c r="DF31" s="90"/>
      <c r="DG31" s="90"/>
      <c r="DH31" s="90"/>
      <c r="DI31" s="90"/>
      <c r="DJ31" s="90"/>
      <c r="DK31" s="90"/>
      <c r="DL31" s="90"/>
      <c r="DM31" s="90"/>
      <c r="DN31" s="90"/>
      <c r="DO31" s="90"/>
      <c r="DP31" s="90"/>
      <c r="DQ31" s="90"/>
      <c r="DR31" s="90"/>
    </row>
    <row r="32" spans="1:122" ht="24" customHeight="1" x14ac:dyDescent="0.25">
      <c r="A32" s="83"/>
      <c r="B32" s="442"/>
      <c r="C32" s="453"/>
      <c r="D32" s="84"/>
      <c r="E32" s="23"/>
      <c r="F32" s="15"/>
      <c r="G32" s="213"/>
      <c r="H32" s="27" t="str">
        <f t="shared" si="5"/>
        <v/>
      </c>
      <c r="I32" s="216" t="str">
        <f t="shared" si="6"/>
        <v/>
      </c>
      <c r="J32" s="29" t="str">
        <f ca="1">IF($J$5&gt;=B32,"N/A",SUM(INDIRECT(ADDRESS(6+(MATCH($J$5,$B$6:$B$59,0)),8)):H32))</f>
        <v>N/A</v>
      </c>
      <c r="K32" s="10"/>
      <c r="L32" s="88"/>
      <c r="M32" s="4" t="str">
        <f t="shared" si="7"/>
        <v/>
      </c>
      <c r="N32" s="220" t="str">
        <f t="shared" si="1"/>
        <v/>
      </c>
      <c r="O32" s="30" t="str">
        <f ca="1">IF($O$5&gt;=B32,"N/A",SUM(INDIRECT(ADDRESS(6+(MATCH($O$5,$B$6:$B$59,0)),13)):M32))</f>
        <v>N/A</v>
      </c>
      <c r="P32" s="325"/>
      <c r="Q32" s="325"/>
      <c r="R32" s="325"/>
      <c r="S32" s="70" t="str">
        <f t="shared" si="8"/>
        <v/>
      </c>
      <c r="T32" s="241" t="str">
        <f t="shared" si="9"/>
        <v/>
      </c>
      <c r="U32" s="345"/>
      <c r="V32" s="346"/>
      <c r="W32" s="346"/>
      <c r="X32" s="347">
        <f t="shared" si="10"/>
        <v>0</v>
      </c>
      <c r="Y32" s="353">
        <f t="shared" si="11"/>
        <v>2071.9</v>
      </c>
      <c r="Z32" s="357"/>
      <c r="AA32" s="296"/>
      <c r="AB32" s="297"/>
      <c r="AC32" s="297"/>
      <c r="AD32" s="199">
        <f t="shared" si="20"/>
        <v>0</v>
      </c>
      <c r="AE32" s="159">
        <f t="shared" si="13"/>
        <v>600</v>
      </c>
      <c r="AF32" s="298"/>
      <c r="AG32" s="372" t="str">
        <f t="shared" si="0"/>
        <v/>
      </c>
      <c r="AH32" s="363" t="str">
        <f t="shared" si="0"/>
        <v/>
      </c>
      <c r="AI32" s="363" t="str">
        <f t="shared" si="0"/>
        <v/>
      </c>
      <c r="AJ32" s="362">
        <f t="shared" si="2"/>
        <v>0</v>
      </c>
      <c r="AK32" s="370">
        <f t="shared" si="14"/>
        <v>2671.9</v>
      </c>
      <c r="AL32" s="375">
        <f t="shared" si="3"/>
        <v>0</v>
      </c>
      <c r="AM32" s="299"/>
      <c r="AN32" s="300"/>
      <c r="AO32" s="300"/>
      <c r="AP32" s="203">
        <f t="shared" si="4"/>
        <v>0</v>
      </c>
      <c r="AQ32" s="150">
        <f t="shared" si="15"/>
        <v>73.8</v>
      </c>
      <c r="AR32" s="301"/>
      <c r="AS32" s="302"/>
      <c r="AT32" s="303"/>
      <c r="AU32" s="141">
        <f t="shared" si="19"/>
        <v>139</v>
      </c>
      <c r="AV32" s="304"/>
      <c r="AW32" s="316"/>
      <c r="AX32" s="317"/>
      <c r="AY32" s="237" t="e">
        <f t="shared" si="21"/>
        <v>#VALUE!</v>
      </c>
      <c r="AZ32" s="400" t="str">
        <f t="shared" si="17"/>
        <v/>
      </c>
      <c r="BA32" s="241" t="str">
        <f t="shared" si="18"/>
        <v/>
      </c>
      <c r="BB32" s="45" t="s">
        <v>40</v>
      </c>
      <c r="BC32" s="98"/>
      <c r="BD32" s="99"/>
      <c r="BE32" s="99"/>
      <c r="BF32" s="100"/>
      <c r="BG32" s="101"/>
      <c r="BH32" s="100"/>
      <c r="BI32" s="101"/>
      <c r="BJ32" s="101"/>
      <c r="BK32" s="99"/>
      <c r="BL32" s="102"/>
      <c r="BM32" s="102"/>
      <c r="BN32" s="103"/>
      <c r="BO32" s="104"/>
      <c r="BP32" s="98"/>
      <c r="BQ32" s="105"/>
      <c r="BR32" s="104"/>
      <c r="BS32" s="115"/>
      <c r="BT32" s="104"/>
      <c r="BU32" s="98"/>
      <c r="BV32" s="105"/>
      <c r="BW32" s="104"/>
      <c r="BX32" s="104"/>
      <c r="BY32" s="107"/>
      <c r="BZ32" s="108"/>
      <c r="CA32" s="108"/>
      <c r="CB32" s="109"/>
      <c r="CC32" s="110"/>
      <c r="CD32" s="108"/>
      <c r="CE32" s="109"/>
      <c r="CF32" s="109"/>
      <c r="CG32" s="107"/>
      <c r="CH32" s="111"/>
      <c r="CI32" s="98"/>
      <c r="CJ32" s="113"/>
      <c r="CK32" s="113"/>
      <c r="CL32" s="114"/>
      <c r="CM32" s="114"/>
      <c r="CN32" s="114"/>
      <c r="CO32" s="99"/>
      <c r="CP32" s="115"/>
      <c r="CQ32" s="116"/>
      <c r="CR32" s="90"/>
      <c r="CS32" s="90"/>
      <c r="CT32" s="90"/>
      <c r="CU32" s="90"/>
      <c r="CV32" s="90"/>
      <c r="CW32" s="90"/>
      <c r="CX32" s="90"/>
      <c r="CY32" s="90"/>
      <c r="CZ32" s="90"/>
      <c r="DA32" s="90"/>
      <c r="DB32" s="121"/>
      <c r="DC32" s="121"/>
      <c r="DD32" s="100"/>
      <c r="DE32" s="121"/>
      <c r="DF32" s="90"/>
      <c r="DG32" s="90"/>
      <c r="DH32" s="90"/>
      <c r="DI32" s="90"/>
      <c r="DJ32" s="90"/>
      <c r="DK32" s="90"/>
      <c r="DL32" s="90"/>
      <c r="DM32" s="90"/>
      <c r="DN32" s="90"/>
      <c r="DO32" s="90"/>
      <c r="DP32" s="90"/>
      <c r="DQ32" s="90"/>
      <c r="DR32" s="90"/>
    </row>
    <row r="33" spans="1:122" ht="24" customHeight="1" x14ac:dyDescent="0.25">
      <c r="A33" s="83"/>
      <c r="B33" s="442"/>
      <c r="C33" s="453"/>
      <c r="D33" s="84"/>
      <c r="E33" s="23"/>
      <c r="F33" s="15"/>
      <c r="G33" s="213"/>
      <c r="H33" s="27" t="str">
        <f t="shared" si="5"/>
        <v/>
      </c>
      <c r="I33" s="216" t="str">
        <f t="shared" si="6"/>
        <v/>
      </c>
      <c r="J33" s="29" t="str">
        <f ca="1">IF($J$5&gt;=B33,"N/A",SUM(INDIRECT(ADDRESS(6+(MATCH($J$5,$B$6:$B$59,0)),8)):H33))</f>
        <v>N/A</v>
      </c>
      <c r="K33" s="10"/>
      <c r="L33" s="88"/>
      <c r="M33" s="4" t="str">
        <f t="shared" si="7"/>
        <v/>
      </c>
      <c r="N33" s="220" t="str">
        <f t="shared" si="1"/>
        <v/>
      </c>
      <c r="O33" s="30" t="str">
        <f ca="1">IF($O$5&gt;=B33,"N/A",SUM(INDIRECT(ADDRESS(6+(MATCH($O$5,$B$6:$B$59,0)),13)):M33))</f>
        <v>N/A</v>
      </c>
      <c r="P33" s="325"/>
      <c r="Q33" s="325"/>
      <c r="R33" s="325"/>
      <c r="S33" s="70" t="str">
        <f t="shared" si="8"/>
        <v/>
      </c>
      <c r="T33" s="241" t="str">
        <f t="shared" si="9"/>
        <v/>
      </c>
      <c r="U33" s="345"/>
      <c r="V33" s="346"/>
      <c r="W33" s="346"/>
      <c r="X33" s="347">
        <f t="shared" si="10"/>
        <v>0</v>
      </c>
      <c r="Y33" s="353">
        <f t="shared" si="11"/>
        <v>2071.9</v>
      </c>
      <c r="Z33" s="357"/>
      <c r="AA33" s="296"/>
      <c r="AB33" s="297"/>
      <c r="AC33" s="297"/>
      <c r="AD33" s="199">
        <f t="shared" si="20"/>
        <v>0</v>
      </c>
      <c r="AE33" s="159">
        <f t="shared" si="13"/>
        <v>600</v>
      </c>
      <c r="AF33" s="298"/>
      <c r="AG33" s="372" t="str">
        <f t="shared" si="0"/>
        <v/>
      </c>
      <c r="AH33" s="363" t="str">
        <f t="shared" si="0"/>
        <v/>
      </c>
      <c r="AI33" s="363" t="str">
        <f t="shared" si="0"/>
        <v/>
      </c>
      <c r="AJ33" s="362">
        <f t="shared" si="2"/>
        <v>0</v>
      </c>
      <c r="AK33" s="370">
        <f t="shared" si="14"/>
        <v>2671.9</v>
      </c>
      <c r="AL33" s="375">
        <f t="shared" si="3"/>
        <v>0</v>
      </c>
      <c r="AM33" s="299"/>
      <c r="AN33" s="300"/>
      <c r="AO33" s="300"/>
      <c r="AP33" s="203">
        <f t="shared" si="4"/>
        <v>0</v>
      </c>
      <c r="AQ33" s="150">
        <f t="shared" si="15"/>
        <v>73.8</v>
      </c>
      <c r="AR33" s="301"/>
      <c r="AS33" s="302"/>
      <c r="AT33" s="303"/>
      <c r="AU33" s="141">
        <f t="shared" si="19"/>
        <v>139</v>
      </c>
      <c r="AV33" s="304"/>
      <c r="AW33" s="316"/>
      <c r="AX33" s="317"/>
      <c r="AY33" s="237" t="e">
        <f t="shared" si="21"/>
        <v>#VALUE!</v>
      </c>
      <c r="AZ33" s="400" t="str">
        <f t="shared" si="17"/>
        <v/>
      </c>
      <c r="BA33" s="241" t="str">
        <f t="shared" si="18"/>
        <v/>
      </c>
      <c r="BB33" s="45" t="s">
        <v>40</v>
      </c>
      <c r="BC33" s="98"/>
      <c r="BD33" s="99"/>
      <c r="BE33" s="99"/>
      <c r="BF33" s="100"/>
      <c r="BG33" s="101"/>
      <c r="BH33" s="100"/>
      <c r="BI33" s="101"/>
      <c r="BJ33" s="101"/>
      <c r="BK33" s="99"/>
      <c r="BL33" s="102"/>
      <c r="BM33" s="102"/>
      <c r="BN33" s="103"/>
      <c r="BO33" s="104"/>
      <c r="BP33" s="98"/>
      <c r="BQ33" s="105"/>
      <c r="BR33" s="104"/>
      <c r="BS33" s="115"/>
      <c r="BT33" s="104"/>
      <c r="BU33" s="98"/>
      <c r="BV33" s="105"/>
      <c r="BW33" s="104"/>
      <c r="BX33" s="104"/>
      <c r="BY33" s="107"/>
      <c r="BZ33" s="108"/>
      <c r="CA33" s="108"/>
      <c r="CB33" s="109"/>
      <c r="CC33" s="110"/>
      <c r="CD33" s="108"/>
      <c r="CE33" s="109"/>
      <c r="CF33" s="109"/>
      <c r="CG33" s="107"/>
      <c r="CH33" s="111"/>
      <c r="CI33" s="98"/>
      <c r="CJ33" s="113"/>
      <c r="CK33" s="113"/>
      <c r="CL33" s="114"/>
      <c r="CM33" s="114"/>
      <c r="CN33" s="114"/>
      <c r="CO33" s="99"/>
      <c r="CP33" s="115"/>
      <c r="CQ33" s="116"/>
      <c r="CR33" s="90"/>
      <c r="CS33" s="90"/>
      <c r="CT33" s="90"/>
      <c r="CU33" s="90"/>
      <c r="CV33" s="90"/>
      <c r="CW33" s="90"/>
      <c r="CX33" s="90"/>
      <c r="CY33" s="90"/>
      <c r="CZ33" s="90"/>
      <c r="DA33" s="90"/>
      <c r="DB33" s="121"/>
      <c r="DC33" s="121"/>
      <c r="DD33" s="100"/>
      <c r="DE33" s="121"/>
      <c r="DF33" s="90"/>
      <c r="DG33" s="90"/>
      <c r="DH33" s="90"/>
      <c r="DI33" s="90"/>
      <c r="DJ33" s="90"/>
      <c r="DK33" s="90"/>
      <c r="DL33" s="90"/>
      <c r="DM33" s="90"/>
      <c r="DN33" s="90"/>
      <c r="DO33" s="90"/>
      <c r="DP33" s="90"/>
      <c r="DQ33" s="90"/>
      <c r="DR33" s="90"/>
    </row>
    <row r="34" spans="1:122" ht="24" customHeight="1" x14ac:dyDescent="0.25">
      <c r="A34" s="83"/>
      <c r="B34" s="442"/>
      <c r="C34" s="453"/>
      <c r="D34" s="84"/>
      <c r="E34" s="23"/>
      <c r="F34" s="15"/>
      <c r="G34" s="213"/>
      <c r="H34" s="27" t="str">
        <f t="shared" si="5"/>
        <v/>
      </c>
      <c r="I34" s="216" t="str">
        <f t="shared" si="6"/>
        <v/>
      </c>
      <c r="J34" s="29" t="str">
        <f ca="1">IF($J$5&gt;=B34,"N/A",SUM(INDIRECT(ADDRESS(6+(MATCH($J$5,$B$6:$B$59,0)),8)):H34))</f>
        <v>N/A</v>
      </c>
      <c r="K34" s="10"/>
      <c r="L34" s="88"/>
      <c r="M34" s="4" t="str">
        <f t="shared" si="7"/>
        <v/>
      </c>
      <c r="N34" s="220" t="str">
        <f t="shared" si="1"/>
        <v/>
      </c>
      <c r="O34" s="30" t="str">
        <f ca="1">IF($O$5&gt;=B34,"N/A",SUM(INDIRECT(ADDRESS(6+(MATCH($O$5,$B$6:$B$59,0)),13)):M34))</f>
        <v>N/A</v>
      </c>
      <c r="P34" s="325"/>
      <c r="Q34" s="325"/>
      <c r="R34" s="325"/>
      <c r="S34" s="70" t="str">
        <f t="shared" si="8"/>
        <v/>
      </c>
      <c r="T34" s="241" t="str">
        <f>IF($B34="","",$B34)</f>
        <v/>
      </c>
      <c r="U34" s="345"/>
      <c r="V34" s="346"/>
      <c r="W34" s="346"/>
      <c r="X34" s="347">
        <f t="shared" si="10"/>
        <v>0</v>
      </c>
      <c r="Y34" s="353">
        <f t="shared" si="11"/>
        <v>2071.9</v>
      </c>
      <c r="Z34" s="357"/>
      <c r="AA34" s="296"/>
      <c r="AB34" s="297"/>
      <c r="AC34" s="297"/>
      <c r="AD34" s="199">
        <f t="shared" si="20"/>
        <v>0</v>
      </c>
      <c r="AE34" s="159">
        <f t="shared" si="13"/>
        <v>600</v>
      </c>
      <c r="AF34" s="298"/>
      <c r="AG34" s="372" t="str">
        <f t="shared" si="0"/>
        <v/>
      </c>
      <c r="AH34" s="363" t="str">
        <f t="shared" si="0"/>
        <v/>
      </c>
      <c r="AI34" s="363" t="str">
        <f t="shared" si="0"/>
        <v/>
      </c>
      <c r="AJ34" s="362">
        <f t="shared" si="2"/>
        <v>0</v>
      </c>
      <c r="AK34" s="370">
        <f t="shared" si="14"/>
        <v>2671.9</v>
      </c>
      <c r="AL34" s="375">
        <f t="shared" si="3"/>
        <v>0</v>
      </c>
      <c r="AM34" s="299"/>
      <c r="AN34" s="300"/>
      <c r="AO34" s="300"/>
      <c r="AP34" s="203">
        <f t="shared" si="4"/>
        <v>0</v>
      </c>
      <c r="AQ34" s="150">
        <f t="shared" si="15"/>
        <v>73.8</v>
      </c>
      <c r="AR34" s="301"/>
      <c r="AS34" s="302"/>
      <c r="AT34" s="303"/>
      <c r="AU34" s="141">
        <f t="shared" si="19"/>
        <v>139</v>
      </c>
      <c r="AV34" s="304"/>
      <c r="AW34" s="316"/>
      <c r="AX34" s="317"/>
      <c r="AY34" s="237" t="e">
        <f t="shared" si="21"/>
        <v>#VALUE!</v>
      </c>
      <c r="AZ34" s="400" t="str">
        <f t="shared" si="17"/>
        <v/>
      </c>
      <c r="BA34" s="241" t="str">
        <f>IF($B34="","",$B34)</f>
        <v/>
      </c>
      <c r="BB34" s="45" t="s">
        <v>40</v>
      </c>
      <c r="BC34" s="98"/>
      <c r="BD34" s="99"/>
      <c r="BE34" s="99"/>
      <c r="BF34" s="100"/>
      <c r="BG34" s="101"/>
      <c r="BH34" s="100"/>
      <c r="BI34" s="101"/>
      <c r="BJ34" s="101"/>
      <c r="BK34" s="99"/>
      <c r="BL34" s="102"/>
      <c r="BM34" s="102"/>
      <c r="BN34" s="103"/>
      <c r="BO34" s="104"/>
      <c r="BP34" s="98"/>
      <c r="BQ34" s="105"/>
      <c r="BR34" s="104"/>
      <c r="BS34" s="115"/>
      <c r="BT34" s="104"/>
      <c r="BU34" s="98"/>
      <c r="BV34" s="105"/>
      <c r="BW34" s="104"/>
      <c r="BX34" s="104"/>
      <c r="BY34" s="107"/>
      <c r="BZ34" s="108"/>
      <c r="CA34" s="108"/>
      <c r="CB34" s="109"/>
      <c r="CC34" s="110"/>
      <c r="CD34" s="108"/>
      <c r="CE34" s="109"/>
      <c r="CF34" s="109"/>
      <c r="CG34" s="107"/>
      <c r="CH34" s="111"/>
      <c r="CI34" s="98"/>
      <c r="CJ34" s="113"/>
      <c r="CK34" s="113"/>
      <c r="CL34" s="114"/>
      <c r="CM34" s="114"/>
      <c r="CN34" s="114"/>
      <c r="CO34" s="99"/>
      <c r="CP34" s="115"/>
      <c r="CQ34" s="116"/>
      <c r="CR34" s="90"/>
      <c r="CS34" s="90"/>
      <c r="CT34" s="90"/>
      <c r="CU34" s="90"/>
      <c r="CV34" s="90"/>
      <c r="CW34" s="90"/>
      <c r="CX34" s="90"/>
      <c r="CY34" s="90"/>
      <c r="CZ34" s="90"/>
      <c r="DA34" s="90"/>
      <c r="DB34" s="121"/>
      <c r="DC34" s="121"/>
      <c r="DD34" s="100"/>
      <c r="DE34" s="121"/>
      <c r="DF34" s="90"/>
      <c r="DG34" s="90"/>
      <c r="DH34" s="90"/>
      <c r="DI34" s="90"/>
      <c r="DJ34" s="90"/>
      <c r="DK34" s="90"/>
      <c r="DL34" s="90"/>
      <c r="DM34" s="90"/>
      <c r="DN34" s="90"/>
      <c r="DO34" s="90"/>
      <c r="DP34" s="90"/>
      <c r="DQ34" s="90"/>
      <c r="DR34" s="90"/>
    </row>
    <row r="35" spans="1:122" ht="24" customHeight="1" x14ac:dyDescent="0.25">
      <c r="A35" s="83"/>
      <c r="B35" s="442"/>
      <c r="C35" s="453"/>
      <c r="D35" s="84"/>
      <c r="E35" s="23"/>
      <c r="F35" s="15"/>
      <c r="G35" s="213"/>
      <c r="H35" s="27" t="str">
        <f t="shared" si="5"/>
        <v/>
      </c>
      <c r="I35" s="216" t="str">
        <f t="shared" si="6"/>
        <v/>
      </c>
      <c r="J35" s="29" t="str">
        <f ca="1">IF($J$5&gt;=B35,"N/A",SUM(INDIRECT(ADDRESS(6+(MATCH($J$5,$B$6:$B$59,0)),8)):H35))</f>
        <v>N/A</v>
      </c>
      <c r="K35" s="10"/>
      <c r="L35" s="88"/>
      <c r="M35" s="4" t="str">
        <f t="shared" si="7"/>
        <v/>
      </c>
      <c r="N35" s="220" t="str">
        <f t="shared" si="1"/>
        <v/>
      </c>
      <c r="O35" s="30" t="str">
        <f ca="1">IF($O$5&gt;=B35,"N/A",SUM(INDIRECT(ADDRESS(6+(MATCH($O$5,$B$6:$B$59,0)),13)):M35))</f>
        <v>N/A</v>
      </c>
      <c r="P35" s="325"/>
      <c r="Q35" s="325"/>
      <c r="R35" s="325"/>
      <c r="S35" s="70" t="str">
        <f t="shared" si="8"/>
        <v/>
      </c>
      <c r="T35" s="241" t="str">
        <f>IF($B35="","",$B35)</f>
        <v/>
      </c>
      <c r="U35" s="345"/>
      <c r="V35" s="346"/>
      <c r="W35" s="346"/>
      <c r="X35" s="347">
        <f t="shared" si="10"/>
        <v>0</v>
      </c>
      <c r="Y35" s="353">
        <f t="shared" si="11"/>
        <v>2071.9</v>
      </c>
      <c r="Z35" s="357"/>
      <c r="AA35" s="296"/>
      <c r="AB35" s="297"/>
      <c r="AC35" s="297"/>
      <c r="AD35" s="199">
        <f t="shared" si="20"/>
        <v>0</v>
      </c>
      <c r="AE35" s="159">
        <f t="shared" si="13"/>
        <v>600</v>
      </c>
      <c r="AF35" s="298"/>
      <c r="AG35" s="372" t="str">
        <f t="shared" si="0"/>
        <v/>
      </c>
      <c r="AH35" s="363" t="str">
        <f t="shared" si="0"/>
        <v/>
      </c>
      <c r="AI35" s="363" t="str">
        <f t="shared" si="0"/>
        <v/>
      </c>
      <c r="AJ35" s="362">
        <f t="shared" si="2"/>
        <v>0</v>
      </c>
      <c r="AK35" s="370">
        <f t="shared" si="14"/>
        <v>2671.9</v>
      </c>
      <c r="AL35" s="375">
        <f t="shared" si="3"/>
        <v>0</v>
      </c>
      <c r="AM35" s="299"/>
      <c r="AN35" s="300"/>
      <c r="AO35" s="300"/>
      <c r="AP35" s="203">
        <f t="shared" si="4"/>
        <v>0</v>
      </c>
      <c r="AQ35" s="150">
        <f t="shared" si="15"/>
        <v>73.8</v>
      </c>
      <c r="AR35" s="301"/>
      <c r="AS35" s="302"/>
      <c r="AT35" s="303"/>
      <c r="AU35" s="141">
        <f t="shared" si="19"/>
        <v>139</v>
      </c>
      <c r="AV35" s="304"/>
      <c r="AW35" s="316"/>
      <c r="AX35" s="317"/>
      <c r="AY35" s="237" t="e">
        <f t="shared" si="21"/>
        <v>#VALUE!</v>
      </c>
      <c r="AZ35" s="400" t="str">
        <f t="shared" si="17"/>
        <v/>
      </c>
      <c r="BA35" s="241" t="str">
        <f>IF($B35="","",$B35)</f>
        <v/>
      </c>
      <c r="BB35" s="45" t="s">
        <v>40</v>
      </c>
      <c r="BC35" s="98"/>
      <c r="BD35" s="99"/>
      <c r="BE35" s="99"/>
      <c r="BF35" s="100"/>
      <c r="BG35" s="101"/>
      <c r="BH35" s="100"/>
      <c r="BI35" s="101"/>
      <c r="BJ35" s="101"/>
      <c r="BK35" s="99"/>
      <c r="BL35" s="102"/>
      <c r="BM35" s="102"/>
      <c r="BN35" s="103"/>
      <c r="BO35" s="104"/>
      <c r="BP35" s="98"/>
      <c r="BQ35" s="105"/>
      <c r="BR35" s="104"/>
      <c r="BS35" s="115"/>
      <c r="BT35" s="104"/>
      <c r="BU35" s="98"/>
      <c r="BV35" s="105"/>
      <c r="BW35" s="104"/>
      <c r="BX35" s="104"/>
      <c r="BY35" s="107"/>
      <c r="BZ35" s="108"/>
      <c r="CA35" s="108"/>
      <c r="CB35" s="109"/>
      <c r="CC35" s="110"/>
      <c r="CD35" s="108"/>
      <c r="CE35" s="109"/>
      <c r="CF35" s="109"/>
      <c r="CG35" s="107"/>
      <c r="CH35" s="111"/>
      <c r="CI35" s="98"/>
      <c r="CJ35" s="113"/>
      <c r="CK35" s="113"/>
      <c r="CL35" s="114"/>
      <c r="CM35" s="114"/>
      <c r="CN35" s="114"/>
      <c r="CO35" s="99"/>
      <c r="CP35" s="115"/>
      <c r="CQ35" s="116"/>
      <c r="CR35" s="90"/>
      <c r="CS35" s="90"/>
      <c r="CT35" s="90"/>
      <c r="CU35" s="90"/>
      <c r="CV35" s="90"/>
      <c r="CW35" s="90"/>
      <c r="CX35" s="90"/>
      <c r="CY35" s="90"/>
      <c r="CZ35" s="90"/>
      <c r="DA35" s="90"/>
      <c r="DB35" s="121"/>
      <c r="DC35" s="121"/>
      <c r="DD35" s="100"/>
      <c r="DE35" s="121"/>
      <c r="DF35" s="90"/>
      <c r="DG35" s="90"/>
      <c r="DH35" s="90"/>
      <c r="DI35" s="90"/>
      <c r="DJ35" s="90"/>
      <c r="DK35" s="90"/>
      <c r="DL35" s="90"/>
      <c r="DM35" s="90"/>
      <c r="DN35" s="90"/>
      <c r="DO35" s="90"/>
      <c r="DP35" s="90"/>
      <c r="DQ35" s="90"/>
      <c r="DR35" s="90"/>
    </row>
    <row r="36" spans="1:122" ht="24" customHeight="1" x14ac:dyDescent="0.25">
      <c r="A36" s="83"/>
      <c r="B36" s="442"/>
      <c r="C36" s="453"/>
      <c r="D36" s="84"/>
      <c r="E36" s="23"/>
      <c r="F36" s="15"/>
      <c r="G36" s="213"/>
      <c r="H36" s="27" t="str">
        <f t="shared" si="5"/>
        <v/>
      </c>
      <c r="I36" s="216" t="str">
        <f t="shared" si="6"/>
        <v/>
      </c>
      <c r="J36" s="29" t="str">
        <f ca="1">IF($J$5&gt;=B36,"N/A",SUM(INDIRECT(ADDRESS(6+(MATCH($J$5,$B$6:$B$59,0)),8)):H36))</f>
        <v>N/A</v>
      </c>
      <c r="K36" s="10"/>
      <c r="L36" s="88"/>
      <c r="M36" s="4" t="str">
        <f t="shared" si="7"/>
        <v/>
      </c>
      <c r="N36" s="220" t="str">
        <f t="shared" si="1"/>
        <v/>
      </c>
      <c r="O36" s="30" t="str">
        <f ca="1">IF($O$5&gt;=B36,"N/A",SUM(INDIRECT(ADDRESS(6+(MATCH($O$5,$B$6:$B$59,0)),13)):M36))</f>
        <v>N/A</v>
      </c>
      <c r="P36" s="325"/>
      <c r="Q36" s="325"/>
      <c r="R36" s="325"/>
      <c r="S36" s="70" t="str">
        <f t="shared" si="8"/>
        <v/>
      </c>
      <c r="T36" s="241" t="str">
        <f t="shared" si="9"/>
        <v/>
      </c>
      <c r="U36" s="345"/>
      <c r="V36" s="346"/>
      <c r="W36" s="346"/>
      <c r="X36" s="347">
        <f t="shared" si="10"/>
        <v>0</v>
      </c>
      <c r="Y36" s="353">
        <f t="shared" si="11"/>
        <v>2071.9</v>
      </c>
      <c r="Z36" s="357"/>
      <c r="AA36" s="296"/>
      <c r="AB36" s="297"/>
      <c r="AC36" s="297"/>
      <c r="AD36" s="199">
        <f t="shared" si="20"/>
        <v>0</v>
      </c>
      <c r="AE36" s="159">
        <f t="shared" si="13"/>
        <v>600</v>
      </c>
      <c r="AF36" s="298"/>
      <c r="AG36" s="372" t="str">
        <f t="shared" si="0"/>
        <v/>
      </c>
      <c r="AH36" s="363" t="str">
        <f t="shared" si="0"/>
        <v/>
      </c>
      <c r="AI36" s="363" t="str">
        <f t="shared" si="0"/>
        <v/>
      </c>
      <c r="AJ36" s="362">
        <f t="shared" si="2"/>
        <v>0</v>
      </c>
      <c r="AK36" s="370">
        <f t="shared" si="14"/>
        <v>2671.9</v>
      </c>
      <c r="AL36" s="375">
        <f t="shared" si="3"/>
        <v>0</v>
      </c>
      <c r="AM36" s="299"/>
      <c r="AN36" s="300"/>
      <c r="AO36" s="300"/>
      <c r="AP36" s="203">
        <f t="shared" si="4"/>
        <v>0</v>
      </c>
      <c r="AQ36" s="150">
        <f t="shared" si="15"/>
        <v>73.8</v>
      </c>
      <c r="AR36" s="301"/>
      <c r="AS36" s="302"/>
      <c r="AT36" s="303"/>
      <c r="AU36" s="141">
        <f t="shared" si="19"/>
        <v>139</v>
      </c>
      <c r="AV36" s="304"/>
      <c r="AW36" s="316"/>
      <c r="AX36" s="317"/>
      <c r="AY36" s="237" t="e">
        <f t="shared" si="21"/>
        <v>#VALUE!</v>
      </c>
      <c r="AZ36" s="400" t="str">
        <f t="shared" si="17"/>
        <v/>
      </c>
      <c r="BA36" s="241" t="str">
        <f t="shared" si="18"/>
        <v/>
      </c>
      <c r="BB36" s="45" t="s">
        <v>40</v>
      </c>
      <c r="BC36" s="98"/>
      <c r="BD36" s="99"/>
      <c r="BE36" s="99"/>
      <c r="BF36" s="100"/>
      <c r="BG36" s="101"/>
      <c r="BH36" s="100"/>
      <c r="BI36" s="101"/>
      <c r="BJ36" s="101"/>
      <c r="BK36" s="99"/>
      <c r="BL36" s="102"/>
      <c r="BM36" s="102"/>
      <c r="BN36" s="103"/>
      <c r="BO36" s="104"/>
      <c r="BP36" s="98"/>
      <c r="BQ36" s="105"/>
      <c r="BR36" s="104"/>
      <c r="BS36" s="115"/>
      <c r="BT36" s="104"/>
      <c r="BU36" s="98"/>
      <c r="BV36" s="105"/>
      <c r="BW36" s="104"/>
      <c r="BX36" s="104"/>
      <c r="BY36" s="107"/>
      <c r="BZ36" s="108"/>
      <c r="CA36" s="108"/>
      <c r="CB36" s="109"/>
      <c r="CC36" s="110"/>
      <c r="CD36" s="108"/>
      <c r="CE36" s="109"/>
      <c r="CF36" s="109"/>
      <c r="CG36" s="107"/>
      <c r="CH36" s="111"/>
      <c r="CI36" s="98"/>
      <c r="CJ36" s="113"/>
      <c r="CK36" s="113"/>
      <c r="CL36" s="114"/>
      <c r="CM36" s="114"/>
      <c r="CN36" s="114"/>
      <c r="CO36" s="99"/>
      <c r="CP36" s="115"/>
      <c r="CQ36" s="116"/>
      <c r="CR36" s="90"/>
      <c r="CS36" s="90"/>
      <c r="CT36" s="90"/>
      <c r="CU36" s="90"/>
      <c r="CV36" s="90"/>
      <c r="CW36" s="90"/>
      <c r="CX36" s="90"/>
      <c r="CY36" s="90"/>
      <c r="CZ36" s="90"/>
      <c r="DA36" s="90"/>
      <c r="DB36" s="121"/>
      <c r="DC36" s="121"/>
      <c r="DD36" s="100"/>
      <c r="DE36" s="121"/>
      <c r="DF36" s="90"/>
      <c r="DG36" s="90"/>
      <c r="DH36" s="90"/>
      <c r="DI36" s="90"/>
      <c r="DJ36" s="90"/>
      <c r="DK36" s="90"/>
      <c r="DL36" s="90"/>
      <c r="DM36" s="90"/>
      <c r="DN36" s="90"/>
      <c r="DO36" s="90"/>
      <c r="DP36" s="90"/>
      <c r="DQ36" s="90"/>
      <c r="DR36" s="90"/>
    </row>
    <row r="37" spans="1:122" ht="24" customHeight="1" x14ac:dyDescent="0.25">
      <c r="A37" s="83"/>
      <c r="B37" s="442"/>
      <c r="C37" s="453"/>
      <c r="D37" s="84"/>
      <c r="E37" s="23"/>
      <c r="F37" s="15"/>
      <c r="G37" s="213"/>
      <c r="H37" s="27" t="str">
        <f t="shared" si="5"/>
        <v/>
      </c>
      <c r="I37" s="216" t="str">
        <f t="shared" si="6"/>
        <v/>
      </c>
      <c r="J37" s="29" t="str">
        <f ca="1">IF($J$5&gt;=B37,"N/A",SUM(INDIRECT(ADDRESS(6+(MATCH($J$5,$B$6:$B$59,0)),8)):H37))</f>
        <v>N/A</v>
      </c>
      <c r="K37" s="10"/>
      <c r="L37" s="88"/>
      <c r="M37" s="4" t="str">
        <f t="shared" si="7"/>
        <v/>
      </c>
      <c r="N37" s="220" t="str">
        <f t="shared" si="1"/>
        <v/>
      </c>
      <c r="O37" s="30" t="str">
        <f ca="1">IF($O$5&gt;=B37,"N/A",SUM(INDIRECT(ADDRESS(6+(MATCH($O$5,$B$6:$B$59,0)),13)):M37))</f>
        <v>N/A</v>
      </c>
      <c r="P37" s="325"/>
      <c r="Q37" s="325"/>
      <c r="R37" s="325"/>
      <c r="S37" s="70" t="str">
        <f t="shared" si="8"/>
        <v/>
      </c>
      <c r="T37" s="241" t="str">
        <f t="shared" si="9"/>
        <v/>
      </c>
      <c r="U37" s="345"/>
      <c r="V37" s="346"/>
      <c r="W37" s="346"/>
      <c r="X37" s="347">
        <f t="shared" si="10"/>
        <v>0</v>
      </c>
      <c r="Y37" s="353">
        <f t="shared" si="11"/>
        <v>2071.9</v>
      </c>
      <c r="Z37" s="357"/>
      <c r="AA37" s="296"/>
      <c r="AB37" s="297"/>
      <c r="AC37" s="297"/>
      <c r="AD37" s="199">
        <f t="shared" si="20"/>
        <v>0</v>
      </c>
      <c r="AE37" s="159">
        <f t="shared" si="13"/>
        <v>600</v>
      </c>
      <c r="AF37" s="298"/>
      <c r="AG37" s="372" t="str">
        <f t="shared" si="0"/>
        <v/>
      </c>
      <c r="AH37" s="363" t="str">
        <f t="shared" si="0"/>
        <v/>
      </c>
      <c r="AI37" s="363" t="str">
        <f t="shared" si="0"/>
        <v/>
      </c>
      <c r="AJ37" s="362">
        <f t="shared" si="2"/>
        <v>0</v>
      </c>
      <c r="AK37" s="370">
        <f t="shared" si="14"/>
        <v>2671.9</v>
      </c>
      <c r="AL37" s="375">
        <f t="shared" si="3"/>
        <v>0</v>
      </c>
      <c r="AM37" s="299"/>
      <c r="AN37" s="300"/>
      <c r="AO37" s="300"/>
      <c r="AP37" s="203">
        <f t="shared" si="4"/>
        <v>0</v>
      </c>
      <c r="AQ37" s="150">
        <f t="shared" si="15"/>
        <v>73.8</v>
      </c>
      <c r="AR37" s="301"/>
      <c r="AS37" s="302"/>
      <c r="AT37" s="303"/>
      <c r="AU37" s="141">
        <f t="shared" si="19"/>
        <v>139</v>
      </c>
      <c r="AV37" s="304"/>
      <c r="AW37" s="316"/>
      <c r="AX37" s="317"/>
      <c r="AY37" s="237" t="e">
        <f t="shared" si="21"/>
        <v>#VALUE!</v>
      </c>
      <c r="AZ37" s="400" t="str">
        <f t="shared" si="17"/>
        <v/>
      </c>
      <c r="BA37" s="241" t="str">
        <f t="shared" si="18"/>
        <v/>
      </c>
      <c r="BB37" s="45" t="s">
        <v>40</v>
      </c>
      <c r="BC37" s="98"/>
      <c r="BD37" s="99"/>
      <c r="BE37" s="99"/>
      <c r="BF37" s="100"/>
      <c r="BG37" s="101"/>
      <c r="BH37" s="100"/>
      <c r="BI37" s="101"/>
      <c r="BJ37" s="101"/>
      <c r="BK37" s="99"/>
      <c r="BL37" s="102"/>
      <c r="BM37" s="102"/>
      <c r="BN37" s="103"/>
      <c r="BO37" s="104"/>
      <c r="BP37" s="98"/>
      <c r="BQ37" s="105"/>
      <c r="BR37" s="104"/>
      <c r="BS37" s="115"/>
      <c r="BT37" s="104"/>
      <c r="BU37" s="98"/>
      <c r="BV37" s="105"/>
      <c r="BW37" s="104"/>
      <c r="BX37" s="104"/>
      <c r="BY37" s="107"/>
      <c r="BZ37" s="108"/>
      <c r="CA37" s="108"/>
      <c r="CB37" s="109"/>
      <c r="CC37" s="110"/>
      <c r="CD37" s="108"/>
      <c r="CE37" s="109"/>
      <c r="CF37" s="109"/>
      <c r="CG37" s="107"/>
      <c r="CH37" s="111"/>
      <c r="CI37" s="98"/>
      <c r="CJ37" s="113"/>
      <c r="CK37" s="113"/>
      <c r="CL37" s="114"/>
      <c r="CM37" s="114"/>
      <c r="CN37" s="114"/>
      <c r="CO37" s="99"/>
      <c r="CP37" s="115"/>
      <c r="CQ37" s="116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121"/>
      <c r="DC37" s="121"/>
      <c r="DD37" s="100"/>
      <c r="DE37" s="121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</row>
    <row r="38" spans="1:122" ht="24" customHeight="1" x14ac:dyDescent="0.25">
      <c r="A38" s="83"/>
      <c r="B38" s="442"/>
      <c r="C38" s="453"/>
      <c r="D38" s="84"/>
      <c r="E38" s="23"/>
      <c r="F38" s="15"/>
      <c r="G38" s="213"/>
      <c r="H38" s="27" t="str">
        <f t="shared" si="5"/>
        <v/>
      </c>
      <c r="I38" s="216" t="str">
        <f t="shared" si="6"/>
        <v/>
      </c>
      <c r="J38" s="29" t="str">
        <f ca="1">IF($J$5&gt;=B38,"N/A",SUM(INDIRECT(ADDRESS(6+(MATCH($J$5,$B$6:$B$59,0)),8)):H38))</f>
        <v>N/A</v>
      </c>
      <c r="K38" s="10"/>
      <c r="L38" s="88"/>
      <c r="M38" s="4" t="str">
        <f t="shared" si="7"/>
        <v/>
      </c>
      <c r="N38" s="220" t="str">
        <f t="shared" si="1"/>
        <v/>
      </c>
      <c r="O38" s="30" t="str">
        <f ca="1">IF($O$5&gt;=B38,"N/A",SUM(INDIRECT(ADDRESS(6+(MATCH($O$5,$B$6:$B$59,0)),13)):M38))</f>
        <v>N/A</v>
      </c>
      <c r="P38" s="325"/>
      <c r="Q38" s="325"/>
      <c r="R38" s="325"/>
      <c r="S38" s="70" t="str">
        <f t="shared" si="8"/>
        <v/>
      </c>
      <c r="T38" s="241" t="str">
        <f t="shared" si="9"/>
        <v/>
      </c>
      <c r="U38" s="345"/>
      <c r="V38" s="346"/>
      <c r="W38" s="346"/>
      <c r="X38" s="347">
        <f t="shared" si="10"/>
        <v>0</v>
      </c>
      <c r="Y38" s="353">
        <f t="shared" si="11"/>
        <v>2071.9</v>
      </c>
      <c r="Z38" s="357"/>
      <c r="AA38" s="296"/>
      <c r="AB38" s="297"/>
      <c r="AC38" s="297"/>
      <c r="AD38" s="199">
        <f t="shared" si="20"/>
        <v>0</v>
      </c>
      <c r="AE38" s="159">
        <f t="shared" si="13"/>
        <v>600</v>
      </c>
      <c r="AF38" s="298"/>
      <c r="AG38" s="372" t="str">
        <f t="shared" si="0"/>
        <v/>
      </c>
      <c r="AH38" s="363" t="str">
        <f t="shared" si="0"/>
        <v/>
      </c>
      <c r="AI38" s="363" t="str">
        <f t="shared" si="0"/>
        <v/>
      </c>
      <c r="AJ38" s="362">
        <f t="shared" si="2"/>
        <v>0</v>
      </c>
      <c r="AK38" s="370">
        <f t="shared" si="14"/>
        <v>2671.9</v>
      </c>
      <c r="AL38" s="375">
        <f t="shared" si="3"/>
        <v>0</v>
      </c>
      <c r="AM38" s="299"/>
      <c r="AN38" s="300"/>
      <c r="AO38" s="300"/>
      <c r="AP38" s="203">
        <f t="shared" si="4"/>
        <v>0</v>
      </c>
      <c r="AQ38" s="150">
        <f t="shared" si="15"/>
        <v>73.8</v>
      </c>
      <c r="AR38" s="301"/>
      <c r="AS38" s="302"/>
      <c r="AT38" s="303"/>
      <c r="AU38" s="141">
        <f t="shared" si="19"/>
        <v>139</v>
      </c>
      <c r="AV38" s="304"/>
      <c r="AW38" s="316"/>
      <c r="AX38" s="317"/>
      <c r="AY38" s="237" t="e">
        <f t="shared" si="21"/>
        <v>#VALUE!</v>
      </c>
      <c r="AZ38" s="400" t="str">
        <f t="shared" si="17"/>
        <v/>
      </c>
      <c r="BA38" s="241" t="str">
        <f t="shared" si="18"/>
        <v/>
      </c>
      <c r="BB38" s="45" t="s">
        <v>40</v>
      </c>
      <c r="BC38" s="98"/>
      <c r="BD38" s="99"/>
      <c r="BE38" s="99"/>
      <c r="BF38" s="100"/>
      <c r="BG38" s="101"/>
      <c r="BH38" s="100"/>
      <c r="BI38" s="101"/>
      <c r="BJ38" s="101"/>
      <c r="BK38" s="99"/>
      <c r="BL38" s="102"/>
      <c r="BM38" s="102"/>
      <c r="BN38" s="103"/>
      <c r="BO38" s="104"/>
      <c r="BP38" s="98"/>
      <c r="BQ38" s="105"/>
      <c r="BR38" s="104"/>
      <c r="BS38" s="115"/>
      <c r="BT38" s="104"/>
      <c r="BU38" s="98"/>
      <c r="BV38" s="105"/>
      <c r="BW38" s="104"/>
      <c r="BX38" s="104"/>
      <c r="BY38" s="107"/>
      <c r="BZ38" s="108"/>
      <c r="CA38" s="108"/>
      <c r="CB38" s="109"/>
      <c r="CC38" s="110"/>
      <c r="CD38" s="108"/>
      <c r="CE38" s="109"/>
      <c r="CF38" s="109"/>
      <c r="CG38" s="107"/>
      <c r="CH38" s="111"/>
      <c r="CI38" s="98"/>
      <c r="CJ38" s="113"/>
      <c r="CK38" s="113"/>
      <c r="CL38" s="114"/>
      <c r="CM38" s="114"/>
      <c r="CN38" s="114"/>
      <c r="CO38" s="99"/>
      <c r="CP38" s="115"/>
      <c r="CQ38" s="116"/>
      <c r="CR38" s="90"/>
      <c r="CS38" s="90"/>
      <c r="CT38" s="90"/>
      <c r="CU38" s="90"/>
      <c r="CV38" s="90"/>
      <c r="CW38" s="90"/>
      <c r="CX38" s="90"/>
      <c r="CY38" s="90"/>
      <c r="CZ38" s="90"/>
      <c r="DA38" s="90"/>
      <c r="DB38" s="121"/>
      <c r="DC38" s="121"/>
      <c r="DD38" s="100"/>
      <c r="DE38" s="121"/>
      <c r="DF38" s="90"/>
      <c r="DG38" s="90"/>
      <c r="DH38" s="90"/>
      <c r="DI38" s="90"/>
      <c r="DJ38" s="90"/>
      <c r="DK38" s="90"/>
      <c r="DL38" s="90"/>
      <c r="DM38" s="90"/>
      <c r="DN38" s="90"/>
      <c r="DO38" s="90"/>
      <c r="DP38" s="90"/>
      <c r="DQ38" s="90"/>
      <c r="DR38" s="90"/>
    </row>
    <row r="39" spans="1:122" ht="24" customHeight="1" x14ac:dyDescent="0.25">
      <c r="A39" s="83"/>
      <c r="B39" s="442"/>
      <c r="C39" s="453"/>
      <c r="D39" s="84"/>
      <c r="E39" s="23"/>
      <c r="F39" s="15"/>
      <c r="G39" s="213"/>
      <c r="H39" s="27" t="str">
        <f t="shared" si="5"/>
        <v/>
      </c>
      <c r="I39" s="216" t="str">
        <f t="shared" si="6"/>
        <v/>
      </c>
      <c r="J39" s="29" t="str">
        <f ca="1">IF($J$5&gt;=B39,"N/A",SUM(INDIRECT(ADDRESS(6+(MATCH($J$5,$B$6:$B$59,0)),8)):H39))</f>
        <v>N/A</v>
      </c>
      <c r="K39" s="10"/>
      <c r="L39" s="88"/>
      <c r="M39" s="4" t="str">
        <f t="shared" si="7"/>
        <v/>
      </c>
      <c r="N39" s="220" t="str">
        <f t="shared" si="1"/>
        <v/>
      </c>
      <c r="O39" s="30" t="str">
        <f ca="1">IF($O$5&gt;=B39,"N/A",SUM(INDIRECT(ADDRESS(6+(MATCH($O$5,$B$6:$B$59,0)),13)):M39))</f>
        <v>N/A</v>
      </c>
      <c r="P39" s="325"/>
      <c r="Q39" s="325"/>
      <c r="R39" s="325"/>
      <c r="S39" s="70" t="str">
        <f t="shared" si="8"/>
        <v/>
      </c>
      <c r="T39" s="241" t="str">
        <f t="shared" si="9"/>
        <v/>
      </c>
      <c r="U39" s="345"/>
      <c r="V39" s="346"/>
      <c r="W39" s="346"/>
      <c r="X39" s="347">
        <f t="shared" si="10"/>
        <v>0</v>
      </c>
      <c r="Y39" s="353">
        <f t="shared" si="11"/>
        <v>2071.9</v>
      </c>
      <c r="Z39" s="357"/>
      <c r="AA39" s="296"/>
      <c r="AB39" s="297"/>
      <c r="AC39" s="297"/>
      <c r="AD39" s="199">
        <f t="shared" si="20"/>
        <v>0</v>
      </c>
      <c r="AE39" s="159">
        <f t="shared" si="13"/>
        <v>600</v>
      </c>
      <c r="AF39" s="298"/>
      <c r="AG39" s="372" t="str">
        <f t="shared" si="0"/>
        <v/>
      </c>
      <c r="AH39" s="363" t="str">
        <f t="shared" si="0"/>
        <v/>
      </c>
      <c r="AI39" s="363" t="str">
        <f t="shared" si="0"/>
        <v/>
      </c>
      <c r="AJ39" s="362">
        <f t="shared" si="2"/>
        <v>0</v>
      </c>
      <c r="AK39" s="370">
        <f t="shared" si="14"/>
        <v>2671.9</v>
      </c>
      <c r="AL39" s="375">
        <f t="shared" si="3"/>
        <v>0</v>
      </c>
      <c r="AM39" s="299"/>
      <c r="AN39" s="300"/>
      <c r="AO39" s="300"/>
      <c r="AP39" s="203">
        <f t="shared" si="4"/>
        <v>0</v>
      </c>
      <c r="AQ39" s="150">
        <f t="shared" si="15"/>
        <v>73.8</v>
      </c>
      <c r="AR39" s="301"/>
      <c r="AS39" s="302"/>
      <c r="AT39" s="303"/>
      <c r="AU39" s="141">
        <f t="shared" si="19"/>
        <v>139</v>
      </c>
      <c r="AV39" s="304"/>
      <c r="AW39" s="316"/>
      <c r="AX39" s="317"/>
      <c r="AY39" s="237" t="e">
        <f t="shared" si="21"/>
        <v>#VALUE!</v>
      </c>
      <c r="AZ39" s="400" t="str">
        <f t="shared" si="17"/>
        <v/>
      </c>
      <c r="BA39" s="241" t="str">
        <f t="shared" si="18"/>
        <v/>
      </c>
      <c r="BB39" s="45" t="s">
        <v>40</v>
      </c>
      <c r="BC39" s="98"/>
      <c r="BD39" s="99"/>
      <c r="BE39" s="99"/>
      <c r="BF39" s="100"/>
      <c r="BG39" s="101"/>
      <c r="BH39" s="100"/>
      <c r="BI39" s="101"/>
      <c r="BJ39" s="101"/>
      <c r="BK39" s="99"/>
      <c r="BL39" s="102"/>
      <c r="BM39" s="102"/>
      <c r="BN39" s="103"/>
      <c r="BO39" s="104"/>
      <c r="BP39" s="98"/>
      <c r="BQ39" s="105"/>
      <c r="BR39" s="104"/>
      <c r="BS39" s="115"/>
      <c r="BT39" s="104"/>
      <c r="BU39" s="98"/>
      <c r="BV39" s="105"/>
      <c r="BW39" s="104"/>
      <c r="BX39" s="104"/>
      <c r="BY39" s="107"/>
      <c r="BZ39" s="108"/>
      <c r="CA39" s="108"/>
      <c r="CB39" s="109"/>
      <c r="CC39" s="110"/>
      <c r="CD39" s="108"/>
      <c r="CE39" s="109"/>
      <c r="CF39" s="109"/>
      <c r="CG39" s="107"/>
      <c r="CH39" s="111"/>
      <c r="CI39" s="98"/>
      <c r="CJ39" s="113"/>
      <c r="CK39" s="113"/>
      <c r="CL39" s="114"/>
      <c r="CM39" s="114"/>
      <c r="CN39" s="114"/>
      <c r="CO39" s="99"/>
      <c r="CP39" s="115"/>
      <c r="CQ39" s="116"/>
      <c r="CR39" s="90"/>
      <c r="CS39" s="90"/>
      <c r="CT39" s="90"/>
      <c r="CU39" s="90"/>
      <c r="CV39" s="90"/>
      <c r="CW39" s="90"/>
      <c r="CX39" s="90"/>
      <c r="CY39" s="90"/>
      <c r="CZ39" s="90"/>
      <c r="DA39" s="90"/>
      <c r="DB39" s="121"/>
      <c r="DC39" s="121"/>
      <c r="DD39" s="100"/>
      <c r="DE39" s="121"/>
      <c r="DF39" s="90"/>
      <c r="DG39" s="90"/>
      <c r="DH39" s="90"/>
      <c r="DI39" s="90"/>
      <c r="DJ39" s="90"/>
      <c r="DK39" s="90"/>
      <c r="DL39" s="90"/>
      <c r="DM39" s="90"/>
      <c r="DN39" s="90"/>
      <c r="DO39" s="90"/>
      <c r="DP39" s="90"/>
      <c r="DQ39" s="90"/>
      <c r="DR39" s="90"/>
    </row>
    <row r="40" spans="1:122" ht="24" customHeight="1" x14ac:dyDescent="0.25">
      <c r="A40" s="83"/>
      <c r="B40" s="442"/>
      <c r="C40" s="453"/>
      <c r="D40" s="84"/>
      <c r="E40" s="23"/>
      <c r="F40" s="15"/>
      <c r="G40" s="213"/>
      <c r="H40" s="27" t="str">
        <f t="shared" si="5"/>
        <v/>
      </c>
      <c r="I40" s="216" t="str">
        <f t="shared" si="6"/>
        <v/>
      </c>
      <c r="J40" s="29" t="str">
        <f ca="1">IF($J$5&gt;=B40,"N/A",SUM(INDIRECT(ADDRESS(6+(MATCH($J$5,$B$6:$B$59,0)),8)):H40))</f>
        <v>N/A</v>
      </c>
      <c r="K40" s="10"/>
      <c r="L40" s="88"/>
      <c r="M40" s="4" t="str">
        <f t="shared" si="7"/>
        <v/>
      </c>
      <c r="N40" s="220" t="str">
        <f t="shared" si="1"/>
        <v/>
      </c>
      <c r="O40" s="30" t="str">
        <f ca="1">IF($O$5&gt;=B40,"N/A",SUM(INDIRECT(ADDRESS(6+(MATCH($O$5,$B$6:$B$59,0)),13)):M40))</f>
        <v>N/A</v>
      </c>
      <c r="P40" s="325"/>
      <c r="Q40" s="325"/>
      <c r="R40" s="325"/>
      <c r="S40" s="70" t="str">
        <f t="shared" si="8"/>
        <v/>
      </c>
      <c r="T40" s="241" t="str">
        <f t="shared" si="9"/>
        <v/>
      </c>
      <c r="U40" s="345"/>
      <c r="V40" s="346"/>
      <c r="W40" s="346"/>
      <c r="X40" s="347">
        <f t="shared" si="10"/>
        <v>0</v>
      </c>
      <c r="Y40" s="353">
        <f t="shared" si="11"/>
        <v>2071.9</v>
      </c>
      <c r="Z40" s="357"/>
      <c r="AA40" s="296"/>
      <c r="AB40" s="297"/>
      <c r="AC40" s="297"/>
      <c r="AD40" s="199">
        <f t="shared" si="20"/>
        <v>0</v>
      </c>
      <c r="AE40" s="159">
        <f t="shared" si="13"/>
        <v>600</v>
      </c>
      <c r="AF40" s="298"/>
      <c r="AG40" s="372" t="str">
        <f t="shared" si="0"/>
        <v/>
      </c>
      <c r="AH40" s="363" t="str">
        <f t="shared" si="0"/>
        <v/>
      </c>
      <c r="AI40" s="363" t="str">
        <f t="shared" si="0"/>
        <v/>
      </c>
      <c r="AJ40" s="362">
        <f t="shared" si="2"/>
        <v>0</v>
      </c>
      <c r="AK40" s="370">
        <f t="shared" si="14"/>
        <v>2671.9</v>
      </c>
      <c r="AL40" s="375">
        <f t="shared" si="3"/>
        <v>0</v>
      </c>
      <c r="AM40" s="299"/>
      <c r="AN40" s="300"/>
      <c r="AO40" s="300"/>
      <c r="AP40" s="203">
        <f t="shared" si="4"/>
        <v>0</v>
      </c>
      <c r="AQ40" s="150">
        <f t="shared" si="15"/>
        <v>73.8</v>
      </c>
      <c r="AR40" s="301"/>
      <c r="AS40" s="302"/>
      <c r="AT40" s="303"/>
      <c r="AU40" s="141">
        <f t="shared" si="19"/>
        <v>139</v>
      </c>
      <c r="AV40" s="304"/>
      <c r="AW40" s="316"/>
      <c r="AX40" s="317"/>
      <c r="AY40" s="237" t="e">
        <f t="shared" si="21"/>
        <v>#VALUE!</v>
      </c>
      <c r="AZ40" s="400" t="str">
        <f t="shared" si="17"/>
        <v/>
      </c>
      <c r="BA40" s="241" t="str">
        <f t="shared" si="18"/>
        <v/>
      </c>
      <c r="BB40" s="45" t="s">
        <v>40</v>
      </c>
      <c r="BC40" s="98"/>
      <c r="BD40" s="99"/>
      <c r="BE40" s="99"/>
      <c r="BF40" s="100"/>
      <c r="BG40" s="101"/>
      <c r="BH40" s="100"/>
      <c r="BI40" s="101"/>
      <c r="BJ40" s="101"/>
      <c r="BK40" s="99"/>
      <c r="BL40" s="102"/>
      <c r="BM40" s="102"/>
      <c r="BN40" s="103"/>
      <c r="BO40" s="104"/>
      <c r="BP40" s="98"/>
      <c r="BQ40" s="105"/>
      <c r="BR40" s="104"/>
      <c r="BS40" s="115"/>
      <c r="BT40" s="104"/>
      <c r="BU40" s="98"/>
      <c r="BV40" s="105"/>
      <c r="BW40" s="104"/>
      <c r="BX40" s="104"/>
      <c r="BY40" s="107"/>
      <c r="BZ40" s="108"/>
      <c r="CA40" s="108"/>
      <c r="CB40" s="109"/>
      <c r="CC40" s="110"/>
      <c r="CD40" s="108"/>
      <c r="CE40" s="109"/>
      <c r="CF40" s="109"/>
      <c r="CG40" s="107"/>
      <c r="CH40" s="111"/>
      <c r="CI40" s="98"/>
      <c r="CJ40" s="113"/>
      <c r="CK40" s="113"/>
      <c r="CL40" s="114"/>
      <c r="CM40" s="114"/>
      <c r="CN40" s="114"/>
      <c r="CO40" s="99"/>
      <c r="CP40" s="115"/>
      <c r="CQ40" s="116"/>
      <c r="CR40" s="90"/>
      <c r="CS40" s="90"/>
      <c r="CT40" s="90"/>
      <c r="CU40" s="90"/>
      <c r="CV40" s="90"/>
      <c r="CW40" s="90"/>
      <c r="CX40" s="90"/>
      <c r="CY40" s="90"/>
      <c r="CZ40" s="90"/>
      <c r="DA40" s="90"/>
      <c r="DB40" s="121"/>
      <c r="DC40" s="121"/>
      <c r="DD40" s="100"/>
      <c r="DE40" s="121"/>
      <c r="DF40" s="90"/>
      <c r="DG40" s="90"/>
      <c r="DH40" s="90"/>
      <c r="DI40" s="90"/>
      <c r="DJ40" s="90"/>
      <c r="DK40" s="90"/>
      <c r="DL40" s="90"/>
      <c r="DM40" s="90"/>
      <c r="DN40" s="90"/>
      <c r="DO40" s="90"/>
      <c r="DP40" s="90"/>
      <c r="DQ40" s="90"/>
      <c r="DR40" s="90"/>
    </row>
    <row r="41" spans="1:122" ht="24" customHeight="1" x14ac:dyDescent="0.25">
      <c r="A41" s="83"/>
      <c r="B41" s="442"/>
      <c r="C41" s="453"/>
      <c r="D41" s="84"/>
      <c r="E41" s="23"/>
      <c r="F41" s="15"/>
      <c r="G41" s="213"/>
      <c r="H41" s="27" t="str">
        <f t="shared" si="5"/>
        <v/>
      </c>
      <c r="I41" s="216" t="str">
        <f t="shared" si="6"/>
        <v/>
      </c>
      <c r="J41" s="29" t="str">
        <f ca="1">IF($J$5&gt;=B41,"N/A",SUM(INDIRECT(ADDRESS(6+(MATCH($J$5,$B$6:$B$59,0)),8)):H41))</f>
        <v>N/A</v>
      </c>
      <c r="K41" s="10"/>
      <c r="L41" s="88"/>
      <c r="M41" s="4" t="str">
        <f t="shared" si="7"/>
        <v/>
      </c>
      <c r="N41" s="220" t="str">
        <f t="shared" si="1"/>
        <v/>
      </c>
      <c r="O41" s="30" t="str">
        <f ca="1">IF($O$5&gt;=B41,"N/A",SUM(INDIRECT(ADDRESS(6+(MATCH($O$5,$B$6:$B$59,0)),13)):M41))</f>
        <v>N/A</v>
      </c>
      <c r="P41" s="325"/>
      <c r="Q41" s="325"/>
      <c r="R41" s="325"/>
      <c r="S41" s="70" t="str">
        <f t="shared" si="8"/>
        <v/>
      </c>
      <c r="T41" s="241" t="str">
        <f t="shared" si="9"/>
        <v/>
      </c>
      <c r="U41" s="345"/>
      <c r="V41" s="346"/>
      <c r="W41" s="346"/>
      <c r="X41" s="347">
        <f t="shared" si="10"/>
        <v>0</v>
      </c>
      <c r="Y41" s="353">
        <f t="shared" si="11"/>
        <v>2071.9</v>
      </c>
      <c r="Z41" s="357"/>
      <c r="AA41" s="296"/>
      <c r="AB41" s="297"/>
      <c r="AC41" s="297"/>
      <c r="AD41" s="199">
        <f t="shared" si="20"/>
        <v>0</v>
      </c>
      <c r="AE41" s="159">
        <f t="shared" si="13"/>
        <v>600</v>
      </c>
      <c r="AF41" s="298"/>
      <c r="AG41" s="372" t="str">
        <f t="shared" si="0"/>
        <v/>
      </c>
      <c r="AH41" s="363" t="str">
        <f t="shared" si="0"/>
        <v/>
      </c>
      <c r="AI41" s="363" t="str">
        <f t="shared" si="0"/>
        <v/>
      </c>
      <c r="AJ41" s="362">
        <f t="shared" si="2"/>
        <v>0</v>
      </c>
      <c r="AK41" s="370">
        <f t="shared" si="14"/>
        <v>2671.9</v>
      </c>
      <c r="AL41" s="375">
        <f t="shared" si="3"/>
        <v>0</v>
      </c>
      <c r="AM41" s="299"/>
      <c r="AN41" s="300"/>
      <c r="AO41" s="300"/>
      <c r="AP41" s="203">
        <f t="shared" si="4"/>
        <v>0</v>
      </c>
      <c r="AQ41" s="150">
        <f t="shared" si="15"/>
        <v>73.8</v>
      </c>
      <c r="AR41" s="301"/>
      <c r="AS41" s="302"/>
      <c r="AT41" s="303"/>
      <c r="AU41" s="141">
        <f t="shared" si="19"/>
        <v>139</v>
      </c>
      <c r="AV41" s="304"/>
      <c r="AW41" s="316"/>
      <c r="AX41" s="317"/>
      <c r="AY41" s="237" t="e">
        <f t="shared" si="21"/>
        <v>#VALUE!</v>
      </c>
      <c r="AZ41" s="400" t="str">
        <f t="shared" si="17"/>
        <v/>
      </c>
      <c r="BA41" s="241" t="str">
        <f t="shared" si="18"/>
        <v/>
      </c>
      <c r="BB41" s="45" t="s">
        <v>40</v>
      </c>
      <c r="BC41" s="98"/>
      <c r="BD41" s="99"/>
      <c r="BE41" s="99"/>
      <c r="BF41" s="100"/>
      <c r="BG41" s="101"/>
      <c r="BH41" s="100"/>
      <c r="BI41" s="101"/>
      <c r="BJ41" s="101"/>
      <c r="BK41" s="99"/>
      <c r="BL41" s="102"/>
      <c r="BM41" s="102"/>
      <c r="BN41" s="103"/>
      <c r="BO41" s="104"/>
      <c r="BP41" s="98"/>
      <c r="BQ41" s="105"/>
      <c r="BR41" s="104"/>
      <c r="BS41" s="115"/>
      <c r="BT41" s="104"/>
      <c r="BU41" s="98"/>
      <c r="BV41" s="105"/>
      <c r="BW41" s="104"/>
      <c r="BX41" s="104"/>
      <c r="BY41" s="107"/>
      <c r="BZ41" s="108"/>
      <c r="CA41" s="108"/>
      <c r="CB41" s="109"/>
      <c r="CC41" s="110"/>
      <c r="CD41" s="108"/>
      <c r="CE41" s="109"/>
      <c r="CF41" s="109"/>
      <c r="CG41" s="107"/>
      <c r="CH41" s="111"/>
      <c r="CI41" s="98"/>
      <c r="CJ41" s="113"/>
      <c r="CK41" s="113"/>
      <c r="CL41" s="114"/>
      <c r="CM41" s="114"/>
      <c r="CN41" s="114"/>
      <c r="CO41" s="99"/>
      <c r="CP41" s="115"/>
      <c r="CQ41" s="116"/>
      <c r="CR41" s="90"/>
      <c r="CS41" s="90"/>
      <c r="CT41" s="90"/>
      <c r="CU41" s="90"/>
      <c r="CV41" s="90"/>
      <c r="CW41" s="90"/>
      <c r="CX41" s="90"/>
      <c r="CY41" s="90"/>
      <c r="CZ41" s="90"/>
      <c r="DA41" s="90"/>
      <c r="DB41" s="121"/>
      <c r="DC41" s="121"/>
      <c r="DD41" s="100"/>
      <c r="DE41" s="121"/>
      <c r="DF41" s="90"/>
      <c r="DG41" s="90"/>
      <c r="DH41" s="90"/>
      <c r="DI41" s="90"/>
      <c r="DJ41" s="90"/>
      <c r="DK41" s="90"/>
      <c r="DL41" s="90"/>
      <c r="DM41" s="90"/>
      <c r="DN41" s="90"/>
      <c r="DO41" s="90"/>
      <c r="DP41" s="90"/>
      <c r="DQ41" s="90"/>
      <c r="DR41" s="90"/>
    </row>
    <row r="42" spans="1:122" ht="24" customHeight="1" x14ac:dyDescent="0.25">
      <c r="A42" s="83"/>
      <c r="B42" s="442"/>
      <c r="C42" s="453"/>
      <c r="D42" s="84"/>
      <c r="E42" s="23"/>
      <c r="F42" s="15"/>
      <c r="G42" s="213"/>
      <c r="H42" s="27" t="str">
        <f t="shared" si="5"/>
        <v/>
      </c>
      <c r="I42" s="216" t="str">
        <f t="shared" si="6"/>
        <v/>
      </c>
      <c r="J42" s="29" t="str">
        <f ca="1">IF($J$5&gt;=B42,"N/A",SUM(INDIRECT(ADDRESS(6+(MATCH($J$5,$B$6:$B$59,0)),8)):H42))</f>
        <v>N/A</v>
      </c>
      <c r="K42" s="10"/>
      <c r="L42" s="88"/>
      <c r="M42" s="4" t="str">
        <f t="shared" si="7"/>
        <v/>
      </c>
      <c r="N42" s="220" t="str">
        <f t="shared" si="1"/>
        <v/>
      </c>
      <c r="O42" s="30" t="str">
        <f ca="1">IF($O$5&gt;=B42,"N/A",SUM(INDIRECT(ADDRESS(6+(MATCH($O$5,$B$6:$B$59,0)),13)):M42))</f>
        <v>N/A</v>
      </c>
      <c r="P42" s="325"/>
      <c r="Q42" s="325"/>
      <c r="R42" s="325"/>
      <c r="S42" s="70" t="str">
        <f t="shared" si="8"/>
        <v/>
      </c>
      <c r="T42" s="241" t="str">
        <f t="shared" si="9"/>
        <v/>
      </c>
      <c r="U42" s="345"/>
      <c r="V42" s="346"/>
      <c r="W42" s="346"/>
      <c r="X42" s="347">
        <f t="shared" si="10"/>
        <v>0</v>
      </c>
      <c r="Y42" s="353">
        <f t="shared" si="11"/>
        <v>2071.9</v>
      </c>
      <c r="Z42" s="357"/>
      <c r="AA42" s="296"/>
      <c r="AB42" s="297"/>
      <c r="AC42" s="297"/>
      <c r="AD42" s="199">
        <f t="shared" si="20"/>
        <v>0</v>
      </c>
      <c r="AE42" s="159">
        <f t="shared" si="13"/>
        <v>600</v>
      </c>
      <c r="AF42" s="298"/>
      <c r="AG42" s="372" t="str">
        <f t="shared" si="0"/>
        <v/>
      </c>
      <c r="AH42" s="363" t="str">
        <f t="shared" si="0"/>
        <v/>
      </c>
      <c r="AI42" s="363" t="str">
        <f t="shared" si="0"/>
        <v/>
      </c>
      <c r="AJ42" s="362">
        <f t="shared" si="2"/>
        <v>0</v>
      </c>
      <c r="AK42" s="370">
        <f t="shared" si="14"/>
        <v>2671.9</v>
      </c>
      <c r="AL42" s="375">
        <f t="shared" si="3"/>
        <v>0</v>
      </c>
      <c r="AM42" s="299"/>
      <c r="AN42" s="300"/>
      <c r="AO42" s="300"/>
      <c r="AP42" s="203">
        <f t="shared" si="4"/>
        <v>0</v>
      </c>
      <c r="AQ42" s="150">
        <f t="shared" si="15"/>
        <v>73.8</v>
      </c>
      <c r="AR42" s="301"/>
      <c r="AS42" s="302"/>
      <c r="AT42" s="303"/>
      <c r="AU42" s="141">
        <f t="shared" si="19"/>
        <v>139</v>
      </c>
      <c r="AV42" s="304"/>
      <c r="AW42" s="316"/>
      <c r="AX42" s="317"/>
      <c r="AY42" s="237" t="e">
        <f t="shared" si="21"/>
        <v>#VALUE!</v>
      </c>
      <c r="AZ42" s="400" t="str">
        <f t="shared" si="17"/>
        <v/>
      </c>
      <c r="BA42" s="241" t="str">
        <f t="shared" si="18"/>
        <v/>
      </c>
      <c r="BB42" s="45" t="s">
        <v>40</v>
      </c>
      <c r="BC42" s="98"/>
      <c r="BD42" s="99"/>
      <c r="BE42" s="99"/>
      <c r="BF42" s="100"/>
      <c r="BG42" s="101"/>
      <c r="BH42" s="100"/>
      <c r="BI42" s="101"/>
      <c r="BJ42" s="101"/>
      <c r="BK42" s="99"/>
      <c r="BL42" s="102"/>
      <c r="BM42" s="102"/>
      <c r="BN42" s="103"/>
      <c r="BO42" s="104"/>
      <c r="BP42" s="98"/>
      <c r="BQ42" s="105"/>
      <c r="BR42" s="104"/>
      <c r="BS42" s="115"/>
      <c r="BT42" s="104"/>
      <c r="BU42" s="98"/>
      <c r="BV42" s="105"/>
      <c r="BW42" s="104"/>
      <c r="BX42" s="104"/>
      <c r="BY42" s="107"/>
      <c r="BZ42" s="108"/>
      <c r="CA42" s="108"/>
      <c r="CB42" s="109"/>
      <c r="CC42" s="110"/>
      <c r="CD42" s="108"/>
      <c r="CE42" s="109"/>
      <c r="CF42" s="109"/>
      <c r="CG42" s="107"/>
      <c r="CH42" s="111"/>
      <c r="CI42" s="98"/>
      <c r="CJ42" s="113"/>
      <c r="CK42" s="113"/>
      <c r="CL42" s="114"/>
      <c r="CM42" s="114"/>
      <c r="CN42" s="114"/>
      <c r="CO42" s="99"/>
      <c r="CP42" s="115"/>
      <c r="CQ42" s="116"/>
      <c r="CR42" s="90"/>
      <c r="CS42" s="90"/>
      <c r="CT42" s="90"/>
      <c r="CU42" s="90"/>
      <c r="CV42" s="90"/>
      <c r="CW42" s="90"/>
      <c r="CX42" s="90"/>
      <c r="CY42" s="90"/>
      <c r="CZ42" s="90"/>
      <c r="DA42" s="90"/>
      <c r="DB42" s="121"/>
      <c r="DC42" s="121"/>
      <c r="DD42" s="100"/>
      <c r="DE42" s="121"/>
      <c r="DF42" s="90"/>
      <c r="DG42" s="90"/>
      <c r="DH42" s="90"/>
      <c r="DI42" s="90"/>
      <c r="DJ42" s="90"/>
      <c r="DK42" s="90"/>
      <c r="DL42" s="90"/>
      <c r="DM42" s="90"/>
      <c r="DN42" s="90"/>
      <c r="DO42" s="90"/>
      <c r="DP42" s="90"/>
      <c r="DQ42" s="90"/>
      <c r="DR42" s="90"/>
    </row>
    <row r="43" spans="1:122" ht="24" customHeight="1" x14ac:dyDescent="0.25">
      <c r="A43" s="83"/>
      <c r="B43" s="442"/>
      <c r="C43" s="453"/>
      <c r="D43" s="84"/>
      <c r="E43" s="23"/>
      <c r="F43" s="15"/>
      <c r="G43" s="213"/>
      <c r="H43" s="27" t="str">
        <f t="shared" si="5"/>
        <v/>
      </c>
      <c r="I43" s="216" t="str">
        <f t="shared" si="6"/>
        <v/>
      </c>
      <c r="J43" s="29" t="str">
        <f ca="1">IF($J$5&gt;=B43,"N/A",SUM(INDIRECT(ADDRESS(6+(MATCH($J$5,$B$6:$B$59,0)),8)):H43))</f>
        <v>N/A</v>
      </c>
      <c r="K43" s="10"/>
      <c r="L43" s="88"/>
      <c r="M43" s="4" t="str">
        <f t="shared" si="7"/>
        <v/>
      </c>
      <c r="N43" s="220" t="str">
        <f t="shared" si="1"/>
        <v/>
      </c>
      <c r="O43" s="30" t="str">
        <f ca="1">IF($O$5&gt;=B43,"N/A",SUM(INDIRECT(ADDRESS(6+(MATCH($O$5,$B$6:$B$59,0)),13)):M43))</f>
        <v>N/A</v>
      </c>
      <c r="P43" s="325"/>
      <c r="Q43" s="325"/>
      <c r="R43" s="325"/>
      <c r="S43" s="70" t="str">
        <f t="shared" si="8"/>
        <v/>
      </c>
      <c r="T43" s="241" t="str">
        <f t="shared" si="9"/>
        <v/>
      </c>
      <c r="U43" s="345"/>
      <c r="V43" s="346"/>
      <c r="W43" s="346"/>
      <c r="X43" s="347">
        <f t="shared" si="10"/>
        <v>0</v>
      </c>
      <c r="Y43" s="353">
        <f t="shared" si="11"/>
        <v>2071.9</v>
      </c>
      <c r="Z43" s="357"/>
      <c r="AA43" s="296"/>
      <c r="AB43" s="297"/>
      <c r="AC43" s="297"/>
      <c r="AD43" s="199">
        <f t="shared" si="20"/>
        <v>0</v>
      </c>
      <c r="AE43" s="159">
        <f t="shared" si="13"/>
        <v>600</v>
      </c>
      <c r="AF43" s="298"/>
      <c r="AG43" s="372" t="str">
        <f t="shared" si="0"/>
        <v/>
      </c>
      <c r="AH43" s="363" t="str">
        <f t="shared" si="0"/>
        <v/>
      </c>
      <c r="AI43" s="363" t="str">
        <f t="shared" si="0"/>
        <v/>
      </c>
      <c r="AJ43" s="362">
        <f t="shared" si="2"/>
        <v>0</v>
      </c>
      <c r="AK43" s="370">
        <f t="shared" si="14"/>
        <v>2671.9</v>
      </c>
      <c r="AL43" s="375">
        <f t="shared" si="3"/>
        <v>0</v>
      </c>
      <c r="AM43" s="299"/>
      <c r="AN43" s="300"/>
      <c r="AO43" s="300"/>
      <c r="AP43" s="203">
        <f t="shared" si="4"/>
        <v>0</v>
      </c>
      <c r="AQ43" s="150">
        <f t="shared" si="15"/>
        <v>73.8</v>
      </c>
      <c r="AR43" s="301"/>
      <c r="AS43" s="302"/>
      <c r="AT43" s="303"/>
      <c r="AU43" s="141">
        <f t="shared" si="19"/>
        <v>139</v>
      </c>
      <c r="AV43" s="304"/>
      <c r="AW43" s="316"/>
      <c r="AX43" s="317"/>
      <c r="AY43" s="237" t="e">
        <f t="shared" si="21"/>
        <v>#VALUE!</v>
      </c>
      <c r="AZ43" s="400" t="str">
        <f t="shared" si="17"/>
        <v/>
      </c>
      <c r="BA43" s="241" t="str">
        <f t="shared" si="18"/>
        <v/>
      </c>
      <c r="BB43" s="45" t="s">
        <v>40</v>
      </c>
      <c r="BC43" s="98"/>
      <c r="BD43" s="99"/>
      <c r="BE43" s="99"/>
      <c r="BF43" s="100"/>
      <c r="BG43" s="101"/>
      <c r="BH43" s="100"/>
      <c r="BI43" s="101"/>
      <c r="BJ43" s="101"/>
      <c r="BK43" s="99"/>
      <c r="BL43" s="102"/>
      <c r="BM43" s="102"/>
      <c r="BN43" s="103"/>
      <c r="BO43" s="104"/>
      <c r="BP43" s="98"/>
      <c r="BQ43" s="105"/>
      <c r="BR43" s="104"/>
      <c r="BS43" s="115"/>
      <c r="BT43" s="104"/>
      <c r="BU43" s="98"/>
      <c r="BV43" s="105"/>
      <c r="BW43" s="104"/>
      <c r="BX43" s="104"/>
      <c r="BY43" s="107"/>
      <c r="BZ43" s="108"/>
      <c r="CA43" s="108"/>
      <c r="CB43" s="109"/>
      <c r="CC43" s="110"/>
      <c r="CD43" s="108"/>
      <c r="CE43" s="109"/>
      <c r="CF43" s="109"/>
      <c r="CG43" s="107"/>
      <c r="CH43" s="111"/>
      <c r="CI43" s="98"/>
      <c r="CJ43" s="113"/>
      <c r="CK43" s="113"/>
      <c r="CL43" s="114"/>
      <c r="CM43" s="114"/>
      <c r="CN43" s="114"/>
      <c r="CO43" s="99"/>
      <c r="CP43" s="115"/>
      <c r="CQ43" s="116"/>
      <c r="CR43" s="90"/>
      <c r="CS43" s="90"/>
      <c r="CT43" s="90"/>
      <c r="CU43" s="90"/>
      <c r="CV43" s="90"/>
      <c r="CW43" s="90"/>
      <c r="CX43" s="90"/>
      <c r="CY43" s="90"/>
      <c r="CZ43" s="90"/>
      <c r="DA43" s="90"/>
      <c r="DB43" s="121"/>
      <c r="DC43" s="121"/>
      <c r="DD43" s="100"/>
      <c r="DE43" s="121"/>
      <c r="DF43" s="90"/>
      <c r="DG43" s="90"/>
      <c r="DH43" s="90"/>
      <c r="DI43" s="90"/>
      <c r="DJ43" s="90"/>
      <c r="DK43" s="90"/>
      <c r="DL43" s="90"/>
      <c r="DM43" s="90"/>
      <c r="DN43" s="90"/>
      <c r="DO43" s="90"/>
      <c r="DP43" s="90"/>
      <c r="DQ43" s="90"/>
      <c r="DR43" s="90"/>
    </row>
    <row r="44" spans="1:122" ht="24" customHeight="1" x14ac:dyDescent="0.25">
      <c r="A44" s="83"/>
      <c r="B44" s="442"/>
      <c r="C44" s="453"/>
      <c r="D44" s="84"/>
      <c r="E44" s="23"/>
      <c r="F44" s="15"/>
      <c r="G44" s="213"/>
      <c r="H44" s="27" t="str">
        <f t="shared" si="5"/>
        <v/>
      </c>
      <c r="I44" s="216" t="str">
        <f t="shared" si="6"/>
        <v/>
      </c>
      <c r="J44" s="29" t="str">
        <f ca="1">IF($J$5&gt;=B44,"N/A",SUM(INDIRECT(ADDRESS(6+(MATCH($J$5,$B$6:$B$59,0)),8)):H44))</f>
        <v>N/A</v>
      </c>
      <c r="K44" s="10"/>
      <c r="L44" s="88"/>
      <c r="M44" s="4" t="str">
        <f t="shared" si="7"/>
        <v/>
      </c>
      <c r="N44" s="220" t="str">
        <f t="shared" si="1"/>
        <v/>
      </c>
      <c r="O44" s="30" t="str">
        <f ca="1">IF($O$5&gt;=B44,"N/A",SUM(INDIRECT(ADDRESS(6+(MATCH($O$5,$B$6:$B$59,0)),13)):M44))</f>
        <v>N/A</v>
      </c>
      <c r="P44" s="325"/>
      <c r="Q44" s="325"/>
      <c r="R44" s="325"/>
      <c r="S44" s="70" t="str">
        <f t="shared" si="8"/>
        <v/>
      </c>
      <c r="T44" s="241" t="str">
        <f t="shared" si="9"/>
        <v/>
      </c>
      <c r="U44" s="345"/>
      <c r="V44" s="346"/>
      <c r="W44" s="346"/>
      <c r="X44" s="347">
        <f t="shared" si="10"/>
        <v>0</v>
      </c>
      <c r="Y44" s="353">
        <f t="shared" si="11"/>
        <v>2071.9</v>
      </c>
      <c r="Z44" s="357"/>
      <c r="AA44" s="296"/>
      <c r="AB44" s="297"/>
      <c r="AC44" s="297"/>
      <c r="AD44" s="199">
        <f t="shared" si="20"/>
        <v>0</v>
      </c>
      <c r="AE44" s="159">
        <f t="shared" si="13"/>
        <v>600</v>
      </c>
      <c r="AF44" s="298"/>
      <c r="AG44" s="372" t="str">
        <f t="shared" si="0"/>
        <v/>
      </c>
      <c r="AH44" s="363" t="str">
        <f t="shared" si="0"/>
        <v/>
      </c>
      <c r="AI44" s="363" t="str">
        <f t="shared" si="0"/>
        <v/>
      </c>
      <c r="AJ44" s="362">
        <f t="shared" si="2"/>
        <v>0</v>
      </c>
      <c r="AK44" s="370">
        <f t="shared" si="14"/>
        <v>2671.9</v>
      </c>
      <c r="AL44" s="375">
        <f t="shared" si="3"/>
        <v>0</v>
      </c>
      <c r="AM44" s="299"/>
      <c r="AN44" s="300"/>
      <c r="AO44" s="300"/>
      <c r="AP44" s="203">
        <f t="shared" si="4"/>
        <v>0</v>
      </c>
      <c r="AQ44" s="150">
        <f t="shared" si="15"/>
        <v>73.8</v>
      </c>
      <c r="AR44" s="301"/>
      <c r="AS44" s="302"/>
      <c r="AT44" s="303"/>
      <c r="AU44" s="141">
        <f t="shared" si="19"/>
        <v>139</v>
      </c>
      <c r="AV44" s="304"/>
      <c r="AW44" s="316"/>
      <c r="AX44" s="317"/>
      <c r="AY44" s="237" t="e">
        <f t="shared" si="21"/>
        <v>#VALUE!</v>
      </c>
      <c r="AZ44" s="400" t="str">
        <f t="shared" si="17"/>
        <v/>
      </c>
      <c r="BA44" s="241" t="str">
        <f t="shared" si="18"/>
        <v/>
      </c>
      <c r="BB44" s="45" t="s">
        <v>40</v>
      </c>
      <c r="BC44" s="98"/>
      <c r="BD44" s="99"/>
      <c r="BE44" s="99"/>
      <c r="BF44" s="100"/>
      <c r="BG44" s="101"/>
      <c r="BH44" s="100"/>
      <c r="BI44" s="101"/>
      <c r="BJ44" s="101"/>
      <c r="BK44" s="99"/>
      <c r="BL44" s="102"/>
      <c r="BM44" s="102"/>
      <c r="BN44" s="103"/>
      <c r="BO44" s="104"/>
      <c r="BP44" s="98"/>
      <c r="BQ44" s="105"/>
      <c r="BR44" s="104"/>
      <c r="BS44" s="115"/>
      <c r="BT44" s="104"/>
      <c r="BU44" s="98"/>
      <c r="BV44" s="105"/>
      <c r="BW44" s="104"/>
      <c r="BX44" s="104"/>
      <c r="BY44" s="107"/>
      <c r="BZ44" s="108"/>
      <c r="CA44" s="108"/>
      <c r="CB44" s="109"/>
      <c r="CC44" s="110"/>
      <c r="CD44" s="108"/>
      <c r="CE44" s="109"/>
      <c r="CF44" s="109"/>
      <c r="CG44" s="107"/>
      <c r="CH44" s="111"/>
      <c r="CI44" s="98"/>
      <c r="CJ44" s="113"/>
      <c r="CK44" s="113"/>
      <c r="CL44" s="114"/>
      <c r="CM44" s="114"/>
      <c r="CN44" s="114"/>
      <c r="CO44" s="99"/>
      <c r="CP44" s="115"/>
      <c r="CQ44" s="116"/>
      <c r="CR44" s="90"/>
      <c r="CS44" s="90"/>
      <c r="CT44" s="90"/>
      <c r="CU44" s="90"/>
      <c r="CV44" s="90"/>
      <c r="CW44" s="90"/>
      <c r="CX44" s="90"/>
      <c r="CY44" s="90"/>
      <c r="CZ44" s="90"/>
      <c r="DA44" s="90"/>
      <c r="DB44" s="121"/>
      <c r="DC44" s="121"/>
      <c r="DD44" s="100"/>
      <c r="DE44" s="121"/>
      <c r="DF44" s="90"/>
      <c r="DG44" s="90"/>
      <c r="DH44" s="90"/>
      <c r="DI44" s="90"/>
      <c r="DJ44" s="90"/>
      <c r="DK44" s="90"/>
      <c r="DL44" s="90"/>
      <c r="DM44" s="90"/>
      <c r="DN44" s="90"/>
      <c r="DO44" s="90"/>
      <c r="DP44" s="90"/>
      <c r="DQ44" s="90"/>
      <c r="DR44" s="90"/>
    </row>
    <row r="45" spans="1:122" ht="24" customHeight="1" x14ac:dyDescent="0.25">
      <c r="A45" s="83"/>
      <c r="B45" s="442"/>
      <c r="C45" s="453"/>
      <c r="D45" s="84"/>
      <c r="E45" s="23"/>
      <c r="F45" s="15"/>
      <c r="G45" s="213"/>
      <c r="H45" s="27" t="str">
        <f t="shared" si="5"/>
        <v/>
      </c>
      <c r="I45" s="216" t="str">
        <f t="shared" si="6"/>
        <v/>
      </c>
      <c r="J45" s="29" t="str">
        <f ca="1">IF($J$5&gt;=B45,"N/A",SUM(INDIRECT(ADDRESS(6+(MATCH($J$5,$B$6:$B$59,0)),8)):H45))</f>
        <v>N/A</v>
      </c>
      <c r="K45" s="10"/>
      <c r="L45" s="88"/>
      <c r="M45" s="4" t="str">
        <f t="shared" si="7"/>
        <v/>
      </c>
      <c r="N45" s="220" t="str">
        <f t="shared" si="1"/>
        <v/>
      </c>
      <c r="O45" s="30" t="str">
        <f ca="1">IF($O$5&gt;=B45,"N/A",SUM(INDIRECT(ADDRESS(6+(MATCH($O$5,$B$6:$B$59,0)),13)):M45))</f>
        <v>N/A</v>
      </c>
      <c r="P45" s="325"/>
      <c r="Q45" s="325"/>
      <c r="R45" s="325"/>
      <c r="S45" s="70" t="str">
        <f t="shared" si="8"/>
        <v/>
      </c>
      <c r="T45" s="241" t="str">
        <f t="shared" si="9"/>
        <v/>
      </c>
      <c r="U45" s="345"/>
      <c r="V45" s="346"/>
      <c r="W45" s="346"/>
      <c r="X45" s="347">
        <f t="shared" si="10"/>
        <v>0</v>
      </c>
      <c r="Y45" s="353">
        <f t="shared" si="11"/>
        <v>2071.9</v>
      </c>
      <c r="Z45" s="357"/>
      <c r="AA45" s="296"/>
      <c r="AB45" s="297"/>
      <c r="AC45" s="297"/>
      <c r="AD45" s="199">
        <f t="shared" si="20"/>
        <v>0</v>
      </c>
      <c r="AE45" s="159">
        <f t="shared" si="13"/>
        <v>600</v>
      </c>
      <c r="AF45" s="298"/>
      <c r="AG45" s="372" t="str">
        <f t="shared" si="0"/>
        <v/>
      </c>
      <c r="AH45" s="363" t="str">
        <f t="shared" si="0"/>
        <v/>
      </c>
      <c r="AI45" s="363" t="str">
        <f t="shared" si="0"/>
        <v/>
      </c>
      <c r="AJ45" s="362">
        <f t="shared" si="2"/>
        <v>0</v>
      </c>
      <c r="AK45" s="370">
        <f t="shared" si="14"/>
        <v>2671.9</v>
      </c>
      <c r="AL45" s="375">
        <f t="shared" si="3"/>
        <v>0</v>
      </c>
      <c r="AM45" s="299"/>
      <c r="AN45" s="300"/>
      <c r="AO45" s="300"/>
      <c r="AP45" s="203">
        <f t="shared" si="4"/>
        <v>0</v>
      </c>
      <c r="AQ45" s="150">
        <f t="shared" si="15"/>
        <v>73.8</v>
      </c>
      <c r="AR45" s="301"/>
      <c r="AS45" s="302"/>
      <c r="AT45" s="303"/>
      <c r="AU45" s="141">
        <f t="shared" si="19"/>
        <v>139</v>
      </c>
      <c r="AV45" s="304"/>
      <c r="AW45" s="316"/>
      <c r="AX45" s="317"/>
      <c r="AY45" s="237" t="e">
        <f t="shared" si="21"/>
        <v>#VALUE!</v>
      </c>
      <c r="AZ45" s="400" t="str">
        <f t="shared" si="17"/>
        <v/>
      </c>
      <c r="BA45" s="241" t="str">
        <f t="shared" si="18"/>
        <v/>
      </c>
      <c r="BB45" s="45" t="s">
        <v>40</v>
      </c>
      <c r="BC45" s="98"/>
      <c r="BD45" s="99"/>
      <c r="BE45" s="99"/>
      <c r="BF45" s="100"/>
      <c r="BG45" s="101"/>
      <c r="BH45" s="100"/>
      <c r="BI45" s="101"/>
      <c r="BJ45" s="101"/>
      <c r="BK45" s="99"/>
      <c r="BL45" s="102"/>
      <c r="BM45" s="102"/>
      <c r="BN45" s="103"/>
      <c r="BO45" s="104"/>
      <c r="BP45" s="98"/>
      <c r="BQ45" s="105"/>
      <c r="BR45" s="104"/>
      <c r="BS45" s="115"/>
      <c r="BT45" s="104"/>
      <c r="BU45" s="98"/>
      <c r="BV45" s="105"/>
      <c r="BW45" s="104"/>
      <c r="BX45" s="104"/>
      <c r="BY45" s="107"/>
      <c r="BZ45" s="108"/>
      <c r="CA45" s="108"/>
      <c r="CB45" s="109"/>
      <c r="CC45" s="110"/>
      <c r="CD45" s="108"/>
      <c r="CE45" s="109"/>
      <c r="CF45" s="109"/>
      <c r="CG45" s="107"/>
      <c r="CH45" s="111"/>
      <c r="CI45" s="98"/>
      <c r="CJ45" s="113"/>
      <c r="CK45" s="113"/>
      <c r="CL45" s="114"/>
      <c r="CM45" s="114"/>
      <c r="CN45" s="114"/>
      <c r="CO45" s="99"/>
      <c r="CP45" s="115"/>
      <c r="CQ45" s="116"/>
      <c r="CR45" s="90"/>
      <c r="CS45" s="90"/>
      <c r="CT45" s="90"/>
      <c r="CU45" s="90"/>
      <c r="CV45" s="90"/>
      <c r="CW45" s="90"/>
      <c r="CX45" s="90"/>
      <c r="CY45" s="90"/>
      <c r="CZ45" s="90"/>
      <c r="DA45" s="90"/>
      <c r="DB45" s="121"/>
      <c r="DC45" s="121"/>
      <c r="DD45" s="100"/>
      <c r="DE45" s="121"/>
      <c r="DF45" s="90"/>
      <c r="DG45" s="90"/>
      <c r="DH45" s="90"/>
      <c r="DI45" s="90"/>
      <c r="DJ45" s="90"/>
      <c r="DK45" s="90"/>
      <c r="DL45" s="90"/>
      <c r="DM45" s="90"/>
      <c r="DN45" s="90"/>
      <c r="DO45" s="90"/>
      <c r="DP45" s="90"/>
      <c r="DQ45" s="90"/>
      <c r="DR45" s="90"/>
    </row>
    <row r="46" spans="1:122" ht="24" customHeight="1" x14ac:dyDescent="0.25">
      <c r="A46" s="83"/>
      <c r="B46" s="442"/>
      <c r="C46" s="453"/>
      <c r="D46" s="84"/>
      <c r="E46" s="23"/>
      <c r="F46" s="15"/>
      <c r="G46" s="213"/>
      <c r="H46" s="27" t="str">
        <f t="shared" si="5"/>
        <v/>
      </c>
      <c r="I46" s="216" t="str">
        <f t="shared" si="6"/>
        <v/>
      </c>
      <c r="J46" s="29" t="str">
        <f ca="1">IF($J$5&gt;=B46,"N/A",SUM(INDIRECT(ADDRESS(6+(MATCH($J$5,$B$6:$B$59,0)),8)):H46))</f>
        <v>N/A</v>
      </c>
      <c r="K46" s="10"/>
      <c r="L46" s="88"/>
      <c r="M46" s="4" t="str">
        <f t="shared" si="7"/>
        <v/>
      </c>
      <c r="N46" s="220" t="str">
        <f t="shared" si="1"/>
        <v/>
      </c>
      <c r="O46" s="30" t="str">
        <f ca="1">IF($O$5&gt;=B46,"N/A",SUM(INDIRECT(ADDRESS(6+(MATCH($O$5,$B$6:$B$59,0)),13)):M46))</f>
        <v>N/A</v>
      </c>
      <c r="P46" s="325"/>
      <c r="Q46" s="325"/>
      <c r="R46" s="325"/>
      <c r="S46" s="70" t="str">
        <f t="shared" si="8"/>
        <v/>
      </c>
      <c r="T46" s="241" t="str">
        <f t="shared" si="9"/>
        <v/>
      </c>
      <c r="U46" s="345"/>
      <c r="V46" s="346"/>
      <c r="W46" s="346"/>
      <c r="X46" s="347">
        <f t="shared" si="10"/>
        <v>0</v>
      </c>
      <c r="Y46" s="353">
        <f t="shared" si="11"/>
        <v>2071.9</v>
      </c>
      <c r="Z46" s="357"/>
      <c r="AA46" s="296"/>
      <c r="AB46" s="297"/>
      <c r="AC46" s="297"/>
      <c r="AD46" s="199">
        <f t="shared" si="20"/>
        <v>0</v>
      </c>
      <c r="AE46" s="159">
        <f t="shared" si="13"/>
        <v>600</v>
      </c>
      <c r="AF46" s="298"/>
      <c r="AG46" s="372" t="str">
        <f t="shared" si="0"/>
        <v/>
      </c>
      <c r="AH46" s="363" t="str">
        <f t="shared" si="0"/>
        <v/>
      </c>
      <c r="AI46" s="363" t="str">
        <f t="shared" si="0"/>
        <v/>
      </c>
      <c r="AJ46" s="362">
        <f t="shared" si="2"/>
        <v>0</v>
      </c>
      <c r="AK46" s="370">
        <f t="shared" si="14"/>
        <v>2671.9</v>
      </c>
      <c r="AL46" s="375">
        <f t="shared" si="3"/>
        <v>0</v>
      </c>
      <c r="AM46" s="299"/>
      <c r="AN46" s="300"/>
      <c r="AO46" s="300"/>
      <c r="AP46" s="203">
        <f t="shared" si="4"/>
        <v>0</v>
      </c>
      <c r="AQ46" s="150">
        <f t="shared" si="15"/>
        <v>73.8</v>
      </c>
      <c r="AR46" s="301"/>
      <c r="AS46" s="302"/>
      <c r="AT46" s="303"/>
      <c r="AU46" s="141">
        <f t="shared" si="19"/>
        <v>139</v>
      </c>
      <c r="AV46" s="304"/>
      <c r="AW46" s="316"/>
      <c r="AX46" s="317"/>
      <c r="AY46" s="237" t="e">
        <f t="shared" si="21"/>
        <v>#VALUE!</v>
      </c>
      <c r="AZ46" s="400" t="str">
        <f t="shared" si="17"/>
        <v/>
      </c>
      <c r="BA46" s="241" t="str">
        <f t="shared" si="18"/>
        <v/>
      </c>
      <c r="BB46" s="45" t="s">
        <v>40</v>
      </c>
      <c r="BC46" s="98"/>
      <c r="BD46" s="99"/>
      <c r="BE46" s="99"/>
      <c r="BF46" s="100"/>
      <c r="BG46" s="101"/>
      <c r="BH46" s="100"/>
      <c r="BI46" s="101"/>
      <c r="BJ46" s="101"/>
      <c r="BK46" s="99"/>
      <c r="BL46" s="102"/>
      <c r="BM46" s="102"/>
      <c r="BN46" s="103"/>
      <c r="BO46" s="104"/>
      <c r="BP46" s="98"/>
      <c r="BQ46" s="105"/>
      <c r="BR46" s="104"/>
      <c r="BS46" s="115"/>
      <c r="BT46" s="104"/>
      <c r="BU46" s="98"/>
      <c r="BV46" s="105"/>
      <c r="BW46" s="104"/>
      <c r="BX46" s="104"/>
      <c r="BY46" s="107"/>
      <c r="BZ46" s="108"/>
      <c r="CA46" s="108"/>
      <c r="CB46" s="109"/>
      <c r="CC46" s="110"/>
      <c r="CD46" s="108"/>
      <c r="CE46" s="109"/>
      <c r="CF46" s="109"/>
      <c r="CG46" s="107"/>
      <c r="CH46" s="111"/>
      <c r="CI46" s="98"/>
      <c r="CJ46" s="113"/>
      <c r="CK46" s="113"/>
      <c r="CL46" s="114"/>
      <c r="CM46" s="114"/>
      <c r="CN46" s="114"/>
      <c r="CO46" s="99"/>
      <c r="CP46" s="115"/>
      <c r="CQ46" s="116"/>
      <c r="CR46" s="90"/>
      <c r="CS46" s="90"/>
      <c r="CT46" s="90"/>
      <c r="CU46" s="90"/>
      <c r="CV46" s="90"/>
      <c r="CW46" s="90"/>
      <c r="CX46" s="90"/>
      <c r="CY46" s="90"/>
      <c r="CZ46" s="90"/>
      <c r="DA46" s="90"/>
      <c r="DB46" s="121"/>
      <c r="DC46" s="121"/>
      <c r="DD46" s="100"/>
      <c r="DE46" s="121"/>
      <c r="DF46" s="90"/>
      <c r="DG46" s="90"/>
      <c r="DH46" s="90"/>
      <c r="DI46" s="90"/>
      <c r="DJ46" s="90"/>
      <c r="DK46" s="90"/>
      <c r="DL46" s="90"/>
      <c r="DM46" s="90"/>
      <c r="DN46" s="90"/>
      <c r="DO46" s="90"/>
      <c r="DP46" s="90"/>
      <c r="DQ46" s="90"/>
      <c r="DR46" s="90"/>
    </row>
    <row r="47" spans="1:122" ht="24" customHeight="1" x14ac:dyDescent="0.25">
      <c r="A47" s="83"/>
      <c r="B47" s="442"/>
      <c r="C47" s="453"/>
      <c r="D47" s="84"/>
      <c r="E47" s="23"/>
      <c r="F47" s="15"/>
      <c r="G47" s="213"/>
      <c r="H47" s="27" t="str">
        <f t="shared" si="5"/>
        <v/>
      </c>
      <c r="I47" s="216" t="str">
        <f t="shared" si="6"/>
        <v/>
      </c>
      <c r="J47" s="29" t="str">
        <f ca="1">IF($J$5&gt;=B47,"N/A",SUM(INDIRECT(ADDRESS(6+(MATCH($J$5,$B$6:$B$59,0)),8)):H47))</f>
        <v>N/A</v>
      </c>
      <c r="K47" s="10"/>
      <c r="L47" s="88"/>
      <c r="M47" s="4" t="str">
        <f t="shared" si="7"/>
        <v/>
      </c>
      <c r="N47" s="220" t="str">
        <f t="shared" si="1"/>
        <v/>
      </c>
      <c r="O47" s="30" t="str">
        <f ca="1">IF($O$5&gt;=B47,"N/A",SUM(INDIRECT(ADDRESS(6+(MATCH($O$5,$B$6:$B$59,0)),13)):M47))</f>
        <v>N/A</v>
      </c>
      <c r="P47" s="325"/>
      <c r="Q47" s="325"/>
      <c r="R47" s="325"/>
      <c r="S47" s="70" t="str">
        <f t="shared" si="8"/>
        <v/>
      </c>
      <c r="T47" s="241" t="str">
        <f t="shared" si="9"/>
        <v/>
      </c>
      <c r="U47" s="345"/>
      <c r="V47" s="346"/>
      <c r="W47" s="346"/>
      <c r="X47" s="347">
        <f t="shared" si="10"/>
        <v>0</v>
      </c>
      <c r="Y47" s="353">
        <f t="shared" si="11"/>
        <v>2071.9</v>
      </c>
      <c r="Z47" s="357"/>
      <c r="AA47" s="296"/>
      <c r="AB47" s="297"/>
      <c r="AC47" s="297"/>
      <c r="AD47" s="199">
        <f t="shared" si="20"/>
        <v>0</v>
      </c>
      <c r="AE47" s="159">
        <f t="shared" si="13"/>
        <v>600</v>
      </c>
      <c r="AF47" s="298"/>
      <c r="AG47" s="372" t="str">
        <f t="shared" si="0"/>
        <v/>
      </c>
      <c r="AH47" s="363" t="str">
        <f t="shared" si="0"/>
        <v/>
      </c>
      <c r="AI47" s="363" t="str">
        <f t="shared" si="0"/>
        <v/>
      </c>
      <c r="AJ47" s="362">
        <f t="shared" si="2"/>
        <v>0</v>
      </c>
      <c r="AK47" s="370">
        <f t="shared" si="14"/>
        <v>2671.9</v>
      </c>
      <c r="AL47" s="375">
        <f t="shared" si="3"/>
        <v>0</v>
      </c>
      <c r="AM47" s="299"/>
      <c r="AN47" s="300"/>
      <c r="AO47" s="300"/>
      <c r="AP47" s="203">
        <f t="shared" si="4"/>
        <v>0</v>
      </c>
      <c r="AQ47" s="150">
        <f t="shared" si="15"/>
        <v>73.8</v>
      </c>
      <c r="AR47" s="301"/>
      <c r="AS47" s="302"/>
      <c r="AT47" s="303"/>
      <c r="AU47" s="141">
        <f t="shared" si="19"/>
        <v>139</v>
      </c>
      <c r="AV47" s="304"/>
      <c r="AW47" s="316"/>
      <c r="AX47" s="317"/>
      <c r="AY47" s="237" t="e">
        <f t="shared" si="21"/>
        <v>#VALUE!</v>
      </c>
      <c r="AZ47" s="400" t="str">
        <f t="shared" si="17"/>
        <v/>
      </c>
      <c r="BA47" s="241" t="str">
        <f t="shared" si="18"/>
        <v/>
      </c>
      <c r="BB47" s="45" t="s">
        <v>40</v>
      </c>
      <c r="BC47" s="98"/>
      <c r="BD47" s="99"/>
      <c r="BE47" s="99"/>
      <c r="BF47" s="100"/>
      <c r="BG47" s="101"/>
      <c r="BH47" s="100"/>
      <c r="BI47" s="101"/>
      <c r="BJ47" s="101"/>
      <c r="BK47" s="99"/>
      <c r="BL47" s="102"/>
      <c r="BM47" s="102"/>
      <c r="BN47" s="103"/>
      <c r="BO47" s="104"/>
      <c r="BP47" s="98"/>
      <c r="BQ47" s="105"/>
      <c r="BR47" s="104"/>
      <c r="BS47" s="115"/>
      <c r="BT47" s="104"/>
      <c r="BU47" s="98"/>
      <c r="BV47" s="105"/>
      <c r="BW47" s="104"/>
      <c r="BX47" s="104"/>
      <c r="BY47" s="107"/>
      <c r="BZ47" s="108"/>
      <c r="CA47" s="108"/>
      <c r="CB47" s="109"/>
      <c r="CC47" s="110"/>
      <c r="CD47" s="108"/>
      <c r="CE47" s="109"/>
      <c r="CF47" s="109"/>
      <c r="CG47" s="107"/>
      <c r="CH47" s="111"/>
      <c r="CI47" s="98"/>
      <c r="CJ47" s="113"/>
      <c r="CK47" s="113"/>
      <c r="CL47" s="114"/>
      <c r="CM47" s="114"/>
      <c r="CN47" s="114"/>
      <c r="CO47" s="99"/>
      <c r="CP47" s="115"/>
      <c r="CQ47" s="116"/>
      <c r="CR47" s="90"/>
      <c r="CS47" s="90"/>
      <c r="CT47" s="90"/>
      <c r="CU47" s="90"/>
      <c r="CV47" s="90"/>
      <c r="CW47" s="90"/>
      <c r="CX47" s="90"/>
      <c r="CY47" s="90"/>
      <c r="CZ47" s="90"/>
      <c r="DA47" s="90"/>
      <c r="DB47" s="121"/>
      <c r="DC47" s="121"/>
      <c r="DD47" s="100"/>
      <c r="DE47" s="121"/>
      <c r="DF47" s="90"/>
      <c r="DG47" s="90"/>
      <c r="DH47" s="90"/>
      <c r="DI47" s="90"/>
      <c r="DJ47" s="90"/>
      <c r="DK47" s="90"/>
      <c r="DL47" s="90"/>
      <c r="DM47" s="90"/>
      <c r="DN47" s="90"/>
      <c r="DO47" s="90"/>
      <c r="DP47" s="90"/>
      <c r="DQ47" s="90"/>
      <c r="DR47" s="90"/>
    </row>
    <row r="48" spans="1:122" ht="24" customHeight="1" x14ac:dyDescent="0.25">
      <c r="A48" s="83"/>
      <c r="B48" s="442"/>
      <c r="C48" s="453"/>
      <c r="D48" s="84"/>
      <c r="E48" s="23"/>
      <c r="F48" s="15"/>
      <c r="G48" s="213"/>
      <c r="H48" s="27" t="str">
        <f t="shared" si="5"/>
        <v/>
      </c>
      <c r="I48" s="216" t="str">
        <f t="shared" si="6"/>
        <v/>
      </c>
      <c r="J48" s="29" t="str">
        <f ca="1">IF($J$5&gt;=B48,"N/A",SUM(INDIRECT(ADDRESS(6+(MATCH($J$5,$B$6:$B$59,0)),8)):H48))</f>
        <v>N/A</v>
      </c>
      <c r="K48" s="10"/>
      <c r="L48" s="88"/>
      <c r="M48" s="4" t="str">
        <f t="shared" si="7"/>
        <v/>
      </c>
      <c r="N48" s="220" t="str">
        <f t="shared" si="1"/>
        <v/>
      </c>
      <c r="O48" s="30" t="str">
        <f ca="1">IF($O$5&gt;=B48,"N/A",SUM(INDIRECT(ADDRESS(6+(MATCH($O$5,$B$6:$B$59,0)),13)):M48))</f>
        <v>N/A</v>
      </c>
      <c r="P48" s="325"/>
      <c r="Q48" s="325"/>
      <c r="R48" s="325"/>
      <c r="S48" s="70" t="str">
        <f t="shared" si="8"/>
        <v/>
      </c>
      <c r="T48" s="241" t="str">
        <f t="shared" si="9"/>
        <v/>
      </c>
      <c r="U48" s="345"/>
      <c r="V48" s="346"/>
      <c r="W48" s="346"/>
      <c r="X48" s="347">
        <f t="shared" si="10"/>
        <v>0</v>
      </c>
      <c r="Y48" s="353">
        <f t="shared" si="11"/>
        <v>2071.9</v>
      </c>
      <c r="Z48" s="357"/>
      <c r="AA48" s="296"/>
      <c r="AB48" s="297"/>
      <c r="AC48" s="297"/>
      <c r="AD48" s="199">
        <f t="shared" si="20"/>
        <v>0</v>
      </c>
      <c r="AE48" s="159">
        <f t="shared" si="13"/>
        <v>600</v>
      </c>
      <c r="AF48" s="298"/>
      <c r="AG48" s="372" t="str">
        <f t="shared" si="0"/>
        <v/>
      </c>
      <c r="AH48" s="363" t="str">
        <f t="shared" si="0"/>
        <v/>
      </c>
      <c r="AI48" s="363" t="str">
        <f t="shared" si="0"/>
        <v/>
      </c>
      <c r="AJ48" s="362">
        <f t="shared" si="2"/>
        <v>0</v>
      </c>
      <c r="AK48" s="370">
        <f t="shared" si="14"/>
        <v>2671.9</v>
      </c>
      <c r="AL48" s="375">
        <f t="shared" si="3"/>
        <v>0</v>
      </c>
      <c r="AM48" s="299"/>
      <c r="AN48" s="300"/>
      <c r="AO48" s="300"/>
      <c r="AP48" s="203">
        <f t="shared" si="4"/>
        <v>0</v>
      </c>
      <c r="AQ48" s="150">
        <f t="shared" si="15"/>
        <v>73.8</v>
      </c>
      <c r="AR48" s="301"/>
      <c r="AS48" s="302"/>
      <c r="AT48" s="303"/>
      <c r="AU48" s="141">
        <f t="shared" si="19"/>
        <v>139</v>
      </c>
      <c r="AV48" s="304"/>
      <c r="AW48" s="316"/>
      <c r="AX48" s="317"/>
      <c r="AY48" s="237" t="e">
        <f t="shared" si="21"/>
        <v>#VALUE!</v>
      </c>
      <c r="AZ48" s="400" t="str">
        <f t="shared" si="17"/>
        <v/>
      </c>
      <c r="BA48" s="241" t="str">
        <f t="shared" si="18"/>
        <v/>
      </c>
      <c r="BB48" s="45" t="s">
        <v>40</v>
      </c>
      <c r="BC48" s="98"/>
      <c r="BD48" s="99"/>
      <c r="BE48" s="99"/>
      <c r="BF48" s="100"/>
      <c r="BG48" s="101"/>
      <c r="BH48" s="100"/>
      <c r="BI48" s="101"/>
      <c r="BJ48" s="101"/>
      <c r="BK48" s="99"/>
      <c r="BL48" s="102"/>
      <c r="BM48" s="102"/>
      <c r="BN48" s="103"/>
      <c r="BO48" s="104"/>
      <c r="BP48" s="98"/>
      <c r="BQ48" s="105"/>
      <c r="BR48" s="104"/>
      <c r="BS48" s="115"/>
      <c r="BT48" s="104"/>
      <c r="BU48" s="98"/>
      <c r="BV48" s="105"/>
      <c r="BW48" s="104"/>
      <c r="BX48" s="104"/>
      <c r="BY48" s="107"/>
      <c r="BZ48" s="108"/>
      <c r="CA48" s="108"/>
      <c r="CB48" s="109"/>
      <c r="CC48" s="110"/>
      <c r="CD48" s="108"/>
      <c r="CE48" s="109"/>
      <c r="CF48" s="109"/>
      <c r="CG48" s="107"/>
      <c r="CH48" s="111"/>
      <c r="CI48" s="98"/>
      <c r="CJ48" s="113"/>
      <c r="CK48" s="113"/>
      <c r="CL48" s="114"/>
      <c r="CM48" s="114"/>
      <c r="CN48" s="114"/>
      <c r="CO48" s="99"/>
      <c r="CP48" s="115"/>
      <c r="CQ48" s="116"/>
      <c r="CR48" s="90"/>
      <c r="CS48" s="90"/>
      <c r="CT48" s="90"/>
      <c r="CU48" s="90"/>
      <c r="CV48" s="90"/>
      <c r="CW48" s="90"/>
      <c r="CX48" s="90"/>
      <c r="CY48" s="90"/>
      <c r="CZ48" s="90"/>
      <c r="DA48" s="90"/>
      <c r="DB48" s="121"/>
      <c r="DC48" s="121"/>
      <c r="DD48" s="100"/>
      <c r="DE48" s="121"/>
      <c r="DF48" s="90"/>
      <c r="DG48" s="90"/>
      <c r="DH48" s="90"/>
      <c r="DI48" s="90"/>
      <c r="DJ48" s="90"/>
      <c r="DK48" s="90"/>
      <c r="DL48" s="90"/>
      <c r="DM48" s="90"/>
      <c r="DN48" s="90"/>
      <c r="DO48" s="90"/>
      <c r="DP48" s="90"/>
      <c r="DQ48" s="90"/>
      <c r="DR48" s="90"/>
    </row>
    <row r="49" spans="1:122" ht="24" customHeight="1" x14ac:dyDescent="0.25">
      <c r="A49" s="83"/>
      <c r="B49" s="442"/>
      <c r="C49" s="453"/>
      <c r="D49" s="84"/>
      <c r="E49" s="23"/>
      <c r="F49" s="15"/>
      <c r="G49" s="213"/>
      <c r="H49" s="27" t="str">
        <f t="shared" si="5"/>
        <v/>
      </c>
      <c r="I49" s="216" t="str">
        <f t="shared" si="6"/>
        <v/>
      </c>
      <c r="J49" s="29" t="str">
        <f ca="1">IF($J$5&gt;=B49,"N/A",SUM(INDIRECT(ADDRESS(6+(MATCH($J$5,$B$6:$B$59,0)),8)):H49))</f>
        <v>N/A</v>
      </c>
      <c r="K49" s="10"/>
      <c r="L49" s="88"/>
      <c r="M49" s="4" t="str">
        <f t="shared" si="7"/>
        <v/>
      </c>
      <c r="N49" s="220" t="str">
        <f t="shared" si="1"/>
        <v/>
      </c>
      <c r="O49" s="30" t="str">
        <f ca="1">IF($O$5&gt;=B49,"N/A",SUM(INDIRECT(ADDRESS(6+(MATCH($O$5,$B$6:$B$59,0)),13)):M49))</f>
        <v>N/A</v>
      </c>
      <c r="P49" s="325"/>
      <c r="Q49" s="325"/>
      <c r="R49" s="325"/>
      <c r="S49" s="70" t="str">
        <f t="shared" si="8"/>
        <v/>
      </c>
      <c r="T49" s="241" t="str">
        <f t="shared" si="9"/>
        <v/>
      </c>
      <c r="U49" s="345"/>
      <c r="V49" s="346"/>
      <c r="W49" s="346"/>
      <c r="X49" s="347">
        <f t="shared" si="10"/>
        <v>0</v>
      </c>
      <c r="Y49" s="353">
        <f t="shared" si="11"/>
        <v>2071.9</v>
      </c>
      <c r="Z49" s="357"/>
      <c r="AA49" s="296"/>
      <c r="AB49" s="297"/>
      <c r="AC49" s="297"/>
      <c r="AD49" s="199">
        <f t="shared" si="20"/>
        <v>0</v>
      </c>
      <c r="AE49" s="159">
        <f t="shared" si="13"/>
        <v>600</v>
      </c>
      <c r="AF49" s="298"/>
      <c r="AG49" s="372" t="str">
        <f t="shared" si="0"/>
        <v/>
      </c>
      <c r="AH49" s="363" t="str">
        <f t="shared" si="0"/>
        <v/>
      </c>
      <c r="AI49" s="363" t="str">
        <f t="shared" si="0"/>
        <v/>
      </c>
      <c r="AJ49" s="362">
        <f t="shared" si="2"/>
        <v>0</v>
      </c>
      <c r="AK49" s="370">
        <f t="shared" si="14"/>
        <v>2671.9</v>
      </c>
      <c r="AL49" s="375">
        <f t="shared" si="3"/>
        <v>0</v>
      </c>
      <c r="AM49" s="299"/>
      <c r="AN49" s="300"/>
      <c r="AO49" s="300"/>
      <c r="AP49" s="203">
        <f t="shared" si="4"/>
        <v>0</v>
      </c>
      <c r="AQ49" s="150">
        <f t="shared" si="15"/>
        <v>73.8</v>
      </c>
      <c r="AR49" s="301"/>
      <c r="AS49" s="302"/>
      <c r="AT49" s="303"/>
      <c r="AU49" s="141">
        <f t="shared" si="19"/>
        <v>139</v>
      </c>
      <c r="AV49" s="304"/>
      <c r="AW49" s="316"/>
      <c r="AX49" s="317"/>
      <c r="AY49" s="237" t="e">
        <f t="shared" si="21"/>
        <v>#VALUE!</v>
      </c>
      <c r="AZ49" s="400" t="str">
        <f t="shared" si="17"/>
        <v/>
      </c>
      <c r="BA49" s="241" t="str">
        <f t="shared" si="18"/>
        <v/>
      </c>
      <c r="BB49" s="45" t="s">
        <v>40</v>
      </c>
      <c r="BC49" s="98"/>
      <c r="BD49" s="99"/>
      <c r="BE49" s="99"/>
      <c r="BF49" s="100"/>
      <c r="BG49" s="101"/>
      <c r="BH49" s="100"/>
      <c r="BI49" s="101"/>
      <c r="BJ49" s="101"/>
      <c r="BK49" s="99"/>
      <c r="BL49" s="102"/>
      <c r="BM49" s="102"/>
      <c r="BN49" s="103"/>
      <c r="BO49" s="104"/>
      <c r="BP49" s="98"/>
      <c r="BQ49" s="105"/>
      <c r="BR49" s="104"/>
      <c r="BS49" s="115"/>
      <c r="BT49" s="104"/>
      <c r="BU49" s="98"/>
      <c r="BV49" s="105"/>
      <c r="BW49" s="104"/>
      <c r="BX49" s="104"/>
      <c r="BY49" s="107"/>
      <c r="BZ49" s="108"/>
      <c r="CA49" s="108"/>
      <c r="CB49" s="109"/>
      <c r="CC49" s="110"/>
      <c r="CD49" s="108"/>
      <c r="CE49" s="109"/>
      <c r="CF49" s="109"/>
      <c r="CG49" s="107"/>
      <c r="CH49" s="111"/>
      <c r="CI49" s="98"/>
      <c r="CJ49" s="113"/>
      <c r="CK49" s="113"/>
      <c r="CL49" s="114"/>
      <c r="CM49" s="114"/>
      <c r="CN49" s="114"/>
      <c r="CO49" s="99"/>
      <c r="CP49" s="115"/>
      <c r="CQ49" s="116"/>
      <c r="CR49" s="90"/>
      <c r="CS49" s="90"/>
      <c r="CT49" s="90"/>
      <c r="CU49" s="90"/>
      <c r="CV49" s="90"/>
      <c r="CW49" s="90"/>
      <c r="CX49" s="90"/>
      <c r="CY49" s="90"/>
      <c r="CZ49" s="90"/>
      <c r="DA49" s="90"/>
      <c r="DB49" s="121"/>
      <c r="DC49" s="121"/>
      <c r="DD49" s="100"/>
      <c r="DE49" s="121"/>
      <c r="DF49" s="90"/>
      <c r="DG49" s="90"/>
      <c r="DH49" s="90"/>
      <c r="DI49" s="90"/>
      <c r="DJ49" s="90"/>
      <c r="DK49" s="90"/>
      <c r="DL49" s="90"/>
      <c r="DM49" s="90"/>
      <c r="DN49" s="90"/>
      <c r="DO49" s="90"/>
      <c r="DP49" s="90"/>
      <c r="DQ49" s="90"/>
      <c r="DR49" s="90"/>
    </row>
    <row r="50" spans="1:122" ht="24" customHeight="1" x14ac:dyDescent="0.25">
      <c r="A50" s="83"/>
      <c r="B50" s="442"/>
      <c r="C50" s="453"/>
      <c r="D50" s="84"/>
      <c r="E50" s="23"/>
      <c r="F50" s="15"/>
      <c r="G50" s="213"/>
      <c r="H50" s="27" t="str">
        <f t="shared" si="5"/>
        <v/>
      </c>
      <c r="I50" s="216" t="str">
        <f t="shared" si="6"/>
        <v/>
      </c>
      <c r="J50" s="29" t="str">
        <f ca="1">IF($J$5&gt;=B50,"N/A",SUM(INDIRECT(ADDRESS(6+(MATCH($J$5,$B$6:$B$59,0)),8)):H50))</f>
        <v>N/A</v>
      </c>
      <c r="K50" s="10"/>
      <c r="L50" s="88"/>
      <c r="M50" s="4" t="str">
        <f t="shared" si="7"/>
        <v/>
      </c>
      <c r="N50" s="220" t="str">
        <f t="shared" si="1"/>
        <v/>
      </c>
      <c r="O50" s="30" t="str">
        <f ca="1">IF($O$5&gt;=B50,"N/A",SUM(INDIRECT(ADDRESS(6+(MATCH($O$5,$B$6:$B$59,0)),13)):M50))</f>
        <v>N/A</v>
      </c>
      <c r="P50" s="325"/>
      <c r="Q50" s="325"/>
      <c r="R50" s="325"/>
      <c r="S50" s="70" t="str">
        <f t="shared" si="8"/>
        <v/>
      </c>
      <c r="T50" s="241" t="str">
        <f t="shared" si="9"/>
        <v/>
      </c>
      <c r="U50" s="345"/>
      <c r="V50" s="346"/>
      <c r="W50" s="346"/>
      <c r="X50" s="347">
        <f t="shared" si="10"/>
        <v>0</v>
      </c>
      <c r="Y50" s="353">
        <f t="shared" si="11"/>
        <v>2071.9</v>
      </c>
      <c r="Z50" s="357"/>
      <c r="AA50" s="296"/>
      <c r="AB50" s="297"/>
      <c r="AC50" s="297"/>
      <c r="AD50" s="199">
        <f t="shared" si="20"/>
        <v>0</v>
      </c>
      <c r="AE50" s="159">
        <f t="shared" si="13"/>
        <v>600</v>
      </c>
      <c r="AF50" s="298"/>
      <c r="AG50" s="372" t="str">
        <f t="shared" si="0"/>
        <v/>
      </c>
      <c r="AH50" s="363" t="str">
        <f t="shared" si="0"/>
        <v/>
      </c>
      <c r="AI50" s="363" t="str">
        <f t="shared" si="0"/>
        <v/>
      </c>
      <c r="AJ50" s="362">
        <f t="shared" si="2"/>
        <v>0</v>
      </c>
      <c r="AK50" s="370">
        <f t="shared" si="14"/>
        <v>2671.9</v>
      </c>
      <c r="AL50" s="375">
        <f t="shared" si="3"/>
        <v>0</v>
      </c>
      <c r="AM50" s="299"/>
      <c r="AN50" s="300"/>
      <c r="AO50" s="300"/>
      <c r="AP50" s="203">
        <f t="shared" si="4"/>
        <v>0</v>
      </c>
      <c r="AQ50" s="150">
        <f t="shared" si="15"/>
        <v>73.8</v>
      </c>
      <c r="AR50" s="301"/>
      <c r="AS50" s="302"/>
      <c r="AT50" s="303"/>
      <c r="AU50" s="141">
        <f t="shared" si="19"/>
        <v>139</v>
      </c>
      <c r="AV50" s="304"/>
      <c r="AW50" s="316"/>
      <c r="AX50" s="317"/>
      <c r="AY50" s="237" t="e">
        <f t="shared" si="21"/>
        <v>#VALUE!</v>
      </c>
      <c r="AZ50" s="400" t="str">
        <f t="shared" si="17"/>
        <v/>
      </c>
      <c r="BA50" s="241" t="str">
        <f t="shared" si="18"/>
        <v/>
      </c>
      <c r="BB50" s="45" t="s">
        <v>40</v>
      </c>
      <c r="BC50" s="98"/>
      <c r="BD50" s="99"/>
      <c r="BE50" s="99"/>
      <c r="BF50" s="100"/>
      <c r="BG50" s="101"/>
      <c r="BH50" s="100"/>
      <c r="BI50" s="101"/>
      <c r="BJ50" s="101"/>
      <c r="BK50" s="99"/>
      <c r="BL50" s="102"/>
      <c r="BM50" s="102"/>
      <c r="BN50" s="103"/>
      <c r="BO50" s="104"/>
      <c r="BP50" s="98"/>
      <c r="BQ50" s="105"/>
      <c r="BR50" s="104"/>
      <c r="BS50" s="115"/>
      <c r="BT50" s="104"/>
      <c r="BU50" s="98"/>
      <c r="BV50" s="105"/>
      <c r="BW50" s="104"/>
      <c r="BX50" s="104"/>
      <c r="BY50" s="107"/>
      <c r="BZ50" s="108"/>
      <c r="CA50" s="108"/>
      <c r="CB50" s="109"/>
      <c r="CC50" s="110"/>
      <c r="CD50" s="108"/>
      <c r="CE50" s="109"/>
      <c r="CF50" s="109"/>
      <c r="CG50" s="107"/>
      <c r="CH50" s="111"/>
      <c r="CI50" s="98"/>
      <c r="CJ50" s="113"/>
      <c r="CK50" s="113"/>
      <c r="CL50" s="114"/>
      <c r="CM50" s="114"/>
      <c r="CN50" s="114"/>
      <c r="CO50" s="99"/>
      <c r="CP50" s="115"/>
      <c r="CQ50" s="116"/>
      <c r="CR50" s="90"/>
      <c r="CS50" s="90"/>
      <c r="CT50" s="90"/>
      <c r="CU50" s="90"/>
      <c r="CV50" s="90"/>
      <c r="CW50" s="90"/>
      <c r="CX50" s="90"/>
      <c r="CY50" s="90"/>
      <c r="CZ50" s="90"/>
      <c r="DA50" s="90"/>
      <c r="DB50" s="121"/>
      <c r="DC50" s="121"/>
      <c r="DD50" s="100"/>
      <c r="DE50" s="121"/>
      <c r="DF50" s="90"/>
      <c r="DG50" s="90"/>
      <c r="DH50" s="90"/>
      <c r="DI50" s="90"/>
      <c r="DJ50" s="90"/>
      <c r="DK50" s="90"/>
      <c r="DL50" s="90"/>
      <c r="DM50" s="90"/>
      <c r="DN50" s="90"/>
      <c r="DO50" s="90"/>
      <c r="DP50" s="90"/>
      <c r="DQ50" s="90"/>
      <c r="DR50" s="90"/>
    </row>
    <row r="51" spans="1:122" ht="24" customHeight="1" x14ac:dyDescent="0.25">
      <c r="A51" s="83"/>
      <c r="B51" s="442"/>
      <c r="C51" s="453"/>
      <c r="D51" s="84"/>
      <c r="E51" s="23"/>
      <c r="F51" s="15"/>
      <c r="G51" s="213"/>
      <c r="H51" s="27" t="str">
        <f t="shared" si="5"/>
        <v/>
      </c>
      <c r="I51" s="216" t="str">
        <f t="shared" si="6"/>
        <v/>
      </c>
      <c r="J51" s="29" t="str">
        <f ca="1">IF($J$5&gt;=B51,"N/A",SUM(INDIRECT(ADDRESS(6+(MATCH($J$5,$B$6:$B$59,0)),8)):H51))</f>
        <v>N/A</v>
      </c>
      <c r="K51" s="10"/>
      <c r="L51" s="88"/>
      <c r="M51" s="4" t="str">
        <f t="shared" si="7"/>
        <v/>
      </c>
      <c r="N51" s="220" t="str">
        <f t="shared" si="1"/>
        <v/>
      </c>
      <c r="O51" s="30" t="str">
        <f ca="1">IF($O$5&gt;=B51,"N/A",SUM(INDIRECT(ADDRESS(6+(MATCH($O$5,$B$6:$B$59,0)),13)):M51))</f>
        <v>N/A</v>
      </c>
      <c r="P51" s="325"/>
      <c r="Q51" s="325"/>
      <c r="R51" s="325"/>
      <c r="S51" s="70" t="str">
        <f t="shared" si="8"/>
        <v/>
      </c>
      <c r="T51" s="241" t="str">
        <f t="shared" si="9"/>
        <v/>
      </c>
      <c r="U51" s="345"/>
      <c r="V51" s="346"/>
      <c r="W51" s="346"/>
      <c r="X51" s="347">
        <f t="shared" si="10"/>
        <v>0</v>
      </c>
      <c r="Y51" s="353">
        <f t="shared" si="11"/>
        <v>2071.9</v>
      </c>
      <c r="Z51" s="357"/>
      <c r="AA51" s="296"/>
      <c r="AB51" s="297"/>
      <c r="AC51" s="297"/>
      <c r="AD51" s="199">
        <f t="shared" si="20"/>
        <v>0</v>
      </c>
      <c r="AE51" s="159">
        <f t="shared" si="13"/>
        <v>600</v>
      </c>
      <c r="AF51" s="298"/>
      <c r="AG51" s="372" t="str">
        <f t="shared" si="0"/>
        <v/>
      </c>
      <c r="AH51" s="363" t="str">
        <f t="shared" si="0"/>
        <v/>
      </c>
      <c r="AI51" s="363" t="str">
        <f t="shared" si="0"/>
        <v/>
      </c>
      <c r="AJ51" s="362">
        <f t="shared" si="2"/>
        <v>0</v>
      </c>
      <c r="AK51" s="370">
        <f t="shared" si="14"/>
        <v>2671.9</v>
      </c>
      <c r="AL51" s="375">
        <f t="shared" si="3"/>
        <v>0</v>
      </c>
      <c r="AM51" s="299"/>
      <c r="AN51" s="300"/>
      <c r="AO51" s="300"/>
      <c r="AP51" s="203">
        <f t="shared" si="4"/>
        <v>0</v>
      </c>
      <c r="AQ51" s="150">
        <f t="shared" si="15"/>
        <v>73.8</v>
      </c>
      <c r="AR51" s="301"/>
      <c r="AS51" s="302"/>
      <c r="AT51" s="303"/>
      <c r="AU51" s="141">
        <f t="shared" si="19"/>
        <v>139</v>
      </c>
      <c r="AV51" s="304"/>
      <c r="AW51" s="316"/>
      <c r="AX51" s="317"/>
      <c r="AY51" s="237" t="e">
        <f t="shared" si="21"/>
        <v>#VALUE!</v>
      </c>
      <c r="AZ51" s="400" t="str">
        <f t="shared" si="17"/>
        <v/>
      </c>
      <c r="BA51" s="241" t="str">
        <f t="shared" si="18"/>
        <v/>
      </c>
      <c r="BB51" s="45" t="s">
        <v>40</v>
      </c>
      <c r="BC51" s="98"/>
      <c r="BD51" s="99"/>
      <c r="BE51" s="99"/>
      <c r="BF51" s="100"/>
      <c r="BG51" s="101"/>
      <c r="BH51" s="100"/>
      <c r="BI51" s="101"/>
      <c r="BJ51" s="101"/>
      <c r="BK51" s="99"/>
      <c r="BL51" s="102"/>
      <c r="BM51" s="102"/>
      <c r="BN51" s="103"/>
      <c r="BO51" s="104"/>
      <c r="BP51" s="98"/>
      <c r="BQ51" s="105"/>
      <c r="BR51" s="104"/>
      <c r="BS51" s="115"/>
      <c r="BT51" s="104"/>
      <c r="BU51" s="98"/>
      <c r="BV51" s="105"/>
      <c r="BW51" s="104"/>
      <c r="BX51" s="104"/>
      <c r="BY51" s="107"/>
      <c r="BZ51" s="108"/>
      <c r="CA51" s="108"/>
      <c r="CB51" s="109"/>
      <c r="CC51" s="110"/>
      <c r="CD51" s="108"/>
      <c r="CE51" s="109"/>
      <c r="CF51" s="109"/>
      <c r="CG51" s="107"/>
      <c r="CH51" s="111"/>
      <c r="CI51" s="98"/>
      <c r="CJ51" s="113"/>
      <c r="CK51" s="113"/>
      <c r="CL51" s="114"/>
      <c r="CM51" s="114"/>
      <c r="CN51" s="114"/>
      <c r="CO51" s="99"/>
      <c r="CP51" s="115"/>
      <c r="CQ51" s="116"/>
      <c r="CR51" s="90"/>
      <c r="CS51" s="90"/>
      <c r="CT51" s="90"/>
      <c r="CU51" s="90"/>
      <c r="CV51" s="90"/>
      <c r="CW51" s="90"/>
      <c r="CX51" s="90"/>
      <c r="CY51" s="90"/>
      <c r="CZ51" s="90"/>
      <c r="DA51" s="90"/>
      <c r="DB51" s="121"/>
      <c r="DC51" s="121"/>
      <c r="DD51" s="100"/>
      <c r="DE51" s="121"/>
      <c r="DF51" s="90"/>
      <c r="DG51" s="90"/>
      <c r="DH51" s="90"/>
      <c r="DI51" s="90"/>
      <c r="DJ51" s="90"/>
      <c r="DK51" s="90"/>
      <c r="DL51" s="90"/>
      <c r="DM51" s="90"/>
      <c r="DN51" s="90"/>
      <c r="DO51" s="90"/>
      <c r="DP51" s="90"/>
      <c r="DQ51" s="90"/>
      <c r="DR51" s="90"/>
    </row>
    <row r="52" spans="1:122" ht="24" customHeight="1" x14ac:dyDescent="0.25">
      <c r="A52" s="83"/>
      <c r="B52" s="442"/>
      <c r="C52" s="453"/>
      <c r="D52" s="84"/>
      <c r="E52" s="23"/>
      <c r="F52" s="15"/>
      <c r="G52" s="213"/>
      <c r="H52" s="27" t="str">
        <f t="shared" si="5"/>
        <v/>
      </c>
      <c r="I52" s="216" t="str">
        <f t="shared" si="6"/>
        <v/>
      </c>
      <c r="J52" s="29" t="str">
        <f ca="1">IF($J$5&gt;=B52,"N/A",SUM(INDIRECT(ADDRESS(6+(MATCH($J$5,$B$6:$B$59,0)),8)):H52))</f>
        <v>N/A</v>
      </c>
      <c r="K52" s="10"/>
      <c r="L52" s="88"/>
      <c r="M52" s="4" t="str">
        <f t="shared" si="7"/>
        <v/>
      </c>
      <c r="N52" s="220" t="str">
        <f t="shared" si="1"/>
        <v/>
      </c>
      <c r="O52" s="30" t="str">
        <f ca="1">IF($O$5&gt;=B52,"N/A",SUM(INDIRECT(ADDRESS(6+(MATCH($O$5,$B$6:$B$59,0)),13)):M52))</f>
        <v>N/A</v>
      </c>
      <c r="P52" s="325"/>
      <c r="Q52" s="325"/>
      <c r="R52" s="325"/>
      <c r="S52" s="70" t="str">
        <f t="shared" si="8"/>
        <v/>
      </c>
      <c r="T52" s="241" t="str">
        <f t="shared" si="9"/>
        <v/>
      </c>
      <c r="U52" s="345"/>
      <c r="V52" s="346"/>
      <c r="W52" s="346"/>
      <c r="X52" s="347">
        <f t="shared" si="10"/>
        <v>0</v>
      </c>
      <c r="Y52" s="353">
        <f t="shared" si="11"/>
        <v>2071.9</v>
      </c>
      <c r="Z52" s="357"/>
      <c r="AA52" s="296"/>
      <c r="AB52" s="297"/>
      <c r="AC52" s="297"/>
      <c r="AD52" s="199">
        <f t="shared" si="20"/>
        <v>0</v>
      </c>
      <c r="AE52" s="159">
        <f t="shared" si="13"/>
        <v>600</v>
      </c>
      <c r="AF52" s="298"/>
      <c r="AG52" s="372" t="str">
        <f t="shared" si="0"/>
        <v/>
      </c>
      <c r="AH52" s="363" t="str">
        <f t="shared" si="0"/>
        <v/>
      </c>
      <c r="AI52" s="363" t="str">
        <f t="shared" si="0"/>
        <v/>
      </c>
      <c r="AJ52" s="362">
        <f t="shared" si="2"/>
        <v>0</v>
      </c>
      <c r="AK52" s="370">
        <f t="shared" si="14"/>
        <v>2671.9</v>
      </c>
      <c r="AL52" s="375">
        <f t="shared" si="3"/>
        <v>0</v>
      </c>
      <c r="AM52" s="299"/>
      <c r="AN52" s="300"/>
      <c r="AO52" s="300"/>
      <c r="AP52" s="203">
        <f t="shared" si="4"/>
        <v>0</v>
      </c>
      <c r="AQ52" s="150">
        <f t="shared" si="15"/>
        <v>73.8</v>
      </c>
      <c r="AR52" s="301"/>
      <c r="AS52" s="302"/>
      <c r="AT52" s="303"/>
      <c r="AU52" s="141">
        <f t="shared" si="19"/>
        <v>139</v>
      </c>
      <c r="AV52" s="304"/>
      <c r="AW52" s="316"/>
      <c r="AX52" s="317"/>
      <c r="AY52" s="237" t="e">
        <f t="shared" si="21"/>
        <v>#VALUE!</v>
      </c>
      <c r="AZ52" s="400" t="str">
        <f t="shared" si="17"/>
        <v/>
      </c>
      <c r="BA52" s="241" t="str">
        <f t="shared" si="18"/>
        <v/>
      </c>
      <c r="BB52" s="45" t="s">
        <v>40</v>
      </c>
      <c r="BC52" s="98"/>
      <c r="BD52" s="99"/>
      <c r="BE52" s="99"/>
      <c r="BF52" s="100"/>
      <c r="BG52" s="101"/>
      <c r="BH52" s="100"/>
      <c r="BI52" s="101"/>
      <c r="BJ52" s="101"/>
      <c r="BK52" s="99"/>
      <c r="BL52" s="102"/>
      <c r="BM52" s="102"/>
      <c r="BN52" s="103"/>
      <c r="BO52" s="104"/>
      <c r="BP52" s="98"/>
      <c r="BQ52" s="105"/>
      <c r="BR52" s="104"/>
      <c r="BS52" s="115"/>
      <c r="BT52" s="104"/>
      <c r="BU52" s="98"/>
      <c r="BV52" s="105"/>
      <c r="BW52" s="104"/>
      <c r="BX52" s="104"/>
      <c r="BY52" s="107"/>
      <c r="BZ52" s="108"/>
      <c r="CA52" s="108"/>
      <c r="CB52" s="109"/>
      <c r="CC52" s="110"/>
      <c r="CD52" s="108"/>
      <c r="CE52" s="109"/>
      <c r="CF52" s="109"/>
      <c r="CG52" s="107"/>
      <c r="CH52" s="111"/>
      <c r="CI52" s="98"/>
      <c r="CJ52" s="113"/>
      <c r="CK52" s="113"/>
      <c r="CL52" s="114"/>
      <c r="CM52" s="114"/>
      <c r="CN52" s="114"/>
      <c r="CO52" s="99"/>
      <c r="CP52" s="115"/>
      <c r="CQ52" s="116"/>
      <c r="CR52" s="90"/>
      <c r="CS52" s="90"/>
      <c r="CT52" s="90"/>
      <c r="CU52" s="90"/>
      <c r="CV52" s="90"/>
      <c r="CW52" s="90"/>
      <c r="CX52" s="90"/>
      <c r="CY52" s="90"/>
      <c r="CZ52" s="90"/>
      <c r="DA52" s="90"/>
      <c r="DB52" s="121"/>
      <c r="DC52" s="121"/>
      <c r="DD52" s="100"/>
      <c r="DE52" s="121"/>
      <c r="DF52" s="90"/>
      <c r="DG52" s="90"/>
      <c r="DH52" s="90"/>
      <c r="DI52" s="90"/>
      <c r="DJ52" s="90"/>
      <c r="DK52" s="90"/>
      <c r="DL52" s="90"/>
      <c r="DM52" s="90"/>
      <c r="DN52" s="90"/>
      <c r="DO52" s="90"/>
      <c r="DP52" s="90"/>
      <c r="DQ52" s="90"/>
      <c r="DR52" s="90"/>
    </row>
    <row r="53" spans="1:122" ht="24" customHeight="1" x14ac:dyDescent="0.25">
      <c r="A53" s="83"/>
      <c r="B53" s="442"/>
      <c r="C53" s="453"/>
      <c r="D53" s="84"/>
      <c r="E53" s="23"/>
      <c r="F53" s="15"/>
      <c r="G53" s="213"/>
      <c r="H53" s="27" t="str">
        <f t="shared" si="5"/>
        <v/>
      </c>
      <c r="I53" s="216" t="str">
        <f t="shared" si="6"/>
        <v/>
      </c>
      <c r="J53" s="29" t="str">
        <f ca="1">IF($J$5&gt;=B53,"N/A",SUM(INDIRECT(ADDRESS(6+(MATCH($J$5,$B$6:$B$59,0)),8)):H53))</f>
        <v>N/A</v>
      </c>
      <c r="K53" s="10"/>
      <c r="L53" s="88"/>
      <c r="M53" s="4" t="str">
        <f t="shared" si="7"/>
        <v/>
      </c>
      <c r="N53" s="220" t="str">
        <f t="shared" si="1"/>
        <v/>
      </c>
      <c r="O53" s="30" t="str">
        <f ca="1">IF($O$5&gt;=B53,"N/A",SUM(INDIRECT(ADDRESS(6+(MATCH($O$5,$B$6:$B$59,0)),13)):M53))</f>
        <v>N/A</v>
      </c>
      <c r="P53" s="325"/>
      <c r="Q53" s="325"/>
      <c r="R53" s="325"/>
      <c r="S53" s="70" t="str">
        <f t="shared" si="8"/>
        <v/>
      </c>
      <c r="T53" s="241" t="str">
        <f t="shared" si="9"/>
        <v/>
      </c>
      <c r="U53" s="345"/>
      <c r="V53" s="346"/>
      <c r="W53" s="346"/>
      <c r="X53" s="347">
        <f t="shared" si="10"/>
        <v>0</v>
      </c>
      <c r="Y53" s="353">
        <f t="shared" si="11"/>
        <v>2071.9</v>
      </c>
      <c r="Z53" s="357"/>
      <c r="AA53" s="296"/>
      <c r="AB53" s="297"/>
      <c r="AC53" s="297"/>
      <c r="AD53" s="199">
        <f t="shared" si="20"/>
        <v>0</v>
      </c>
      <c r="AE53" s="159">
        <f t="shared" si="13"/>
        <v>600</v>
      </c>
      <c r="AF53" s="298"/>
      <c r="AG53" s="372" t="str">
        <f t="shared" si="0"/>
        <v/>
      </c>
      <c r="AH53" s="363" t="str">
        <f t="shared" si="0"/>
        <v/>
      </c>
      <c r="AI53" s="363" t="str">
        <f t="shared" si="0"/>
        <v/>
      </c>
      <c r="AJ53" s="362">
        <f t="shared" si="2"/>
        <v>0</v>
      </c>
      <c r="AK53" s="370">
        <f t="shared" si="14"/>
        <v>2671.9</v>
      </c>
      <c r="AL53" s="375">
        <f t="shared" si="3"/>
        <v>0</v>
      </c>
      <c r="AM53" s="299"/>
      <c r="AN53" s="300"/>
      <c r="AO53" s="300"/>
      <c r="AP53" s="203">
        <f t="shared" si="4"/>
        <v>0</v>
      </c>
      <c r="AQ53" s="150">
        <f t="shared" si="15"/>
        <v>73.8</v>
      </c>
      <c r="AR53" s="301"/>
      <c r="AS53" s="302"/>
      <c r="AT53" s="303"/>
      <c r="AU53" s="141">
        <f t="shared" si="19"/>
        <v>139</v>
      </c>
      <c r="AV53" s="304"/>
      <c r="AW53" s="316"/>
      <c r="AX53" s="317"/>
      <c r="AY53" s="237" t="e">
        <f t="shared" si="21"/>
        <v>#VALUE!</v>
      </c>
      <c r="AZ53" s="400" t="str">
        <f t="shared" si="17"/>
        <v/>
      </c>
      <c r="BA53" s="241" t="str">
        <f t="shared" si="18"/>
        <v/>
      </c>
      <c r="BB53" s="45" t="s">
        <v>40</v>
      </c>
      <c r="BC53" s="98"/>
      <c r="BD53" s="99"/>
      <c r="BE53" s="99"/>
      <c r="BF53" s="100"/>
      <c r="BG53" s="101"/>
      <c r="BH53" s="100"/>
      <c r="BI53" s="101"/>
      <c r="BJ53" s="101"/>
      <c r="BK53" s="99"/>
      <c r="BL53" s="102"/>
      <c r="BM53" s="102"/>
      <c r="BN53" s="103"/>
      <c r="BO53" s="104"/>
      <c r="BP53" s="98"/>
      <c r="BQ53" s="105"/>
      <c r="BR53" s="104"/>
      <c r="BS53" s="115"/>
      <c r="BT53" s="104"/>
      <c r="BU53" s="98"/>
      <c r="BV53" s="105"/>
      <c r="BW53" s="104"/>
      <c r="BX53" s="104"/>
      <c r="BY53" s="107"/>
      <c r="BZ53" s="108"/>
      <c r="CA53" s="108"/>
      <c r="CB53" s="109"/>
      <c r="CC53" s="110"/>
      <c r="CD53" s="108"/>
      <c r="CE53" s="109"/>
      <c r="CF53" s="109"/>
      <c r="CG53" s="107"/>
      <c r="CH53" s="111"/>
      <c r="CI53" s="98"/>
      <c r="CJ53" s="113"/>
      <c r="CK53" s="113"/>
      <c r="CL53" s="114"/>
      <c r="CM53" s="114"/>
      <c r="CN53" s="114"/>
      <c r="CO53" s="99"/>
      <c r="CP53" s="115"/>
      <c r="CQ53" s="116"/>
      <c r="CR53" s="90"/>
      <c r="CS53" s="90"/>
      <c r="CT53" s="90"/>
      <c r="CU53" s="90"/>
      <c r="CV53" s="90"/>
      <c r="CW53" s="90"/>
      <c r="CX53" s="90"/>
      <c r="CY53" s="90"/>
      <c r="CZ53" s="90"/>
      <c r="DA53" s="90"/>
      <c r="DB53" s="121"/>
      <c r="DC53" s="121"/>
      <c r="DD53" s="100"/>
      <c r="DE53" s="121"/>
      <c r="DF53" s="90"/>
      <c r="DG53" s="90"/>
      <c r="DH53" s="90"/>
      <c r="DI53" s="90"/>
      <c r="DJ53" s="90"/>
      <c r="DK53" s="90"/>
      <c r="DL53" s="90"/>
      <c r="DM53" s="90"/>
      <c r="DN53" s="90"/>
      <c r="DO53" s="90"/>
      <c r="DP53" s="90"/>
      <c r="DQ53" s="90"/>
      <c r="DR53" s="90"/>
    </row>
    <row r="54" spans="1:122" ht="24" customHeight="1" x14ac:dyDescent="0.25">
      <c r="A54" s="83"/>
      <c r="B54" s="442"/>
      <c r="C54" s="453"/>
      <c r="D54" s="84"/>
      <c r="E54" s="23"/>
      <c r="F54" s="15"/>
      <c r="G54" s="213"/>
      <c r="H54" s="27" t="str">
        <f t="shared" si="5"/>
        <v/>
      </c>
      <c r="I54" s="216" t="str">
        <f t="shared" si="6"/>
        <v/>
      </c>
      <c r="J54" s="29" t="str">
        <f ca="1">IF($J$5&gt;=B54,"N/A",SUM(INDIRECT(ADDRESS(6+(MATCH($J$5,$B$6:$B$59,0)),8)):H54))</f>
        <v>N/A</v>
      </c>
      <c r="K54" s="10"/>
      <c r="L54" s="88"/>
      <c r="M54" s="4" t="str">
        <f t="shared" si="7"/>
        <v/>
      </c>
      <c r="N54" s="220" t="str">
        <f t="shared" si="1"/>
        <v/>
      </c>
      <c r="O54" s="30" t="str">
        <f ca="1">IF($O$5&gt;=B54,"N/A",SUM(INDIRECT(ADDRESS(6+(MATCH($O$5,$B$6:$B$59,0)),13)):M54))</f>
        <v>N/A</v>
      </c>
      <c r="P54" s="325"/>
      <c r="Q54" s="325"/>
      <c r="R54" s="325"/>
      <c r="S54" s="70" t="str">
        <f t="shared" si="8"/>
        <v/>
      </c>
      <c r="T54" s="241" t="str">
        <f t="shared" si="9"/>
        <v/>
      </c>
      <c r="U54" s="345"/>
      <c r="V54" s="346"/>
      <c r="W54" s="346"/>
      <c r="X54" s="347">
        <f t="shared" si="10"/>
        <v>0</v>
      </c>
      <c r="Y54" s="353">
        <f t="shared" si="11"/>
        <v>2071.9</v>
      </c>
      <c r="Z54" s="357"/>
      <c r="AA54" s="296"/>
      <c r="AB54" s="297"/>
      <c r="AC54" s="297"/>
      <c r="AD54" s="199">
        <f t="shared" si="20"/>
        <v>0</v>
      </c>
      <c r="AE54" s="159">
        <f t="shared" si="13"/>
        <v>600</v>
      </c>
      <c r="AF54" s="298"/>
      <c r="AG54" s="372" t="str">
        <f t="shared" si="0"/>
        <v/>
      </c>
      <c r="AH54" s="363" t="str">
        <f t="shared" si="0"/>
        <v/>
      </c>
      <c r="AI54" s="363" t="str">
        <f t="shared" si="0"/>
        <v/>
      </c>
      <c r="AJ54" s="362">
        <f t="shared" si="2"/>
        <v>0</v>
      </c>
      <c r="AK54" s="370">
        <f t="shared" si="14"/>
        <v>2671.9</v>
      </c>
      <c r="AL54" s="375">
        <f t="shared" si="3"/>
        <v>0</v>
      </c>
      <c r="AM54" s="299"/>
      <c r="AN54" s="300"/>
      <c r="AO54" s="300"/>
      <c r="AP54" s="203">
        <f t="shared" si="4"/>
        <v>0</v>
      </c>
      <c r="AQ54" s="150">
        <f t="shared" si="15"/>
        <v>73.8</v>
      </c>
      <c r="AR54" s="301"/>
      <c r="AS54" s="302"/>
      <c r="AT54" s="303"/>
      <c r="AU54" s="141">
        <f t="shared" si="19"/>
        <v>139</v>
      </c>
      <c r="AV54" s="304"/>
      <c r="AW54" s="316"/>
      <c r="AX54" s="317"/>
      <c r="AY54" s="237" t="e">
        <f t="shared" si="21"/>
        <v>#VALUE!</v>
      </c>
      <c r="AZ54" s="400" t="str">
        <f t="shared" si="17"/>
        <v/>
      </c>
      <c r="BA54" s="241" t="str">
        <f t="shared" si="18"/>
        <v/>
      </c>
      <c r="BB54" s="45" t="s">
        <v>40</v>
      </c>
      <c r="BC54" s="98"/>
      <c r="BD54" s="99"/>
      <c r="BE54" s="99"/>
      <c r="BF54" s="100"/>
      <c r="BG54" s="101"/>
      <c r="BH54" s="100"/>
      <c r="BI54" s="101"/>
      <c r="BJ54" s="101"/>
      <c r="BK54" s="99"/>
      <c r="BL54" s="102"/>
      <c r="BM54" s="102"/>
      <c r="BN54" s="103"/>
      <c r="BO54" s="104"/>
      <c r="BP54" s="98"/>
      <c r="BQ54" s="105"/>
      <c r="BR54" s="104"/>
      <c r="BS54" s="115"/>
      <c r="BT54" s="104"/>
      <c r="BU54" s="98"/>
      <c r="BV54" s="105"/>
      <c r="BW54" s="104"/>
      <c r="BX54" s="104"/>
      <c r="BY54" s="107"/>
      <c r="BZ54" s="108"/>
      <c r="CA54" s="108"/>
      <c r="CB54" s="109"/>
      <c r="CC54" s="110"/>
      <c r="CD54" s="108"/>
      <c r="CE54" s="109"/>
      <c r="CF54" s="109"/>
      <c r="CG54" s="107"/>
      <c r="CH54" s="111"/>
      <c r="CI54" s="98"/>
      <c r="CJ54" s="113"/>
      <c r="CK54" s="113"/>
      <c r="CL54" s="114"/>
      <c r="CM54" s="114"/>
      <c r="CN54" s="114"/>
      <c r="CO54" s="99"/>
      <c r="CP54" s="115"/>
      <c r="CQ54" s="116"/>
      <c r="CR54" s="90"/>
      <c r="CS54" s="90"/>
      <c r="CT54" s="90"/>
      <c r="CU54" s="90"/>
      <c r="CV54" s="90"/>
      <c r="CW54" s="90"/>
      <c r="CX54" s="90"/>
      <c r="CY54" s="90"/>
      <c r="CZ54" s="90"/>
      <c r="DA54" s="90"/>
      <c r="DB54" s="121"/>
      <c r="DC54" s="121"/>
      <c r="DD54" s="100"/>
      <c r="DE54" s="121"/>
      <c r="DF54" s="90"/>
      <c r="DG54" s="90"/>
      <c r="DH54" s="90"/>
      <c r="DI54" s="90"/>
      <c r="DJ54" s="90"/>
      <c r="DK54" s="90"/>
      <c r="DL54" s="90"/>
      <c r="DM54" s="90"/>
      <c r="DN54" s="90"/>
      <c r="DO54" s="90"/>
      <c r="DP54" s="90"/>
      <c r="DQ54" s="90"/>
      <c r="DR54" s="90"/>
    </row>
    <row r="55" spans="1:122" ht="24" customHeight="1" x14ac:dyDescent="0.25">
      <c r="A55" s="83"/>
      <c r="B55" s="442"/>
      <c r="C55" s="453"/>
      <c r="D55" s="84"/>
      <c r="E55" s="23"/>
      <c r="F55" s="15"/>
      <c r="G55" s="213"/>
      <c r="H55" s="27" t="str">
        <f t="shared" si="5"/>
        <v/>
      </c>
      <c r="I55" s="216" t="str">
        <f t="shared" si="6"/>
        <v/>
      </c>
      <c r="J55" s="29" t="str">
        <f ca="1">IF($J$5&gt;=B55,"N/A",SUM(INDIRECT(ADDRESS(6+(MATCH($J$5,$B$6:$B$59,0)),8)):H55))</f>
        <v>N/A</v>
      </c>
      <c r="K55" s="10"/>
      <c r="L55" s="88"/>
      <c r="M55" s="4" t="str">
        <f t="shared" si="7"/>
        <v/>
      </c>
      <c r="N55" s="220" t="str">
        <f t="shared" si="1"/>
        <v/>
      </c>
      <c r="O55" s="30" t="str">
        <f ca="1">IF($O$5&gt;=B55,"N/A",SUM(INDIRECT(ADDRESS(6+(MATCH($O$5,$B$6:$B$59,0)),13)):M55))</f>
        <v>N/A</v>
      </c>
      <c r="P55" s="325"/>
      <c r="Q55" s="325"/>
      <c r="R55" s="325"/>
      <c r="S55" s="70" t="str">
        <f t="shared" si="8"/>
        <v/>
      </c>
      <c r="T55" s="241" t="str">
        <f t="shared" si="9"/>
        <v/>
      </c>
      <c r="U55" s="345"/>
      <c r="V55" s="346"/>
      <c r="W55" s="346"/>
      <c r="X55" s="347">
        <f t="shared" si="10"/>
        <v>0</v>
      </c>
      <c r="Y55" s="353">
        <f t="shared" si="11"/>
        <v>2071.9</v>
      </c>
      <c r="Z55" s="357"/>
      <c r="AA55" s="296"/>
      <c r="AB55" s="297"/>
      <c r="AC55" s="297"/>
      <c r="AD55" s="199">
        <f t="shared" si="20"/>
        <v>0</v>
      </c>
      <c r="AE55" s="159">
        <f t="shared" si="13"/>
        <v>600</v>
      </c>
      <c r="AF55" s="298"/>
      <c r="AG55" s="372" t="str">
        <f t="shared" si="0"/>
        <v/>
      </c>
      <c r="AH55" s="363" t="str">
        <f t="shared" si="0"/>
        <v/>
      </c>
      <c r="AI55" s="363" t="str">
        <f t="shared" si="0"/>
        <v/>
      </c>
      <c r="AJ55" s="362">
        <f t="shared" si="2"/>
        <v>0</v>
      </c>
      <c r="AK55" s="370">
        <f t="shared" si="14"/>
        <v>2671.9</v>
      </c>
      <c r="AL55" s="375">
        <f t="shared" si="3"/>
        <v>0</v>
      </c>
      <c r="AM55" s="299"/>
      <c r="AN55" s="300"/>
      <c r="AO55" s="300"/>
      <c r="AP55" s="203">
        <f t="shared" si="4"/>
        <v>0</v>
      </c>
      <c r="AQ55" s="150">
        <f t="shared" si="15"/>
        <v>73.8</v>
      </c>
      <c r="AR55" s="301"/>
      <c r="AS55" s="302"/>
      <c r="AT55" s="303"/>
      <c r="AU55" s="141">
        <f t="shared" si="19"/>
        <v>139</v>
      </c>
      <c r="AV55" s="304"/>
      <c r="AW55" s="316"/>
      <c r="AX55" s="317"/>
      <c r="AY55" s="237" t="e">
        <f t="shared" si="21"/>
        <v>#VALUE!</v>
      </c>
      <c r="AZ55" s="400" t="str">
        <f t="shared" si="17"/>
        <v/>
      </c>
      <c r="BA55" s="241" t="str">
        <f t="shared" si="18"/>
        <v/>
      </c>
      <c r="BB55" s="45" t="s">
        <v>40</v>
      </c>
      <c r="BC55" s="98"/>
      <c r="BD55" s="99"/>
      <c r="BE55" s="99"/>
      <c r="BF55" s="100"/>
      <c r="BG55" s="101"/>
      <c r="BH55" s="100"/>
      <c r="BI55" s="101"/>
      <c r="BJ55" s="101"/>
      <c r="BK55" s="99"/>
      <c r="BL55" s="102"/>
      <c r="BM55" s="102"/>
      <c r="BN55" s="103"/>
      <c r="BO55" s="104"/>
      <c r="BP55" s="98"/>
      <c r="BQ55" s="105"/>
      <c r="BR55" s="104"/>
      <c r="BS55" s="115"/>
      <c r="BT55" s="104"/>
      <c r="BU55" s="98"/>
      <c r="BV55" s="105"/>
      <c r="BW55" s="104"/>
      <c r="BX55" s="104"/>
      <c r="BY55" s="107"/>
      <c r="BZ55" s="108"/>
      <c r="CA55" s="108"/>
      <c r="CB55" s="109"/>
      <c r="CC55" s="110"/>
      <c r="CD55" s="108"/>
      <c r="CE55" s="109"/>
      <c r="CF55" s="109"/>
      <c r="CG55" s="107"/>
      <c r="CH55" s="111"/>
      <c r="CI55" s="98"/>
      <c r="CJ55" s="113"/>
      <c r="CK55" s="113"/>
      <c r="CL55" s="114"/>
      <c r="CM55" s="114"/>
      <c r="CN55" s="114"/>
      <c r="CO55" s="99"/>
      <c r="CP55" s="115"/>
      <c r="CQ55" s="116"/>
      <c r="CR55" s="90"/>
      <c r="CS55" s="90"/>
      <c r="CT55" s="90"/>
      <c r="CU55" s="90"/>
      <c r="CV55" s="90"/>
      <c r="CW55" s="90"/>
      <c r="CX55" s="90"/>
      <c r="CY55" s="90"/>
      <c r="CZ55" s="90"/>
      <c r="DA55" s="90"/>
      <c r="DB55" s="121"/>
      <c r="DC55" s="121"/>
      <c r="DD55" s="100"/>
      <c r="DE55" s="121"/>
      <c r="DF55" s="90"/>
      <c r="DG55" s="90"/>
      <c r="DH55" s="90"/>
      <c r="DI55" s="90"/>
      <c r="DJ55" s="90"/>
      <c r="DK55" s="90"/>
      <c r="DL55" s="90"/>
      <c r="DM55" s="90"/>
      <c r="DN55" s="90"/>
      <c r="DO55" s="90"/>
      <c r="DP55" s="90"/>
      <c r="DQ55" s="90"/>
      <c r="DR55" s="90"/>
    </row>
    <row r="56" spans="1:122" ht="24" customHeight="1" x14ac:dyDescent="0.25">
      <c r="A56" s="83"/>
      <c r="B56" s="442"/>
      <c r="C56" s="453"/>
      <c r="D56" s="84"/>
      <c r="E56" s="23"/>
      <c r="F56" s="15"/>
      <c r="G56" s="213"/>
      <c r="H56" s="27" t="str">
        <f t="shared" si="5"/>
        <v/>
      </c>
      <c r="I56" s="216" t="str">
        <f t="shared" si="6"/>
        <v/>
      </c>
      <c r="J56" s="29" t="str">
        <f ca="1">IF($J$5&gt;=B56,"N/A",SUM(INDIRECT(ADDRESS(6+(MATCH($J$5,$B$6:$B$59,0)),8)):H56))</f>
        <v>N/A</v>
      </c>
      <c r="K56" s="10"/>
      <c r="L56" s="88"/>
      <c r="M56" s="4" t="str">
        <f t="shared" si="7"/>
        <v/>
      </c>
      <c r="N56" s="220" t="str">
        <f t="shared" si="1"/>
        <v/>
      </c>
      <c r="O56" s="30" t="str">
        <f ca="1">IF($O$5&gt;=B56,"N/A",SUM(INDIRECT(ADDRESS(6+(MATCH($O$5,$B$6:$B$59,0)),13)):M56))</f>
        <v>N/A</v>
      </c>
      <c r="P56" s="325"/>
      <c r="Q56" s="325"/>
      <c r="R56" s="325"/>
      <c r="S56" s="70" t="str">
        <f t="shared" si="8"/>
        <v/>
      </c>
      <c r="T56" s="241" t="str">
        <f t="shared" si="9"/>
        <v/>
      </c>
      <c r="U56" s="345"/>
      <c r="V56" s="346"/>
      <c r="W56" s="346"/>
      <c r="X56" s="347">
        <f t="shared" si="10"/>
        <v>0</v>
      </c>
      <c r="Y56" s="353">
        <f t="shared" si="11"/>
        <v>2071.9</v>
      </c>
      <c r="Z56" s="357"/>
      <c r="AA56" s="296"/>
      <c r="AB56" s="297"/>
      <c r="AC56" s="297"/>
      <c r="AD56" s="199">
        <f t="shared" si="20"/>
        <v>0</v>
      </c>
      <c r="AE56" s="159">
        <f t="shared" si="13"/>
        <v>600</v>
      </c>
      <c r="AF56" s="298"/>
      <c r="AG56" s="372" t="str">
        <f t="shared" si="0"/>
        <v/>
      </c>
      <c r="AH56" s="363" t="str">
        <f t="shared" si="0"/>
        <v/>
      </c>
      <c r="AI56" s="363" t="str">
        <f t="shared" si="0"/>
        <v/>
      </c>
      <c r="AJ56" s="362">
        <f t="shared" si="2"/>
        <v>0</v>
      </c>
      <c r="AK56" s="370">
        <f t="shared" si="14"/>
        <v>2671.9</v>
      </c>
      <c r="AL56" s="375">
        <f t="shared" si="3"/>
        <v>0</v>
      </c>
      <c r="AM56" s="299"/>
      <c r="AN56" s="300"/>
      <c r="AO56" s="300"/>
      <c r="AP56" s="203">
        <f t="shared" si="4"/>
        <v>0</v>
      </c>
      <c r="AQ56" s="150">
        <f t="shared" si="15"/>
        <v>73.8</v>
      </c>
      <c r="AR56" s="301"/>
      <c r="AS56" s="302"/>
      <c r="AT56" s="303"/>
      <c r="AU56" s="141">
        <f t="shared" si="19"/>
        <v>139</v>
      </c>
      <c r="AV56" s="304"/>
      <c r="AW56" s="316"/>
      <c r="AX56" s="317"/>
      <c r="AY56" s="237" t="e">
        <f t="shared" si="21"/>
        <v>#VALUE!</v>
      </c>
      <c r="AZ56" s="400" t="str">
        <f t="shared" si="17"/>
        <v/>
      </c>
      <c r="BA56" s="241" t="str">
        <f t="shared" si="18"/>
        <v/>
      </c>
      <c r="BB56" s="45" t="s">
        <v>40</v>
      </c>
      <c r="BC56" s="98"/>
      <c r="BD56" s="99"/>
      <c r="BE56" s="99"/>
      <c r="BF56" s="100"/>
      <c r="BG56" s="101"/>
      <c r="BH56" s="100"/>
      <c r="BI56" s="101"/>
      <c r="BJ56" s="101"/>
      <c r="BK56" s="99"/>
      <c r="BL56" s="102"/>
      <c r="BM56" s="102"/>
      <c r="BN56" s="103"/>
      <c r="BO56" s="104"/>
      <c r="BP56" s="98"/>
      <c r="BQ56" s="105"/>
      <c r="BR56" s="104"/>
      <c r="BS56" s="115"/>
      <c r="BT56" s="104"/>
      <c r="BU56" s="98"/>
      <c r="BV56" s="105"/>
      <c r="BW56" s="104"/>
      <c r="BX56" s="104"/>
      <c r="BY56" s="107"/>
      <c r="BZ56" s="108"/>
      <c r="CA56" s="108"/>
      <c r="CB56" s="109"/>
      <c r="CC56" s="110"/>
      <c r="CD56" s="108"/>
      <c r="CE56" s="109"/>
      <c r="CF56" s="109"/>
      <c r="CG56" s="107"/>
      <c r="CH56" s="111"/>
      <c r="CI56" s="98"/>
      <c r="CJ56" s="113"/>
      <c r="CK56" s="113"/>
      <c r="CL56" s="114"/>
      <c r="CM56" s="114"/>
      <c r="CN56" s="114"/>
      <c r="CO56" s="99"/>
      <c r="CP56" s="115"/>
      <c r="CQ56" s="116"/>
      <c r="CR56" s="90"/>
      <c r="CS56" s="90"/>
      <c r="CT56" s="90"/>
      <c r="CU56" s="90"/>
      <c r="CV56" s="90"/>
      <c r="CW56" s="90"/>
      <c r="CX56" s="90"/>
      <c r="CY56" s="90"/>
      <c r="CZ56" s="90"/>
      <c r="DA56" s="90"/>
      <c r="DB56" s="121"/>
      <c r="DC56" s="121"/>
      <c r="DD56" s="100"/>
      <c r="DE56" s="121"/>
      <c r="DF56" s="90"/>
      <c r="DG56" s="90"/>
      <c r="DH56" s="90"/>
      <c r="DI56" s="90"/>
      <c r="DJ56" s="90"/>
      <c r="DK56" s="90"/>
      <c r="DL56" s="90"/>
      <c r="DM56" s="90"/>
      <c r="DN56" s="90"/>
      <c r="DO56" s="90"/>
      <c r="DP56" s="90"/>
      <c r="DQ56" s="90"/>
      <c r="DR56" s="90"/>
    </row>
    <row r="57" spans="1:122" ht="24" customHeight="1" x14ac:dyDescent="0.25">
      <c r="A57" s="83"/>
      <c r="B57" s="442"/>
      <c r="C57" s="453"/>
      <c r="D57" s="84"/>
      <c r="E57" s="23"/>
      <c r="F57" s="15"/>
      <c r="G57" s="213"/>
      <c r="H57" s="27" t="str">
        <f t="shared" si="5"/>
        <v/>
      </c>
      <c r="I57" s="216" t="str">
        <f t="shared" si="6"/>
        <v/>
      </c>
      <c r="J57" s="29" t="str">
        <f ca="1">IF($J$5&gt;=B57,"N/A",SUM(INDIRECT(ADDRESS(6+(MATCH($J$5,$B$6:$B$59,0)),8)):H57))</f>
        <v>N/A</v>
      </c>
      <c r="K57" s="10"/>
      <c r="L57" s="88"/>
      <c r="M57" s="4" t="str">
        <f t="shared" si="7"/>
        <v/>
      </c>
      <c r="N57" s="220" t="str">
        <f t="shared" si="1"/>
        <v/>
      </c>
      <c r="O57" s="30" t="str">
        <f ca="1">IF($O$5&gt;=B57,"N/A",SUM(INDIRECT(ADDRESS(6+(MATCH($O$5,$B$6:$B$59,0)),13)):M57))</f>
        <v>N/A</v>
      </c>
      <c r="P57" s="325"/>
      <c r="Q57" s="325"/>
      <c r="R57" s="325"/>
      <c r="S57" s="70" t="str">
        <f t="shared" si="8"/>
        <v/>
      </c>
      <c r="T57" s="241" t="str">
        <f t="shared" si="9"/>
        <v/>
      </c>
      <c r="U57" s="345"/>
      <c r="V57" s="346"/>
      <c r="W57" s="346"/>
      <c r="X57" s="347">
        <f t="shared" si="10"/>
        <v>0</v>
      </c>
      <c r="Y57" s="353">
        <f t="shared" si="11"/>
        <v>2071.9</v>
      </c>
      <c r="Z57" s="357"/>
      <c r="AA57" s="296"/>
      <c r="AB57" s="297"/>
      <c r="AC57" s="297"/>
      <c r="AD57" s="199">
        <f t="shared" si="20"/>
        <v>0</v>
      </c>
      <c r="AE57" s="159">
        <f t="shared" si="13"/>
        <v>600</v>
      </c>
      <c r="AF57" s="298"/>
      <c r="AG57" s="372" t="str">
        <f t="shared" si="0"/>
        <v/>
      </c>
      <c r="AH57" s="363" t="str">
        <f t="shared" si="0"/>
        <v/>
      </c>
      <c r="AI57" s="363" t="str">
        <f t="shared" si="0"/>
        <v/>
      </c>
      <c r="AJ57" s="362">
        <f t="shared" si="2"/>
        <v>0</v>
      </c>
      <c r="AK57" s="370">
        <f t="shared" si="14"/>
        <v>2671.9</v>
      </c>
      <c r="AL57" s="375">
        <f t="shared" si="3"/>
        <v>0</v>
      </c>
      <c r="AM57" s="299"/>
      <c r="AN57" s="300"/>
      <c r="AO57" s="300"/>
      <c r="AP57" s="203">
        <f t="shared" si="4"/>
        <v>0</v>
      </c>
      <c r="AQ57" s="150">
        <f t="shared" si="15"/>
        <v>73.8</v>
      </c>
      <c r="AR57" s="301"/>
      <c r="AS57" s="302"/>
      <c r="AT57" s="303"/>
      <c r="AU57" s="141">
        <f t="shared" si="19"/>
        <v>139</v>
      </c>
      <c r="AV57" s="304"/>
      <c r="AW57" s="316"/>
      <c r="AX57" s="317"/>
      <c r="AY57" s="237" t="e">
        <f t="shared" si="21"/>
        <v>#VALUE!</v>
      </c>
      <c r="AZ57" s="400" t="str">
        <f t="shared" si="17"/>
        <v/>
      </c>
      <c r="BA57" s="241" t="str">
        <f t="shared" si="18"/>
        <v/>
      </c>
      <c r="BB57" s="45" t="s">
        <v>40</v>
      </c>
      <c r="BC57" s="98"/>
      <c r="BD57" s="99"/>
      <c r="BE57" s="99"/>
      <c r="BF57" s="100"/>
      <c r="BG57" s="101"/>
      <c r="BH57" s="100"/>
      <c r="BI57" s="101"/>
      <c r="BJ57" s="101"/>
      <c r="BK57" s="99"/>
      <c r="BL57" s="102"/>
      <c r="BM57" s="102"/>
      <c r="BN57" s="103"/>
      <c r="BO57" s="104"/>
      <c r="BP57" s="98"/>
      <c r="BQ57" s="105"/>
      <c r="BR57" s="104"/>
      <c r="BS57" s="115"/>
      <c r="BT57" s="104"/>
      <c r="BU57" s="98"/>
      <c r="BV57" s="105"/>
      <c r="BW57" s="104"/>
      <c r="BX57" s="104"/>
      <c r="BY57" s="107"/>
      <c r="BZ57" s="108"/>
      <c r="CA57" s="108"/>
      <c r="CB57" s="109"/>
      <c r="CC57" s="110"/>
      <c r="CD57" s="108"/>
      <c r="CE57" s="109"/>
      <c r="CF57" s="109"/>
      <c r="CG57" s="107"/>
      <c r="CH57" s="111"/>
      <c r="CI57" s="98"/>
      <c r="CJ57" s="113"/>
      <c r="CK57" s="113"/>
      <c r="CL57" s="114"/>
      <c r="CM57" s="114"/>
      <c r="CN57" s="114"/>
      <c r="CO57" s="99"/>
      <c r="CP57" s="115"/>
      <c r="CQ57" s="116"/>
      <c r="CR57" s="90"/>
      <c r="CS57" s="90"/>
      <c r="CT57" s="90"/>
      <c r="CU57" s="90"/>
      <c r="CV57" s="90"/>
      <c r="CW57" s="90"/>
      <c r="CX57" s="90"/>
      <c r="CY57" s="90"/>
      <c r="CZ57" s="90"/>
      <c r="DA57" s="90"/>
      <c r="DB57" s="121"/>
      <c r="DC57" s="121"/>
      <c r="DD57" s="100"/>
      <c r="DE57" s="121"/>
      <c r="DF57" s="90"/>
      <c r="DG57" s="90"/>
      <c r="DH57" s="90"/>
      <c r="DI57" s="90"/>
      <c r="DJ57" s="90"/>
      <c r="DK57" s="90"/>
      <c r="DL57" s="90"/>
      <c r="DM57" s="90"/>
      <c r="DN57" s="90"/>
      <c r="DO57" s="90"/>
      <c r="DP57" s="90"/>
      <c r="DQ57" s="90"/>
      <c r="DR57" s="90"/>
    </row>
    <row r="58" spans="1:122" ht="24" customHeight="1" x14ac:dyDescent="0.25">
      <c r="A58" s="83"/>
      <c r="B58" s="442"/>
      <c r="C58" s="453"/>
      <c r="D58" s="84"/>
      <c r="E58" s="23"/>
      <c r="F58" s="15"/>
      <c r="G58" s="213"/>
      <c r="H58" s="27" t="str">
        <f t="shared" si="5"/>
        <v/>
      </c>
      <c r="I58" s="216" t="str">
        <f t="shared" si="6"/>
        <v/>
      </c>
      <c r="J58" s="29" t="str">
        <f ca="1">IF($J$5&gt;=B58,"N/A",SUM(INDIRECT(ADDRESS(6+(MATCH($J$5,$B$6:$B$59,0)),8)):H58))</f>
        <v>N/A</v>
      </c>
      <c r="K58" s="10"/>
      <c r="L58" s="88"/>
      <c r="M58" s="4" t="str">
        <f t="shared" si="7"/>
        <v/>
      </c>
      <c r="N58" s="220" t="str">
        <f t="shared" si="1"/>
        <v/>
      </c>
      <c r="O58" s="30" t="str">
        <f ca="1">IF($O$5&gt;=B58,"N/A",SUM(INDIRECT(ADDRESS(6+(MATCH($O$5,$B$6:$B$59,0)),13)):M58))</f>
        <v>N/A</v>
      </c>
      <c r="P58" s="325"/>
      <c r="Q58" s="325"/>
      <c r="R58" s="325"/>
      <c r="S58" s="70" t="str">
        <f t="shared" si="8"/>
        <v/>
      </c>
      <c r="T58" s="241" t="str">
        <f t="shared" si="9"/>
        <v/>
      </c>
      <c r="U58" s="345"/>
      <c r="V58" s="346"/>
      <c r="W58" s="346"/>
      <c r="X58" s="347">
        <f t="shared" si="10"/>
        <v>0</v>
      </c>
      <c r="Y58" s="353">
        <f t="shared" si="11"/>
        <v>2071.9</v>
      </c>
      <c r="Z58" s="357"/>
      <c r="AA58" s="296"/>
      <c r="AB58" s="297"/>
      <c r="AC58" s="297"/>
      <c r="AD58" s="199">
        <f t="shared" si="20"/>
        <v>0</v>
      </c>
      <c r="AE58" s="159">
        <f t="shared" si="13"/>
        <v>600</v>
      </c>
      <c r="AF58" s="298"/>
      <c r="AG58" s="372" t="str">
        <f t="shared" si="0"/>
        <v/>
      </c>
      <c r="AH58" s="363" t="str">
        <f t="shared" si="0"/>
        <v/>
      </c>
      <c r="AI58" s="363" t="str">
        <f t="shared" si="0"/>
        <v/>
      </c>
      <c r="AJ58" s="362">
        <f t="shared" si="2"/>
        <v>0</v>
      </c>
      <c r="AK58" s="370">
        <f t="shared" si="14"/>
        <v>2671.9</v>
      </c>
      <c r="AL58" s="375">
        <f t="shared" si="3"/>
        <v>0</v>
      </c>
      <c r="AM58" s="299"/>
      <c r="AN58" s="300"/>
      <c r="AO58" s="300"/>
      <c r="AP58" s="203">
        <f t="shared" si="4"/>
        <v>0</v>
      </c>
      <c r="AQ58" s="150">
        <f t="shared" si="15"/>
        <v>73.8</v>
      </c>
      <c r="AR58" s="301"/>
      <c r="AS58" s="302"/>
      <c r="AT58" s="303"/>
      <c r="AU58" s="141">
        <f t="shared" si="19"/>
        <v>139</v>
      </c>
      <c r="AV58" s="304"/>
      <c r="AW58" s="316"/>
      <c r="AX58" s="317"/>
      <c r="AY58" s="237" t="e">
        <f t="shared" si="21"/>
        <v>#VALUE!</v>
      </c>
      <c r="AZ58" s="400" t="str">
        <f t="shared" si="17"/>
        <v/>
      </c>
      <c r="BA58" s="241" t="str">
        <f t="shared" si="18"/>
        <v/>
      </c>
      <c r="BB58" s="45" t="s">
        <v>40</v>
      </c>
      <c r="BC58" s="98"/>
      <c r="BD58" s="99"/>
      <c r="BE58" s="99"/>
      <c r="BF58" s="100"/>
      <c r="BG58" s="101"/>
      <c r="BH58" s="100"/>
      <c r="BI58" s="101"/>
      <c r="BJ58" s="101"/>
      <c r="BK58" s="99"/>
      <c r="BL58" s="102"/>
      <c r="BM58" s="102"/>
      <c r="BN58" s="103"/>
      <c r="BO58" s="104"/>
      <c r="BP58" s="98"/>
      <c r="BQ58" s="105"/>
      <c r="BR58" s="104"/>
      <c r="BS58" s="115"/>
      <c r="BT58" s="104"/>
      <c r="BU58" s="98"/>
      <c r="BV58" s="105"/>
      <c r="BW58" s="104"/>
      <c r="BX58" s="104"/>
      <c r="BY58" s="107"/>
      <c r="BZ58" s="108"/>
      <c r="CA58" s="108"/>
      <c r="CB58" s="109"/>
      <c r="CC58" s="110"/>
      <c r="CD58" s="108"/>
      <c r="CE58" s="109"/>
      <c r="CF58" s="109"/>
      <c r="CG58" s="107"/>
      <c r="CH58" s="111"/>
      <c r="CI58" s="98"/>
      <c r="CJ58" s="113"/>
      <c r="CK58" s="113"/>
      <c r="CL58" s="114"/>
      <c r="CM58" s="114"/>
      <c r="CN58" s="114"/>
      <c r="CO58" s="99"/>
      <c r="CP58" s="115"/>
      <c r="CQ58" s="116"/>
      <c r="CR58" s="90"/>
      <c r="CS58" s="90"/>
      <c r="CT58" s="90"/>
      <c r="CU58" s="90"/>
      <c r="CV58" s="90"/>
      <c r="CW58" s="90"/>
      <c r="CX58" s="90"/>
      <c r="CY58" s="90"/>
      <c r="CZ58" s="90"/>
      <c r="DA58" s="90"/>
      <c r="DB58" s="121"/>
      <c r="DC58" s="121"/>
      <c r="DD58" s="100"/>
      <c r="DE58" s="121"/>
      <c r="DF58" s="90"/>
      <c r="DG58" s="90"/>
      <c r="DH58" s="90"/>
      <c r="DI58" s="90"/>
      <c r="DJ58" s="90"/>
      <c r="DK58" s="90"/>
      <c r="DL58" s="90"/>
      <c r="DM58" s="90"/>
      <c r="DN58" s="90"/>
      <c r="DO58" s="90"/>
      <c r="DP58" s="90"/>
      <c r="DQ58" s="90"/>
      <c r="DR58" s="90"/>
    </row>
    <row r="59" spans="1:122" ht="24" customHeight="1" thickBot="1" x14ac:dyDescent="0.3">
      <c r="A59" s="267"/>
      <c r="B59" s="454"/>
      <c r="C59" s="455"/>
      <c r="D59" s="86"/>
      <c r="E59" s="24"/>
      <c r="F59" s="95"/>
      <c r="G59" s="214"/>
      <c r="H59" s="27" t="str">
        <f t="shared" si="5"/>
        <v/>
      </c>
      <c r="I59" s="217" t="str">
        <f t="shared" si="6"/>
        <v/>
      </c>
      <c r="J59" s="29" t="str">
        <f ca="1">IF($J$5&gt;=B59,"N/A",SUM(INDIRECT(ADDRESS(6+(MATCH($J$5,$B$6:$B$59,0)),8)):H59))</f>
        <v>N/A</v>
      </c>
      <c r="K59" s="10"/>
      <c r="L59" s="89"/>
      <c r="M59" s="4" t="str">
        <f t="shared" si="7"/>
        <v/>
      </c>
      <c r="N59" s="221" t="str">
        <f t="shared" si="1"/>
        <v/>
      </c>
      <c r="O59" s="30" t="str">
        <f ca="1">IF($O$5&gt;=B59,"N/A",SUM(INDIRECT(ADDRESS(6+(MATCH($O$5,$B$6:$B$59,0)),13)):M59))</f>
        <v>N/A</v>
      </c>
      <c r="P59" s="326"/>
      <c r="Q59" s="326"/>
      <c r="R59" s="326"/>
      <c r="S59" s="71" t="str">
        <f t="shared" si="8"/>
        <v/>
      </c>
      <c r="T59" s="242" t="str">
        <f t="shared" si="9"/>
        <v/>
      </c>
      <c r="U59" s="348"/>
      <c r="V59" s="349"/>
      <c r="W59" s="349"/>
      <c r="X59" s="350">
        <f t="shared" si="10"/>
        <v>0</v>
      </c>
      <c r="Y59" s="354">
        <f t="shared" si="11"/>
        <v>2071.9</v>
      </c>
      <c r="Z59" s="358"/>
      <c r="AA59" s="305"/>
      <c r="AB59" s="306"/>
      <c r="AC59" s="306"/>
      <c r="AD59" s="200">
        <f t="shared" si="20"/>
        <v>0</v>
      </c>
      <c r="AE59" s="185">
        <f t="shared" si="13"/>
        <v>600</v>
      </c>
      <c r="AF59" s="307"/>
      <c r="AG59" s="372" t="str">
        <f t="shared" si="0"/>
        <v/>
      </c>
      <c r="AH59" s="365" t="str">
        <f t="shared" si="0"/>
        <v/>
      </c>
      <c r="AI59" s="365" t="str">
        <f t="shared" si="0"/>
        <v/>
      </c>
      <c r="AJ59" s="364">
        <f t="shared" si="2"/>
        <v>0</v>
      </c>
      <c r="AK59" s="371">
        <f t="shared" si="14"/>
        <v>2671.9</v>
      </c>
      <c r="AL59" s="376">
        <f t="shared" si="3"/>
        <v>0</v>
      </c>
      <c r="AM59" s="308"/>
      <c r="AN59" s="309"/>
      <c r="AO59" s="309"/>
      <c r="AP59" s="204">
        <f t="shared" si="4"/>
        <v>0</v>
      </c>
      <c r="AQ59" s="189">
        <f t="shared" si="15"/>
        <v>73.8</v>
      </c>
      <c r="AR59" s="310"/>
      <c r="AS59" s="311"/>
      <c r="AT59" s="312"/>
      <c r="AU59" s="193">
        <f t="shared" si="19"/>
        <v>139</v>
      </c>
      <c r="AV59" s="313"/>
      <c r="AW59" s="318"/>
      <c r="AX59" s="319"/>
      <c r="AY59" s="237" t="e">
        <f t="shared" si="21"/>
        <v>#VALUE!</v>
      </c>
      <c r="AZ59" s="401" t="str">
        <f t="shared" si="17"/>
        <v/>
      </c>
      <c r="BA59" s="242" t="str">
        <f t="shared" si="18"/>
        <v/>
      </c>
      <c r="BB59" s="45" t="s">
        <v>40</v>
      </c>
      <c r="BC59" s="98"/>
      <c r="BD59" s="99"/>
      <c r="BE59" s="99"/>
      <c r="BF59" s="100"/>
      <c r="BG59" s="101"/>
      <c r="BH59" s="100"/>
      <c r="BI59" s="101"/>
      <c r="BJ59" s="101"/>
      <c r="BK59" s="99"/>
      <c r="BL59" s="102"/>
      <c r="BM59" s="102"/>
      <c r="BN59" s="103"/>
      <c r="BO59" s="104"/>
      <c r="BP59" s="98"/>
      <c r="BQ59" s="105"/>
      <c r="BR59" s="104"/>
      <c r="BS59" s="115"/>
      <c r="BT59" s="104"/>
      <c r="BU59" s="98"/>
      <c r="BV59" s="105"/>
      <c r="BW59" s="104"/>
      <c r="BX59" s="104"/>
      <c r="BY59" s="107"/>
      <c r="BZ59" s="108"/>
      <c r="CA59" s="108"/>
      <c r="CB59" s="109"/>
      <c r="CC59" s="110"/>
      <c r="CD59" s="108"/>
      <c r="CE59" s="109"/>
      <c r="CF59" s="109"/>
      <c r="CG59" s="107"/>
      <c r="CH59" s="111"/>
      <c r="CI59" s="98"/>
      <c r="CJ59" s="113"/>
      <c r="CK59" s="113"/>
      <c r="CL59" s="114"/>
      <c r="CM59" s="114"/>
      <c r="CN59" s="114"/>
      <c r="CO59" s="99"/>
      <c r="CP59" s="115"/>
      <c r="CQ59" s="116"/>
      <c r="CR59" s="90"/>
      <c r="CS59" s="90"/>
      <c r="CT59" s="90"/>
      <c r="CU59" s="90"/>
      <c r="CV59" s="90"/>
      <c r="CW59" s="90"/>
      <c r="CX59" s="90"/>
      <c r="CY59" s="90"/>
      <c r="CZ59" s="90"/>
      <c r="DA59" s="90"/>
      <c r="DB59" s="121"/>
      <c r="DC59" s="121"/>
      <c r="DD59" s="100"/>
      <c r="DE59" s="121"/>
      <c r="DF59" s="90"/>
      <c r="DG59" s="90"/>
      <c r="DH59" s="90"/>
      <c r="DI59" s="90"/>
      <c r="DJ59" s="90"/>
      <c r="DK59" s="90"/>
      <c r="DL59" s="90"/>
      <c r="DM59" s="90"/>
      <c r="DN59" s="90"/>
      <c r="DO59" s="90"/>
      <c r="DP59" s="90"/>
      <c r="DQ59" s="90"/>
      <c r="DR59" s="90"/>
    </row>
    <row r="60" spans="1:122" ht="17.25" customHeight="1" x14ac:dyDescent="0.25">
      <c r="A60" s="123"/>
      <c r="B60" s="124"/>
      <c r="C60" s="460"/>
      <c r="D60" s="460"/>
      <c r="E60" s="460"/>
      <c r="F60" s="125"/>
      <c r="G60" s="125"/>
      <c r="H60" s="126"/>
      <c r="I60" s="127"/>
      <c r="J60" s="127"/>
      <c r="K60" s="12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</row>
    <row r="61" spans="1:122" ht="24.95" customHeight="1" thickBot="1" x14ac:dyDescent="0.3">
      <c r="A61" s="74"/>
      <c r="B61" s="468" t="s">
        <v>145</v>
      </c>
      <c r="C61" s="468"/>
      <c r="D61" s="468"/>
      <c r="E61" s="73"/>
      <c r="F61" s="461" t="s">
        <v>96</v>
      </c>
      <c r="G61" s="461"/>
      <c r="H61" s="461"/>
      <c r="I61" s="408" t="s">
        <v>95</v>
      </c>
      <c r="J61" s="408"/>
      <c r="K61" s="74" t="str">
        <f ca="1">INDIRECT(ADDRESS(5+$U$61,1))</f>
        <v>BOSP</v>
      </c>
      <c r="L61" s="462">
        <v>42591.270833333336</v>
      </c>
      <c r="M61" s="462"/>
      <c r="N61" s="462"/>
      <c r="O61" s="211"/>
      <c r="P61" s="72"/>
      <c r="Q61" s="72"/>
      <c r="R61" s="72"/>
      <c r="S61" s="72"/>
      <c r="T61" s="206">
        <f>MATCH(B6,B6:B59,0)</f>
        <v>1</v>
      </c>
      <c r="U61" s="206">
        <f>MATCH(L61,B6:B59,0)</f>
        <v>3</v>
      </c>
      <c r="V61" s="72"/>
      <c r="W61" s="72"/>
      <c r="X61" s="72"/>
      <c r="Y61" s="72"/>
      <c r="Z61" s="72"/>
      <c r="AA61" s="206"/>
      <c r="AB61" s="72"/>
      <c r="AC61" s="72"/>
      <c r="AD61" s="72"/>
      <c r="AE61" s="72"/>
      <c r="AF61" s="72"/>
      <c r="AG61" s="206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</row>
    <row r="62" spans="1:122" ht="24.95" customHeight="1" thickBot="1" x14ac:dyDescent="0.3">
      <c r="A62" s="72"/>
      <c r="B62" s="72">
        <f>MATCH(B6,B6:B59,0)</f>
        <v>1</v>
      </c>
      <c r="C62" s="72">
        <f>MATCH(L61,B6:B59,0)</f>
        <v>3</v>
      </c>
      <c r="D62" s="72"/>
      <c r="E62" s="20"/>
      <c r="F62" s="417" t="s">
        <v>32</v>
      </c>
      <c r="G62" s="418"/>
      <c r="H62" s="418"/>
      <c r="I62" s="418"/>
      <c r="J62" s="77"/>
      <c r="K62" s="418" t="s">
        <v>30</v>
      </c>
      <c r="L62" s="418"/>
      <c r="M62" s="418"/>
      <c r="N62" s="418"/>
      <c r="O62" s="77"/>
      <c r="P62" s="419"/>
      <c r="Q62" s="419"/>
      <c r="R62" s="420"/>
      <c r="S62" s="456" t="str">
        <f>F61</f>
        <v>PORT ARR / NOON</v>
      </c>
      <c r="T62" s="457"/>
      <c r="U62" s="417" t="s">
        <v>139</v>
      </c>
      <c r="V62" s="418"/>
      <c r="W62" s="418"/>
      <c r="X62" s="418"/>
      <c r="Y62" s="418"/>
      <c r="Z62" s="423"/>
      <c r="AA62" s="417" t="s">
        <v>141</v>
      </c>
      <c r="AB62" s="418"/>
      <c r="AC62" s="418"/>
      <c r="AD62" s="418"/>
      <c r="AE62" s="418"/>
      <c r="AF62" s="423"/>
      <c r="AG62" s="417" t="s">
        <v>140</v>
      </c>
      <c r="AH62" s="418"/>
      <c r="AI62" s="418"/>
      <c r="AJ62" s="418"/>
      <c r="AK62" s="418"/>
      <c r="AL62" s="423"/>
      <c r="AM62" s="417" t="s">
        <v>24</v>
      </c>
      <c r="AN62" s="418"/>
      <c r="AO62" s="418"/>
      <c r="AP62" s="418"/>
      <c r="AQ62" s="418"/>
      <c r="AR62" s="423"/>
      <c r="AS62" s="417" t="s">
        <v>37</v>
      </c>
      <c r="AT62" s="418"/>
      <c r="AU62" s="424"/>
      <c r="AV62" s="417" t="s">
        <v>38</v>
      </c>
      <c r="AW62" s="418"/>
      <c r="AX62" s="424"/>
      <c r="AY62" s="469" t="str">
        <f>F61</f>
        <v>PORT ARR / NOON</v>
      </c>
      <c r="AZ62" s="470"/>
      <c r="BA62" s="72"/>
      <c r="BB62" s="72"/>
    </row>
    <row r="63" spans="1:122" ht="52.5" customHeight="1" thickBot="1" x14ac:dyDescent="0.3">
      <c r="A63" s="72"/>
      <c r="B63" s="72"/>
      <c r="C63" s="72"/>
      <c r="D63" s="396"/>
      <c r="E63" s="76" t="s">
        <v>5</v>
      </c>
      <c r="F63" s="32"/>
      <c r="G63" s="403"/>
      <c r="H63" s="33" t="s">
        <v>2</v>
      </c>
      <c r="I63" s="210" t="s">
        <v>4</v>
      </c>
      <c r="J63" s="77"/>
      <c r="K63" s="402"/>
      <c r="L63" s="78"/>
      <c r="M63" s="78" t="s">
        <v>28</v>
      </c>
      <c r="N63" s="210" t="s">
        <v>4</v>
      </c>
      <c r="O63" s="77"/>
      <c r="P63" s="405"/>
      <c r="Q63" s="404"/>
      <c r="R63" s="79" t="s">
        <v>6</v>
      </c>
      <c r="S63" s="205"/>
      <c r="T63" s="93" t="s">
        <v>95</v>
      </c>
      <c r="U63" s="32" t="s">
        <v>21</v>
      </c>
      <c r="V63" s="33" t="s">
        <v>22</v>
      </c>
      <c r="W63" s="33" t="s">
        <v>35</v>
      </c>
      <c r="X63" s="33" t="s">
        <v>36</v>
      </c>
      <c r="Y63" s="33" t="s">
        <v>15</v>
      </c>
      <c r="Z63" s="80" t="s">
        <v>19</v>
      </c>
      <c r="AA63" s="32" t="s">
        <v>21</v>
      </c>
      <c r="AB63" s="33" t="s">
        <v>22</v>
      </c>
      <c r="AC63" s="33" t="s">
        <v>35</v>
      </c>
      <c r="AD63" s="33" t="s">
        <v>36</v>
      </c>
      <c r="AE63" s="33" t="s">
        <v>15</v>
      </c>
      <c r="AF63" s="80" t="s">
        <v>19</v>
      </c>
      <c r="AG63" s="32" t="s">
        <v>21</v>
      </c>
      <c r="AH63" s="33" t="s">
        <v>22</v>
      </c>
      <c r="AI63" s="33" t="s">
        <v>35</v>
      </c>
      <c r="AJ63" s="33" t="s">
        <v>36</v>
      </c>
      <c r="AK63" s="33" t="s">
        <v>15</v>
      </c>
      <c r="AL63" s="80" t="s">
        <v>19</v>
      </c>
      <c r="AM63" s="32" t="s">
        <v>21</v>
      </c>
      <c r="AN63" s="33" t="s">
        <v>22</v>
      </c>
      <c r="AO63" s="33" t="s">
        <v>23</v>
      </c>
      <c r="AP63" s="33" t="s">
        <v>20</v>
      </c>
      <c r="AQ63" s="33" t="s">
        <v>15</v>
      </c>
      <c r="AR63" s="80" t="s">
        <v>19</v>
      </c>
      <c r="AS63" s="32" t="s">
        <v>13</v>
      </c>
      <c r="AT63" s="33" t="s">
        <v>14</v>
      </c>
      <c r="AU63" s="77" t="s">
        <v>7</v>
      </c>
      <c r="AV63" s="32" t="s">
        <v>91</v>
      </c>
      <c r="AW63" s="33" t="s">
        <v>92</v>
      </c>
      <c r="AX63" s="77" t="s">
        <v>26</v>
      </c>
      <c r="AY63" s="205"/>
      <c r="AZ63" s="93" t="s">
        <v>95</v>
      </c>
      <c r="BA63" s="72"/>
      <c r="BB63" s="72"/>
    </row>
    <row r="64" spans="1:122" ht="24.95" customHeight="1" thickBot="1" x14ac:dyDescent="0.3">
      <c r="A64" s="72"/>
      <c r="B64" s="72"/>
      <c r="C64" s="72"/>
      <c r="D64" s="397"/>
      <c r="E64" s="388">
        <f ca="1">SUM(E6:INDIRECT(ADDRESS(5+$C$62,5)))</f>
        <v>1.1000000000000001</v>
      </c>
      <c r="F64" s="389">
        <f ca="1">INDIRECT(ADDRESS(5+$C$62,6))</f>
        <v>6.4</v>
      </c>
      <c r="G64" s="390"/>
      <c r="H64" s="16">
        <f ca="1">SUM(H6:INDIRECT(ADDRESS(5+$C$62,8)))</f>
        <v>6.4</v>
      </c>
      <c r="I64" s="222">
        <f ca="1">H64/E64</f>
        <v>5.8181818181818183</v>
      </c>
      <c r="J64" s="17"/>
      <c r="K64" s="391">
        <f ca="1">INDIRECT(ADDRESS(5+$C$62,11))</f>
        <v>470.2</v>
      </c>
      <c r="L64" s="392"/>
      <c r="M64" s="11">
        <f ca="1">SUM(M6:INDIRECT(ADDRESS(5+$C$62,13)))</f>
        <v>6.8000000000000114</v>
      </c>
      <c r="N64" s="12">
        <f ca="1">M64/E64</f>
        <v>6.1818181818181914</v>
      </c>
      <c r="O64" s="172"/>
      <c r="P64" s="393"/>
      <c r="Q64" s="393"/>
      <c r="R64" s="394">
        <f ca="1">SUM(R6:INDIRECT(ADDRESS(5+$C$62,18)))</f>
        <v>8.3000000000000007</v>
      </c>
      <c r="S64" s="458">
        <f>L61</f>
        <v>42591.270833333336</v>
      </c>
      <c r="T64" s="459"/>
      <c r="U64" s="359">
        <f ca="1">SUM(U6:INDIRECT(ADDRESS(5+$C$62,21)))</f>
        <v>1.9000000000000001</v>
      </c>
      <c r="V64" s="153">
        <f ca="1">SUM(V6:INDIRECT(ADDRESS(5+$C$62,22)))</f>
        <v>2.7</v>
      </c>
      <c r="W64" s="153">
        <f ca="1">SUM(W6:INDIRECT(ADDRESS(5+$C$62,23)))</f>
        <v>1.6</v>
      </c>
      <c r="X64" s="360">
        <f ca="1">SUM(X6:INDIRECT(ADDRESS(5+$C$62,24)))</f>
        <v>6.2</v>
      </c>
      <c r="Y64" s="351">
        <f ca="1">INDIRECT(ADDRESS(5+$C$62,25))</f>
        <v>2205.1999999999998</v>
      </c>
      <c r="Z64" s="384">
        <f ca="1">SUM(Z6:INDIRECT(ADDRESS(5+$C$62,26)))</f>
        <v>0</v>
      </c>
      <c r="AA64" s="151">
        <f ca="1">SUM(AA6:INDIRECT(ADDRESS(5+$C$62,27)))</f>
        <v>0</v>
      </c>
      <c r="AB64" s="152">
        <f ca="1">SUM(AB6:INDIRECT(ADDRESS(5+$C$62,28)))</f>
        <v>0</v>
      </c>
      <c r="AC64" s="152">
        <f ca="1">SUM(AC6:INDIRECT(ADDRESS(5+$C$62,29)))</f>
        <v>0</v>
      </c>
      <c r="AD64" s="197">
        <f ca="1">SUM(AD6:INDIRECT(ADDRESS(5+$C$62,30)))</f>
        <v>0</v>
      </c>
      <c r="AE64" s="153">
        <f ca="1">INDIRECT(ADDRESS(5+$C$62,31))</f>
        <v>600</v>
      </c>
      <c r="AF64" s="385">
        <f ca="1">SUM(AF6:INDIRECT(ADDRESS(5+$C$62,32)))</f>
        <v>0</v>
      </c>
      <c r="AG64" s="366">
        <f ca="1">SUM(AG6:INDIRECT(ADDRESS(5+$C$62,33)))</f>
        <v>1.9000000000000001</v>
      </c>
      <c r="AH64" s="361">
        <f ca="1">SUM(AH6:INDIRECT(ADDRESS(5+$C$62,34)))</f>
        <v>2.7</v>
      </c>
      <c r="AI64" s="361">
        <f ca="1">SUM(AI6:INDIRECT(ADDRESS(5+$C$62,35)))</f>
        <v>1.6</v>
      </c>
      <c r="AJ64" s="367">
        <f ca="1">SUM(AJ6:INDIRECT(ADDRESS(5+$C$62,36)))</f>
        <v>6.2</v>
      </c>
      <c r="AK64" s="368">
        <f ca="1">INDIRECT(ADDRESS(5+$C$62,37))</f>
        <v>2805.2</v>
      </c>
      <c r="AL64" s="386">
        <f ca="1">SUM(AL6:INDIRECT(ADDRESS(5+$C$62,38)))</f>
        <v>0</v>
      </c>
      <c r="AM64" s="142">
        <f ca="1">SUM(AM6:INDIRECT(ADDRESS(5+$C$62,39)))</f>
        <v>0</v>
      </c>
      <c r="AN64" s="143">
        <f ca="1">SUM(AN6:INDIRECT(ADDRESS(5+$C$62,40)))</f>
        <v>0</v>
      </c>
      <c r="AO64" s="143">
        <f ca="1">SUM(AO6:INDIRECT(ADDRESS(5+$C$62,41)))</f>
        <v>0</v>
      </c>
      <c r="AP64" s="201">
        <f ca="1">SUM(AP6:INDIRECT(ADDRESS(5+$C$62,42)))</f>
        <v>0</v>
      </c>
      <c r="AQ64" s="144">
        <f ca="1">INDIRECT(ADDRESS(5+$C$62,43))</f>
        <v>74.599999999999994</v>
      </c>
      <c r="AR64" s="387">
        <f ca="1">SUM(AR6:INDIRECT(ADDRESS(5+$C$62,44)))</f>
        <v>0</v>
      </c>
      <c r="AS64" s="133">
        <f ca="1">SUM(AS6:INDIRECT(ADDRESS(5+$C$62,45)))</f>
        <v>3</v>
      </c>
      <c r="AT64" s="134">
        <f ca="1">SUM(AT6:INDIRECT(ADDRESS(5+$C$62,46)))</f>
        <v>0</v>
      </c>
      <c r="AU64" s="135">
        <f ca="1">INDIRECT(ADDRESS(5+$C$62,47))</f>
        <v>94</v>
      </c>
      <c r="AV64" s="160">
        <f ca="1">INDIRECT(ADDRESS(5+$C$62,48))</f>
        <v>56985</v>
      </c>
      <c r="AW64" s="161">
        <f ca="1">INDIRECT(ADDRESS(5+$C$62,49))</f>
        <v>28900</v>
      </c>
      <c r="AX64" s="162">
        <f ca="1">INDIRECT(ADDRESS(5+$C$62,50))</f>
        <v>5510</v>
      </c>
      <c r="AY64" s="471">
        <f>L61</f>
        <v>42591.270833333336</v>
      </c>
      <c r="AZ64" s="472"/>
      <c r="BA64" s="72"/>
      <c r="BB64" s="72"/>
    </row>
    <row r="65" spans="1:54" ht="7.5" customHeight="1" x14ac:dyDescent="0.25">
      <c r="A65" s="72"/>
      <c r="B65" s="72"/>
      <c r="C65" s="72"/>
      <c r="D65" s="72"/>
      <c r="E65" s="94"/>
      <c r="F65" s="94"/>
      <c r="G65" s="94"/>
      <c r="H65" s="94"/>
      <c r="I65" s="96"/>
      <c r="J65" s="96"/>
      <c r="K65" s="94"/>
      <c r="L65" s="94"/>
      <c r="M65" s="94"/>
      <c r="N65" s="96"/>
      <c r="O65" s="96"/>
      <c r="P65" s="94"/>
      <c r="Q65" s="94"/>
      <c r="R65" s="96"/>
      <c r="S65" s="94"/>
      <c r="T65" s="94"/>
      <c r="U65" s="94"/>
      <c r="V65" s="94"/>
      <c r="W65" s="94"/>
      <c r="X65" s="94"/>
      <c r="Y65" s="96"/>
      <c r="Z65" s="94"/>
      <c r="AA65" s="94"/>
      <c r="AB65" s="94"/>
      <c r="AC65" s="94"/>
      <c r="AD65" s="94"/>
      <c r="AE65" s="96"/>
      <c r="AF65" s="94"/>
      <c r="AG65" s="94"/>
      <c r="AH65" s="94"/>
      <c r="AI65" s="94"/>
      <c r="AJ65" s="94"/>
      <c r="AK65" s="96"/>
      <c r="AL65" s="94"/>
      <c r="AM65" s="96"/>
      <c r="AN65" s="96"/>
      <c r="AO65" s="96"/>
      <c r="AP65" s="96"/>
      <c r="AQ65" s="96"/>
      <c r="AR65" s="96"/>
      <c r="AS65" s="94"/>
      <c r="AT65" s="94"/>
      <c r="AU65" s="94"/>
      <c r="AV65" s="97"/>
      <c r="AW65" s="97"/>
      <c r="AX65" s="94"/>
      <c r="AY65" s="94"/>
      <c r="AZ65" s="94"/>
      <c r="BA65" s="72"/>
      <c r="BB65" s="72"/>
    </row>
    <row r="66" spans="1:54" ht="24.95" customHeight="1" thickBot="1" x14ac:dyDescent="0.3">
      <c r="A66" s="74"/>
      <c r="B66" s="468" t="s">
        <v>145</v>
      </c>
      <c r="C66" s="468"/>
      <c r="D66" s="468"/>
      <c r="E66" s="73" t="str">
        <f ca="1">INDIRECT(ADDRESS(5+$T$66,1))</f>
        <v>SBE</v>
      </c>
      <c r="F66" s="462">
        <v>42591.1875</v>
      </c>
      <c r="G66" s="462"/>
      <c r="H66" s="462"/>
      <c r="I66" s="408" t="s">
        <v>95</v>
      </c>
      <c r="J66" s="408"/>
      <c r="K66" s="74" t="str">
        <f ca="1">INDIRECT(ADDRESS(5+$U$66,1))</f>
        <v>FWE</v>
      </c>
      <c r="L66" s="462">
        <v>42592.54583333333</v>
      </c>
      <c r="M66" s="462"/>
      <c r="N66" s="462"/>
      <c r="O66" s="211"/>
      <c r="P66" s="72"/>
      <c r="Q66" s="72"/>
      <c r="R66" s="72"/>
      <c r="S66" s="94"/>
      <c r="T66" s="207">
        <f>MATCH(F66,B6:B59,0)</f>
        <v>2</v>
      </c>
      <c r="U66" s="206">
        <f>MATCH(L66,B6:B59,0)</f>
        <v>6</v>
      </c>
      <c r="V66" s="72"/>
      <c r="W66" s="72"/>
      <c r="X66" s="72"/>
      <c r="Y66" s="72"/>
      <c r="Z66" s="72"/>
      <c r="AA66" s="206"/>
      <c r="AB66" s="72"/>
      <c r="AC66" s="72"/>
      <c r="AD66" s="72"/>
      <c r="AE66" s="72"/>
      <c r="AF66" s="72"/>
      <c r="AG66" s="206"/>
      <c r="AH66" s="72"/>
      <c r="AI66" s="72"/>
      <c r="AJ66" s="72"/>
      <c r="AK66" s="72"/>
      <c r="AL66" s="72"/>
      <c r="AM66" s="129"/>
      <c r="AN66" s="129"/>
      <c r="AO66" s="129"/>
      <c r="AP66" s="129"/>
      <c r="AQ66" s="129"/>
      <c r="AR66" s="129"/>
      <c r="AS66" s="72"/>
      <c r="AT66" s="72"/>
      <c r="AU66" s="72"/>
      <c r="AV66" s="72"/>
      <c r="AW66" s="72"/>
      <c r="AX66" s="72"/>
      <c r="AY66" s="94"/>
      <c r="AZ66" s="207"/>
      <c r="BA66" s="72"/>
      <c r="BB66" s="72"/>
    </row>
    <row r="67" spans="1:54" ht="24.95" customHeight="1" thickBot="1" x14ac:dyDescent="0.3">
      <c r="A67" s="72"/>
      <c r="B67" s="72">
        <f>MATCH(F66,B6:B59,0)</f>
        <v>2</v>
      </c>
      <c r="C67" s="72">
        <f>MATCH(L66,B6:B59,0)</f>
        <v>6</v>
      </c>
      <c r="D67" s="72"/>
      <c r="E67" s="20"/>
      <c r="F67" s="417" t="s">
        <v>32</v>
      </c>
      <c r="G67" s="418"/>
      <c r="H67" s="418"/>
      <c r="I67" s="418"/>
      <c r="J67" s="77"/>
      <c r="K67" s="418" t="s">
        <v>30</v>
      </c>
      <c r="L67" s="418"/>
      <c r="M67" s="418"/>
      <c r="N67" s="418"/>
      <c r="O67" s="77"/>
      <c r="P67" s="419"/>
      <c r="Q67" s="419"/>
      <c r="R67" s="420"/>
      <c r="S67" s="466">
        <f>F66</f>
        <v>42591.1875</v>
      </c>
      <c r="T67" s="467"/>
      <c r="U67" s="417" t="s">
        <v>139</v>
      </c>
      <c r="V67" s="418"/>
      <c r="W67" s="418"/>
      <c r="X67" s="418"/>
      <c r="Y67" s="418"/>
      <c r="Z67" s="423"/>
      <c r="AA67" s="417" t="s">
        <v>141</v>
      </c>
      <c r="AB67" s="418"/>
      <c r="AC67" s="418"/>
      <c r="AD67" s="418"/>
      <c r="AE67" s="418"/>
      <c r="AF67" s="423"/>
      <c r="AG67" s="417" t="s">
        <v>140</v>
      </c>
      <c r="AH67" s="418"/>
      <c r="AI67" s="418"/>
      <c r="AJ67" s="418"/>
      <c r="AK67" s="418"/>
      <c r="AL67" s="423"/>
      <c r="AM67" s="463" t="s">
        <v>24</v>
      </c>
      <c r="AN67" s="464"/>
      <c r="AO67" s="464"/>
      <c r="AP67" s="464"/>
      <c r="AQ67" s="464"/>
      <c r="AR67" s="465"/>
      <c r="AS67" s="417" t="s">
        <v>37</v>
      </c>
      <c r="AT67" s="418"/>
      <c r="AU67" s="424"/>
      <c r="AV67" s="417" t="s">
        <v>38</v>
      </c>
      <c r="AW67" s="418"/>
      <c r="AX67" s="424"/>
      <c r="AY67" s="473">
        <f>F66</f>
        <v>42591.1875</v>
      </c>
      <c r="AZ67" s="474"/>
      <c r="BA67" s="72"/>
      <c r="BB67" s="72"/>
    </row>
    <row r="68" spans="1:54" ht="49.5" customHeight="1" thickBot="1" x14ac:dyDescent="0.3">
      <c r="A68" s="72"/>
      <c r="B68" s="72"/>
      <c r="C68" s="72"/>
      <c r="D68" s="76" t="s">
        <v>144</v>
      </c>
      <c r="E68" s="76" t="s">
        <v>5</v>
      </c>
      <c r="F68" s="32"/>
      <c r="G68" s="403"/>
      <c r="H68" s="33" t="s">
        <v>2</v>
      </c>
      <c r="I68" s="210" t="s">
        <v>4</v>
      </c>
      <c r="J68" s="77"/>
      <c r="K68" s="402"/>
      <c r="L68" s="78"/>
      <c r="M68" s="78" t="s">
        <v>28</v>
      </c>
      <c r="N68" s="210" t="s">
        <v>4</v>
      </c>
      <c r="O68" s="77"/>
      <c r="P68" s="405" t="s">
        <v>0</v>
      </c>
      <c r="Q68" s="404" t="s">
        <v>1</v>
      </c>
      <c r="R68" s="79" t="s">
        <v>6</v>
      </c>
      <c r="S68" s="205"/>
      <c r="T68" s="93" t="s">
        <v>95</v>
      </c>
      <c r="U68" s="32" t="s">
        <v>21</v>
      </c>
      <c r="V68" s="33" t="s">
        <v>22</v>
      </c>
      <c r="W68" s="33" t="s">
        <v>35</v>
      </c>
      <c r="X68" s="33" t="s">
        <v>36</v>
      </c>
      <c r="Y68" s="33" t="s">
        <v>15</v>
      </c>
      <c r="Z68" s="80" t="s">
        <v>19</v>
      </c>
      <c r="AA68" s="32" t="s">
        <v>21</v>
      </c>
      <c r="AB68" s="33" t="s">
        <v>22</v>
      </c>
      <c r="AC68" s="33" t="s">
        <v>35</v>
      </c>
      <c r="AD68" s="33" t="s">
        <v>36</v>
      </c>
      <c r="AE68" s="33" t="s">
        <v>15</v>
      </c>
      <c r="AF68" s="80" t="s">
        <v>19</v>
      </c>
      <c r="AG68" s="32" t="s">
        <v>21</v>
      </c>
      <c r="AH68" s="33" t="s">
        <v>22</v>
      </c>
      <c r="AI68" s="33" t="s">
        <v>35</v>
      </c>
      <c r="AJ68" s="33" t="s">
        <v>36</v>
      </c>
      <c r="AK68" s="33" t="s">
        <v>15</v>
      </c>
      <c r="AL68" s="80" t="s">
        <v>19</v>
      </c>
      <c r="AM68" s="130" t="s">
        <v>21</v>
      </c>
      <c r="AN68" s="131" t="s">
        <v>22</v>
      </c>
      <c r="AO68" s="131" t="s">
        <v>23</v>
      </c>
      <c r="AP68" s="131" t="s">
        <v>20</v>
      </c>
      <c r="AQ68" s="131" t="s">
        <v>15</v>
      </c>
      <c r="AR68" s="132" t="s">
        <v>19</v>
      </c>
      <c r="AS68" s="32" t="s">
        <v>13</v>
      </c>
      <c r="AT68" s="33" t="s">
        <v>14</v>
      </c>
      <c r="AU68" s="77" t="s">
        <v>7</v>
      </c>
      <c r="AV68" s="32" t="s">
        <v>91</v>
      </c>
      <c r="AW68" s="33" t="s">
        <v>92</v>
      </c>
      <c r="AX68" s="77" t="s">
        <v>26</v>
      </c>
      <c r="AY68" s="205"/>
      <c r="AZ68" s="93" t="s">
        <v>95</v>
      </c>
      <c r="BA68" s="72"/>
      <c r="BB68" s="72"/>
    </row>
    <row r="69" spans="1:54" ht="24.95" customHeight="1" thickBot="1" x14ac:dyDescent="0.3">
      <c r="A69" s="72"/>
      <c r="B69" s="72"/>
      <c r="C69" s="72"/>
      <c r="D69" s="395">
        <f ca="1">(INDIRECT(ADDRESS(5+$C$67,2))-INDIRECT(ADDRESS(5+$B$67,2)))*24</f>
        <v>32.599999999918509</v>
      </c>
      <c r="E69" s="388">
        <f ca="1">SUM(INDIRECT(ADDRESS(6+$B$67,5)):INDIRECT(ADDRESS(5+$C$67,5)))</f>
        <v>31.699999999999996</v>
      </c>
      <c r="F69" s="389">
        <f ca="1">INDIRECT(ADDRESS(5+$C$67,6))</f>
        <v>469.3</v>
      </c>
      <c r="G69" s="390"/>
      <c r="H69" s="16">
        <f ca="1">SUM(INDIRECT(ADDRESS(6+$B$67,8)):INDIRECT(ADDRESS(5+$C$67,8)))</f>
        <v>469.3</v>
      </c>
      <c r="I69" s="222">
        <f ca="1">H69/E69</f>
        <v>14.804416403785492</v>
      </c>
      <c r="J69" s="17"/>
      <c r="K69" s="391">
        <f ca="1">INDIRECT(ADDRESS(5+$C$67,11))</f>
        <v>-18.100000000000001</v>
      </c>
      <c r="L69" s="392"/>
      <c r="M69" s="11">
        <f ca="1">SUM(INDIRECT(ADDRESS(6+$B$67,13)):INDIRECT(ADDRESS(5+$C$67,13)))</f>
        <v>495.1</v>
      </c>
      <c r="N69" s="12">
        <f ca="1">M69/E69</f>
        <v>15.618296529968458</v>
      </c>
      <c r="O69" s="172"/>
      <c r="P69" s="393">
        <f ca="1">(SUMPRODUCT((INDIRECT(ADDRESS(6+$B$67,16)):INDIRECT(ADDRESS(5+$C$67,16))),((INDIRECT(ADDRESS(6+$B$67,5)):INDIRECT(ADDRESS(5+$C$67,5))))))/E69</f>
        <v>58.198422712933755</v>
      </c>
      <c r="Q69" s="393">
        <f ca="1">(SUMPRODUCT((INDIRECT(ADDRESS(6+$B$67,17)):INDIRECT(ADDRESS(5+$C$67,17))),((INDIRECT(ADDRESS(6+$B$67,5)):INDIRECT(ADDRESS(5+$C$67,5))))))/E69</f>
        <v>8.3634069400630935</v>
      </c>
      <c r="R69" s="394">
        <f ca="1">SUM(INDIRECT(ADDRESS(6+$B$67,18)):INDIRECT(ADDRESS(5+$C$67,18)))</f>
        <v>540.30000000000007</v>
      </c>
      <c r="S69" s="458">
        <f>L66</f>
        <v>42592.54583333333</v>
      </c>
      <c r="T69" s="459"/>
      <c r="U69" s="359">
        <f ca="1">SUM(INDIRECT(ADDRESS(6+$B$67,21)):INDIRECT(ADDRESS(5+$C$67,21)))</f>
        <v>124.69999999999999</v>
      </c>
      <c r="V69" s="153">
        <f ca="1">SUM(INDIRECT(ADDRESS(6+$B$67,22)):INDIRECT(ADDRESS(5+$C$67,22)))</f>
        <v>10.199999999999999</v>
      </c>
      <c r="W69" s="153">
        <f ca="1">SUM(INDIRECT(ADDRESS(6+$B$67,23)):INDIRECT(ADDRESS(5+$C$67,23)))</f>
        <v>0.7</v>
      </c>
      <c r="X69" s="360">
        <f ca="1">SUM(INDIRECT(ADDRESS(6+$B$67,24)):INDIRECT(ADDRESS(5+$C$67,24)))</f>
        <v>135.6</v>
      </c>
      <c r="Y69" s="351">
        <f ca="1">INDIRECT(ADDRESS(5+$C$67,25))</f>
        <v>2071.9</v>
      </c>
      <c r="Z69" s="384">
        <f ca="1">SUM(INDIRECT(ADDRESS(6+$B$67,26)):INDIRECT(ADDRESS(5+$C$67,26)))</f>
        <v>0</v>
      </c>
      <c r="AA69" s="151">
        <f ca="1">SUM(INDIRECT(ADDRESS(6+$B$67,27)):INDIRECT(ADDRESS(5+$C$67,27)))</f>
        <v>0</v>
      </c>
      <c r="AB69" s="152">
        <f ca="1">SUM(INDIRECT(ADDRESS(6+$B$67,28)):INDIRECT(ADDRESS(5+$C$67,28)))</f>
        <v>0</v>
      </c>
      <c r="AC69" s="152">
        <f ca="1">SUM(INDIRECT(ADDRESS(6+$B$67,29)):INDIRECT(ADDRESS(5+$C$67,29)))</f>
        <v>0</v>
      </c>
      <c r="AD69" s="197">
        <f ca="1">SUM(INDIRECT(ADDRESS(6+$B$67,30)):INDIRECT(ADDRESS(5+$C$67,30)))</f>
        <v>0</v>
      </c>
      <c r="AE69" s="153">
        <f ca="1">INDIRECT(ADDRESS(5+$C$67,31))</f>
        <v>600</v>
      </c>
      <c r="AF69" s="385">
        <f ca="1">SUM(INDIRECT(ADDRESS(6+$B$67,32)):INDIRECT(ADDRESS(5+$C$67,32)))</f>
        <v>0</v>
      </c>
      <c r="AG69" s="366">
        <f ca="1">SUM(INDIRECT(ADDRESS(6+$B$67,33)):INDIRECT(ADDRESS(5+$C$67,33)))</f>
        <v>124.69999999999999</v>
      </c>
      <c r="AH69" s="361">
        <f ca="1">SUM(INDIRECT(ADDRESS(6+$B$67,34)):INDIRECT(ADDRESS(5+$C$67,34)))</f>
        <v>10.199999999999999</v>
      </c>
      <c r="AI69" s="361">
        <f ca="1">SUM(INDIRECT(ADDRESS(6+$B$67,35)):INDIRECT(ADDRESS(5+$C$67,35)))</f>
        <v>0.7</v>
      </c>
      <c r="AJ69" s="367">
        <f ca="1">SUM(INDIRECT(ADDRESS(6+$B$67,36)):INDIRECT(ADDRESS(5+$C$67,36)))</f>
        <v>135.6</v>
      </c>
      <c r="AK69" s="368">
        <f ca="1">INDIRECT(ADDRESS(5+$C$67,37))</f>
        <v>2671.9</v>
      </c>
      <c r="AL69" s="386">
        <f ca="1">SUM(INDIRECT(ADDRESS(6+$B$67,38)):INDIRECT(ADDRESS(5+$C$67,38)))</f>
        <v>0</v>
      </c>
      <c r="AM69" s="142">
        <f ca="1">SUM(INDIRECT(ADDRESS(6+$B$67,39)):INDIRECT(ADDRESS(5+$C$67,39)))</f>
        <v>0</v>
      </c>
      <c r="AN69" s="143">
        <f ca="1">SUM(INDIRECT(ADDRESS(6+$B$67,40)):INDIRECT(ADDRESS(5+$C$67,40)))</f>
        <v>0.5</v>
      </c>
      <c r="AO69" s="143">
        <f ca="1">SUM(INDIRECT(ADDRESS(6+$B$67,41)):INDIRECT(ADDRESS(5+$C$67,41)))</f>
        <v>0.3</v>
      </c>
      <c r="AP69" s="201">
        <f ca="1">SUM(INDIRECT(ADDRESS(6+$B$67,42)):INDIRECT(ADDRESS(5+$C$67,42)))</f>
        <v>0.8</v>
      </c>
      <c r="AQ69" s="144">
        <f ca="1">INDIRECT(ADDRESS(5+$C$67,43))</f>
        <v>73.8</v>
      </c>
      <c r="AR69" s="387">
        <f ca="1">SUM(INDIRECT(ADDRESS(6+$B$67,44)):INDIRECT(ADDRESS(5+$C$67,44)))</f>
        <v>0</v>
      </c>
      <c r="AS69" s="133">
        <f ca="1">SUM(INDIRECT(ADDRESS(6+$B$67,45)):INDIRECT(ADDRESS(5+$C$67,45)))</f>
        <v>6</v>
      </c>
      <c r="AT69" s="134">
        <f ca="1">SUM(INDIRECT(ADDRESS(6+$B$67,46)):INDIRECT(ADDRESS(5+$C$67,46)))</f>
        <v>51</v>
      </c>
      <c r="AU69" s="135">
        <f ca="1">INDIRECT(ADDRESS(5+$C$67,47))</f>
        <v>139</v>
      </c>
      <c r="AV69" s="160">
        <f ca="1">INDIRECT(ADDRESS(5+$C$67,48))</f>
        <v>55785</v>
      </c>
      <c r="AW69" s="161">
        <f ca="1">INDIRECT(ADDRESS(5+$C$67,49))</f>
        <v>28900</v>
      </c>
      <c r="AX69" s="162">
        <f ca="1">INDIRECT(ADDRESS(5+$C$67,50))</f>
        <v>5450</v>
      </c>
      <c r="AY69" s="471">
        <f>L66</f>
        <v>42592.54583333333</v>
      </c>
      <c r="AZ69" s="472"/>
      <c r="BA69" s="72"/>
      <c r="BB69" s="72"/>
    </row>
    <row r="70" spans="1:54" ht="4.5" customHeight="1" x14ac:dyDescent="0.25">
      <c r="A70" s="72"/>
      <c r="B70" s="72"/>
      <c r="C70" s="72"/>
      <c r="D70" s="72"/>
      <c r="E70" s="94"/>
      <c r="F70" s="94"/>
      <c r="G70" s="94"/>
      <c r="H70" s="94"/>
      <c r="I70" s="96"/>
      <c r="J70" s="96"/>
      <c r="K70" s="94"/>
      <c r="L70" s="94"/>
      <c r="M70" s="94"/>
      <c r="N70" s="96"/>
      <c r="O70" s="96"/>
      <c r="P70" s="94"/>
      <c r="Q70" s="94"/>
      <c r="R70" s="96"/>
      <c r="S70" s="94"/>
      <c r="T70" s="94"/>
      <c r="U70" s="94"/>
      <c r="V70" s="94"/>
      <c r="W70" s="94"/>
      <c r="X70" s="94"/>
      <c r="Y70" s="96"/>
      <c r="Z70" s="94"/>
      <c r="AA70" s="94"/>
      <c r="AB70" s="94"/>
      <c r="AC70" s="94"/>
      <c r="AD70" s="94"/>
      <c r="AE70" s="96"/>
      <c r="AF70" s="94"/>
      <c r="AG70" s="94"/>
      <c r="AH70" s="94"/>
      <c r="AI70" s="94"/>
      <c r="AJ70" s="94"/>
      <c r="AK70" s="96"/>
      <c r="AL70" s="94"/>
      <c r="AM70" s="96"/>
      <c r="AN70" s="96"/>
      <c r="AO70" s="96"/>
      <c r="AP70" s="96"/>
      <c r="AQ70" s="96"/>
      <c r="AR70" s="96"/>
      <c r="AS70" s="94"/>
      <c r="AT70" s="94"/>
      <c r="AU70" s="94"/>
      <c r="AV70" s="97"/>
      <c r="AW70" s="97"/>
      <c r="AX70" s="94"/>
      <c r="AY70" s="94"/>
      <c r="AZ70" s="94"/>
      <c r="BA70" s="72"/>
      <c r="BB70" s="72"/>
    </row>
    <row r="71" spans="1:54" ht="24.95" customHeight="1" thickBot="1" x14ac:dyDescent="0.3">
      <c r="A71" s="72"/>
      <c r="B71" s="468" t="s">
        <v>145</v>
      </c>
      <c r="C71" s="468"/>
      <c r="D71" s="468"/>
      <c r="E71" s="73" t="str">
        <f ca="1">INDIRECT(ADDRESS(5+$T$71,1))</f>
        <v>EOSP</v>
      </c>
      <c r="F71" s="462">
        <v>42592.425000000003</v>
      </c>
      <c r="G71" s="462"/>
      <c r="H71" s="462"/>
      <c r="I71" s="408" t="s">
        <v>95</v>
      </c>
      <c r="J71" s="408"/>
      <c r="K71" s="74" t="str">
        <f ca="1">INDIRECT(ADDRESS(5+$U$71,1))</f>
        <v>FWE</v>
      </c>
      <c r="L71" s="462">
        <v>42592.54583333333</v>
      </c>
      <c r="M71" s="462"/>
      <c r="N71" s="462"/>
      <c r="O71" s="211"/>
      <c r="P71" s="72"/>
      <c r="Q71" s="72"/>
      <c r="R71" s="72"/>
      <c r="S71" s="94"/>
      <c r="T71" s="207">
        <f>MATCH(F71,B6:B59,0)</f>
        <v>5</v>
      </c>
      <c r="U71" s="206">
        <f>MATCH(L71,B6:B59,0)</f>
        <v>6</v>
      </c>
      <c r="V71" s="72"/>
      <c r="W71" s="72"/>
      <c r="X71" s="72"/>
      <c r="Y71" s="72"/>
      <c r="Z71" s="72"/>
      <c r="AA71" s="206"/>
      <c r="AB71" s="72"/>
      <c r="AC71" s="72"/>
      <c r="AD71" s="72"/>
      <c r="AE71" s="72"/>
      <c r="AF71" s="72"/>
      <c r="AG71" s="206"/>
      <c r="AH71" s="72"/>
      <c r="AI71" s="72"/>
      <c r="AJ71" s="72"/>
      <c r="AK71" s="72"/>
      <c r="AL71" s="72"/>
      <c r="AM71" s="129"/>
      <c r="AN71" s="129"/>
      <c r="AO71" s="129"/>
      <c r="AP71" s="129"/>
      <c r="AQ71" s="129"/>
      <c r="AR71" s="129"/>
      <c r="AS71" s="72"/>
      <c r="AT71" s="72"/>
      <c r="AU71" s="72"/>
      <c r="AV71" s="72"/>
      <c r="AW71" s="72"/>
      <c r="AX71" s="72"/>
      <c r="AY71" s="94"/>
      <c r="AZ71" s="207"/>
      <c r="BA71" s="72"/>
      <c r="BB71" s="72"/>
    </row>
    <row r="72" spans="1:54" ht="24.95" customHeight="1" thickBot="1" x14ac:dyDescent="0.3">
      <c r="A72" s="72"/>
      <c r="B72" s="72">
        <f>MATCH(F71,B6:B59,0)</f>
        <v>5</v>
      </c>
      <c r="C72" s="72">
        <f>MATCH(L71,B6:B59,0)</f>
        <v>6</v>
      </c>
      <c r="D72" s="72"/>
      <c r="E72" s="20"/>
      <c r="F72" s="417" t="s">
        <v>32</v>
      </c>
      <c r="G72" s="418"/>
      <c r="H72" s="418"/>
      <c r="I72" s="418"/>
      <c r="J72" s="77"/>
      <c r="K72" s="418" t="s">
        <v>30</v>
      </c>
      <c r="L72" s="418"/>
      <c r="M72" s="418"/>
      <c r="N72" s="418"/>
      <c r="O72" s="77"/>
      <c r="P72" s="419"/>
      <c r="Q72" s="419"/>
      <c r="R72" s="420"/>
      <c r="S72" s="466">
        <f>F71</f>
        <v>42592.425000000003</v>
      </c>
      <c r="T72" s="467"/>
      <c r="U72" s="417" t="s">
        <v>139</v>
      </c>
      <c r="V72" s="418"/>
      <c r="W72" s="418"/>
      <c r="X72" s="418"/>
      <c r="Y72" s="418"/>
      <c r="Z72" s="423"/>
      <c r="AA72" s="417" t="s">
        <v>141</v>
      </c>
      <c r="AB72" s="418"/>
      <c r="AC72" s="418"/>
      <c r="AD72" s="418"/>
      <c r="AE72" s="418"/>
      <c r="AF72" s="423"/>
      <c r="AG72" s="417" t="s">
        <v>140</v>
      </c>
      <c r="AH72" s="418"/>
      <c r="AI72" s="418"/>
      <c r="AJ72" s="418"/>
      <c r="AK72" s="418"/>
      <c r="AL72" s="423"/>
      <c r="AM72" s="463" t="s">
        <v>24</v>
      </c>
      <c r="AN72" s="464"/>
      <c r="AO72" s="464"/>
      <c r="AP72" s="464"/>
      <c r="AQ72" s="464"/>
      <c r="AR72" s="465"/>
      <c r="AS72" s="417" t="s">
        <v>37</v>
      </c>
      <c r="AT72" s="418"/>
      <c r="AU72" s="424"/>
      <c r="AV72" s="417" t="s">
        <v>38</v>
      </c>
      <c r="AW72" s="418"/>
      <c r="AX72" s="424"/>
      <c r="AY72" s="473">
        <f>F71</f>
        <v>42592.425000000003</v>
      </c>
      <c r="AZ72" s="474"/>
      <c r="BA72" s="72"/>
      <c r="BB72" s="72"/>
    </row>
    <row r="73" spans="1:54" ht="49.5" customHeight="1" thickBot="1" x14ac:dyDescent="0.3">
      <c r="A73" s="72"/>
      <c r="B73" s="72"/>
      <c r="C73" s="72"/>
      <c r="D73" s="76" t="s">
        <v>144</v>
      </c>
      <c r="E73" s="76" t="s">
        <v>5</v>
      </c>
      <c r="F73" s="32"/>
      <c r="G73" s="403"/>
      <c r="H73" s="33" t="s">
        <v>2</v>
      </c>
      <c r="I73" s="210" t="s">
        <v>4</v>
      </c>
      <c r="J73" s="77"/>
      <c r="K73" s="402"/>
      <c r="L73" s="78"/>
      <c r="M73" s="78" t="s">
        <v>28</v>
      </c>
      <c r="N73" s="210" t="s">
        <v>4</v>
      </c>
      <c r="O73" s="77"/>
      <c r="P73" s="405" t="s">
        <v>0</v>
      </c>
      <c r="Q73" s="404" t="s">
        <v>1</v>
      </c>
      <c r="R73" s="79" t="s">
        <v>6</v>
      </c>
      <c r="S73" s="205"/>
      <c r="T73" s="93" t="s">
        <v>95</v>
      </c>
      <c r="U73" s="32" t="s">
        <v>21</v>
      </c>
      <c r="V73" s="33" t="s">
        <v>22</v>
      </c>
      <c r="W73" s="33" t="s">
        <v>35</v>
      </c>
      <c r="X73" s="33" t="s">
        <v>36</v>
      </c>
      <c r="Y73" s="33" t="s">
        <v>15</v>
      </c>
      <c r="Z73" s="80" t="s">
        <v>19</v>
      </c>
      <c r="AA73" s="32" t="s">
        <v>21</v>
      </c>
      <c r="AB73" s="33" t="s">
        <v>22</v>
      </c>
      <c r="AC73" s="33" t="s">
        <v>35</v>
      </c>
      <c r="AD73" s="33" t="s">
        <v>36</v>
      </c>
      <c r="AE73" s="33" t="s">
        <v>15</v>
      </c>
      <c r="AF73" s="80" t="s">
        <v>19</v>
      </c>
      <c r="AG73" s="32" t="s">
        <v>21</v>
      </c>
      <c r="AH73" s="33" t="s">
        <v>22</v>
      </c>
      <c r="AI73" s="33" t="s">
        <v>35</v>
      </c>
      <c r="AJ73" s="33" t="s">
        <v>36</v>
      </c>
      <c r="AK73" s="33" t="s">
        <v>15</v>
      </c>
      <c r="AL73" s="80" t="s">
        <v>19</v>
      </c>
      <c r="AM73" s="130" t="s">
        <v>21</v>
      </c>
      <c r="AN73" s="131" t="s">
        <v>22</v>
      </c>
      <c r="AO73" s="131" t="s">
        <v>23</v>
      </c>
      <c r="AP73" s="131" t="s">
        <v>20</v>
      </c>
      <c r="AQ73" s="131" t="s">
        <v>15</v>
      </c>
      <c r="AR73" s="132" t="s">
        <v>19</v>
      </c>
      <c r="AS73" s="32" t="s">
        <v>13</v>
      </c>
      <c r="AT73" s="33" t="s">
        <v>14</v>
      </c>
      <c r="AU73" s="77" t="s">
        <v>7</v>
      </c>
      <c r="AV73" s="32" t="s">
        <v>91</v>
      </c>
      <c r="AW73" s="33" t="s">
        <v>92</v>
      </c>
      <c r="AX73" s="77" t="s">
        <v>26</v>
      </c>
      <c r="AY73" s="205"/>
      <c r="AZ73" s="93" t="s">
        <v>95</v>
      </c>
      <c r="BA73" s="72"/>
      <c r="BB73" s="72"/>
    </row>
    <row r="74" spans="1:54" ht="24.95" customHeight="1" thickBot="1" x14ac:dyDescent="0.3">
      <c r="A74" s="72"/>
      <c r="B74" s="72"/>
      <c r="C74" s="72"/>
      <c r="D74" s="395">
        <f ca="1">(INDIRECT(ADDRESS(5+$C$72,2))-INDIRECT(ADDRESS(5+$B$72,2)))*24</f>
        <v>2.8999999998486601</v>
      </c>
      <c r="E74" s="388">
        <f ca="1">SUM(INDIRECT(ADDRESS(6+$B$72,5)):INDIRECT(ADDRESS(5+$C$72,5)))</f>
        <v>2.9</v>
      </c>
      <c r="F74" s="389">
        <f ca="1">INDIRECT(ADDRESS(5+$C$72,6))</f>
        <v>469.3</v>
      </c>
      <c r="G74" s="390"/>
      <c r="H74" s="16">
        <f ca="1">SUM(INDIRECT(ADDRESS(6+$B$72,8)):INDIRECT(ADDRESS(5+$C$72,8)))</f>
        <v>20.699999999999989</v>
      </c>
      <c r="I74" s="222">
        <f ca="1">H74/E74</f>
        <v>7.1379310344827553</v>
      </c>
      <c r="J74" s="17"/>
      <c r="K74" s="391">
        <f ca="1">INDIRECT(ADDRESS(5+$C$72,11))</f>
        <v>-18.100000000000001</v>
      </c>
      <c r="L74" s="392"/>
      <c r="M74" s="11">
        <f ca="1">SUM(INDIRECT(ADDRESS(6+$B$72,13)):INDIRECT(ADDRESS(5+$C$72,13)))</f>
        <v>21.1</v>
      </c>
      <c r="N74" s="12">
        <f ca="1">M74/E74</f>
        <v>7.2758620689655178</v>
      </c>
      <c r="O74" s="172"/>
      <c r="P74" s="393">
        <f ca="1">(SUMPRODUCT((INDIRECT(ADDRESS(6+$B$72,16)):INDIRECT(ADDRESS(5+$C$72,16))),((INDIRECT(ADDRESS(6+$B$72,5)):INDIRECT(ADDRESS(5+$C$72,5))))))/E74</f>
        <v>39.799999999999997</v>
      </c>
      <c r="Q74" s="393">
        <f ca="1">(SUMPRODUCT((INDIRECT(ADDRESS(6+$B$72,17)):INDIRECT(ADDRESS(5+$C$72,17))),((INDIRECT(ADDRESS(6+$B$72,5)):INDIRECT(ADDRESS(5+$C$72,5))))))/E74</f>
        <v>7.4</v>
      </c>
      <c r="R74" s="394">
        <f ca="1">SUM(INDIRECT(ADDRESS(6+$B$72,18)):INDIRECT(ADDRESS(5+$C$72,18)))</f>
        <v>21.6</v>
      </c>
      <c r="S74" s="458">
        <f>L71</f>
        <v>42592.54583333333</v>
      </c>
      <c r="T74" s="459"/>
      <c r="U74" s="359">
        <f ca="1">SUM(INDIRECT(ADDRESS(6+$B$72,21)):INDIRECT(ADDRESS(5+$C$72,21)))</f>
        <v>2.1</v>
      </c>
      <c r="V74" s="153">
        <f ca="1">SUM(INDIRECT(ADDRESS(6+$B$72,22)):INDIRECT(ADDRESS(5+$C$72,22)))</f>
        <v>0.7</v>
      </c>
      <c r="W74" s="153">
        <f ca="1">SUM(INDIRECT(ADDRESS(6+$B$72,23)):INDIRECT(ADDRESS(5+$C$72,23)))</f>
        <v>0.3</v>
      </c>
      <c r="X74" s="360">
        <f ca="1">SUM(INDIRECT(ADDRESS(6+$B$72,24)):INDIRECT(ADDRESS(5+$C$72,24)))</f>
        <v>3.0999999999999996</v>
      </c>
      <c r="Y74" s="351">
        <f ca="1">INDIRECT(ADDRESS(5+$C$72,25))</f>
        <v>2071.9</v>
      </c>
      <c r="Z74" s="384">
        <f ca="1">SUM(INDIRECT(ADDRESS(6+$B$72,26)):INDIRECT(ADDRESS(5+$C$72,26)))</f>
        <v>0</v>
      </c>
      <c r="AA74" s="151">
        <f ca="1">SUM(INDIRECT(ADDRESS(6+$B$72,27)):INDIRECT(ADDRESS(5+$C$72,27)))</f>
        <v>0</v>
      </c>
      <c r="AB74" s="152">
        <f ca="1">SUM(INDIRECT(ADDRESS(6+$B$72,28)):INDIRECT(ADDRESS(5+$C$72,28)))</f>
        <v>0</v>
      </c>
      <c r="AC74" s="152">
        <f ca="1">SUM(INDIRECT(ADDRESS(6+$B$72,29)):INDIRECT(ADDRESS(5+$C$72,29)))</f>
        <v>0</v>
      </c>
      <c r="AD74" s="197">
        <f ca="1">SUM(INDIRECT(ADDRESS(6+$B$72,30)):INDIRECT(ADDRESS(5+$C$72,30)))</f>
        <v>0</v>
      </c>
      <c r="AE74" s="153">
        <f ca="1">INDIRECT(ADDRESS(5+$C$72,31))</f>
        <v>600</v>
      </c>
      <c r="AF74" s="385">
        <f ca="1">SUM(INDIRECT(ADDRESS(6+$B$72,32)):INDIRECT(ADDRESS(5+$C$72,32)))</f>
        <v>0</v>
      </c>
      <c r="AG74" s="366">
        <f ca="1">SUM(INDIRECT(ADDRESS(6+$B$72,33)):INDIRECT(ADDRESS(5+$C$72,33)))</f>
        <v>2.1</v>
      </c>
      <c r="AH74" s="361">
        <f ca="1">SUM(INDIRECT(ADDRESS(6+$B$72,34)):INDIRECT(ADDRESS(5+$C$72,34)))</f>
        <v>0.7</v>
      </c>
      <c r="AI74" s="361">
        <f ca="1">SUM(INDIRECT(ADDRESS(6+$B$72,35)):INDIRECT(ADDRESS(5+$C$72,35)))</f>
        <v>0.3</v>
      </c>
      <c r="AJ74" s="367">
        <f ca="1">SUM(INDIRECT(ADDRESS(6+$B$72,36)):INDIRECT(ADDRESS(5+$C$72,36)))</f>
        <v>3.0999999999999996</v>
      </c>
      <c r="AK74" s="368">
        <f ca="1">INDIRECT(ADDRESS(5+$C$72,37))</f>
        <v>2671.9</v>
      </c>
      <c r="AL74" s="386">
        <f ca="1">SUM(INDIRECT(ADDRESS(6+$B$72,38)):INDIRECT(ADDRESS(5+$C$72,38)))</f>
        <v>0</v>
      </c>
      <c r="AM74" s="142">
        <f ca="1">SUM(INDIRECT(ADDRESS(6+$B$72,39)):INDIRECT(ADDRESS(5+$C$72,39)))</f>
        <v>0</v>
      </c>
      <c r="AN74" s="143">
        <f ca="1">SUM(INDIRECT(ADDRESS(6+$B$72,40)):INDIRECT(ADDRESS(5+$C$72,40)))</f>
        <v>0.5</v>
      </c>
      <c r="AO74" s="143">
        <f ca="1">SUM(INDIRECT(ADDRESS(6+$B$72,41)):INDIRECT(ADDRESS(5+$C$72,41)))</f>
        <v>0.3</v>
      </c>
      <c r="AP74" s="201">
        <f ca="1">SUM(INDIRECT(ADDRESS(6+$B$72,42)):INDIRECT(ADDRESS(5+$C$72,42)))</f>
        <v>0.8</v>
      </c>
      <c r="AQ74" s="144">
        <f ca="1">INDIRECT(ADDRESS(5+$C$72,43))</f>
        <v>73.8</v>
      </c>
      <c r="AR74" s="387">
        <f ca="1">SUM(INDIRECT(ADDRESS(6+$B$72,44)):INDIRECT(ADDRESS(5+$C$72,44)))</f>
        <v>0</v>
      </c>
      <c r="AS74" s="133">
        <f ca="1">SUM(INDIRECT(ADDRESS(6+$B$72,45)):INDIRECT(ADDRESS(5+$C$72,45)))</f>
        <v>0</v>
      </c>
      <c r="AT74" s="134">
        <f ca="1">SUM(INDIRECT(ADDRESS(6+$B$72,46)):INDIRECT(ADDRESS(5+$C$72,46)))</f>
        <v>0</v>
      </c>
      <c r="AU74" s="135">
        <f ca="1">INDIRECT(ADDRESS(5+$C$72,47))</f>
        <v>139</v>
      </c>
      <c r="AV74" s="160">
        <f ca="1">INDIRECT(ADDRESS(5+$C$72,48))</f>
        <v>55785</v>
      </c>
      <c r="AW74" s="161">
        <f ca="1">INDIRECT(ADDRESS(5+$C$72,49))</f>
        <v>28900</v>
      </c>
      <c r="AX74" s="162">
        <f ca="1">INDIRECT(ADDRESS(5+$C$72,50))</f>
        <v>5450</v>
      </c>
      <c r="AY74" s="471">
        <f>L71</f>
        <v>42592.54583333333</v>
      </c>
      <c r="AZ74" s="472"/>
      <c r="BA74" s="72"/>
      <c r="BB74" s="72"/>
    </row>
    <row r="75" spans="1:54" ht="24.95" customHeight="1" x14ac:dyDescent="0.25">
      <c r="A75" s="72"/>
      <c r="B75" s="72"/>
      <c r="C75" s="72"/>
      <c r="D75" s="72"/>
      <c r="E75" s="94"/>
      <c r="F75" s="94"/>
      <c r="G75" s="94"/>
      <c r="H75" s="94"/>
      <c r="I75" s="96"/>
      <c r="J75" s="96"/>
      <c r="K75" s="94"/>
      <c r="L75" s="94"/>
      <c r="M75" s="94"/>
      <c r="N75" s="96"/>
      <c r="O75" s="96"/>
      <c r="P75" s="94"/>
      <c r="Q75" s="94"/>
      <c r="R75" s="96"/>
      <c r="S75" s="94"/>
      <c r="T75" s="94"/>
      <c r="U75" s="94"/>
      <c r="V75" s="94"/>
      <c r="W75" s="94"/>
      <c r="X75" s="94"/>
      <c r="Y75" s="96"/>
      <c r="Z75" s="94"/>
      <c r="AA75" s="94"/>
      <c r="AB75" s="94"/>
      <c r="AC75" s="94"/>
      <c r="AD75" s="94"/>
      <c r="AE75" s="96"/>
      <c r="AF75" s="94"/>
      <c r="AG75" s="94"/>
      <c r="AH75" s="94"/>
      <c r="AI75" s="94"/>
      <c r="AJ75" s="94"/>
      <c r="AK75" s="96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7"/>
      <c r="AW75" s="97"/>
      <c r="AX75" s="94"/>
      <c r="AY75" s="72"/>
      <c r="AZ75" s="72"/>
      <c r="BA75" s="72"/>
      <c r="BB75" s="72"/>
    </row>
    <row r="76" spans="1:54" ht="24.95" customHeight="1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</row>
    <row r="77" spans="1:54" ht="24.95" customHeight="1" x14ac:dyDescent="0.25">
      <c r="A77" s="72">
        <v>1</v>
      </c>
      <c r="B77" s="72">
        <v>2</v>
      </c>
      <c r="C77" s="72">
        <v>3</v>
      </c>
      <c r="D77" s="72">
        <v>4</v>
      </c>
      <c r="E77" s="72">
        <v>5</v>
      </c>
      <c r="F77" s="72">
        <v>6</v>
      </c>
      <c r="G77" s="72">
        <v>7</v>
      </c>
      <c r="H77" s="72">
        <v>8</v>
      </c>
      <c r="I77" s="72">
        <v>9</v>
      </c>
      <c r="J77" s="72">
        <v>10</v>
      </c>
      <c r="K77" s="72">
        <v>11</v>
      </c>
      <c r="L77" s="72">
        <v>12</v>
      </c>
      <c r="M77" s="72">
        <v>13</v>
      </c>
      <c r="N77" s="72">
        <v>14</v>
      </c>
      <c r="O77" s="72">
        <v>15</v>
      </c>
      <c r="P77" s="72">
        <v>16</v>
      </c>
      <c r="Q77" s="72">
        <v>17</v>
      </c>
      <c r="R77" s="72">
        <v>18</v>
      </c>
      <c r="S77" s="72">
        <v>19</v>
      </c>
      <c r="T77" s="72">
        <v>20</v>
      </c>
      <c r="U77" s="72">
        <v>21</v>
      </c>
      <c r="V77" s="72">
        <v>22</v>
      </c>
      <c r="W77" s="72">
        <v>23</v>
      </c>
      <c r="X77" s="72">
        <v>24</v>
      </c>
      <c r="Y77" s="72">
        <v>25</v>
      </c>
      <c r="Z77" s="72">
        <v>26</v>
      </c>
      <c r="AA77" s="72">
        <v>27</v>
      </c>
      <c r="AB77" s="72">
        <v>28</v>
      </c>
      <c r="AC77" s="72">
        <v>29</v>
      </c>
      <c r="AD77" s="72">
        <v>30</v>
      </c>
      <c r="AE77" s="72">
        <v>31</v>
      </c>
      <c r="AF77" s="72">
        <v>32</v>
      </c>
      <c r="AG77" s="72">
        <v>33</v>
      </c>
      <c r="AH77" s="72">
        <v>34</v>
      </c>
      <c r="AI77" s="72">
        <v>35</v>
      </c>
      <c r="AJ77" s="72">
        <v>36</v>
      </c>
      <c r="AK77" s="72">
        <v>37</v>
      </c>
      <c r="AL77" s="72">
        <v>38</v>
      </c>
      <c r="AM77" s="72">
        <v>39</v>
      </c>
      <c r="AN77" s="72">
        <v>40</v>
      </c>
      <c r="AO77" s="72">
        <v>41</v>
      </c>
      <c r="AP77" s="72">
        <v>42</v>
      </c>
      <c r="AQ77" s="72">
        <v>43</v>
      </c>
      <c r="AR77" s="72">
        <v>44</v>
      </c>
      <c r="AS77" s="72">
        <v>45</v>
      </c>
      <c r="AT77" s="72">
        <v>46</v>
      </c>
      <c r="AU77" s="72">
        <v>47</v>
      </c>
      <c r="AV77" s="72">
        <v>48</v>
      </c>
      <c r="AW77" s="72">
        <v>49</v>
      </c>
      <c r="AX77" s="72">
        <v>50</v>
      </c>
      <c r="AY77" s="72"/>
      <c r="AZ77" s="72"/>
      <c r="BA77" s="72"/>
      <c r="BB77" s="72"/>
    </row>
    <row r="78" spans="1:54" ht="24.95" customHeight="1" x14ac:dyDescent="0.25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</row>
    <row r="79" spans="1:54" ht="24.95" customHeight="1" x14ac:dyDescent="0.25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</row>
    <row r="80" spans="1:54" ht="24.95" customHeight="1" x14ac:dyDescent="0.25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</row>
    <row r="81" spans="1:54" ht="24.95" customHeight="1" x14ac:dyDescent="0.25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>
        <v>2</v>
      </c>
      <c r="L81" s="72"/>
      <c r="M81" s="72">
        <v>3</v>
      </c>
      <c r="N81" s="398"/>
      <c r="O81" s="72">
        <v>24</v>
      </c>
      <c r="P81" s="72">
        <v>8.5</v>
      </c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</row>
    <row r="82" spans="1:54" ht="24.95" customHeight="1" x14ac:dyDescent="0.25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>
        <v>24</v>
      </c>
      <c r="P82" s="72">
        <v>8.5</v>
      </c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</row>
    <row r="83" spans="1:54" ht="24.95" customHeight="1" x14ac:dyDescent="0.25">
      <c r="A83" s="72"/>
      <c r="B83" s="72"/>
      <c r="C83" s="72"/>
      <c r="D83" s="72"/>
      <c r="E83" s="72"/>
      <c r="F83" s="72"/>
      <c r="G83" s="72"/>
      <c r="H83" s="72"/>
      <c r="I83" s="72"/>
      <c r="J83" s="72">
        <f>(SUMPRODUCT(O81:O82,P81:P82))/24</f>
        <v>17</v>
      </c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</row>
    <row r="84" spans="1:54" ht="23.25" x14ac:dyDescent="0.25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</row>
    <row r="85" spans="1:54" ht="23.25" x14ac:dyDescent="0.2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72"/>
      <c r="AD85" s="72"/>
      <c r="AE85" s="72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</row>
    <row r="86" spans="1:54" ht="23.25" x14ac:dyDescent="0.25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</row>
    <row r="87" spans="1:54" ht="23.25" x14ac:dyDescent="0.25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72"/>
      <c r="AD87" s="72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</row>
    <row r="88" spans="1:54" ht="23.25" x14ac:dyDescent="0.25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</row>
    <row r="89" spans="1:54" ht="23.25" x14ac:dyDescent="0.25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</row>
    <row r="90" spans="1:54" ht="23.25" x14ac:dyDescent="0.25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72"/>
      <c r="AD90" s="72"/>
      <c r="AE90" s="72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</row>
    <row r="91" spans="1:54" ht="23.25" x14ac:dyDescent="0.25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</row>
    <row r="92" spans="1:54" ht="23.25" x14ac:dyDescent="0.25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</row>
    <row r="93" spans="1:54" ht="23.25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2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</row>
  </sheetData>
  <sheetProtection sheet="1" objects="1" scenarios="1" selectLockedCells="1"/>
  <dataConsolidate/>
  <mergeCells count="158">
    <mergeCell ref="A2:E2"/>
    <mergeCell ref="CQ3:CQ5"/>
    <mergeCell ref="B4:D4"/>
    <mergeCell ref="F4:I4"/>
    <mergeCell ref="K4:N4"/>
    <mergeCell ref="P4:R4"/>
    <mergeCell ref="S4:T4"/>
    <mergeCell ref="U4:Z4"/>
    <mergeCell ref="AA4:AF4"/>
    <mergeCell ref="AG4:AL4"/>
    <mergeCell ref="BQ4:BQ5"/>
    <mergeCell ref="BR4:BR5"/>
    <mergeCell ref="BS4:BS5"/>
    <mergeCell ref="BT4:BT5"/>
    <mergeCell ref="BU4:BU5"/>
    <mergeCell ref="BV4:BV5"/>
    <mergeCell ref="AM4:AR4"/>
    <mergeCell ref="AS4:AU4"/>
    <mergeCell ref="AV4:AX4"/>
    <mergeCell ref="BJ4:BK4"/>
    <mergeCell ref="BN4:BN5"/>
    <mergeCell ref="BO4:BO5"/>
    <mergeCell ref="CD4:CD5"/>
    <mergeCell ref="CE4:CE5"/>
    <mergeCell ref="CF4:CF5"/>
    <mergeCell ref="CH4:CH5"/>
    <mergeCell ref="CI4:CI5"/>
    <mergeCell ref="CJ4:CJ5"/>
    <mergeCell ref="BW4:BW5"/>
    <mergeCell ref="BX4:BX5"/>
    <mergeCell ref="BZ4:BZ5"/>
    <mergeCell ref="CA4:CA5"/>
    <mergeCell ref="CB4:CB5"/>
    <mergeCell ref="CC4:CC5"/>
    <mergeCell ref="CU4:CU5"/>
    <mergeCell ref="CV4:CV5"/>
    <mergeCell ref="CW4:CW5"/>
    <mergeCell ref="CK4:CK5"/>
    <mergeCell ref="CL4:CL5"/>
    <mergeCell ref="CM4:CM5"/>
    <mergeCell ref="CN4:CN5"/>
    <mergeCell ref="CO4:CO5"/>
    <mergeCell ref="CP4:CP5"/>
    <mergeCell ref="B12:C12"/>
    <mergeCell ref="B13:C13"/>
    <mergeCell ref="B14:C14"/>
    <mergeCell ref="B15:C15"/>
    <mergeCell ref="B16:C16"/>
    <mergeCell ref="B17:C17"/>
    <mergeCell ref="DE4:DE5"/>
    <mergeCell ref="B5:C5"/>
    <mergeCell ref="B6:C6"/>
    <mergeCell ref="B7:C7"/>
    <mergeCell ref="BB7:BB11"/>
    <mergeCell ref="B8:C8"/>
    <mergeCell ref="B9:C9"/>
    <mergeCell ref="B10:C10"/>
    <mergeCell ref="B11:C11"/>
    <mergeCell ref="CY4:CY5"/>
    <mergeCell ref="CZ4:CZ5"/>
    <mergeCell ref="DA4:DA5"/>
    <mergeCell ref="DB4:DB5"/>
    <mergeCell ref="DC4:DC5"/>
    <mergeCell ref="DD4:DD5"/>
    <mergeCell ref="CR4:CR5"/>
    <mergeCell ref="CS4:CS5"/>
    <mergeCell ref="CT4:CT5"/>
    <mergeCell ref="B24:C24"/>
    <mergeCell ref="B25:C25"/>
    <mergeCell ref="B26:C26"/>
    <mergeCell ref="B27:C27"/>
    <mergeCell ref="B28:C28"/>
    <mergeCell ref="B29:C29"/>
    <mergeCell ref="B18:C18"/>
    <mergeCell ref="B19:C19"/>
    <mergeCell ref="B20:C20"/>
    <mergeCell ref="B21:C21"/>
    <mergeCell ref="B22:C22"/>
    <mergeCell ref="B23:C23"/>
    <mergeCell ref="B36:C36"/>
    <mergeCell ref="B37:C37"/>
    <mergeCell ref="B38:C38"/>
    <mergeCell ref="B39:C39"/>
    <mergeCell ref="B40:C40"/>
    <mergeCell ref="B41:C41"/>
    <mergeCell ref="B30:C30"/>
    <mergeCell ref="B31:C31"/>
    <mergeCell ref="B32:C32"/>
    <mergeCell ref="B33:C33"/>
    <mergeCell ref="B34:C34"/>
    <mergeCell ref="B35:C35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47:C47"/>
    <mergeCell ref="C60:E60"/>
    <mergeCell ref="B61:D61"/>
    <mergeCell ref="F61:H61"/>
    <mergeCell ref="L61:N61"/>
    <mergeCell ref="F62:I62"/>
    <mergeCell ref="K62:N62"/>
    <mergeCell ref="B54:C54"/>
    <mergeCell ref="B55:C55"/>
    <mergeCell ref="B56:C56"/>
    <mergeCell ref="B57:C57"/>
    <mergeCell ref="B58:C58"/>
    <mergeCell ref="B59:C59"/>
    <mergeCell ref="AS62:AU62"/>
    <mergeCell ref="AV62:AX62"/>
    <mergeCell ref="AY62:AZ62"/>
    <mergeCell ref="S64:T64"/>
    <mergeCell ref="AY64:AZ64"/>
    <mergeCell ref="B66:D66"/>
    <mergeCell ref="F66:H66"/>
    <mergeCell ref="L66:N66"/>
    <mergeCell ref="P62:R62"/>
    <mergeCell ref="S62:T62"/>
    <mergeCell ref="U62:Z62"/>
    <mergeCell ref="AA62:AF62"/>
    <mergeCell ref="AG62:AL62"/>
    <mergeCell ref="AM62:AR62"/>
    <mergeCell ref="AV67:AX67"/>
    <mergeCell ref="AY67:AZ67"/>
    <mergeCell ref="S69:T69"/>
    <mergeCell ref="AY69:AZ69"/>
    <mergeCell ref="F67:I67"/>
    <mergeCell ref="K67:N67"/>
    <mergeCell ref="P67:R67"/>
    <mergeCell ref="S67:T67"/>
    <mergeCell ref="U67:Z67"/>
    <mergeCell ref="AA67:AF67"/>
    <mergeCell ref="B71:D71"/>
    <mergeCell ref="F71:H71"/>
    <mergeCell ref="L71:N71"/>
    <mergeCell ref="F72:I72"/>
    <mergeCell ref="K72:N72"/>
    <mergeCell ref="P72:R72"/>
    <mergeCell ref="AG67:AL67"/>
    <mergeCell ref="AM67:AR67"/>
    <mergeCell ref="AS67:AU67"/>
    <mergeCell ref="AV72:AX72"/>
    <mergeCell ref="AY72:AZ72"/>
    <mergeCell ref="S74:T74"/>
    <mergeCell ref="AY74:AZ74"/>
    <mergeCell ref="S72:T72"/>
    <mergeCell ref="U72:Z72"/>
    <mergeCell ref="AA72:AF72"/>
    <mergeCell ref="AG72:AL72"/>
    <mergeCell ref="AM72:AR72"/>
    <mergeCell ref="AS72:AU72"/>
  </mergeCells>
  <conditionalFormatting sqref="X6:X59">
    <cfRule type="cellIs" dxfId="33" priority="34" operator="notEqual">
      <formula>$U6+$V6+$W6</formula>
    </cfRule>
  </conditionalFormatting>
  <conditionalFormatting sqref="Y7:Y59">
    <cfRule type="cellIs" dxfId="32" priority="33" operator="notEqual">
      <formula>$Y6-$X7+$Z7</formula>
    </cfRule>
  </conditionalFormatting>
  <conditionalFormatting sqref="AP6:AP59">
    <cfRule type="cellIs" dxfId="31" priority="32" operator="notEqual">
      <formula>$AM6+$AN6+$AO6</formula>
    </cfRule>
  </conditionalFormatting>
  <conditionalFormatting sqref="AQ7:AQ59">
    <cfRule type="cellIs" dxfId="30" priority="31" operator="notEqual">
      <formula>$AQ6-$AP7+$AR7</formula>
    </cfRule>
  </conditionalFormatting>
  <conditionalFormatting sqref="L66">
    <cfRule type="cellIs" dxfId="29" priority="30" operator="lessThan">
      <formula>$F$66</formula>
    </cfRule>
  </conditionalFormatting>
  <conditionalFormatting sqref="L71">
    <cfRule type="cellIs" dxfId="28" priority="29" operator="lessThan">
      <formula>$F$71</formula>
    </cfRule>
  </conditionalFormatting>
  <conditionalFormatting sqref="X64">
    <cfRule type="cellIs" dxfId="27" priority="28" operator="notEqual">
      <formula>$U64+$V64+$W64</formula>
    </cfRule>
  </conditionalFormatting>
  <conditionalFormatting sqref="Y64">
    <cfRule type="cellIs" dxfId="26" priority="27" operator="notEqual">
      <formula>$Y63-$X64+$Z64</formula>
    </cfRule>
  </conditionalFormatting>
  <conditionalFormatting sqref="AP64">
    <cfRule type="cellIs" dxfId="25" priority="26" operator="notEqual">
      <formula>$AM64+$AN64+$AO64</formula>
    </cfRule>
  </conditionalFormatting>
  <conditionalFormatting sqref="AQ64">
    <cfRule type="cellIs" dxfId="24" priority="25" operator="notEqual">
      <formula>$AQ63-$AP64+$AR64</formula>
    </cfRule>
  </conditionalFormatting>
  <conditionalFormatting sqref="X69">
    <cfRule type="cellIs" dxfId="23" priority="24" operator="notEqual">
      <formula>$U69+$V69+$W69</formula>
    </cfRule>
  </conditionalFormatting>
  <conditionalFormatting sqref="Y69">
    <cfRule type="cellIs" dxfId="22" priority="23" operator="notEqual">
      <formula>$Y68-$X69+$Z69</formula>
    </cfRule>
  </conditionalFormatting>
  <conditionalFormatting sqref="AP69">
    <cfRule type="cellIs" dxfId="21" priority="22" operator="notEqual">
      <formula>$AM69+$AN69+$AO69</formula>
    </cfRule>
  </conditionalFormatting>
  <conditionalFormatting sqref="AQ69">
    <cfRule type="cellIs" dxfId="20" priority="21" operator="notEqual">
      <formula>$AQ68-$AP69+$AR69</formula>
    </cfRule>
  </conditionalFormatting>
  <conditionalFormatting sqref="X74">
    <cfRule type="cellIs" dxfId="19" priority="20" operator="notEqual">
      <formula>$U74+$V74+$W74</formula>
    </cfRule>
  </conditionalFormatting>
  <conditionalFormatting sqref="Y74">
    <cfRule type="cellIs" dxfId="18" priority="19" operator="notEqual">
      <formula>$Y73-$X74+$Z74</formula>
    </cfRule>
  </conditionalFormatting>
  <conditionalFormatting sqref="AP74">
    <cfRule type="cellIs" dxfId="17" priority="18" operator="notEqual">
      <formula>$AM74+$AN74+$AO74</formula>
    </cfRule>
  </conditionalFormatting>
  <conditionalFormatting sqref="AQ74">
    <cfRule type="cellIs" dxfId="16" priority="17" operator="notEqual">
      <formula>$AQ73-$AP74+$AR74</formula>
    </cfRule>
  </conditionalFormatting>
  <conditionalFormatting sqref="AD6:AD59">
    <cfRule type="cellIs" dxfId="15" priority="16" operator="notEqual">
      <formula>$AA6+$AB6+$AC6</formula>
    </cfRule>
  </conditionalFormatting>
  <conditionalFormatting sqref="AE7:AE59">
    <cfRule type="cellIs" dxfId="14" priority="15" operator="notEqual">
      <formula>$AE6-$AD7+$AF7</formula>
    </cfRule>
  </conditionalFormatting>
  <conditionalFormatting sqref="AD64">
    <cfRule type="cellIs" dxfId="13" priority="14" operator="notEqual">
      <formula>SUM($AA$64:$AC$64)</formula>
    </cfRule>
  </conditionalFormatting>
  <conditionalFormatting sqref="AE64">
    <cfRule type="cellIs" dxfId="12" priority="13" operator="notEqual">
      <formula>$Y63-$X64+$Z64</formula>
    </cfRule>
  </conditionalFormatting>
  <conditionalFormatting sqref="AD69">
    <cfRule type="cellIs" dxfId="11" priority="12" operator="notEqual">
      <formula>SUM($AA$69:$AC$69)</formula>
    </cfRule>
  </conditionalFormatting>
  <conditionalFormatting sqref="AE69">
    <cfRule type="cellIs" dxfId="10" priority="11" operator="notEqual">
      <formula>$Y68-$X69+$Z69</formula>
    </cfRule>
  </conditionalFormatting>
  <conditionalFormatting sqref="AD74">
    <cfRule type="cellIs" dxfId="9" priority="10" operator="notEqual">
      <formula>SUM($AA$74:$AC$74)</formula>
    </cfRule>
  </conditionalFormatting>
  <conditionalFormatting sqref="AE74">
    <cfRule type="cellIs" dxfId="8" priority="9" operator="notEqual">
      <formula>$Y73-$X74+$Z74</formula>
    </cfRule>
  </conditionalFormatting>
  <conditionalFormatting sqref="AJ6:AJ59">
    <cfRule type="cellIs" dxfId="7" priority="8" operator="notEqual">
      <formula>$AG6+$AH6+$AI6</formula>
    </cfRule>
  </conditionalFormatting>
  <conditionalFormatting sqref="AK7:AK59">
    <cfRule type="cellIs" dxfId="6" priority="7" operator="notEqual">
      <formula>$AK6-$AJ7+$AL7</formula>
    </cfRule>
  </conditionalFormatting>
  <conditionalFormatting sqref="AJ64">
    <cfRule type="cellIs" dxfId="5" priority="6" operator="notEqual">
      <formula>SUM($AG64:$AI64)</formula>
    </cfRule>
  </conditionalFormatting>
  <conditionalFormatting sqref="AK64">
    <cfRule type="cellIs" dxfId="4" priority="5" operator="notEqual">
      <formula>$Y63-$X64+$Z64</formula>
    </cfRule>
  </conditionalFormatting>
  <conditionalFormatting sqref="AJ69">
    <cfRule type="cellIs" dxfId="3" priority="4" operator="notEqual">
      <formula>SUM($AG69:$AI69)</formula>
    </cfRule>
  </conditionalFormatting>
  <conditionalFormatting sqref="AK69">
    <cfRule type="cellIs" dxfId="2" priority="3" operator="notEqual">
      <formula>$Y68-$X69+$Z69</formula>
    </cfRule>
  </conditionalFormatting>
  <conditionalFormatting sqref="AJ74">
    <cfRule type="cellIs" dxfId="1" priority="2" operator="notEqual">
      <formula>SUM($AG74:$AI74)</formula>
    </cfRule>
  </conditionalFormatting>
  <conditionalFormatting sqref="AK74">
    <cfRule type="cellIs" dxfId="0" priority="1" operator="notEqual">
      <formula>$Y73-$X74+$Z74</formula>
    </cfRule>
  </conditionalFormatting>
  <dataValidations count="1">
    <dataValidation type="list" allowBlank="1" showInputMessage="1" showErrorMessage="1" sqref="L71 J5 F71:G71 L66 F66:G66 L61">
      <formula1>$B$6:$B$59</formula1>
    </dataValidation>
  </dataValidations>
  <printOptions horizontalCentered="1" verticalCentered="1"/>
  <pageMargins left="0.19685039370078741" right="0.19685039370078741" top="0.23" bottom="0.23" header="0.2" footer="0.2"/>
  <pageSetup paperSize="9" scale="53" fitToWidth="2" orientation="landscape" r:id="rId1"/>
  <colBreaks count="1" manualBreakCount="1">
    <brk id="18" min="3" max="1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TPP-QNG</vt:lpstr>
      <vt:lpstr>QNG-KOZ</vt:lpstr>
      <vt:lpstr>KOZ-HAW-KOZ</vt:lpstr>
      <vt:lpstr>KOZ-DAL-KOZ</vt:lpstr>
      <vt:lpstr>OKPO-</vt:lpstr>
      <vt:lpstr>OKPO- (2)</vt:lpstr>
      <vt:lpstr>OKPO-QIN (3)</vt:lpstr>
      <vt:lpstr>OO3E</vt:lpstr>
      <vt:lpstr>'KOZ-DAL-KOZ'!Print_Area</vt:lpstr>
      <vt:lpstr>'KOZ-HAW-KOZ'!Print_Area</vt:lpstr>
      <vt:lpstr>'OKPO-'!Print_Area</vt:lpstr>
      <vt:lpstr>'OKPO- (2)'!Print_Area</vt:lpstr>
      <vt:lpstr>'OKPO-QIN (3)'!Print_Area</vt:lpstr>
      <vt:lpstr>OO3E!Print_Area</vt:lpstr>
      <vt:lpstr>'QNG-KOZ'!Print_Area</vt:lpstr>
      <vt:lpstr>'TPP-QNG'!Print_Area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</dc:creator>
  <cp:lastModifiedBy>Dmitri Kolberg</cp:lastModifiedBy>
  <cp:lastPrinted>2016-03-26T05:55:49Z</cp:lastPrinted>
  <dcterms:created xsi:type="dcterms:W3CDTF">2011-11-02T05:31:12Z</dcterms:created>
  <dcterms:modified xsi:type="dcterms:W3CDTF">2016-12-21T15:13:41Z</dcterms:modified>
</cp:coreProperties>
</file>