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1 (2)" sheetId="2" r:id="rId2"/>
  </sheets>
  <calcPr calcId="152511"/>
</workbook>
</file>

<file path=xl/calcChain.xml><?xml version="1.0" encoding="utf-8"?>
<calcChain xmlns="http://schemas.openxmlformats.org/spreadsheetml/2006/main">
  <c r="D34" i="1" l="1"/>
  <c r="D27" i="1" l="1"/>
  <c r="K25" i="2" l="1"/>
  <c r="L25" i="2"/>
  <c r="M25" i="2"/>
  <c r="J25" i="2"/>
  <c r="K23" i="2"/>
  <c r="L23" i="2"/>
  <c r="M23" i="2"/>
  <c r="J23" i="2"/>
  <c r="D31" i="2"/>
  <c r="B31" i="2"/>
  <c r="D28" i="2"/>
  <c r="B28" i="2"/>
  <c r="D25" i="2"/>
  <c r="B25" i="2"/>
  <c r="D21" i="2"/>
  <c r="B21" i="2"/>
  <c r="D15" i="2"/>
  <c r="D14" i="2"/>
  <c r="M13" i="2"/>
  <c r="M17" i="2" s="1"/>
  <c r="L13" i="2"/>
  <c r="L17" i="2" s="1"/>
  <c r="K13" i="2"/>
  <c r="K17" i="2" s="1"/>
  <c r="J13" i="2"/>
  <c r="J17" i="2" s="1"/>
  <c r="D13" i="2"/>
  <c r="M12" i="2"/>
  <c r="L12" i="2"/>
  <c r="K12" i="2"/>
  <c r="J12" i="2"/>
  <c r="J14" i="2" s="1"/>
  <c r="J11" i="2"/>
  <c r="J15" i="2" s="1"/>
  <c r="J21" i="2" l="1"/>
  <c r="K11" i="2"/>
  <c r="J19" i="2"/>
  <c r="K14" i="2" l="1"/>
  <c r="K19" i="2" s="1"/>
  <c r="N22" i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K15" i="2" l="1"/>
  <c r="N16" i="1"/>
  <c r="N17" i="1" s="1"/>
  <c r="K21" i="2" l="1"/>
  <c r="L11" i="2"/>
  <c r="N19" i="1"/>
  <c r="N20" i="1" s="1"/>
  <c r="N18" i="1"/>
  <c r="C48" i="1"/>
  <c r="D57" i="1" s="1"/>
  <c r="E57" i="1" s="1"/>
  <c r="E67" i="1"/>
  <c r="D66" i="1"/>
  <c r="E65" i="1"/>
  <c r="E66" i="1" s="1"/>
  <c r="E64" i="1"/>
  <c r="E63" i="1"/>
  <c r="E62" i="1"/>
  <c r="E60" i="1"/>
  <c r="E59" i="1"/>
  <c r="E58" i="1"/>
  <c r="E56" i="1"/>
  <c r="E55" i="1"/>
  <c r="E53" i="1"/>
  <c r="E51" i="1"/>
  <c r="D52" i="1"/>
  <c r="E52" i="1" s="1"/>
  <c r="E49" i="1"/>
  <c r="D50" i="1"/>
  <c r="D36" i="1"/>
  <c r="D38" i="1" s="1"/>
  <c r="F22" i="1"/>
  <c r="F25" i="1" s="1"/>
  <c r="F31" i="1" s="1"/>
  <c r="H8" i="1"/>
  <c r="H9" i="1" s="1"/>
  <c r="H22" i="1" s="1"/>
  <c r="H25" i="1" s="1"/>
  <c r="H31" i="1" s="1"/>
  <c r="G8" i="1"/>
  <c r="G9" i="1" s="1"/>
  <c r="G22" i="1" s="1"/>
  <c r="G25" i="1" s="1"/>
  <c r="G31" i="1" s="1"/>
  <c r="E8" i="1"/>
  <c r="E9" i="1" s="1"/>
  <c r="E22" i="1" s="1"/>
  <c r="E25" i="1" s="1"/>
  <c r="E31" i="1" s="1"/>
  <c r="D8" i="1"/>
  <c r="D9" i="1" s="1"/>
  <c r="D22" i="1" s="1"/>
  <c r="D25" i="1" s="1"/>
  <c r="D31" i="1" s="1"/>
  <c r="L14" i="2" l="1"/>
  <c r="L19" i="2" s="1"/>
  <c r="G42" i="1"/>
  <c r="G44" i="1" s="1"/>
  <c r="N21" i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D54" i="1"/>
  <c r="E54" i="1" s="1"/>
  <c r="D61" i="1"/>
  <c r="E61" i="1" s="1"/>
  <c r="D42" i="1"/>
  <c r="D44" i="1" s="1"/>
  <c r="H42" i="1"/>
  <c r="H44" i="1" s="1"/>
  <c r="F42" i="1"/>
  <c r="F44" i="1" s="1"/>
  <c r="E42" i="1"/>
  <c r="E44" i="1" s="1"/>
  <c r="E50" i="1"/>
  <c r="L15" i="2" l="1"/>
  <c r="E69" i="1"/>
  <c r="E74" i="1" s="1"/>
  <c r="E80" i="1" s="1"/>
  <c r="D69" i="1"/>
  <c r="L21" i="2" l="1"/>
  <c r="M11" i="2"/>
  <c r="N23" i="1"/>
  <c r="N25" i="1" s="1"/>
  <c r="N26" i="1" s="1"/>
  <c r="O16" i="1" s="1"/>
  <c r="O17" i="1" s="1"/>
  <c r="E72" i="1"/>
  <c r="E78" i="1" s="1"/>
  <c r="E75" i="1"/>
  <c r="E81" i="1" s="1"/>
  <c r="E73" i="1"/>
  <c r="E79" i="1" s="1"/>
  <c r="D72" i="1"/>
  <c r="D78" i="1" s="1"/>
  <c r="D74" i="1"/>
  <c r="D80" i="1" s="1"/>
  <c r="D73" i="1"/>
  <c r="D79" i="1" s="1"/>
  <c r="D75" i="1"/>
  <c r="D81" i="1" s="1"/>
  <c r="M14" i="2" l="1"/>
  <c r="M19" i="2" s="1"/>
  <c r="O23" i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O19" i="1"/>
  <c r="O20" i="1" s="1"/>
  <c r="O18" i="1"/>
  <c r="M15" i="2" l="1"/>
  <c r="M21" i="2" s="1"/>
  <c r="O25" i="1"/>
  <c r="O26" i="1" s="1"/>
  <c r="P16" i="1" s="1"/>
  <c r="P17" i="1" s="1"/>
  <c r="P25" i="1" s="1"/>
  <c r="P18" i="1" l="1"/>
  <c r="P26" i="1"/>
  <c r="Q16" i="1" s="1"/>
  <c r="Q17" i="1" s="1"/>
  <c r="Q25" i="1" s="1"/>
  <c r="P19" i="1"/>
  <c r="P20" i="1" s="1"/>
  <c r="Q19" i="1" l="1"/>
  <c r="Q20" i="1" s="1"/>
  <c r="Q26" i="1"/>
  <c r="R16" i="1" s="1"/>
  <c r="R17" i="1" s="1"/>
  <c r="R25" i="1" s="1"/>
  <c r="Q18" i="1"/>
  <c r="R19" i="1" l="1"/>
  <c r="R20" i="1" s="1"/>
  <c r="R26" i="1"/>
  <c r="S16" i="1" s="1"/>
  <c r="S17" i="1" s="1"/>
  <c r="S25" i="1" s="1"/>
  <c r="R18" i="1"/>
  <c r="S19" i="1" l="1"/>
  <c r="S20" i="1" s="1"/>
  <c r="S26" i="1"/>
  <c r="T16" i="1" s="1"/>
  <c r="T17" i="1" s="1"/>
  <c r="T25" i="1" s="1"/>
  <c r="S18" i="1"/>
  <c r="T19" i="1" l="1"/>
  <c r="T20" i="1" s="1"/>
  <c r="T26" i="1"/>
  <c r="U16" i="1" s="1"/>
  <c r="U17" i="1" s="1"/>
  <c r="U25" i="1" s="1"/>
  <c r="T18" i="1"/>
  <c r="U19" i="1" l="1"/>
  <c r="U20" i="1" s="1"/>
  <c r="U18" i="1"/>
  <c r="U26" i="1"/>
  <c r="V16" i="1" s="1"/>
  <c r="V17" i="1" s="1"/>
  <c r="V25" i="1" s="1"/>
  <c r="V19" i="1" l="1"/>
  <c r="V20" i="1" s="1"/>
  <c r="V18" i="1"/>
  <c r="V26" i="1"/>
  <c r="W16" i="1" s="1"/>
  <c r="W17" i="1" s="1"/>
  <c r="W25" i="1" s="1"/>
  <c r="W19" i="1" l="1"/>
  <c r="W20" i="1" s="1"/>
  <c r="W26" i="1"/>
  <c r="X16" i="1" s="1"/>
  <c r="X17" i="1" s="1"/>
  <c r="X25" i="1" s="1"/>
  <c r="W18" i="1"/>
  <c r="X19" i="1" l="1"/>
  <c r="X20" i="1" s="1"/>
  <c r="X26" i="1"/>
  <c r="Y16" i="1" s="1"/>
  <c r="X18" i="1"/>
  <c r="Y17" i="1" l="1"/>
  <c r="Y25" i="1" s="1"/>
  <c r="Y19" i="1" l="1"/>
  <c r="Y20" i="1" s="1"/>
  <c r="Y26" i="1"/>
  <c r="Z16" i="1" s="1"/>
  <c r="Z17" i="1" s="1"/>
  <c r="Z25" i="1" s="1"/>
  <c r="Y18" i="1"/>
  <c r="Z19" i="1" l="1"/>
  <c r="Z20" i="1" s="1"/>
  <c r="Z26" i="1"/>
  <c r="AA16" i="1" s="1"/>
  <c r="AA17" i="1" s="1"/>
  <c r="AA25" i="1" s="1"/>
  <c r="Z18" i="1"/>
  <c r="AA19" i="1" l="1"/>
  <c r="AA20" i="1" s="1"/>
  <c r="AA26" i="1"/>
  <c r="AB16" i="1" s="1"/>
  <c r="AB17" i="1" s="1"/>
  <c r="AB25" i="1" s="1"/>
  <c r="AA18" i="1"/>
  <c r="AB19" i="1" l="1"/>
  <c r="AB20" i="1" s="1"/>
  <c r="AB26" i="1"/>
  <c r="AC16" i="1" s="1"/>
  <c r="AC17" i="1" s="1"/>
  <c r="AC25" i="1" s="1"/>
  <c r="AB18" i="1"/>
  <c r="AC19" i="1" l="1"/>
  <c r="AC20" i="1" s="1"/>
  <c r="AC26" i="1"/>
  <c r="AD16" i="1" s="1"/>
  <c r="AD17" i="1" s="1"/>
  <c r="AD25" i="1" s="1"/>
  <c r="AC18" i="1"/>
  <c r="AD19" i="1" l="1"/>
  <c r="AD20" i="1" s="1"/>
  <c r="AD18" i="1"/>
  <c r="AD26" i="1"/>
  <c r="AE16" i="1" s="1"/>
  <c r="AE17" i="1" s="1"/>
  <c r="AE25" i="1" s="1"/>
  <c r="AE19" i="1" l="1"/>
  <c r="AE20" i="1" s="1"/>
  <c r="AE26" i="1"/>
  <c r="AF16" i="1" s="1"/>
  <c r="AF17" i="1" s="1"/>
  <c r="AF25" i="1" s="1"/>
  <c r="AE18" i="1"/>
  <c r="AF19" i="1" l="1"/>
  <c r="AF20" i="1" s="1"/>
  <c r="AF26" i="1"/>
  <c r="AG16" i="1" s="1"/>
  <c r="AF18" i="1"/>
  <c r="AG17" i="1" l="1"/>
  <c r="AG25" i="1" s="1"/>
  <c r="AG19" i="1" l="1"/>
  <c r="AG20" i="1" s="1"/>
  <c r="AG26" i="1"/>
  <c r="AH16" i="1" s="1"/>
  <c r="AH17" i="1" s="1"/>
  <c r="AH25" i="1" s="1"/>
  <c r="AG18" i="1"/>
  <c r="AH19" i="1" l="1"/>
  <c r="AH20" i="1" s="1"/>
  <c r="AH18" i="1"/>
  <c r="AH26" i="1"/>
  <c r="AI16" i="1" s="1"/>
  <c r="AI17" i="1" s="1"/>
  <c r="AI25" i="1" s="1"/>
  <c r="AI19" i="1" l="1"/>
  <c r="AI20" i="1" s="1"/>
  <c r="AI26" i="1"/>
  <c r="AJ16" i="1" s="1"/>
  <c r="AJ17" i="1" s="1"/>
  <c r="AJ25" i="1" s="1"/>
  <c r="AI18" i="1"/>
  <c r="AJ19" i="1" l="1"/>
  <c r="AJ20" i="1" s="1"/>
  <c r="AJ26" i="1"/>
  <c r="AK16" i="1" s="1"/>
  <c r="AK17" i="1" s="1"/>
  <c r="AK25" i="1" s="1"/>
  <c r="AJ18" i="1"/>
  <c r="AK19" i="1" l="1"/>
  <c r="AK20" i="1" s="1"/>
  <c r="AK26" i="1"/>
  <c r="AL16" i="1" s="1"/>
  <c r="AL17" i="1" s="1"/>
  <c r="AL25" i="1" s="1"/>
  <c r="AK18" i="1"/>
  <c r="AL19" i="1" l="1"/>
  <c r="AL20" i="1" s="1"/>
  <c r="AL18" i="1"/>
  <c r="AL26" i="1"/>
  <c r="AM16" i="1" s="1"/>
  <c r="AM17" i="1" s="1"/>
  <c r="AM25" i="1" s="1"/>
  <c r="AM19" i="1" l="1"/>
  <c r="AM20" i="1" s="1"/>
  <c r="AM26" i="1"/>
  <c r="AN16" i="1" s="1"/>
  <c r="AN17" i="1" s="1"/>
  <c r="AN25" i="1" s="1"/>
  <c r="AM18" i="1"/>
  <c r="AN19" i="1" l="1"/>
  <c r="AN20" i="1" s="1"/>
  <c r="AN26" i="1"/>
  <c r="AO16" i="1" s="1"/>
  <c r="AN18" i="1"/>
  <c r="AO17" i="1" l="1"/>
  <c r="AO25" i="1" s="1"/>
  <c r="AO19" i="1" l="1"/>
  <c r="AO20" i="1" s="1"/>
  <c r="AO26" i="1"/>
  <c r="AP16" i="1" s="1"/>
  <c r="AP17" i="1" s="1"/>
  <c r="AP25" i="1" s="1"/>
  <c r="AO18" i="1"/>
  <c r="AP19" i="1" l="1"/>
  <c r="AP20" i="1" s="1"/>
  <c r="AP26" i="1"/>
  <c r="AQ16" i="1" s="1"/>
  <c r="AQ17" i="1" s="1"/>
  <c r="AQ25" i="1" s="1"/>
  <c r="AP18" i="1"/>
  <c r="AQ19" i="1" l="1"/>
  <c r="AQ20" i="1" s="1"/>
  <c r="AQ18" i="1"/>
  <c r="AQ26" i="1"/>
</calcChain>
</file>

<file path=xl/sharedStrings.xml><?xml version="1.0" encoding="utf-8"?>
<sst xmlns="http://schemas.openxmlformats.org/spreadsheetml/2006/main" count="133" uniqueCount="119">
  <si>
    <t>tankers</t>
  </si>
  <si>
    <t>basic</t>
  </si>
  <si>
    <t>leave pay</t>
  </si>
  <si>
    <t>other</t>
  </si>
  <si>
    <t>loyalty pay per mnth</t>
  </si>
  <si>
    <t>ttl</t>
  </si>
  <si>
    <t>seniority 10y</t>
  </si>
  <si>
    <t>containers</t>
  </si>
  <si>
    <t>grand total with:</t>
  </si>
  <si>
    <t>seniority 08y</t>
  </si>
  <si>
    <t>seniority 09y</t>
  </si>
  <si>
    <t>seniority 11y</t>
  </si>
  <si>
    <t>seniority 12y</t>
  </si>
  <si>
    <t>seniority 13y</t>
  </si>
  <si>
    <t>seniority 14y</t>
  </si>
  <si>
    <t>seniority 15y</t>
  </si>
  <si>
    <t>wk months per year:</t>
  </si>
  <si>
    <t>salary per year:</t>
  </si>
  <si>
    <t>salary - usd</t>
  </si>
  <si>
    <t>in EUR:</t>
  </si>
  <si>
    <t>convertion rate:</t>
  </si>
  <si>
    <t>(eur/usd)</t>
  </si>
  <si>
    <t>annual interest %:</t>
  </si>
  <si>
    <t>income:</t>
  </si>
  <si>
    <t>tax %:</t>
  </si>
  <si>
    <t>Net Profit:</t>
  </si>
  <si>
    <t>INCOME</t>
  </si>
  <si>
    <t>TOTAL 1Y INCOME:</t>
  </si>
  <si>
    <t>(EUR)</t>
  </si>
  <si>
    <t>PER MONTH:</t>
  </si>
  <si>
    <t>no of children:</t>
  </si>
  <si>
    <t>per yr</t>
  </si>
  <si>
    <t>other income:</t>
  </si>
  <si>
    <t>parents monthly</t>
  </si>
  <si>
    <t>flat monthly</t>
  </si>
  <si>
    <t>flat per year</t>
  </si>
  <si>
    <t>food per wk</t>
  </si>
  <si>
    <t>food per year:</t>
  </si>
  <si>
    <t>inet, power, etc</t>
  </si>
  <si>
    <t xml:space="preserve">car monthly fuel </t>
  </si>
  <si>
    <t>fuel Yearly</t>
  </si>
  <si>
    <t>car insurance 1Y</t>
  </si>
  <si>
    <t>car service 1 yr</t>
  </si>
  <si>
    <t>sport per month</t>
  </si>
  <si>
    <t>sport per year</t>
  </si>
  <si>
    <t>clothing per year:</t>
  </si>
  <si>
    <t>Healthcare per 1Y</t>
  </si>
  <si>
    <t>vacation per year</t>
  </si>
  <si>
    <t>Recreation monthly</t>
  </si>
  <si>
    <t>Recreation 1Y</t>
  </si>
  <si>
    <t>Total expenses:</t>
  </si>
  <si>
    <t>2/O tankers</t>
  </si>
  <si>
    <t>2/OS tankers</t>
  </si>
  <si>
    <t>2/O containers</t>
  </si>
  <si>
    <t>C/O conainers</t>
  </si>
  <si>
    <t>Savings end of year:</t>
  </si>
  <si>
    <t>net balance per year:</t>
  </si>
  <si>
    <t>mnts @ home p. y.</t>
  </si>
  <si>
    <t>years</t>
  </si>
  <si>
    <t>1. 2/O tank</t>
  </si>
  <si>
    <t>2. 2/OS tank</t>
  </si>
  <si>
    <t>1. single</t>
  </si>
  <si>
    <t>2. family</t>
  </si>
  <si>
    <t>EXPENCES PER ANNUM</t>
  </si>
  <si>
    <t>investment</t>
  </si>
  <si>
    <t>starting fund:</t>
  </si>
  <si>
    <t>NET INTEREST</t>
  </si>
  <si>
    <t>START SAVINGS</t>
  </si>
  <si>
    <t>MONTHLY INTEREST</t>
  </si>
  <si>
    <t>REAL BUYING POWER</t>
  </si>
  <si>
    <t>SALARY</t>
  </si>
  <si>
    <t>OTHER INCOME</t>
  </si>
  <si>
    <t>EXPENCES</t>
  </si>
  <si>
    <t>BALANCE</t>
  </si>
  <si>
    <t>END SAVINGS</t>
  </si>
  <si>
    <t>REAL BUYING POWER M-LY</t>
  </si>
  <si>
    <t>EXTRA 1-TIME EXPENCES</t>
  </si>
  <si>
    <t>SALARY INCREASE, %</t>
  </si>
  <si>
    <t>3. no exp</t>
  </si>
  <si>
    <t>3. Nil</t>
  </si>
  <si>
    <t>4. 2/O cont</t>
  </si>
  <si>
    <t>5. C/O cont</t>
  </si>
  <si>
    <t>Rank:</t>
  </si>
  <si>
    <t>Expences:</t>
  </si>
  <si>
    <t>Infation rate, %:</t>
  </si>
  <si>
    <t>Capital</t>
  </si>
  <si>
    <t>interest</t>
  </si>
  <si>
    <t>inflation</t>
  </si>
  <si>
    <t>x</t>
  </si>
  <si>
    <t>i</t>
  </si>
  <si>
    <t>f</t>
  </si>
  <si>
    <t>income</t>
  </si>
  <si>
    <t>after n yrs</t>
  </si>
  <si>
    <t>1yr</t>
  </si>
  <si>
    <t>2yr</t>
  </si>
  <si>
    <t>x*i</t>
  </si>
  <si>
    <t>(x+x*i)*i</t>
  </si>
  <si>
    <t>xi(1+i)</t>
  </si>
  <si>
    <t>prev</t>
  </si>
  <si>
    <t>(1+0.1)*0.1</t>
  </si>
  <si>
    <t>xi+xi*i</t>
  </si>
  <si>
    <t>total</t>
  </si>
  <si>
    <t>savings</t>
  </si>
  <si>
    <t>corrn factor</t>
  </si>
  <si>
    <t>x+x*i</t>
  </si>
  <si>
    <t>x+x*1+(x+x*i)*i</t>
  </si>
  <si>
    <t>x*(1+i)^1</t>
  </si>
  <si>
    <t>x*(1+i)^2</t>
  </si>
  <si>
    <t>rbp</t>
  </si>
  <si>
    <t>eoy*(1-f)</t>
  </si>
  <si>
    <t>eoy*(1-f)^2</t>
  </si>
  <si>
    <t>x*(1+i-f)^1</t>
  </si>
  <si>
    <t>x*(1+i-f)^2</t>
  </si>
  <si>
    <t>x*(1+i)^1*(1-f)^1</t>
  </si>
  <si>
    <t>x*(1+i)^2*(1-f)^2</t>
  </si>
  <si>
    <t>int rbp</t>
  </si>
  <si>
    <t>min pay-in</t>
  </si>
  <si>
    <t>rbp min</t>
  </si>
  <si>
    <t>investment real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</si>
</sst>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  <font>
      <i/>
      <sz val="11"/>
      <color theme="1"/>
      <name val="Arial Narrow"/>
      <family val="2"/>
      <charset val="204"/>
    </font>
    <font>
      <sz val="11"/>
      <name val="Arial Narrow"/>
      <family val="2"/>
      <charset val="204"/>
    </font>
    <font>
      <i/>
      <sz val="11"/>
      <name val="Arial Narrow"/>
      <family val="2"/>
      <charset val="204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1" fontId="0" fillId="0" borderId="0" xfId="0" applyNumberFormat="1"/>
    <xf numFmtId="0" fontId="3" fillId="0" borderId="0" xfId="0" applyFont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0" fillId="0" borderId="12" xfId="0" applyBorder="1"/>
    <xf numFmtId="0" fontId="1" fillId="0" borderId="8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5" xfId="0" applyFont="1" applyBorder="1"/>
    <xf numFmtId="0" fontId="1" fillId="0" borderId="1" xfId="0" applyFont="1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7" xfId="0" applyBorder="1" applyAlignment="1">
      <alignment horizontal="center"/>
    </xf>
    <xf numFmtId="1" fontId="0" fillId="0" borderId="7" xfId="0" applyNumberFormat="1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1" fontId="1" fillId="0" borderId="0" xfId="0" applyNumberFormat="1" applyFont="1" applyBorder="1"/>
    <xf numFmtId="1" fontId="1" fillId="0" borderId="6" xfId="0" applyNumberFormat="1" applyFont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0" fillId="0" borderId="3" xfId="0" applyNumberFormat="1" applyBorder="1"/>
    <xf numFmtId="1" fontId="0" fillId="0" borderId="4" xfId="0" applyNumberFormat="1" applyBorder="1"/>
    <xf numFmtId="0" fontId="0" fillId="0" borderId="11" xfId="0" applyBorder="1" applyAlignment="1">
      <alignment horizontal="right"/>
    </xf>
    <xf numFmtId="0" fontId="2" fillId="2" borderId="5" xfId="0" applyFont="1" applyFill="1" applyBorder="1" applyProtection="1">
      <protection locked="0"/>
    </xf>
    <xf numFmtId="0" fontId="0" fillId="2" borderId="13" xfId="0" applyFill="1" applyBorder="1" applyProtection="1">
      <protection locked="0"/>
    </xf>
    <xf numFmtId="0" fontId="0" fillId="2" borderId="15" xfId="0" applyFill="1" applyBorder="1" applyProtection="1">
      <protection locked="0"/>
    </xf>
    <xf numFmtId="0" fontId="0" fillId="2" borderId="14" xfId="0" applyFill="1" applyBorder="1" applyProtection="1">
      <protection locked="0"/>
    </xf>
    <xf numFmtId="0" fontId="4" fillId="0" borderId="6" xfId="0" applyFont="1" applyBorder="1"/>
    <xf numFmtId="41" fontId="4" fillId="0" borderId="0" xfId="0" applyNumberFormat="1" applyFont="1" applyBorder="1"/>
    <xf numFmtId="0" fontId="5" fillId="0" borderId="5" xfId="0" applyFont="1" applyBorder="1"/>
    <xf numFmtId="0" fontId="5" fillId="0" borderId="6" xfId="0" applyFont="1" applyBorder="1"/>
    <xf numFmtId="41" fontId="5" fillId="0" borderId="0" xfId="0" applyNumberFormat="1" applyFont="1" applyBorder="1"/>
    <xf numFmtId="41" fontId="5" fillId="0" borderId="6" xfId="0" applyNumberFormat="1" applyFont="1" applyBorder="1"/>
    <xf numFmtId="0" fontId="5" fillId="0" borderId="7" xfId="0" applyFont="1" applyBorder="1"/>
    <xf numFmtId="0" fontId="5" fillId="0" borderId="9" xfId="0" applyFont="1" applyBorder="1"/>
    <xf numFmtId="41" fontId="5" fillId="0" borderId="8" xfId="0" applyNumberFormat="1" applyFont="1" applyBorder="1"/>
    <xf numFmtId="41" fontId="5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/>
    <xf numFmtId="41" fontId="4" fillId="0" borderId="12" xfId="0" applyNumberFormat="1" applyFont="1" applyBorder="1"/>
    <xf numFmtId="41" fontId="4" fillId="0" borderId="11" xfId="0" applyNumberFormat="1" applyFont="1" applyBorder="1"/>
    <xf numFmtId="0" fontId="6" fillId="0" borderId="15" xfId="0" applyFont="1" applyBorder="1"/>
    <xf numFmtId="0" fontId="4" fillId="0" borderId="2" xfId="0" applyFont="1" applyBorder="1"/>
    <xf numFmtId="0" fontId="4" fillId="0" borderId="4" xfId="0" applyFont="1" applyBorder="1"/>
    <xf numFmtId="41" fontId="4" fillId="0" borderId="3" xfId="0" applyNumberFormat="1" applyFont="1" applyBorder="1"/>
    <xf numFmtId="41" fontId="4" fillId="0" borderId="4" xfId="0" applyNumberFormat="1" applyFont="1" applyBorder="1"/>
    <xf numFmtId="41" fontId="4" fillId="0" borderId="10" xfId="0" applyNumberFormat="1" applyFont="1" applyBorder="1"/>
    <xf numFmtId="0" fontId="0" fillId="2" borderId="0" xfId="0" applyFill="1" applyProtection="1">
      <protection locked="0"/>
    </xf>
    <xf numFmtId="0" fontId="4" fillId="0" borderId="4" xfId="0" applyFont="1" applyFill="1" applyBorder="1" applyProtection="1"/>
    <xf numFmtId="0" fontId="7" fillId="0" borderId="7" xfId="0" applyFont="1" applyBorder="1"/>
    <xf numFmtId="0" fontId="7" fillId="0" borderId="9" xfId="0" applyFont="1" applyBorder="1"/>
    <xf numFmtId="164" fontId="7" fillId="0" borderId="8" xfId="0" applyNumberFormat="1" applyFont="1" applyBorder="1"/>
    <xf numFmtId="164" fontId="7" fillId="0" borderId="9" xfId="0" applyNumberFormat="1" applyFont="1" applyBorder="1"/>
    <xf numFmtId="0" fontId="8" fillId="0" borderId="5" xfId="0" applyFont="1" applyBorder="1"/>
    <xf numFmtId="0" fontId="8" fillId="0" borderId="6" xfId="0" applyFont="1" applyBorder="1"/>
    <xf numFmtId="164" fontId="8" fillId="0" borderId="0" xfId="0" applyNumberFormat="1" applyFont="1" applyBorder="1"/>
    <xf numFmtId="164" fontId="8" fillId="0" borderId="4" xfId="0" applyNumberFormat="1" applyFont="1" applyBorder="1"/>
    <xf numFmtId="0" fontId="9" fillId="0" borderId="5" xfId="0" applyFont="1" applyBorder="1"/>
    <xf numFmtId="0" fontId="9" fillId="0" borderId="9" xfId="0" applyFont="1" applyFill="1" applyBorder="1" applyProtection="1"/>
    <xf numFmtId="164" fontId="9" fillId="0" borderId="0" xfId="0" applyNumberFormat="1" applyFont="1" applyBorder="1"/>
    <xf numFmtId="164" fontId="9" fillId="0" borderId="9" xfId="0" applyNumberFormat="1" applyFont="1" applyBorder="1"/>
    <xf numFmtId="0" fontId="0" fillId="0" borderId="1" xfId="0" applyBorder="1"/>
    <xf numFmtId="41" fontId="4" fillId="2" borderId="12" xfId="0" applyNumberFormat="1" applyFont="1" applyFill="1" applyBorder="1" applyProtection="1">
      <protection locked="0"/>
    </xf>
    <xf numFmtId="41" fontId="4" fillId="2" borderId="11" xfId="0" applyNumberFormat="1" applyFont="1" applyFill="1" applyBorder="1" applyProtection="1">
      <protection locked="0"/>
    </xf>
    <xf numFmtId="41" fontId="6" fillId="2" borderId="5" xfId="0" applyNumberFormat="1" applyFont="1" applyFill="1" applyBorder="1" applyProtection="1">
      <protection locked="0"/>
    </xf>
    <xf numFmtId="41" fontId="2" fillId="0" borderId="5" xfId="0" applyNumberFormat="1" applyFont="1" applyBorder="1"/>
    <xf numFmtId="41" fontId="2" fillId="2" borderId="5" xfId="0" applyNumberFormat="1" applyFont="1" applyFill="1" applyBorder="1" applyProtection="1">
      <protection locked="0"/>
    </xf>
    <xf numFmtId="41" fontId="0" fillId="0" borderId="5" xfId="0" applyNumberFormat="1" applyBorder="1"/>
    <xf numFmtId="0" fontId="4" fillId="0" borderId="10" xfId="0" applyFont="1" applyFill="1" applyBorder="1"/>
    <xf numFmtId="0" fontId="0" fillId="2" borderId="10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1" xfId="0" applyFill="1" applyBorder="1" applyAlignment="1" applyProtection="1">
      <alignment horizontal="left"/>
      <protection locked="0"/>
    </xf>
    <xf numFmtId="41" fontId="6" fillId="0" borderId="0" xfId="0" applyNumberFormat="1" applyFont="1" applyBorder="1"/>
    <xf numFmtId="41" fontId="2" fillId="0" borderId="0" xfId="0" applyNumberFormat="1" applyFont="1" applyBorder="1"/>
    <xf numFmtId="41" fontId="0" fillId="0" borderId="0" xfId="0" applyNumberFormat="1" applyBorder="1"/>
    <xf numFmtId="41" fontId="0" fillId="2" borderId="13" xfId="0" applyNumberFormat="1" applyFill="1" applyBorder="1" applyProtection="1">
      <protection locked="0"/>
    </xf>
    <xf numFmtId="41" fontId="0" fillId="0" borderId="14" xfId="0" applyNumberFormat="1" applyFill="1" applyBorder="1"/>
    <xf numFmtId="41" fontId="1" fillId="0" borderId="1" xfId="0" applyNumberFormat="1" applyFont="1" applyBorder="1"/>
    <xf numFmtId="41" fontId="1" fillId="0" borderId="3" xfId="0" applyNumberFormat="1" applyFont="1" applyBorder="1"/>
    <xf numFmtId="41" fontId="1" fillId="0" borderId="4" xfId="0" applyNumberFormat="1" applyFont="1" applyBorder="1"/>
    <xf numFmtId="41" fontId="6" fillId="0" borderId="9" xfId="0" applyNumberFormat="1" applyFont="1" applyBorder="1"/>
    <xf numFmtId="41" fontId="6" fillId="0" borderId="8" xfId="0" applyNumberFormat="1" applyFont="1" applyBorder="1"/>
    <xf numFmtId="41" fontId="1" fillId="2" borderId="11" xfId="0" applyNumberFormat="1" applyFont="1" applyFill="1" applyBorder="1" applyProtection="1">
      <protection locked="0"/>
    </xf>
    <xf numFmtId="41" fontId="1" fillId="0" borderId="10" xfId="0" applyNumberFormat="1" applyFont="1" applyBorder="1"/>
    <xf numFmtId="41" fontId="1" fillId="0" borderId="12" xfId="0" applyNumberFormat="1" applyFont="1" applyBorder="1"/>
    <xf numFmtId="41" fontId="1" fillId="0" borderId="11" xfId="0" applyNumberFormat="1" applyFont="1" applyBorder="1"/>
    <xf numFmtId="0" fontId="10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Income &amp; Expences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712705670012708E-2"/>
          <c:y val="7.5376047411928757E-2"/>
          <c:w val="0.93295141547160299"/>
          <c:h val="0.84188836099307263"/>
        </c:manualLayout>
      </c:layout>
      <c:lineChart>
        <c:grouping val="standard"/>
        <c:varyColors val="0"/>
        <c:ser>
          <c:idx val="1"/>
          <c:order val="1"/>
          <c:tx>
            <c:strRef>
              <c:f>Sheet1!$L$17</c:f>
              <c:strCache>
                <c:ptCount val="1"/>
                <c:pt idx="0">
                  <c:v>NET INTEREST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Sheet1!$M$15:$AQ$15</c15:sqref>
                  </c15:fullRef>
                </c:ext>
              </c:extLst>
              <c:f>Sheet1!$M$15:$AB$15</c:f>
              <c:strCache>
                <c:ptCount val="16"/>
                <c:pt idx="0">
                  <c:v>years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Sheet1!$M$17:$AQ$17</c15:sqref>
                  </c15:fullRef>
                </c:ext>
              </c:extLst>
              <c:f>Sheet1!$M$17:$AB$17</c:f>
              <c:numCache>
                <c:formatCode>_(* #,##0_);_(* \(#,##0\);_(* "-"_);_(@_)</c:formatCode>
                <c:ptCount val="16"/>
                <c:pt idx="1">
                  <c:v>8500</c:v>
                </c:pt>
                <c:pt idx="2">
                  <c:v>11076.847826086958</c:v>
                </c:pt>
                <c:pt idx="3">
                  <c:v>13874.255434782612</c:v>
                </c:pt>
                <c:pt idx="4">
                  <c:v>16913.165054347828</c:v>
                </c:pt>
                <c:pt idx="5">
                  <c:v>20216.579723369567</c:v>
                </c:pt>
                <c:pt idx="6">
                  <c:v>17606.203152027178</c:v>
                </c:pt>
                <c:pt idx="7">
                  <c:v>21193.004408979301</c:v>
                </c:pt>
                <c:pt idx="8">
                  <c:v>25095.447741618245</c:v>
                </c:pt>
                <c:pt idx="9">
                  <c:v>29343.80621601245</c:v>
                </c:pt>
                <c:pt idx="10">
                  <c:v>33971.341470592168</c:v>
                </c:pt>
                <c:pt idx="11">
                  <c:v>39014.601411358359</c:v>
                </c:pt>
                <c:pt idx="12">
                  <c:v>44839.825902621058</c:v>
                </c:pt>
                <c:pt idx="13">
                  <c:v>51197.679947426877</c:v>
                </c:pt>
                <c:pt idx="14">
                  <c:v>58139.929714262631</c:v>
                </c:pt>
                <c:pt idx="15">
                  <c:v>65723.473084857804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Sheet1!$L$19</c:f>
              <c:strCache>
                <c:ptCount val="1"/>
                <c:pt idx="0">
                  <c:v>REAL BUYING POWER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Sheet1!$M$15:$AQ$15</c15:sqref>
                  </c15:fullRef>
                </c:ext>
              </c:extLst>
              <c:f>Sheet1!$M$15:$AB$15</c:f>
              <c:strCache>
                <c:ptCount val="16"/>
                <c:pt idx="0">
                  <c:v>years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Sheet1!$M$19:$AQ$19</c15:sqref>
                  </c15:fullRef>
                </c:ext>
              </c:extLst>
              <c:f>Sheet1!$M$19:$AB$19</c:f>
              <c:numCache>
                <c:formatCode>_-* #,##0_-;\-* #,##0_-;_-* "-"??_-;_-@_-</c:formatCode>
                <c:ptCount val="16"/>
                <c:pt idx="1">
                  <c:v>8245</c:v>
                </c:pt>
                <c:pt idx="2">
                  <c:v>10422.206119565219</c:v>
                </c:pt>
                <c:pt idx="3">
                  <c:v>12662.658330429351</c:v>
                </c:pt>
                <c:pt idx="4">
                  <c:v>14973.10341695739</c:v>
                </c:pt>
                <c:pt idx="5">
                  <c:v>17360.664891734137</c:v>
                </c:pt>
                <c:pt idx="6">
                  <c:v>14665.474338731356</c:v>
                </c:pt>
                <c:pt idx="7">
                  <c:v>17123.583991826123</c:v>
                </c:pt>
                <c:pt idx="8">
                  <c:v>19668.390519609024</c:v>
                </c:pt>
                <c:pt idx="9">
                  <c:v>22308.072864553553</c:v>
                </c:pt>
                <c:pt idx="10">
                  <c:v>25051.286823400897</c:v>
                </c:pt>
                <c:pt idx="11">
                  <c:v>27907.199130466834</c:v>
                </c:pt>
                <c:pt idx="12">
                  <c:v>31111.770670898983</c:v>
                </c:pt>
                <c:pt idx="13">
                  <c:v>34457.425558245108</c:v>
                </c:pt>
                <c:pt idx="14">
                  <c:v>37955.855286480575</c:v>
                </c:pt>
                <c:pt idx="15">
                  <c:v>41619.467485185967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Sheet1!$L$21</c:f>
              <c:strCache>
                <c:ptCount val="1"/>
                <c:pt idx="0">
                  <c:v>SALARY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Sheet1!$M$15:$AQ$15</c15:sqref>
                  </c15:fullRef>
                </c:ext>
              </c:extLst>
              <c:f>Sheet1!$M$15:$AB$15</c:f>
              <c:strCache>
                <c:ptCount val="16"/>
                <c:pt idx="0">
                  <c:v>years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Sheet1!$M$21:$AQ$21</c15:sqref>
                  </c15:fullRef>
                </c:ext>
              </c:extLst>
              <c:f>Sheet1!$M$21:$AB$21</c:f>
              <c:numCache>
                <c:formatCode>_(* #,##0_);_(* \(#,##0\);_(* "-"_);_(@_)</c:formatCode>
                <c:ptCount val="16"/>
                <c:pt idx="1">
                  <c:v>29643.478260869571</c:v>
                </c:pt>
                <c:pt idx="2">
                  <c:v>29643.478260869571</c:v>
                </c:pt>
                <c:pt idx="3">
                  <c:v>29643.478260869571</c:v>
                </c:pt>
                <c:pt idx="4">
                  <c:v>29643.478260869571</c:v>
                </c:pt>
                <c:pt idx="5">
                  <c:v>32607.826086956527</c:v>
                </c:pt>
                <c:pt idx="6">
                  <c:v>32607.826086956527</c:v>
                </c:pt>
                <c:pt idx="7">
                  <c:v>32607.826086956527</c:v>
                </c:pt>
                <c:pt idx="8">
                  <c:v>32607.826086956527</c:v>
                </c:pt>
                <c:pt idx="9">
                  <c:v>32607.826086956527</c:v>
                </c:pt>
                <c:pt idx="10">
                  <c:v>32607.826086956527</c:v>
                </c:pt>
                <c:pt idx="11">
                  <c:v>35868.608695652183</c:v>
                </c:pt>
                <c:pt idx="12">
                  <c:v>35868.608695652183</c:v>
                </c:pt>
                <c:pt idx="13">
                  <c:v>35868.608695652183</c:v>
                </c:pt>
                <c:pt idx="14">
                  <c:v>35868.608695652183</c:v>
                </c:pt>
                <c:pt idx="15">
                  <c:v>35868.608695652183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Sheet1!$L$23</c:f>
              <c:strCache>
                <c:ptCount val="1"/>
                <c:pt idx="0">
                  <c:v>EXPENCES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Sheet1!$M$15:$AQ$15</c15:sqref>
                  </c15:fullRef>
                </c:ext>
              </c:extLst>
              <c:f>Sheet1!$M$15:$AB$15</c:f>
              <c:strCache>
                <c:ptCount val="16"/>
                <c:pt idx="0">
                  <c:v>years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Sheet1!$M$23:$AQ$23</c15:sqref>
                  </c15:fullRef>
                </c:ext>
              </c:extLst>
              <c:f>Sheet1!$M$23:$AB$23</c:f>
              <c:numCache>
                <c:formatCode>_(* #,##0_);_(* \(#,##0\);_(* "-"_);_(@_)</c:formatCode>
                <c:ptCount val="16"/>
                <c:pt idx="1">
                  <c:v>12375</c:v>
                </c:pt>
                <c:pt idx="2">
                  <c:v>12746.25</c:v>
                </c:pt>
                <c:pt idx="3">
                  <c:v>13128.637500000001</c:v>
                </c:pt>
                <c:pt idx="4">
                  <c:v>13522.496625000002</c:v>
                </c:pt>
                <c:pt idx="5">
                  <c:v>13928.171523750001</c:v>
                </c:pt>
                <c:pt idx="6">
                  <c:v>14346.0166694625</c:v>
                </c:pt>
                <c:pt idx="7">
                  <c:v>14776.397169546375</c:v>
                </c:pt>
                <c:pt idx="8">
                  <c:v>15219.689084632766</c:v>
                </c:pt>
                <c:pt idx="9">
                  <c:v>15676.279757171747</c:v>
                </c:pt>
                <c:pt idx="10">
                  <c:v>16146.5681498869</c:v>
                </c:pt>
                <c:pt idx="11">
                  <c:v>16630.965194383505</c:v>
                </c:pt>
                <c:pt idx="12">
                  <c:v>17129.894150215012</c:v>
                </c:pt>
                <c:pt idx="13">
                  <c:v>17643.790974721462</c:v>
                </c:pt>
                <c:pt idx="14">
                  <c:v>18173.104703963105</c:v>
                </c:pt>
                <c:pt idx="15">
                  <c:v>18718.297845081997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28920"/>
        <c:axId val="216827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Sheet1!$L$16</c15:sqref>
                        </c15:formulaRef>
                      </c:ext>
                    </c:extLst>
                    <c:strCache>
                      <c:ptCount val="1"/>
                      <c:pt idx="0">
                        <c:v>START SAVINGS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Sheet1!$M$15:$AQ$15</c15:sqref>
                        </c15:fullRef>
                        <c15:formulaRef>
                          <c15:sqref>Sheet1!$M$15:$AB$15</c15:sqref>
                        </c15:formulaRef>
                      </c:ext>
                    </c:extLst>
                    <c:strCache>
                      <c:ptCount val="16"/>
                      <c:pt idx="0">
                        <c:v>years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Sheet1!$M$16:$AQ$16</c15:sqref>
                        </c15:fullRef>
                        <c15:formulaRef>
                          <c15:sqref>Sheet1!$M$16:$AB$16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6"/>
                      <c:pt idx="1">
                        <c:v>85000</c:v>
                      </c:pt>
                      <c:pt idx="2">
                        <c:v>110768.47826086957</c:v>
                      </c:pt>
                      <c:pt idx="3">
                        <c:v>138742.55434782611</c:v>
                      </c:pt>
                      <c:pt idx="4">
                        <c:v>169131.65054347829</c:v>
                      </c:pt>
                      <c:pt idx="5">
                        <c:v>202165.79723369569</c:v>
                      </c:pt>
                      <c:pt idx="6">
                        <c:v>176062.03152027179</c:v>
                      </c:pt>
                      <c:pt idx="7">
                        <c:v>211930.04408979299</c:v>
                      </c:pt>
                      <c:pt idx="8">
                        <c:v>250954.47741618246</c:v>
                      </c:pt>
                      <c:pt idx="9">
                        <c:v>293438.06216012448</c:v>
                      </c:pt>
                      <c:pt idx="10">
                        <c:v>339713.41470592172</c:v>
                      </c:pt>
                      <c:pt idx="11">
                        <c:v>390146.01411358354</c:v>
                      </c:pt>
                      <c:pt idx="12">
                        <c:v>448398.25902621058</c:v>
                      </c:pt>
                      <c:pt idx="13">
                        <c:v>511976.7994742688</c:v>
                      </c:pt>
                      <c:pt idx="14">
                        <c:v>581399.29714262637</c:v>
                      </c:pt>
                      <c:pt idx="15">
                        <c:v>657234.73084857804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Sheet1!$L$18</c15:sqref>
                        </c15:formulaRef>
                      </c:ext>
                    </c:extLst>
                    <c:strCache>
                      <c:ptCount val="1"/>
                      <c:pt idx="0">
                        <c:v>MONTHLY INTEREST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Sheet1!$M$15:$AQ$15</c15:sqref>
                        </c15:fullRef>
                        <c15:formulaRef>
                          <c15:sqref>Sheet1!$M$15:$AB$15</c15:sqref>
                        </c15:formulaRef>
                      </c:ext>
                    </c:extLst>
                    <c:strCache>
                      <c:ptCount val="16"/>
                      <c:pt idx="0">
                        <c:v>years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Sheet1!$M$18:$AQ$18</c15:sqref>
                        </c15:fullRef>
                        <c15:formulaRef>
                          <c15:sqref>Sheet1!$M$18:$AB$18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6"/>
                      <c:pt idx="1">
                        <c:v>708.33333333333337</c:v>
                      </c:pt>
                      <c:pt idx="2">
                        <c:v>923.07065217391312</c:v>
                      </c:pt>
                      <c:pt idx="3">
                        <c:v>1156.187952898551</c:v>
                      </c:pt>
                      <c:pt idx="4">
                        <c:v>1409.4304211956523</c:v>
                      </c:pt>
                      <c:pt idx="5">
                        <c:v>1684.7149769474638</c:v>
                      </c:pt>
                      <c:pt idx="6">
                        <c:v>1467.1835960022647</c:v>
                      </c:pt>
                      <c:pt idx="7">
                        <c:v>1766.0837007482751</c:v>
                      </c:pt>
                      <c:pt idx="8">
                        <c:v>2091.2873118015204</c:v>
                      </c:pt>
                      <c:pt idx="9">
                        <c:v>2445.3171846677042</c:v>
                      </c:pt>
                      <c:pt idx="10">
                        <c:v>2830.9451225493472</c:v>
                      </c:pt>
                      <c:pt idx="11">
                        <c:v>3251.2167842798631</c:v>
                      </c:pt>
                      <c:pt idx="12">
                        <c:v>3736.6521585517548</c:v>
                      </c:pt>
                      <c:pt idx="13">
                        <c:v>4266.4733289522401</c:v>
                      </c:pt>
                      <c:pt idx="14">
                        <c:v>4844.9941428552193</c:v>
                      </c:pt>
                      <c:pt idx="15">
                        <c:v>5476.9560904048167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Sheet1!$L$20</c15:sqref>
                        </c15:formulaRef>
                      </c:ext>
                    </c:extLst>
                    <c:strCache>
                      <c:ptCount val="1"/>
                      <c:pt idx="0">
                        <c:v>REAL BUYING POWER M-LY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Sheet1!$M$15:$AQ$15</c15:sqref>
                        </c15:fullRef>
                        <c15:formulaRef>
                          <c15:sqref>Sheet1!$M$15:$AB$15</c15:sqref>
                        </c15:formulaRef>
                      </c:ext>
                    </c:extLst>
                    <c:strCache>
                      <c:ptCount val="16"/>
                      <c:pt idx="0">
                        <c:v>years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Sheet1!$M$20:$AQ$20</c15:sqref>
                        </c15:fullRef>
                        <c15:formulaRef>
                          <c15:sqref>Sheet1!$M$20:$AB$20</c15:sqref>
                        </c15:formulaRef>
                      </c:ext>
                    </c:extLst>
                    <c:numCache>
                      <c:formatCode>_-* #,##0_-;\-* #,##0_-;_-* "-"??_-;_-@_-</c:formatCode>
                      <c:ptCount val="16"/>
                      <c:pt idx="1">
                        <c:v>687.08333333333337</c:v>
                      </c:pt>
                      <c:pt idx="2">
                        <c:v>868.51717663043485</c:v>
                      </c:pt>
                      <c:pt idx="3">
                        <c:v>1055.2215275357792</c:v>
                      </c:pt>
                      <c:pt idx="4">
                        <c:v>1247.7586180797825</c:v>
                      </c:pt>
                      <c:pt idx="5">
                        <c:v>1446.7220743111782</c:v>
                      </c:pt>
                      <c:pt idx="6">
                        <c:v>1222.1228615609464</c:v>
                      </c:pt>
                      <c:pt idx="7">
                        <c:v>1426.9653326521768</c:v>
                      </c:pt>
                      <c:pt idx="8">
                        <c:v>1639.032543300752</c:v>
                      </c:pt>
                      <c:pt idx="9">
                        <c:v>1859.0060720461295</c:v>
                      </c:pt>
                      <c:pt idx="10">
                        <c:v>2087.607235283408</c:v>
                      </c:pt>
                      <c:pt idx="11">
                        <c:v>2325.5999275389026</c:v>
                      </c:pt>
                      <c:pt idx="12">
                        <c:v>2592.6475559082487</c:v>
                      </c:pt>
                      <c:pt idx="13">
                        <c:v>2871.4521298537588</c:v>
                      </c:pt>
                      <c:pt idx="14">
                        <c:v>3162.9879405400479</c:v>
                      </c:pt>
                      <c:pt idx="15">
                        <c:v>3468.2889570988305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Sheet1!$L$22</c15:sqref>
                        </c15:formulaRef>
                      </c:ext>
                    </c:extLst>
                    <c:strCache>
                      <c:ptCount val="1"/>
                      <c:pt idx="0">
                        <c:v>OTHER INCOME</c:v>
                      </c:pt>
                    </c:strCache>
                  </c:strRef>
                </c:tx>
                <c:spPr>
                  <a:ln w="317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Sheet1!$M$15:$AQ$15</c15:sqref>
                        </c15:fullRef>
                        <c15:formulaRef>
                          <c15:sqref>Sheet1!$M$15:$AB$15</c15:sqref>
                        </c15:formulaRef>
                      </c:ext>
                    </c:extLst>
                    <c:strCache>
                      <c:ptCount val="16"/>
                      <c:pt idx="0">
                        <c:v>years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Sheet1!$M$22:$AQ$22</c15:sqref>
                        </c15:fullRef>
                        <c15:formulaRef>
                          <c15:sqref>Sheet1!$M$22:$AB$22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6"/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Sheet1!$L$24</c15:sqref>
                        </c15:formulaRef>
                      </c:ext>
                    </c:extLst>
                    <c:strCache>
                      <c:ptCount val="1"/>
                      <c:pt idx="0">
                        <c:v>EXTRA 1-TIME EXPENCES</c:v>
                      </c:pt>
                    </c:strCache>
                  </c:strRef>
                </c:tx>
                <c:spPr>
                  <a:ln w="317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Sheet1!$M$15:$AQ$15</c15:sqref>
                        </c15:fullRef>
                        <c15:formulaRef>
                          <c15:sqref>Sheet1!$M$15:$AB$15</c15:sqref>
                        </c15:formulaRef>
                      </c:ext>
                    </c:extLst>
                    <c:strCache>
                      <c:ptCount val="16"/>
                      <c:pt idx="0">
                        <c:v>years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Sheet1!$M$24:$AQ$24</c15:sqref>
                        </c15:fullRef>
                        <c15:formulaRef>
                          <c15:sqref>Sheet1!$M$24:$AB$24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6"/>
                      <c:pt idx="5">
                        <c:v>65000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Sheet1!$L$25</c15:sqref>
                        </c15:formulaRef>
                      </c:ext>
                    </c:extLst>
                    <c:strCache>
                      <c:ptCount val="1"/>
                      <c:pt idx="0">
                        <c:v>BALANCE</c:v>
                      </c:pt>
                    </c:strCache>
                  </c:strRef>
                </c:tx>
                <c:spPr>
                  <a:ln w="317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17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Sheet1!$M$15:$AQ$15</c15:sqref>
                        </c15:fullRef>
                        <c15:formulaRef>
                          <c15:sqref>Sheet1!$M$15:$AB$15</c15:sqref>
                        </c15:formulaRef>
                      </c:ext>
                    </c:extLst>
                    <c:strCache>
                      <c:ptCount val="16"/>
                      <c:pt idx="0">
                        <c:v>years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Sheet1!$M$25:$AQ$25</c15:sqref>
                        </c15:fullRef>
                        <c15:formulaRef>
                          <c15:sqref>Sheet1!$M$25:$AB$25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6"/>
                      <c:pt idx="1">
                        <c:v>25768.478260869568</c:v>
                      </c:pt>
                      <c:pt idx="2">
                        <c:v>27974.076086956527</c:v>
                      </c:pt>
                      <c:pt idx="3">
                        <c:v>30389.096195652182</c:v>
                      </c:pt>
                      <c:pt idx="4">
                        <c:v>33034.1466902174</c:v>
                      </c:pt>
                      <c:pt idx="5">
                        <c:v>-26103.765713423913</c:v>
                      </c:pt>
                      <c:pt idx="6">
                        <c:v>35868.012569521205</c:v>
                      </c:pt>
                      <c:pt idx="7">
                        <c:v>39024.433326389451</c:v>
                      </c:pt>
                      <c:pt idx="8">
                        <c:v>42483.58474394201</c:v>
                      </c:pt>
                      <c:pt idx="9">
                        <c:v>46275.352545797236</c:v>
                      </c:pt>
                      <c:pt idx="10">
                        <c:v>50432.599407661801</c:v>
                      </c:pt>
                      <c:pt idx="11">
                        <c:v>58252.244912627037</c:v>
                      </c:pt>
                      <c:pt idx="12">
                        <c:v>63578.540448058237</c:v>
                      </c:pt>
                      <c:pt idx="13">
                        <c:v>69422.497668357595</c:v>
                      </c:pt>
                      <c:pt idx="14">
                        <c:v>75835.433705951713</c:v>
                      </c:pt>
                      <c:pt idx="15">
                        <c:v>82873.783935428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6828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27744"/>
        <c:crosses val="autoZero"/>
        <c:auto val="1"/>
        <c:lblAlgn val="ctr"/>
        <c:lblOffset val="100"/>
        <c:tickLblSkip val="1"/>
        <c:noMultiLvlLbl val="0"/>
      </c:catAx>
      <c:valAx>
        <c:axId val="216827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828920"/>
        <c:crosses val="autoZero"/>
        <c:crossBetween val="midCat"/>
        <c:majorUnit val="10000"/>
        <c:dispUnits>
          <c:builtInUnit val="thousands"/>
          <c:dispUnitsLbl>
            <c:layout/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Thousands EUR, per Annum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</xdr:colOff>
      <xdr:row>29</xdr:row>
      <xdr:rowOff>42861</xdr:rowOff>
    </xdr:from>
    <xdr:to>
      <xdr:col>34</xdr:col>
      <xdr:colOff>47625</xdr:colOff>
      <xdr:row>65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Q81"/>
  <sheetViews>
    <sheetView tabSelected="1" topLeftCell="I28" workbookViewId="0">
      <selection activeCell="D30" sqref="D30"/>
    </sheetView>
  </sheetViews>
  <sheetFormatPr defaultRowHeight="15" x14ac:dyDescent="0.25"/>
  <cols>
    <col min="3" max="3" width="19" customWidth="1"/>
    <col min="4" max="4" width="11" customWidth="1"/>
    <col min="5" max="5" width="11.7109375" customWidth="1"/>
    <col min="6" max="6" width="11.5703125" bestFit="1" customWidth="1"/>
    <col min="7" max="7" width="10.5703125" customWidth="1"/>
    <col min="8" max="8" width="11.140625" customWidth="1"/>
    <col min="13" max="13" width="16" customWidth="1"/>
    <col min="14" max="43" width="9.7109375" customWidth="1"/>
  </cols>
  <sheetData>
    <row r="1" spans="3:43" x14ac:dyDescent="0.25">
      <c r="D1" s="2" t="s">
        <v>26</v>
      </c>
    </row>
    <row r="2" spans="3:43" ht="15.75" thickBot="1" x14ac:dyDescent="0.3"/>
    <row r="3" spans="3:43" ht="15.75" thickBot="1" x14ac:dyDescent="0.3">
      <c r="C3" s="17" t="s">
        <v>18</v>
      </c>
      <c r="D3" s="19" t="s">
        <v>0</v>
      </c>
      <c r="E3" s="20"/>
      <c r="F3" s="20"/>
      <c r="G3" s="19" t="s">
        <v>7</v>
      </c>
      <c r="H3" s="18"/>
    </row>
    <row r="4" spans="3:43" ht="15.75" thickBot="1" x14ac:dyDescent="0.3">
      <c r="C4" s="10"/>
      <c r="D4" s="21" t="s">
        <v>59</v>
      </c>
      <c r="E4" s="21" t="s">
        <v>60</v>
      </c>
      <c r="F4" s="21" t="s">
        <v>79</v>
      </c>
      <c r="G4" s="21" t="s">
        <v>80</v>
      </c>
      <c r="H4" s="14" t="s">
        <v>81</v>
      </c>
    </row>
    <row r="5" spans="3:43" x14ac:dyDescent="0.25">
      <c r="C5" s="22" t="s">
        <v>1</v>
      </c>
      <c r="D5" s="8">
        <v>1155</v>
      </c>
      <c r="E5" s="8">
        <v>1155</v>
      </c>
      <c r="F5" s="8"/>
      <c r="G5" s="8">
        <v>1100</v>
      </c>
      <c r="H5" s="9">
        <v>1600</v>
      </c>
    </row>
    <row r="6" spans="3:43" x14ac:dyDescent="0.25">
      <c r="C6" s="23" t="s">
        <v>2</v>
      </c>
      <c r="D6" s="8">
        <v>350</v>
      </c>
      <c r="E6" s="8">
        <v>350</v>
      </c>
      <c r="F6" s="8"/>
      <c r="G6" s="8">
        <v>0</v>
      </c>
      <c r="H6" s="9">
        <v>0</v>
      </c>
    </row>
    <row r="7" spans="3:43" x14ac:dyDescent="0.25">
      <c r="C7" s="23" t="s">
        <v>3</v>
      </c>
      <c r="D7" s="8">
        <v>2995</v>
      </c>
      <c r="E7" s="8">
        <v>3295</v>
      </c>
      <c r="F7" s="8"/>
      <c r="G7" s="8">
        <v>2800</v>
      </c>
      <c r="H7" s="9">
        <v>4100</v>
      </c>
    </row>
    <row r="8" spans="3:43" ht="15.75" thickBot="1" x14ac:dyDescent="0.3">
      <c r="C8" s="23" t="s">
        <v>4</v>
      </c>
      <c r="D8" s="8">
        <f>600/2</f>
        <v>300</v>
      </c>
      <c r="E8" s="8">
        <f>600/2</f>
        <v>300</v>
      </c>
      <c r="F8" s="8"/>
      <c r="G8" s="8">
        <f>600/2</f>
        <v>300</v>
      </c>
      <c r="H8" s="9">
        <f>1800/2</f>
        <v>900</v>
      </c>
    </row>
    <row r="9" spans="3:43" ht="15.75" thickBot="1" x14ac:dyDescent="0.3">
      <c r="C9" s="84" t="s">
        <v>5</v>
      </c>
      <c r="D9" s="20">
        <f>SUM(D5:D8)</f>
        <v>4800</v>
      </c>
      <c r="E9" s="20">
        <f t="shared" ref="E9:H9" si="0">SUM(E5:E8)</f>
        <v>5100</v>
      </c>
      <c r="F9" s="20"/>
      <c r="G9" s="20">
        <f t="shared" si="0"/>
        <v>4200</v>
      </c>
      <c r="H9" s="18">
        <f t="shared" si="0"/>
        <v>6600</v>
      </c>
    </row>
    <row r="10" spans="3:43" x14ac:dyDescent="0.25">
      <c r="C10" s="23" t="s">
        <v>9</v>
      </c>
      <c r="D10" s="8">
        <v>500</v>
      </c>
      <c r="E10" s="8">
        <v>500</v>
      </c>
      <c r="F10" s="8"/>
      <c r="G10" s="8">
        <v>600</v>
      </c>
      <c r="H10" s="9">
        <v>970</v>
      </c>
    </row>
    <row r="11" spans="3:43" x14ac:dyDescent="0.25">
      <c r="C11" s="23" t="s">
        <v>10</v>
      </c>
      <c r="D11" s="8">
        <v>550</v>
      </c>
      <c r="E11" s="8">
        <v>550</v>
      </c>
      <c r="F11" s="8"/>
      <c r="G11" s="8">
        <v>630</v>
      </c>
      <c r="H11" s="9">
        <v>1050</v>
      </c>
    </row>
    <row r="12" spans="3:43" x14ac:dyDescent="0.25">
      <c r="C12" s="23" t="s">
        <v>6</v>
      </c>
      <c r="D12" s="8">
        <v>600</v>
      </c>
      <c r="E12" s="8">
        <v>600</v>
      </c>
      <c r="F12" s="8"/>
      <c r="G12" s="8">
        <v>670</v>
      </c>
      <c r="H12" s="9">
        <v>1200</v>
      </c>
    </row>
    <row r="13" spans="3:43" x14ac:dyDescent="0.25">
      <c r="C13" s="23" t="s">
        <v>11</v>
      </c>
      <c r="D13" s="8">
        <v>650</v>
      </c>
      <c r="E13" s="8">
        <v>650</v>
      </c>
      <c r="F13" s="8"/>
      <c r="G13" s="8">
        <v>670</v>
      </c>
      <c r="H13" s="9">
        <v>1200</v>
      </c>
      <c r="L13" t="s">
        <v>82</v>
      </c>
      <c r="M13" s="70" t="s">
        <v>80</v>
      </c>
      <c r="O13" t="s">
        <v>83</v>
      </c>
      <c r="P13" s="70" t="s">
        <v>61</v>
      </c>
      <c r="R13" t="s">
        <v>84</v>
      </c>
      <c r="T13" s="70">
        <v>3</v>
      </c>
    </row>
    <row r="14" spans="3:43" ht="15.75" thickBot="1" x14ac:dyDescent="0.3">
      <c r="C14" s="23" t="s">
        <v>12</v>
      </c>
      <c r="D14" s="8">
        <v>700</v>
      </c>
      <c r="E14" s="8">
        <v>700</v>
      </c>
      <c r="F14" s="8"/>
      <c r="G14" s="8">
        <v>670</v>
      </c>
      <c r="H14" s="9">
        <v>1200</v>
      </c>
    </row>
    <row r="15" spans="3:43" ht="15.75" thickBot="1" x14ac:dyDescent="0.3">
      <c r="C15" s="23" t="s">
        <v>13</v>
      </c>
      <c r="D15" s="8">
        <v>750</v>
      </c>
      <c r="E15" s="8">
        <v>750</v>
      </c>
      <c r="F15" s="8"/>
      <c r="G15" s="8">
        <v>670</v>
      </c>
      <c r="H15" s="9">
        <v>1200</v>
      </c>
      <c r="L15" s="17"/>
      <c r="M15" s="45" t="s">
        <v>58</v>
      </c>
      <c r="N15" s="20">
        <v>1</v>
      </c>
      <c r="O15" s="20">
        <v>2</v>
      </c>
      <c r="P15" s="20">
        <v>3</v>
      </c>
      <c r="Q15" s="20">
        <v>4</v>
      </c>
      <c r="R15" s="20">
        <v>5</v>
      </c>
      <c r="S15" s="20">
        <v>6</v>
      </c>
      <c r="T15" s="20">
        <v>7</v>
      </c>
      <c r="U15" s="20">
        <v>8</v>
      </c>
      <c r="V15" s="20">
        <v>9</v>
      </c>
      <c r="W15" s="20">
        <v>10</v>
      </c>
      <c r="X15" s="20">
        <v>11</v>
      </c>
      <c r="Y15" s="20">
        <v>12</v>
      </c>
      <c r="Z15" s="20">
        <v>13</v>
      </c>
      <c r="AA15" s="20">
        <v>14</v>
      </c>
      <c r="AB15" s="20">
        <v>15</v>
      </c>
      <c r="AC15" s="20">
        <v>16</v>
      </c>
      <c r="AD15" s="20">
        <v>17</v>
      </c>
      <c r="AE15" s="20">
        <v>18</v>
      </c>
      <c r="AF15" s="20">
        <v>19</v>
      </c>
      <c r="AG15" s="20">
        <v>20</v>
      </c>
      <c r="AH15" s="20">
        <v>21</v>
      </c>
      <c r="AI15" s="20">
        <v>22</v>
      </c>
      <c r="AJ15" s="20">
        <v>23</v>
      </c>
      <c r="AK15" s="20">
        <v>24</v>
      </c>
      <c r="AL15" s="20">
        <v>25</v>
      </c>
      <c r="AM15" s="20">
        <v>26</v>
      </c>
      <c r="AN15" s="20">
        <v>27</v>
      </c>
      <c r="AO15" s="20">
        <v>28</v>
      </c>
      <c r="AP15" s="20">
        <v>29</v>
      </c>
      <c r="AQ15" s="18">
        <v>30</v>
      </c>
    </row>
    <row r="16" spans="3:43" ht="15.75" thickBot="1" x14ac:dyDescent="0.3">
      <c r="C16" s="23" t="s">
        <v>14</v>
      </c>
      <c r="D16" s="8">
        <v>750</v>
      </c>
      <c r="E16" s="8">
        <v>750</v>
      </c>
      <c r="F16" s="8"/>
      <c r="G16" s="8">
        <v>670</v>
      </c>
      <c r="H16" s="9">
        <v>1200</v>
      </c>
      <c r="L16" s="52" t="s">
        <v>67</v>
      </c>
      <c r="M16" s="53"/>
      <c r="N16" s="54">
        <f>D34</f>
        <v>85000</v>
      </c>
      <c r="O16" s="54">
        <f>N26</f>
        <v>110768.47826086957</v>
      </c>
      <c r="P16" s="54">
        <f t="shared" ref="P16:AG16" si="1">O26</f>
        <v>138742.55434782611</v>
      </c>
      <c r="Q16" s="54">
        <f t="shared" si="1"/>
        <v>169131.65054347829</v>
      </c>
      <c r="R16" s="54">
        <f t="shared" si="1"/>
        <v>202165.79723369569</v>
      </c>
      <c r="S16" s="54">
        <f t="shared" si="1"/>
        <v>176062.03152027179</v>
      </c>
      <c r="T16" s="54">
        <f t="shared" si="1"/>
        <v>211930.04408979299</v>
      </c>
      <c r="U16" s="54">
        <f t="shared" si="1"/>
        <v>250954.47741618246</v>
      </c>
      <c r="V16" s="54">
        <f t="shared" si="1"/>
        <v>293438.06216012448</v>
      </c>
      <c r="W16" s="54">
        <f t="shared" si="1"/>
        <v>339713.41470592172</v>
      </c>
      <c r="X16" s="54">
        <f t="shared" si="1"/>
        <v>390146.01411358354</v>
      </c>
      <c r="Y16" s="54">
        <f t="shared" si="1"/>
        <v>448398.25902621058</v>
      </c>
      <c r="Z16" s="54">
        <f t="shared" si="1"/>
        <v>511976.7994742688</v>
      </c>
      <c r="AA16" s="54">
        <f t="shared" si="1"/>
        <v>581399.29714262637</v>
      </c>
      <c r="AB16" s="54">
        <f t="shared" si="1"/>
        <v>657234.73084857804</v>
      </c>
      <c r="AC16" s="54">
        <f t="shared" si="1"/>
        <v>740108.51478400605</v>
      </c>
      <c r="AD16" s="54">
        <f t="shared" si="1"/>
        <v>830708.12817762443</v>
      </c>
      <c r="AE16" s="54">
        <f t="shared" si="1"/>
        <v>929789.30750719155</v>
      </c>
      <c r="AF16" s="54">
        <f t="shared" si="1"/>
        <v>1041769.7183737652</v>
      </c>
      <c r="AG16" s="54">
        <f t="shared" si="1"/>
        <v>1164334.5506435153</v>
      </c>
      <c r="AH16" s="54">
        <f t="shared" ref="AH16:AQ16" si="2">AG26</f>
        <v>1298523.8378662551</v>
      </c>
      <c r="AI16" s="54">
        <f t="shared" si="2"/>
        <v>1445481.0646890639</v>
      </c>
      <c r="AJ16" s="54">
        <f t="shared" si="2"/>
        <v>1606463.4953982828</v>
      </c>
      <c r="AK16" s="54">
        <f t="shared" si="2"/>
        <v>1782853.5348186763</v>
      </c>
      <c r="AL16" s="54">
        <f t="shared" si="2"/>
        <v>1976171.2247905696</v>
      </c>
      <c r="AM16" s="54">
        <f t="shared" si="2"/>
        <v>2188087.9897673964</v>
      </c>
      <c r="AN16" s="54">
        <f t="shared" si="2"/>
        <v>2424387.3033864042</v>
      </c>
      <c r="AO16" s="54">
        <f t="shared" si="2"/>
        <v>2683539.2333109286</v>
      </c>
      <c r="AP16" s="54">
        <f t="shared" si="2"/>
        <v>2967805.7217198298</v>
      </c>
      <c r="AQ16" s="55">
        <f t="shared" si="2"/>
        <v>3279674.2054263032</v>
      </c>
    </row>
    <row r="17" spans="3:43" ht="17.25" thickBot="1" x14ac:dyDescent="0.35">
      <c r="C17" s="24" t="s">
        <v>15</v>
      </c>
      <c r="D17" s="11">
        <v>800</v>
      </c>
      <c r="E17" s="11">
        <v>800</v>
      </c>
      <c r="F17" s="11"/>
      <c r="G17" s="11">
        <v>750</v>
      </c>
      <c r="H17" s="12">
        <v>1270</v>
      </c>
      <c r="L17" s="65" t="s">
        <v>66</v>
      </c>
      <c r="M17" s="66"/>
      <c r="N17" s="67">
        <f t="shared" ref="N17:AQ17" si="3">N16*$D35/100*(100-$D37)/100</f>
        <v>8500</v>
      </c>
      <c r="O17" s="67">
        <f t="shared" si="3"/>
        <v>11076.847826086958</v>
      </c>
      <c r="P17" s="67">
        <f t="shared" si="3"/>
        <v>13874.255434782612</v>
      </c>
      <c r="Q17" s="67">
        <f t="shared" si="3"/>
        <v>16913.165054347828</v>
      </c>
      <c r="R17" s="67">
        <f t="shared" si="3"/>
        <v>20216.579723369567</v>
      </c>
      <c r="S17" s="67">
        <f t="shared" si="3"/>
        <v>17606.203152027178</v>
      </c>
      <c r="T17" s="67">
        <f t="shared" si="3"/>
        <v>21193.004408979301</v>
      </c>
      <c r="U17" s="67">
        <f t="shared" si="3"/>
        <v>25095.447741618245</v>
      </c>
      <c r="V17" s="67">
        <f t="shared" si="3"/>
        <v>29343.80621601245</v>
      </c>
      <c r="W17" s="67">
        <f t="shared" si="3"/>
        <v>33971.341470592168</v>
      </c>
      <c r="X17" s="67">
        <f t="shared" si="3"/>
        <v>39014.601411358359</v>
      </c>
      <c r="Y17" s="67">
        <f t="shared" si="3"/>
        <v>44839.825902621058</v>
      </c>
      <c r="Z17" s="67">
        <f t="shared" si="3"/>
        <v>51197.679947426877</v>
      </c>
      <c r="AA17" s="67">
        <f t="shared" si="3"/>
        <v>58139.929714262631</v>
      </c>
      <c r="AB17" s="67">
        <f t="shared" si="3"/>
        <v>65723.473084857804</v>
      </c>
      <c r="AC17" s="67">
        <f t="shared" si="3"/>
        <v>74010.851478400597</v>
      </c>
      <c r="AD17" s="67">
        <f t="shared" si="3"/>
        <v>83070.812817762431</v>
      </c>
      <c r="AE17" s="67">
        <f t="shared" si="3"/>
        <v>92978.930750719155</v>
      </c>
      <c r="AF17" s="67">
        <f t="shared" si="3"/>
        <v>104176.97183737652</v>
      </c>
      <c r="AG17" s="67">
        <f t="shared" si="3"/>
        <v>116433.45506435152</v>
      </c>
      <c r="AH17" s="67">
        <f t="shared" si="3"/>
        <v>129852.38378662551</v>
      </c>
      <c r="AI17" s="67">
        <f t="shared" si="3"/>
        <v>144548.10646890639</v>
      </c>
      <c r="AJ17" s="67">
        <f t="shared" si="3"/>
        <v>160646.34953982828</v>
      </c>
      <c r="AK17" s="67">
        <f t="shared" si="3"/>
        <v>178285.35348186761</v>
      </c>
      <c r="AL17" s="67">
        <f t="shared" si="3"/>
        <v>197617.12247905697</v>
      </c>
      <c r="AM17" s="67">
        <f t="shared" si="3"/>
        <v>218808.79897673964</v>
      </c>
      <c r="AN17" s="67">
        <f t="shared" si="3"/>
        <v>242438.73033864042</v>
      </c>
      <c r="AO17" s="67">
        <f t="shared" si="3"/>
        <v>268353.92333109287</v>
      </c>
      <c r="AP17" s="67">
        <f t="shared" si="3"/>
        <v>296780.57217198296</v>
      </c>
      <c r="AQ17" s="68">
        <f t="shared" si="3"/>
        <v>327967.42054263031</v>
      </c>
    </row>
    <row r="18" spans="3:43" ht="17.25" thickBot="1" x14ac:dyDescent="0.35">
      <c r="C18" s="8"/>
      <c r="D18" s="8"/>
      <c r="E18" s="8"/>
      <c r="F18" s="8"/>
      <c r="G18" s="8"/>
      <c r="H18" s="8"/>
      <c r="L18" s="72" t="s">
        <v>68</v>
      </c>
      <c r="M18" s="73"/>
      <c r="N18" s="74">
        <f>N17/12</f>
        <v>708.33333333333337</v>
      </c>
      <c r="O18" s="74">
        <f t="shared" ref="O18:AQ18" si="4">O17/12</f>
        <v>923.07065217391312</v>
      </c>
      <c r="P18" s="74">
        <f t="shared" si="4"/>
        <v>1156.187952898551</v>
      </c>
      <c r="Q18" s="74">
        <f t="shared" si="4"/>
        <v>1409.4304211956523</v>
      </c>
      <c r="R18" s="74">
        <f t="shared" si="4"/>
        <v>1684.7149769474638</v>
      </c>
      <c r="S18" s="74">
        <f t="shared" si="4"/>
        <v>1467.1835960022647</v>
      </c>
      <c r="T18" s="74">
        <f t="shared" si="4"/>
        <v>1766.0837007482751</v>
      </c>
      <c r="U18" s="74">
        <f t="shared" si="4"/>
        <v>2091.2873118015204</v>
      </c>
      <c r="V18" s="74">
        <f t="shared" si="4"/>
        <v>2445.3171846677042</v>
      </c>
      <c r="W18" s="74">
        <f t="shared" si="4"/>
        <v>2830.9451225493472</v>
      </c>
      <c r="X18" s="74">
        <f t="shared" si="4"/>
        <v>3251.2167842798631</v>
      </c>
      <c r="Y18" s="74">
        <f t="shared" si="4"/>
        <v>3736.6521585517548</v>
      </c>
      <c r="Z18" s="74">
        <f t="shared" si="4"/>
        <v>4266.4733289522401</v>
      </c>
      <c r="AA18" s="74">
        <f t="shared" si="4"/>
        <v>4844.9941428552193</v>
      </c>
      <c r="AB18" s="74">
        <f t="shared" si="4"/>
        <v>5476.9560904048167</v>
      </c>
      <c r="AC18" s="74">
        <f t="shared" si="4"/>
        <v>6167.5709565333827</v>
      </c>
      <c r="AD18" s="74">
        <f t="shared" si="4"/>
        <v>6922.5677348135359</v>
      </c>
      <c r="AE18" s="74">
        <f t="shared" si="4"/>
        <v>7748.244229226596</v>
      </c>
      <c r="AF18" s="74">
        <f t="shared" si="4"/>
        <v>8681.4143197813773</v>
      </c>
      <c r="AG18" s="74">
        <f t="shared" si="4"/>
        <v>9702.7879220292944</v>
      </c>
      <c r="AH18" s="74">
        <f t="shared" si="4"/>
        <v>10821.031982218792</v>
      </c>
      <c r="AI18" s="74">
        <f t="shared" si="4"/>
        <v>12045.675539075533</v>
      </c>
      <c r="AJ18" s="74">
        <f t="shared" si="4"/>
        <v>13387.19579498569</v>
      </c>
      <c r="AK18" s="74">
        <f t="shared" si="4"/>
        <v>14857.112790155634</v>
      </c>
      <c r="AL18" s="74">
        <f t="shared" si="4"/>
        <v>16468.093539921414</v>
      </c>
      <c r="AM18" s="74">
        <f t="shared" si="4"/>
        <v>18234.066581394971</v>
      </c>
      <c r="AN18" s="74">
        <f t="shared" si="4"/>
        <v>20203.227528220035</v>
      </c>
      <c r="AO18" s="74">
        <f t="shared" si="4"/>
        <v>22362.82694425774</v>
      </c>
      <c r="AP18" s="74">
        <f t="shared" si="4"/>
        <v>24731.714347665245</v>
      </c>
      <c r="AQ18" s="75">
        <f t="shared" si="4"/>
        <v>27330.618378552525</v>
      </c>
    </row>
    <row r="19" spans="3:43" ht="16.5" x14ac:dyDescent="0.3">
      <c r="C19" s="8"/>
      <c r="D19" s="8"/>
      <c r="E19" s="8"/>
      <c r="F19" s="8"/>
      <c r="G19" s="8"/>
      <c r="H19" s="8"/>
      <c r="L19" s="76" t="s">
        <v>69</v>
      </c>
      <c r="M19" s="77"/>
      <c r="N19" s="78">
        <f>N17*((100-$T13)/100)^N15</f>
        <v>8245</v>
      </c>
      <c r="O19" s="78">
        <f t="shared" ref="O19:AQ19" si="5">O17*((100-$T13)/100)^O15</f>
        <v>10422.206119565219</v>
      </c>
      <c r="P19" s="78">
        <f t="shared" si="5"/>
        <v>12662.658330429351</v>
      </c>
      <c r="Q19" s="78">
        <f t="shared" si="5"/>
        <v>14973.10341695739</v>
      </c>
      <c r="R19" s="78">
        <f t="shared" si="5"/>
        <v>17360.664891734137</v>
      </c>
      <c r="S19" s="78">
        <f t="shared" si="5"/>
        <v>14665.474338731356</v>
      </c>
      <c r="T19" s="78">
        <f t="shared" si="5"/>
        <v>17123.583991826123</v>
      </c>
      <c r="U19" s="78">
        <f t="shared" si="5"/>
        <v>19668.390519609024</v>
      </c>
      <c r="V19" s="78">
        <f t="shared" si="5"/>
        <v>22308.072864553553</v>
      </c>
      <c r="W19" s="78">
        <f t="shared" si="5"/>
        <v>25051.286823400897</v>
      </c>
      <c r="X19" s="78">
        <f t="shared" si="5"/>
        <v>27907.199130466834</v>
      </c>
      <c r="Y19" s="78">
        <f t="shared" si="5"/>
        <v>31111.770670898983</v>
      </c>
      <c r="Z19" s="78">
        <f t="shared" si="5"/>
        <v>34457.425558245108</v>
      </c>
      <c r="AA19" s="78">
        <f t="shared" si="5"/>
        <v>37955.855286480575</v>
      </c>
      <c r="AB19" s="78">
        <f t="shared" si="5"/>
        <v>41619.467485185967</v>
      </c>
      <c r="AC19" s="78">
        <f t="shared" si="5"/>
        <v>45461.43591649177</v>
      </c>
      <c r="AD19" s="78">
        <f t="shared" si="5"/>
        <v>49495.753761342698</v>
      </c>
      <c r="AE19" s="78">
        <f t="shared" si="5"/>
        <v>53737.290417280099</v>
      </c>
      <c r="AF19" s="78">
        <f t="shared" si="5"/>
        <v>58402.936029282893</v>
      </c>
      <c r="AG19" s="78">
        <f t="shared" si="5"/>
        <v>63315.85419140997</v>
      </c>
      <c r="AH19" s="78">
        <f t="shared" si="5"/>
        <v>68494.601967158218</v>
      </c>
      <c r="AI19" s="78">
        <f t="shared" si="5"/>
        <v>73958.920022171282</v>
      </c>
      <c r="AJ19" s="78">
        <f t="shared" si="5"/>
        <v>79729.81371724105</v>
      </c>
      <c r="AK19" s="78">
        <f t="shared" si="5"/>
        <v>85829.639580790332</v>
      </c>
      <c r="AL19" s="78">
        <f t="shared" si="5"/>
        <v>92282.197522874718</v>
      </c>
      <c r="AM19" s="78">
        <f t="shared" si="5"/>
        <v>99112.829176949308</v>
      </c>
      <c r="AN19" s="78">
        <f t="shared" si="5"/>
        <v>106521.88084278081</v>
      </c>
      <c r="AO19" s="78">
        <f t="shared" si="5"/>
        <v>114371.15541190012</v>
      </c>
      <c r="AP19" s="78">
        <f t="shared" si="5"/>
        <v>122691.86314149269</v>
      </c>
      <c r="AQ19" s="79">
        <f t="shared" si="5"/>
        <v>131517.25388946114</v>
      </c>
    </row>
    <row r="20" spans="3:43" ht="17.25" thickBot="1" x14ac:dyDescent="0.35">
      <c r="L20" s="80" t="s">
        <v>75</v>
      </c>
      <c r="M20" s="81"/>
      <c r="N20" s="82">
        <f>N19/12</f>
        <v>687.08333333333337</v>
      </c>
      <c r="O20" s="82">
        <f t="shared" ref="O20:AQ20" si="6">O19/12</f>
        <v>868.51717663043485</v>
      </c>
      <c r="P20" s="82">
        <f t="shared" si="6"/>
        <v>1055.2215275357792</v>
      </c>
      <c r="Q20" s="82">
        <f t="shared" si="6"/>
        <v>1247.7586180797825</v>
      </c>
      <c r="R20" s="82">
        <f t="shared" si="6"/>
        <v>1446.7220743111782</v>
      </c>
      <c r="S20" s="82">
        <f t="shared" si="6"/>
        <v>1222.1228615609464</v>
      </c>
      <c r="T20" s="82">
        <f t="shared" si="6"/>
        <v>1426.9653326521768</v>
      </c>
      <c r="U20" s="82">
        <f t="shared" si="6"/>
        <v>1639.032543300752</v>
      </c>
      <c r="V20" s="82">
        <f t="shared" si="6"/>
        <v>1859.0060720461295</v>
      </c>
      <c r="W20" s="82">
        <f t="shared" si="6"/>
        <v>2087.607235283408</v>
      </c>
      <c r="X20" s="82">
        <f t="shared" si="6"/>
        <v>2325.5999275389026</v>
      </c>
      <c r="Y20" s="82">
        <f t="shared" si="6"/>
        <v>2592.6475559082487</v>
      </c>
      <c r="Z20" s="82">
        <f t="shared" si="6"/>
        <v>2871.4521298537588</v>
      </c>
      <c r="AA20" s="82">
        <f t="shared" si="6"/>
        <v>3162.9879405400479</v>
      </c>
      <c r="AB20" s="82">
        <f t="shared" si="6"/>
        <v>3468.2889570988305</v>
      </c>
      <c r="AC20" s="82">
        <f t="shared" si="6"/>
        <v>3788.4529930409808</v>
      </c>
      <c r="AD20" s="82">
        <f t="shared" si="6"/>
        <v>4124.6461467785584</v>
      </c>
      <c r="AE20" s="82">
        <f t="shared" si="6"/>
        <v>4478.1075347733413</v>
      </c>
      <c r="AF20" s="82">
        <f t="shared" si="6"/>
        <v>4866.9113357735741</v>
      </c>
      <c r="AG20" s="82">
        <f t="shared" si="6"/>
        <v>5276.3211826174975</v>
      </c>
      <c r="AH20" s="82">
        <f t="shared" si="6"/>
        <v>5707.8834972631848</v>
      </c>
      <c r="AI20" s="82">
        <f t="shared" si="6"/>
        <v>6163.2433351809404</v>
      </c>
      <c r="AJ20" s="82">
        <f t="shared" si="6"/>
        <v>6644.1511431034205</v>
      </c>
      <c r="AK20" s="82">
        <f t="shared" si="6"/>
        <v>7152.4699650658613</v>
      </c>
      <c r="AL20" s="82">
        <f t="shared" si="6"/>
        <v>7690.1831269062268</v>
      </c>
      <c r="AM20" s="82">
        <f t="shared" si="6"/>
        <v>8259.4024314124417</v>
      </c>
      <c r="AN20" s="82">
        <f t="shared" si="6"/>
        <v>8876.8234035650676</v>
      </c>
      <c r="AO20" s="82">
        <f t="shared" si="6"/>
        <v>9530.929617658343</v>
      </c>
      <c r="AP20" s="82">
        <f t="shared" si="6"/>
        <v>10224.321928457724</v>
      </c>
      <c r="AQ20" s="83">
        <f t="shared" si="6"/>
        <v>10959.771157455094</v>
      </c>
    </row>
    <row r="21" spans="3:43" ht="17.25" thickBot="1" x14ac:dyDescent="0.35">
      <c r="C21" s="25" t="s">
        <v>8</v>
      </c>
      <c r="D21" s="25"/>
      <c r="E21" s="26"/>
      <c r="F21" s="26"/>
      <c r="G21" s="26"/>
      <c r="H21" s="27"/>
      <c r="L21" s="60" t="s">
        <v>70</v>
      </c>
      <c r="M21" s="50"/>
      <c r="N21" s="69">
        <f t="shared" ref="N21" si="7">LOOKUP($M13,$D4:$H4,$D31:$H31)</f>
        <v>29643.478260869571</v>
      </c>
      <c r="O21" s="62">
        <f>(N21)*(100+N27)/100</f>
        <v>29643.478260869571</v>
      </c>
      <c r="P21" s="62">
        <f t="shared" ref="P21:AQ21" si="8">(O21)*(100+O27)/100</f>
        <v>29643.478260869571</v>
      </c>
      <c r="Q21" s="62">
        <f t="shared" si="8"/>
        <v>29643.478260869571</v>
      </c>
      <c r="R21" s="62">
        <f t="shared" si="8"/>
        <v>32607.826086956527</v>
      </c>
      <c r="S21" s="62">
        <f t="shared" si="8"/>
        <v>32607.826086956527</v>
      </c>
      <c r="T21" s="62">
        <f t="shared" si="8"/>
        <v>32607.826086956527</v>
      </c>
      <c r="U21" s="62">
        <f t="shared" si="8"/>
        <v>32607.826086956527</v>
      </c>
      <c r="V21" s="62">
        <f t="shared" si="8"/>
        <v>32607.826086956527</v>
      </c>
      <c r="W21" s="62">
        <f t="shared" si="8"/>
        <v>32607.826086956527</v>
      </c>
      <c r="X21" s="62">
        <f t="shared" si="8"/>
        <v>35868.608695652183</v>
      </c>
      <c r="Y21" s="62">
        <f t="shared" si="8"/>
        <v>35868.608695652183</v>
      </c>
      <c r="Z21" s="62">
        <f t="shared" si="8"/>
        <v>35868.608695652183</v>
      </c>
      <c r="AA21" s="62">
        <f t="shared" si="8"/>
        <v>35868.608695652183</v>
      </c>
      <c r="AB21" s="62">
        <f t="shared" si="8"/>
        <v>35868.608695652183</v>
      </c>
      <c r="AC21" s="62">
        <f t="shared" si="8"/>
        <v>35868.608695652183</v>
      </c>
      <c r="AD21" s="62">
        <f t="shared" si="8"/>
        <v>35868.608695652183</v>
      </c>
      <c r="AE21" s="62">
        <f t="shared" si="8"/>
        <v>39455.469565217405</v>
      </c>
      <c r="AF21" s="62">
        <f t="shared" si="8"/>
        <v>39455.469565217405</v>
      </c>
      <c r="AG21" s="62">
        <f t="shared" si="8"/>
        <v>39455.469565217405</v>
      </c>
      <c r="AH21" s="62">
        <f t="shared" si="8"/>
        <v>39455.469565217405</v>
      </c>
      <c r="AI21" s="62">
        <f t="shared" si="8"/>
        <v>39455.469565217405</v>
      </c>
      <c r="AJ21" s="62">
        <f t="shared" si="8"/>
        <v>39455.469565217405</v>
      </c>
      <c r="AK21" s="62">
        <f t="shared" si="8"/>
        <v>39455.469565217405</v>
      </c>
      <c r="AL21" s="62">
        <f t="shared" si="8"/>
        <v>39455.469565217405</v>
      </c>
      <c r="AM21" s="62">
        <f t="shared" si="8"/>
        <v>43401.016521739148</v>
      </c>
      <c r="AN21" s="62">
        <f t="shared" si="8"/>
        <v>43401.016521739148</v>
      </c>
      <c r="AO21" s="62">
        <f t="shared" si="8"/>
        <v>43401.016521739148</v>
      </c>
      <c r="AP21" s="62">
        <f t="shared" si="8"/>
        <v>43401.016521739148</v>
      </c>
      <c r="AQ21" s="63">
        <f t="shared" si="8"/>
        <v>43401.016521739148</v>
      </c>
    </row>
    <row r="22" spans="3:43" ht="17.25" thickBot="1" x14ac:dyDescent="0.35">
      <c r="C22" s="46" t="s">
        <v>6</v>
      </c>
      <c r="D22" s="30">
        <f xml:space="preserve"> (LOOKUP($C22,$C10:$C17,D10:D17)+D9)</f>
        <v>5400</v>
      </c>
      <c r="E22" s="28">
        <f xml:space="preserve"> (LOOKUP($C22,$C10:$C17,E10:E17)+E9)</f>
        <v>5700</v>
      </c>
      <c r="F22" s="28">
        <f xml:space="preserve"> (LOOKUP($C22,$C10:$C17,F10:F17)+F9)</f>
        <v>0</v>
      </c>
      <c r="G22" s="28">
        <f xml:space="preserve"> (LOOKUP($C22,$C10:$C17,G10:G17)+G9)</f>
        <v>4870</v>
      </c>
      <c r="H22" s="29">
        <f xml:space="preserve"> (LOOKUP($C22,$C10:$C17,H10:H17)+H9)</f>
        <v>7800</v>
      </c>
      <c r="L22" s="65" t="s">
        <v>71</v>
      </c>
      <c r="M22" s="71"/>
      <c r="N22" s="51">
        <f>D40</f>
        <v>0</v>
      </c>
      <c r="O22" s="51">
        <f>N22</f>
        <v>0</v>
      </c>
      <c r="P22" s="51">
        <f t="shared" ref="P22:AQ22" si="9">O22</f>
        <v>0</v>
      </c>
      <c r="Q22" s="51">
        <f t="shared" si="9"/>
        <v>0</v>
      </c>
      <c r="R22" s="51">
        <f t="shared" si="9"/>
        <v>0</v>
      </c>
      <c r="S22" s="51">
        <f t="shared" si="9"/>
        <v>0</v>
      </c>
      <c r="T22" s="51">
        <f t="shared" si="9"/>
        <v>0</v>
      </c>
      <c r="U22" s="51">
        <f t="shared" si="9"/>
        <v>0</v>
      </c>
      <c r="V22" s="51">
        <f t="shared" si="9"/>
        <v>0</v>
      </c>
      <c r="W22" s="51">
        <f t="shared" si="9"/>
        <v>0</v>
      </c>
      <c r="X22" s="51">
        <f t="shared" si="9"/>
        <v>0</v>
      </c>
      <c r="Y22" s="51">
        <f t="shared" si="9"/>
        <v>0</v>
      </c>
      <c r="Z22" s="51">
        <f t="shared" si="9"/>
        <v>0</v>
      </c>
      <c r="AA22" s="51">
        <f t="shared" si="9"/>
        <v>0</v>
      </c>
      <c r="AB22" s="51">
        <f t="shared" si="9"/>
        <v>0</v>
      </c>
      <c r="AC22" s="51">
        <f t="shared" si="9"/>
        <v>0</v>
      </c>
      <c r="AD22" s="51">
        <f t="shared" si="9"/>
        <v>0</v>
      </c>
      <c r="AE22" s="51">
        <f t="shared" si="9"/>
        <v>0</v>
      </c>
      <c r="AF22" s="51">
        <f t="shared" si="9"/>
        <v>0</v>
      </c>
      <c r="AG22" s="51">
        <f t="shared" si="9"/>
        <v>0</v>
      </c>
      <c r="AH22" s="51">
        <f t="shared" si="9"/>
        <v>0</v>
      </c>
      <c r="AI22" s="51">
        <f t="shared" si="9"/>
        <v>0</v>
      </c>
      <c r="AJ22" s="51">
        <f t="shared" si="9"/>
        <v>0</v>
      </c>
      <c r="AK22" s="51">
        <f t="shared" si="9"/>
        <v>0</v>
      </c>
      <c r="AL22" s="51">
        <f t="shared" si="9"/>
        <v>0</v>
      </c>
      <c r="AM22" s="51">
        <f t="shared" si="9"/>
        <v>0</v>
      </c>
      <c r="AN22" s="51">
        <f t="shared" si="9"/>
        <v>0</v>
      </c>
      <c r="AO22" s="51">
        <f t="shared" si="9"/>
        <v>0</v>
      </c>
      <c r="AP22" s="51">
        <f t="shared" si="9"/>
        <v>0</v>
      </c>
      <c r="AQ22" s="63">
        <f t="shared" si="9"/>
        <v>0</v>
      </c>
    </row>
    <row r="23" spans="3:43" ht="17.25" thickBot="1" x14ac:dyDescent="0.35">
      <c r="C23" s="7"/>
      <c r="D23" s="7"/>
      <c r="E23" s="8"/>
      <c r="F23" s="8"/>
      <c r="G23" s="8"/>
      <c r="H23" s="9"/>
      <c r="L23" s="60" t="s">
        <v>72</v>
      </c>
      <c r="M23" s="61"/>
      <c r="N23" s="62">
        <f>LOOKUP($P13,$D48:$F48,$D69:$F69)</f>
        <v>12375</v>
      </c>
      <c r="O23" s="62">
        <f>N23*(100+$T13)/100</f>
        <v>12746.25</v>
      </c>
      <c r="P23" s="62">
        <f t="shared" ref="P23:AQ23" si="10">O23*(100+$T13)/100</f>
        <v>13128.637500000001</v>
      </c>
      <c r="Q23" s="62">
        <f t="shared" si="10"/>
        <v>13522.496625000002</v>
      </c>
      <c r="R23" s="62">
        <f t="shared" si="10"/>
        <v>13928.171523750001</v>
      </c>
      <c r="S23" s="62">
        <f t="shared" si="10"/>
        <v>14346.0166694625</v>
      </c>
      <c r="T23" s="62">
        <f t="shared" si="10"/>
        <v>14776.397169546375</v>
      </c>
      <c r="U23" s="62">
        <f t="shared" si="10"/>
        <v>15219.689084632766</v>
      </c>
      <c r="V23" s="62">
        <f t="shared" si="10"/>
        <v>15676.279757171747</v>
      </c>
      <c r="W23" s="62">
        <f t="shared" si="10"/>
        <v>16146.5681498869</v>
      </c>
      <c r="X23" s="62">
        <f t="shared" si="10"/>
        <v>16630.965194383505</v>
      </c>
      <c r="Y23" s="62">
        <f t="shared" si="10"/>
        <v>17129.894150215012</v>
      </c>
      <c r="Z23" s="62">
        <f t="shared" si="10"/>
        <v>17643.790974721462</v>
      </c>
      <c r="AA23" s="62">
        <f t="shared" si="10"/>
        <v>18173.104703963105</v>
      </c>
      <c r="AB23" s="62">
        <f t="shared" si="10"/>
        <v>18718.297845081997</v>
      </c>
      <c r="AC23" s="62">
        <f t="shared" si="10"/>
        <v>19279.846780434458</v>
      </c>
      <c r="AD23" s="62">
        <f t="shared" si="10"/>
        <v>19858.242183847491</v>
      </c>
      <c r="AE23" s="62">
        <f t="shared" si="10"/>
        <v>20453.989449362914</v>
      </c>
      <c r="AF23" s="62">
        <f t="shared" si="10"/>
        <v>21067.609132843801</v>
      </c>
      <c r="AG23" s="62">
        <f t="shared" si="10"/>
        <v>21699.637406829115</v>
      </c>
      <c r="AH23" s="62">
        <f t="shared" si="10"/>
        <v>22350.626529033991</v>
      </c>
      <c r="AI23" s="62">
        <f t="shared" si="10"/>
        <v>23021.14532490501</v>
      </c>
      <c r="AJ23" s="62">
        <f t="shared" si="10"/>
        <v>23711.77968465216</v>
      </c>
      <c r="AK23" s="62">
        <f t="shared" si="10"/>
        <v>24423.133075191723</v>
      </c>
      <c r="AL23" s="62">
        <f t="shared" si="10"/>
        <v>25155.827067447477</v>
      </c>
      <c r="AM23" s="62">
        <f t="shared" si="10"/>
        <v>25910.501879470903</v>
      </c>
      <c r="AN23" s="62">
        <f t="shared" si="10"/>
        <v>26687.816935855029</v>
      </c>
      <c r="AO23" s="62">
        <f t="shared" si="10"/>
        <v>27488.451443930677</v>
      </c>
      <c r="AP23" s="62">
        <f t="shared" si="10"/>
        <v>28313.104987248596</v>
      </c>
      <c r="AQ23" s="63">
        <f t="shared" si="10"/>
        <v>29162.498136866056</v>
      </c>
    </row>
    <row r="24" spans="3:43" ht="17.25" thickBot="1" x14ac:dyDescent="0.35">
      <c r="C24" s="7"/>
      <c r="D24" s="7"/>
      <c r="E24" s="8"/>
      <c r="F24" s="8"/>
      <c r="G24" s="8"/>
      <c r="H24" s="9"/>
      <c r="L24" s="60" t="s">
        <v>76</v>
      </c>
      <c r="M24" s="61"/>
      <c r="N24" s="85"/>
      <c r="O24" s="85"/>
      <c r="P24" s="85"/>
      <c r="Q24" s="85"/>
      <c r="R24" s="85">
        <v>65000</v>
      </c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6"/>
    </row>
    <row r="25" spans="3:43" ht="17.25" thickBot="1" x14ac:dyDescent="0.35">
      <c r="C25" s="10" t="s">
        <v>19</v>
      </c>
      <c r="D25" s="35">
        <f>D22/$D$27</f>
        <v>4695.652173913044</v>
      </c>
      <c r="E25" s="32">
        <f t="shared" ref="E25:H25" si="11">E22/$D$27</f>
        <v>4956.521739130435</v>
      </c>
      <c r="F25" s="32">
        <f t="shared" si="11"/>
        <v>0</v>
      </c>
      <c r="G25" s="32">
        <f t="shared" si="11"/>
        <v>4234.7826086956529</v>
      </c>
      <c r="H25" s="33">
        <f t="shared" si="11"/>
        <v>6782.608695652174</v>
      </c>
      <c r="L25" s="60" t="s">
        <v>73</v>
      </c>
      <c r="M25" s="61"/>
      <c r="N25" s="62">
        <f>N17+N21+N22-N23-N24</f>
        <v>25768.478260869568</v>
      </c>
      <c r="O25" s="62">
        <f>O17+O21+O22-O23-O24</f>
        <v>27974.076086956527</v>
      </c>
      <c r="P25" s="62">
        <f t="shared" ref="P25:AQ25" si="12">P17+P21+P22-P23-P24</f>
        <v>30389.096195652182</v>
      </c>
      <c r="Q25" s="62">
        <f t="shared" si="12"/>
        <v>33034.1466902174</v>
      </c>
      <c r="R25" s="62">
        <f t="shared" si="12"/>
        <v>-26103.765713423913</v>
      </c>
      <c r="S25" s="62">
        <f t="shared" si="12"/>
        <v>35868.012569521205</v>
      </c>
      <c r="T25" s="62">
        <f t="shared" si="12"/>
        <v>39024.433326389451</v>
      </c>
      <c r="U25" s="62">
        <f t="shared" si="12"/>
        <v>42483.58474394201</v>
      </c>
      <c r="V25" s="62">
        <f t="shared" si="12"/>
        <v>46275.352545797236</v>
      </c>
      <c r="W25" s="62">
        <f t="shared" si="12"/>
        <v>50432.599407661801</v>
      </c>
      <c r="X25" s="62">
        <f t="shared" si="12"/>
        <v>58252.244912627037</v>
      </c>
      <c r="Y25" s="62">
        <f t="shared" si="12"/>
        <v>63578.540448058237</v>
      </c>
      <c r="Z25" s="62">
        <f t="shared" si="12"/>
        <v>69422.497668357595</v>
      </c>
      <c r="AA25" s="62">
        <f t="shared" si="12"/>
        <v>75835.433705951713</v>
      </c>
      <c r="AB25" s="62">
        <f t="shared" si="12"/>
        <v>82873.783935428</v>
      </c>
      <c r="AC25" s="62">
        <f t="shared" si="12"/>
        <v>90599.613393618318</v>
      </c>
      <c r="AD25" s="62">
        <f t="shared" si="12"/>
        <v>99081.179329567123</v>
      </c>
      <c r="AE25" s="62">
        <f t="shared" si="12"/>
        <v>111980.41086657366</v>
      </c>
      <c r="AF25" s="62">
        <f t="shared" si="12"/>
        <v>122564.83226975011</v>
      </c>
      <c r="AG25" s="62">
        <f t="shared" si="12"/>
        <v>134189.28722273983</v>
      </c>
      <c r="AH25" s="62">
        <f t="shared" si="12"/>
        <v>146957.22682280891</v>
      </c>
      <c r="AI25" s="62">
        <f t="shared" si="12"/>
        <v>160982.43070921878</v>
      </c>
      <c r="AJ25" s="62">
        <f t="shared" si="12"/>
        <v>176390.03942039353</v>
      </c>
      <c r="AK25" s="62">
        <f t="shared" si="12"/>
        <v>193317.6899718933</v>
      </c>
      <c r="AL25" s="62">
        <f t="shared" si="12"/>
        <v>211916.7649768269</v>
      </c>
      <c r="AM25" s="62">
        <f t="shared" si="12"/>
        <v>236299.31361900788</v>
      </c>
      <c r="AN25" s="62">
        <f t="shared" si="12"/>
        <v>259151.92992452456</v>
      </c>
      <c r="AO25" s="62">
        <f t="shared" si="12"/>
        <v>284266.48840890132</v>
      </c>
      <c r="AP25" s="62">
        <f t="shared" si="12"/>
        <v>311868.48370647349</v>
      </c>
      <c r="AQ25" s="63">
        <f t="shared" si="12"/>
        <v>342205.93892750336</v>
      </c>
    </row>
    <row r="26" spans="3:43" ht="15.75" thickBot="1" x14ac:dyDescent="0.3">
      <c r="C26" s="7"/>
      <c r="D26" s="7"/>
      <c r="E26" s="8"/>
      <c r="F26" s="8"/>
      <c r="G26" s="8"/>
      <c r="H26" s="9"/>
      <c r="L26" s="56" t="s">
        <v>74</v>
      </c>
      <c r="M26" s="57"/>
      <c r="N26" s="58">
        <f>N16+N25</f>
        <v>110768.47826086957</v>
      </c>
      <c r="O26" s="58">
        <f>O16+O25</f>
        <v>138742.55434782611</v>
      </c>
      <c r="P26" s="58">
        <f t="shared" ref="P26:AG26" si="13">P16+P25</f>
        <v>169131.65054347829</v>
      </c>
      <c r="Q26" s="58">
        <f t="shared" si="13"/>
        <v>202165.79723369569</v>
      </c>
      <c r="R26" s="58">
        <f t="shared" si="13"/>
        <v>176062.03152027179</v>
      </c>
      <c r="S26" s="58">
        <f t="shared" si="13"/>
        <v>211930.04408979299</v>
      </c>
      <c r="T26" s="58">
        <f t="shared" si="13"/>
        <v>250954.47741618246</v>
      </c>
      <c r="U26" s="58">
        <f t="shared" si="13"/>
        <v>293438.06216012448</v>
      </c>
      <c r="V26" s="58">
        <f t="shared" si="13"/>
        <v>339713.41470592172</v>
      </c>
      <c r="W26" s="58">
        <f t="shared" si="13"/>
        <v>390146.01411358354</v>
      </c>
      <c r="X26" s="58">
        <f t="shared" si="13"/>
        <v>448398.25902621058</v>
      </c>
      <c r="Y26" s="58">
        <f t="shared" si="13"/>
        <v>511976.7994742688</v>
      </c>
      <c r="Z26" s="58">
        <f t="shared" si="13"/>
        <v>581399.29714262637</v>
      </c>
      <c r="AA26" s="58">
        <f t="shared" si="13"/>
        <v>657234.73084857804</v>
      </c>
      <c r="AB26" s="58">
        <f t="shared" si="13"/>
        <v>740108.51478400605</v>
      </c>
      <c r="AC26" s="58">
        <f t="shared" si="13"/>
        <v>830708.12817762443</v>
      </c>
      <c r="AD26" s="58">
        <f t="shared" si="13"/>
        <v>929789.30750719155</v>
      </c>
      <c r="AE26" s="58">
        <f t="shared" si="13"/>
        <v>1041769.7183737652</v>
      </c>
      <c r="AF26" s="58">
        <f t="shared" si="13"/>
        <v>1164334.5506435153</v>
      </c>
      <c r="AG26" s="58">
        <f t="shared" si="13"/>
        <v>1298523.8378662551</v>
      </c>
      <c r="AH26" s="58">
        <f t="shared" ref="AH26" si="14">AH16+AH25</f>
        <v>1445481.0646890639</v>
      </c>
      <c r="AI26" s="58">
        <f t="shared" ref="AI26" si="15">AI16+AI25</f>
        <v>1606463.4953982828</v>
      </c>
      <c r="AJ26" s="58">
        <f t="shared" ref="AJ26" si="16">AJ16+AJ25</f>
        <v>1782853.5348186763</v>
      </c>
      <c r="AK26" s="58">
        <f t="shared" ref="AK26" si="17">AK16+AK25</f>
        <v>1976171.2247905696</v>
      </c>
      <c r="AL26" s="58">
        <f t="shared" ref="AL26" si="18">AL16+AL25</f>
        <v>2188087.9897673964</v>
      </c>
      <c r="AM26" s="58">
        <f t="shared" ref="AM26" si="19">AM16+AM25</f>
        <v>2424387.3033864042</v>
      </c>
      <c r="AN26" s="58">
        <f t="shared" ref="AN26" si="20">AN16+AN25</f>
        <v>2683539.2333109286</v>
      </c>
      <c r="AO26" s="58">
        <f t="shared" ref="AO26" si="21">AO16+AO25</f>
        <v>2967805.7217198298</v>
      </c>
      <c r="AP26" s="58">
        <f t="shared" ref="AP26" si="22">AP16+AP25</f>
        <v>3279674.2054263032</v>
      </c>
      <c r="AQ26" s="59">
        <f t="shared" ref="AQ26" si="23">AQ16+AQ25</f>
        <v>3621880.1443538065</v>
      </c>
    </row>
    <row r="27" spans="3:43" ht="17.25" thickBot="1" x14ac:dyDescent="0.35">
      <c r="C27" s="3" t="s">
        <v>20</v>
      </c>
      <c r="D27" s="47">
        <f>1.15</f>
        <v>1.1499999999999999</v>
      </c>
      <c r="E27" s="8"/>
      <c r="F27" s="8"/>
      <c r="G27" s="8"/>
      <c r="H27" s="9"/>
      <c r="L27" s="91" t="s">
        <v>77</v>
      </c>
      <c r="M27" s="20"/>
      <c r="N27" s="92"/>
      <c r="O27" s="93"/>
      <c r="P27" s="93"/>
      <c r="Q27" s="93">
        <v>10</v>
      </c>
      <c r="R27" s="93"/>
      <c r="S27" s="93"/>
      <c r="T27" s="93"/>
      <c r="U27" s="93"/>
      <c r="V27" s="93"/>
      <c r="W27" s="93">
        <v>10</v>
      </c>
      <c r="X27" s="93"/>
      <c r="Y27" s="93"/>
      <c r="Z27" s="93"/>
      <c r="AA27" s="93"/>
      <c r="AB27" s="93"/>
      <c r="AC27" s="93"/>
      <c r="AD27" s="93">
        <v>10</v>
      </c>
      <c r="AE27" s="93"/>
      <c r="AF27" s="93"/>
      <c r="AG27" s="93"/>
      <c r="AH27" s="93"/>
      <c r="AI27" s="93"/>
      <c r="AJ27" s="93"/>
      <c r="AK27" s="93"/>
      <c r="AL27" s="93">
        <v>10</v>
      </c>
      <c r="AM27" s="93"/>
      <c r="AN27" s="93"/>
      <c r="AO27" s="93"/>
      <c r="AP27" s="93"/>
      <c r="AQ27" s="94"/>
    </row>
    <row r="28" spans="3:43" x14ac:dyDescent="0.25">
      <c r="C28" s="7" t="s">
        <v>21</v>
      </c>
      <c r="D28" s="23"/>
      <c r="E28" s="8"/>
      <c r="F28" s="8"/>
      <c r="G28" s="8"/>
      <c r="H28" s="9"/>
    </row>
    <row r="29" spans="3:43" ht="15.75" thickBot="1" x14ac:dyDescent="0.3">
      <c r="C29" s="10" t="s">
        <v>16</v>
      </c>
      <c r="D29" s="48">
        <v>7</v>
      </c>
      <c r="E29" s="8"/>
      <c r="F29" s="8"/>
      <c r="G29" s="8"/>
      <c r="H29" s="9"/>
    </row>
    <row r="30" spans="3:43" ht="15.75" thickBot="1" x14ac:dyDescent="0.3">
      <c r="C30" s="7"/>
      <c r="D30" s="7"/>
      <c r="E30" s="8"/>
      <c r="F30" s="8"/>
      <c r="G30" s="8"/>
      <c r="H30" s="9"/>
    </row>
    <row r="31" spans="3:43" ht="15.75" thickBot="1" x14ac:dyDescent="0.3">
      <c r="C31" s="15" t="s">
        <v>17</v>
      </c>
      <c r="D31" s="107">
        <f>$D29*D25</f>
        <v>32869.565217391311</v>
      </c>
      <c r="E31" s="108">
        <f t="shared" ref="E31:H31" si="24">$D29*E25</f>
        <v>34695.652173913048</v>
      </c>
      <c r="F31" s="19">
        <f t="shared" si="24"/>
        <v>0</v>
      </c>
      <c r="G31" s="108">
        <f t="shared" si="24"/>
        <v>29643.478260869571</v>
      </c>
      <c r="H31" s="109">
        <f t="shared" si="24"/>
        <v>47478.260869565216</v>
      </c>
    </row>
    <row r="32" spans="3:43" ht="15.75" thickBot="1" x14ac:dyDescent="0.3"/>
    <row r="33" spans="3:9" ht="15.75" thickBot="1" x14ac:dyDescent="0.3">
      <c r="C33" s="17" t="s">
        <v>64</v>
      </c>
      <c r="D33" s="18"/>
    </row>
    <row r="34" spans="3:9" x14ac:dyDescent="0.25">
      <c r="C34" s="7" t="s">
        <v>65</v>
      </c>
      <c r="D34" s="99">
        <f>35000+50000</f>
        <v>85000</v>
      </c>
    </row>
    <row r="35" spans="3:9" x14ac:dyDescent="0.25">
      <c r="C35" s="7" t="s">
        <v>22</v>
      </c>
      <c r="D35" s="49">
        <v>10</v>
      </c>
    </row>
    <row r="36" spans="3:9" x14ac:dyDescent="0.25">
      <c r="C36" s="7" t="s">
        <v>23</v>
      </c>
      <c r="D36" s="100">
        <f>D34*D35/100</f>
        <v>8500</v>
      </c>
    </row>
    <row r="37" spans="3:9" ht="15.75" thickBot="1" x14ac:dyDescent="0.3">
      <c r="C37" s="7" t="s">
        <v>24</v>
      </c>
      <c r="D37" s="49">
        <v>0</v>
      </c>
    </row>
    <row r="38" spans="3:9" ht="15.75" thickBot="1" x14ac:dyDescent="0.3">
      <c r="C38" s="15" t="s">
        <v>25</v>
      </c>
      <c r="D38" s="101">
        <f>D36*(100-D37)/100</f>
        <v>8500</v>
      </c>
    </row>
    <row r="39" spans="3:9" ht="15.75" thickBot="1" x14ac:dyDescent="0.3"/>
    <row r="40" spans="3:9" ht="15.75" thickBot="1" x14ac:dyDescent="0.3">
      <c r="C40" s="31" t="s">
        <v>32</v>
      </c>
      <c r="D40" s="106"/>
    </row>
    <row r="41" spans="3:9" ht="15.75" thickBot="1" x14ac:dyDescent="0.3"/>
    <row r="42" spans="3:9" x14ac:dyDescent="0.25">
      <c r="C42" s="22" t="s">
        <v>27</v>
      </c>
      <c r="D42" s="102">
        <f>$D38+$D40+D31</f>
        <v>41369.565217391311</v>
      </c>
      <c r="E42" s="102">
        <f>$D38+$D40+E31</f>
        <v>43195.652173913048</v>
      </c>
      <c r="F42" s="102">
        <f>$D38+$D40+F31</f>
        <v>8500</v>
      </c>
      <c r="G42" s="102">
        <f>$D38+$D40+G31</f>
        <v>38143.478260869568</v>
      </c>
      <c r="H42" s="103">
        <f>$D38+$D40+H31</f>
        <v>55978.260869565216</v>
      </c>
    </row>
    <row r="43" spans="3:9" ht="15.75" thickBot="1" x14ac:dyDescent="0.3">
      <c r="C43" s="24" t="s">
        <v>28</v>
      </c>
      <c r="D43" s="32"/>
      <c r="E43" s="32"/>
      <c r="F43" s="32"/>
      <c r="G43" s="32"/>
      <c r="H43" s="33"/>
    </row>
    <row r="44" spans="3:9" ht="15.75" thickBot="1" x14ac:dyDescent="0.3">
      <c r="C44" s="64" t="s">
        <v>29</v>
      </c>
      <c r="D44" s="105">
        <f>D42/12</f>
        <v>3447.4637681159425</v>
      </c>
      <c r="E44" s="105">
        <f t="shared" ref="E44:H44" si="25">E42/12</f>
        <v>3599.6376811594205</v>
      </c>
      <c r="F44" s="105">
        <f t="shared" si="25"/>
        <v>708.33333333333337</v>
      </c>
      <c r="G44" s="105">
        <f t="shared" si="25"/>
        <v>3178.6231884057975</v>
      </c>
      <c r="H44" s="104">
        <f t="shared" si="25"/>
        <v>4664.855072463768</v>
      </c>
    </row>
    <row r="45" spans="3:9" ht="15.75" thickBot="1" x14ac:dyDescent="0.3"/>
    <row r="46" spans="3:9" ht="15.75" thickBot="1" x14ac:dyDescent="0.3">
      <c r="C46" s="3"/>
      <c r="D46" s="4" t="s">
        <v>63</v>
      </c>
      <c r="E46" s="5"/>
      <c r="F46" s="6"/>
      <c r="G46" s="8"/>
      <c r="H46" s="8"/>
    </row>
    <row r="47" spans="3:9" ht="15.75" thickBot="1" x14ac:dyDescent="0.3">
      <c r="C47" s="22" t="s">
        <v>57</v>
      </c>
      <c r="D47" s="8"/>
      <c r="E47" s="8"/>
      <c r="F47" s="12"/>
      <c r="G47" s="8"/>
      <c r="H47" s="17" t="s">
        <v>30</v>
      </c>
      <c r="I47" s="6"/>
    </row>
    <row r="48" spans="3:9" ht="15.75" thickBot="1" x14ac:dyDescent="0.3">
      <c r="C48" s="34">
        <f>12-D29</f>
        <v>5</v>
      </c>
      <c r="D48" s="15" t="s">
        <v>61</v>
      </c>
      <c r="E48" s="19" t="s">
        <v>62</v>
      </c>
      <c r="F48" s="16" t="s">
        <v>78</v>
      </c>
      <c r="G48" s="9"/>
      <c r="H48" s="95">
        <v>0</v>
      </c>
      <c r="I48" s="12"/>
    </row>
    <row r="49" spans="3:8" x14ac:dyDescent="0.25">
      <c r="C49" s="7" t="s">
        <v>33</v>
      </c>
      <c r="D49" s="87">
        <v>200</v>
      </c>
      <c r="E49" s="96">
        <f>D49*2</f>
        <v>400</v>
      </c>
      <c r="F49" s="6"/>
      <c r="G49" s="8"/>
      <c r="H49" s="8"/>
    </row>
    <row r="50" spans="3:8" x14ac:dyDescent="0.25">
      <c r="C50" s="7" t="s">
        <v>31</v>
      </c>
      <c r="D50" s="88">
        <f>D49*12</f>
        <v>2400</v>
      </c>
      <c r="E50" s="97">
        <f>D50*2</f>
        <v>4800</v>
      </c>
      <c r="F50" s="9"/>
      <c r="G50" s="8"/>
      <c r="H50" s="8"/>
    </row>
    <row r="51" spans="3:8" x14ac:dyDescent="0.25">
      <c r="C51" s="7" t="s">
        <v>34</v>
      </c>
      <c r="D51" s="87">
        <v>200</v>
      </c>
      <c r="E51" s="96">
        <f>D51</f>
        <v>200</v>
      </c>
      <c r="F51" s="9"/>
      <c r="G51" s="8"/>
      <c r="H51" s="8"/>
    </row>
    <row r="52" spans="3:8" x14ac:dyDescent="0.25">
      <c r="C52" s="7" t="s">
        <v>35</v>
      </c>
      <c r="D52" s="88">
        <f>D51*12</f>
        <v>2400</v>
      </c>
      <c r="E52" s="97">
        <f>D52</f>
        <v>2400</v>
      </c>
      <c r="F52" s="9"/>
      <c r="G52" s="8"/>
      <c r="H52" s="8"/>
    </row>
    <row r="53" spans="3:8" x14ac:dyDescent="0.25">
      <c r="C53" s="7" t="s">
        <v>36</v>
      </c>
      <c r="D53" s="87">
        <v>70</v>
      </c>
      <c r="E53" s="96">
        <f>D53*(2+H48)</f>
        <v>140</v>
      </c>
      <c r="F53" s="9"/>
      <c r="G53" s="8"/>
      <c r="H53" s="8"/>
    </row>
    <row r="54" spans="3:8" x14ac:dyDescent="0.25">
      <c r="C54" s="7" t="s">
        <v>37</v>
      </c>
      <c r="D54" s="88">
        <f>D53*C48*4.5</f>
        <v>1575</v>
      </c>
      <c r="E54" s="97">
        <f>D53*(1+H48)*54+D54</f>
        <v>5355</v>
      </c>
      <c r="F54" s="9"/>
      <c r="G54" s="8"/>
      <c r="H54" s="8"/>
    </row>
    <row r="55" spans="3:8" x14ac:dyDescent="0.25">
      <c r="C55" s="7" t="s">
        <v>38</v>
      </c>
      <c r="D55" s="89">
        <v>1000</v>
      </c>
      <c r="E55" s="97">
        <f>D55</f>
        <v>1000</v>
      </c>
      <c r="F55" s="9"/>
      <c r="G55" s="8"/>
      <c r="H55" s="8"/>
    </row>
    <row r="56" spans="3:8" x14ac:dyDescent="0.25">
      <c r="C56" s="7" t="s">
        <v>39</v>
      </c>
      <c r="D56" s="87">
        <v>75</v>
      </c>
      <c r="E56" s="96">
        <f>2*D56</f>
        <v>150</v>
      </c>
      <c r="F56" s="9"/>
      <c r="G56" s="8"/>
      <c r="H56" s="8"/>
    </row>
    <row r="57" spans="3:8" x14ac:dyDescent="0.25">
      <c r="C57" s="7" t="s">
        <v>40</v>
      </c>
      <c r="D57" s="88">
        <f>C48*D56</f>
        <v>375</v>
      </c>
      <c r="E57" s="97">
        <f>12*D56+D57</f>
        <v>1275</v>
      </c>
      <c r="F57" s="9"/>
      <c r="G57" s="8"/>
      <c r="H57" s="8"/>
    </row>
    <row r="58" spans="3:8" x14ac:dyDescent="0.25">
      <c r="C58" s="7" t="s">
        <v>41</v>
      </c>
      <c r="D58" s="89">
        <v>200</v>
      </c>
      <c r="E58" s="97">
        <f>D58</f>
        <v>200</v>
      </c>
      <c r="F58" s="9"/>
      <c r="G58" s="8"/>
      <c r="H58" s="8"/>
    </row>
    <row r="59" spans="3:8" x14ac:dyDescent="0.25">
      <c r="C59" s="7" t="s">
        <v>42</v>
      </c>
      <c r="D59" s="89">
        <v>300</v>
      </c>
      <c r="E59" s="97">
        <f>D59</f>
        <v>300</v>
      </c>
      <c r="F59" s="9"/>
      <c r="G59" s="8"/>
      <c r="H59" s="8"/>
    </row>
    <row r="60" spans="3:8" x14ac:dyDescent="0.25">
      <c r="C60" s="7" t="s">
        <v>43</v>
      </c>
      <c r="D60" s="87">
        <v>55</v>
      </c>
      <c r="E60" s="96">
        <f>D60*(2+H48)</f>
        <v>110</v>
      </c>
      <c r="F60" s="9"/>
      <c r="G60" s="8"/>
      <c r="H60" s="8"/>
    </row>
    <row r="61" spans="3:8" x14ac:dyDescent="0.25">
      <c r="C61" s="7" t="s">
        <v>44</v>
      </c>
      <c r="D61" s="88">
        <f>D60*C48</f>
        <v>275</v>
      </c>
      <c r="E61" s="97">
        <f>D60*(1+H48)*12+D61</f>
        <v>935</v>
      </c>
      <c r="F61" s="9"/>
      <c r="G61" s="8"/>
      <c r="H61" s="8"/>
    </row>
    <row r="62" spans="3:8" x14ac:dyDescent="0.25">
      <c r="C62" s="7" t="s">
        <v>45</v>
      </c>
      <c r="D62" s="89">
        <v>500</v>
      </c>
      <c r="E62" s="97">
        <f>D62*(2+H48)</f>
        <v>1000</v>
      </c>
      <c r="F62" s="9"/>
      <c r="G62" s="8"/>
      <c r="H62" s="8"/>
    </row>
    <row r="63" spans="3:8" x14ac:dyDescent="0.25">
      <c r="C63" s="7" t="s">
        <v>46</v>
      </c>
      <c r="D63" s="89">
        <v>150</v>
      </c>
      <c r="E63" s="97">
        <f>D63*(2+H48)</f>
        <v>300</v>
      </c>
      <c r="F63" s="9"/>
      <c r="G63" s="8"/>
      <c r="H63" s="8"/>
    </row>
    <row r="64" spans="3:8" x14ac:dyDescent="0.25">
      <c r="C64" s="7" t="s">
        <v>47</v>
      </c>
      <c r="D64" s="89">
        <v>2000</v>
      </c>
      <c r="E64" s="97">
        <f>D64*(1+(1+H48)/2)</f>
        <v>3000</v>
      </c>
      <c r="F64" s="9"/>
      <c r="G64" s="8"/>
      <c r="H64" s="8"/>
    </row>
    <row r="65" spans="3:8" x14ac:dyDescent="0.25">
      <c r="C65" s="7" t="s">
        <v>48</v>
      </c>
      <c r="D65" s="87">
        <v>100</v>
      </c>
      <c r="E65" s="96">
        <f>D65*(2+H48)</f>
        <v>200</v>
      </c>
      <c r="F65" s="9"/>
      <c r="G65" s="8"/>
      <c r="H65" s="8"/>
    </row>
    <row r="66" spans="3:8" x14ac:dyDescent="0.25">
      <c r="C66" s="7" t="s">
        <v>49</v>
      </c>
      <c r="D66" s="88">
        <f>D65*12</f>
        <v>1200</v>
      </c>
      <c r="E66" s="97">
        <f>E65*12</f>
        <v>2400</v>
      </c>
      <c r="F66" s="9"/>
      <c r="G66" s="8"/>
      <c r="H66" s="8"/>
    </row>
    <row r="67" spans="3:8" x14ac:dyDescent="0.25">
      <c r="C67" s="7" t="s">
        <v>3</v>
      </c>
      <c r="D67" s="89"/>
      <c r="E67" s="97">
        <f>D67</f>
        <v>0</v>
      </c>
      <c r="F67" s="9"/>
      <c r="G67" s="8"/>
      <c r="H67" s="8"/>
    </row>
    <row r="68" spans="3:8" ht="15.75" thickBot="1" x14ac:dyDescent="0.3">
      <c r="C68" s="7"/>
      <c r="D68" s="90"/>
      <c r="E68" s="98"/>
      <c r="F68" s="9"/>
      <c r="G68" s="8"/>
      <c r="H68" s="8"/>
    </row>
    <row r="69" spans="3:8" ht="15.75" thickBot="1" x14ac:dyDescent="0.3">
      <c r="C69" s="15" t="s">
        <v>50</v>
      </c>
      <c r="D69" s="107">
        <f>D50+D52+D54+D55+D57+D58+D59+D61+D62+D63+D64+D66+D67</f>
        <v>12375</v>
      </c>
      <c r="E69" s="108">
        <f>E50+E52+E54+E55+E57+E58+E59+E61+E62+E63+E64+E66+E67</f>
        <v>22965</v>
      </c>
      <c r="F69" s="109">
        <v>0</v>
      </c>
      <c r="G69" s="8"/>
      <c r="H69" s="8"/>
    </row>
    <row r="70" spans="3:8" ht="15.75" thickBot="1" x14ac:dyDescent="0.3"/>
    <row r="71" spans="3:8" x14ac:dyDescent="0.25">
      <c r="C71" s="36" t="s">
        <v>56</v>
      </c>
      <c r="D71" s="4"/>
      <c r="E71" s="37"/>
    </row>
    <row r="72" spans="3:8" x14ac:dyDescent="0.25">
      <c r="C72" s="38" t="s">
        <v>51</v>
      </c>
      <c r="D72" s="39">
        <f>$D$42-D$69</f>
        <v>28994.565217391311</v>
      </c>
      <c r="E72" s="40">
        <f>$D$42-E$69</f>
        <v>18404.565217391311</v>
      </c>
    </row>
    <row r="73" spans="3:8" x14ac:dyDescent="0.25">
      <c r="C73" s="38" t="s">
        <v>52</v>
      </c>
      <c r="D73" s="39">
        <f>$E$42-D$69</f>
        <v>30820.652173913048</v>
      </c>
      <c r="E73" s="40">
        <f>$E$42-E$69</f>
        <v>20230.652173913048</v>
      </c>
    </row>
    <row r="74" spans="3:8" x14ac:dyDescent="0.25">
      <c r="C74" s="38" t="s">
        <v>53</v>
      </c>
      <c r="D74" s="39">
        <f>$G$42-D$69</f>
        <v>25768.478260869568</v>
      </c>
      <c r="E74" s="40">
        <f>$G$42-E$69</f>
        <v>15178.478260869568</v>
      </c>
    </row>
    <row r="75" spans="3:8" ht="15.75" thickBot="1" x14ac:dyDescent="0.3">
      <c r="C75" s="13" t="s">
        <v>54</v>
      </c>
      <c r="D75" s="41">
        <f>$H$42-D$69</f>
        <v>43603.260869565216</v>
      </c>
      <c r="E75" s="42">
        <f>$H$42-E$69</f>
        <v>33013.260869565216</v>
      </c>
    </row>
    <row r="76" spans="3:8" ht="15.75" thickBot="1" x14ac:dyDescent="0.3">
      <c r="D76" s="1"/>
      <c r="E76" s="1"/>
    </row>
    <row r="77" spans="3:8" x14ac:dyDescent="0.25">
      <c r="C77" s="36" t="s">
        <v>55</v>
      </c>
      <c r="D77" s="43"/>
      <c r="E77" s="44"/>
    </row>
    <row r="78" spans="3:8" x14ac:dyDescent="0.25">
      <c r="C78" s="7" t="s">
        <v>51</v>
      </c>
      <c r="D78" s="39">
        <f t="shared" ref="D78:E81" si="26">$D$34+D72</f>
        <v>113994.56521739131</v>
      </c>
      <c r="E78" s="40">
        <f t="shared" si="26"/>
        <v>103404.56521739131</v>
      </c>
    </row>
    <row r="79" spans="3:8" x14ac:dyDescent="0.25">
      <c r="C79" s="7" t="s">
        <v>52</v>
      </c>
      <c r="D79" s="39">
        <f t="shared" si="26"/>
        <v>115820.65217391305</v>
      </c>
      <c r="E79" s="40">
        <f t="shared" si="26"/>
        <v>105230.65217391305</v>
      </c>
    </row>
    <row r="80" spans="3:8" x14ac:dyDescent="0.25">
      <c r="C80" s="7" t="s">
        <v>53</v>
      </c>
      <c r="D80" s="39">
        <f t="shared" si="26"/>
        <v>110768.47826086957</v>
      </c>
      <c r="E80" s="40">
        <f t="shared" si="26"/>
        <v>100178.47826086957</v>
      </c>
    </row>
    <row r="81" spans="3:5" ht="15.75" thickBot="1" x14ac:dyDescent="0.3">
      <c r="C81" s="10" t="s">
        <v>54</v>
      </c>
      <c r="D81" s="41">
        <f t="shared" si="26"/>
        <v>128603.26086956522</v>
      </c>
      <c r="E81" s="42">
        <f t="shared" si="26"/>
        <v>118013.26086956522</v>
      </c>
    </row>
  </sheetData>
  <sheetProtection sheet="1" objects="1" scenarios="1"/>
  <dataValidations count="5">
    <dataValidation type="list" allowBlank="1" showInputMessage="1" showErrorMessage="1" sqref="C22">
      <formula1>$C$10:$C$20</formula1>
    </dataValidation>
    <dataValidation type="list" allowBlank="1" showInputMessage="1" showErrorMessage="1" sqref="H48">
      <formula1>"0,1,2,3,4"</formula1>
    </dataValidation>
    <dataValidation type="list" allowBlank="1" showInputMessage="1" showErrorMessage="1" sqref="M13">
      <formula1>$D$4:$H$4</formula1>
    </dataValidation>
    <dataValidation type="list" allowBlank="1" showInputMessage="1" showErrorMessage="1" sqref="P13">
      <formula1>$D$48:$F$48</formula1>
    </dataValidation>
    <dataValidation type="list" allowBlank="1" showInputMessage="1" showErrorMessage="1" sqref="T13">
      <formula1>"0,1,2,3,4,5,6,7,8,9,10"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31"/>
  <sheetViews>
    <sheetView workbookViewId="0">
      <selection activeCell="J23" sqref="J23"/>
    </sheetView>
  </sheetViews>
  <sheetFormatPr defaultRowHeight="15" x14ac:dyDescent="0.25"/>
  <cols>
    <col min="9" max="9" width="23" customWidth="1"/>
  </cols>
  <sheetData>
    <row r="5" spans="2:13" x14ac:dyDescent="0.25">
      <c r="B5" t="s">
        <v>85</v>
      </c>
      <c r="D5" t="s">
        <v>86</v>
      </c>
      <c r="F5" t="s">
        <v>87</v>
      </c>
    </row>
    <row r="6" spans="2:13" x14ac:dyDescent="0.25">
      <c r="B6" t="s">
        <v>88</v>
      </c>
      <c r="D6" t="s">
        <v>89</v>
      </c>
      <c r="F6" t="s">
        <v>90</v>
      </c>
    </row>
    <row r="7" spans="2:13" x14ac:dyDescent="0.25">
      <c r="B7">
        <v>100</v>
      </c>
      <c r="D7">
        <v>0.1</v>
      </c>
      <c r="F7">
        <v>0.05</v>
      </c>
    </row>
    <row r="9" spans="2:13" x14ac:dyDescent="0.25">
      <c r="B9" t="s">
        <v>91</v>
      </c>
      <c r="I9" t="s">
        <v>92</v>
      </c>
      <c r="J9">
        <v>1</v>
      </c>
      <c r="K9">
        <v>2</v>
      </c>
      <c r="L9">
        <v>3</v>
      </c>
      <c r="M9">
        <v>4</v>
      </c>
    </row>
    <row r="10" spans="2:13" x14ac:dyDescent="0.25">
      <c r="B10" t="s">
        <v>93</v>
      </c>
      <c r="D10" t="s">
        <v>94</v>
      </c>
    </row>
    <row r="11" spans="2:13" x14ac:dyDescent="0.25">
      <c r="B11" t="s">
        <v>95</v>
      </c>
      <c r="D11" t="s">
        <v>96</v>
      </c>
      <c r="E11" t="s">
        <v>97</v>
      </c>
      <c r="I11" s="110" t="s">
        <v>98</v>
      </c>
      <c r="J11" s="110">
        <f>B7</f>
        <v>100</v>
      </c>
      <c r="K11" s="110">
        <f>J15</f>
        <v>110</v>
      </c>
      <c r="L11" s="110">
        <f t="shared" ref="L11:M11" si="0">K15</f>
        <v>121</v>
      </c>
      <c r="M11" s="110">
        <f t="shared" si="0"/>
        <v>133.1</v>
      </c>
    </row>
    <row r="12" spans="2:13" x14ac:dyDescent="0.25">
      <c r="B12">
        <v>10</v>
      </c>
      <c r="D12" t="s">
        <v>99</v>
      </c>
      <c r="I12" t="s">
        <v>89</v>
      </c>
      <c r="J12">
        <f>$D$7</f>
        <v>0.1</v>
      </c>
      <c r="K12">
        <f>$D$7</f>
        <v>0.1</v>
      </c>
      <c r="L12">
        <f t="shared" ref="L12:M12" si="1">$D$7</f>
        <v>0.1</v>
      </c>
      <c r="M12">
        <f t="shared" si="1"/>
        <v>0.1</v>
      </c>
    </row>
    <row r="13" spans="2:13" x14ac:dyDescent="0.25">
      <c r="D13">
        <f>(B7+B7*D7)*D7</f>
        <v>11</v>
      </c>
      <c r="I13" t="s">
        <v>90</v>
      </c>
      <c r="J13">
        <f>$F$7</f>
        <v>0.05</v>
      </c>
      <c r="K13">
        <f>$F$7</f>
        <v>0.05</v>
      </c>
      <c r="L13">
        <f t="shared" ref="L13:M13" si="2">$F$7</f>
        <v>0.05</v>
      </c>
      <c r="M13">
        <f t="shared" si="2"/>
        <v>0.05</v>
      </c>
    </row>
    <row r="14" spans="2:13" x14ac:dyDescent="0.25">
      <c r="D14">
        <f>B7*D7+B7*D7^2</f>
        <v>11</v>
      </c>
      <c r="E14" t="s">
        <v>100</v>
      </c>
      <c r="I14" t="s">
        <v>91</v>
      </c>
      <c r="J14">
        <f>J11*J12</f>
        <v>10</v>
      </c>
      <c r="K14">
        <f>K11*K12</f>
        <v>11</v>
      </c>
      <c r="L14">
        <f t="shared" ref="L14:M14" si="3">L11*L12</f>
        <v>12.100000000000001</v>
      </c>
      <c r="M14">
        <f t="shared" si="3"/>
        <v>13.31</v>
      </c>
    </row>
    <row r="15" spans="2:13" x14ac:dyDescent="0.25">
      <c r="D15">
        <f>(B7*D7)*(1+D7)</f>
        <v>11</v>
      </c>
      <c r="E15" t="s">
        <v>97</v>
      </c>
      <c r="I15" t="s">
        <v>101</v>
      </c>
      <c r="J15" s="111">
        <f>J11+J14</f>
        <v>110</v>
      </c>
      <c r="K15" s="111">
        <f>K11+K14</f>
        <v>121</v>
      </c>
      <c r="L15" s="111">
        <f t="shared" ref="L15:M15" si="4">L11+L14</f>
        <v>133.1</v>
      </c>
      <c r="M15" s="111">
        <f t="shared" si="4"/>
        <v>146.41</v>
      </c>
    </row>
    <row r="16" spans="2:13" x14ac:dyDescent="0.25">
      <c r="B16" t="s">
        <v>102</v>
      </c>
    </row>
    <row r="17" spans="2:13" x14ac:dyDescent="0.25">
      <c r="B17" t="s">
        <v>93</v>
      </c>
      <c r="D17" t="s">
        <v>94</v>
      </c>
      <c r="I17" t="s">
        <v>103</v>
      </c>
      <c r="J17">
        <f>(1-J13)^J9</f>
        <v>0.95</v>
      </c>
      <c r="K17">
        <f t="shared" ref="K17:M17" si="5">(1-K13)^K9</f>
        <v>0.90249999999999997</v>
      </c>
      <c r="L17">
        <f t="shared" si="5"/>
        <v>0.85737499999999989</v>
      </c>
      <c r="M17">
        <f t="shared" si="5"/>
        <v>0.81450624999999999</v>
      </c>
    </row>
    <row r="18" spans="2:13" x14ac:dyDescent="0.25">
      <c r="B18" t="s">
        <v>104</v>
      </c>
      <c r="D18" t="s">
        <v>105</v>
      </c>
    </row>
    <row r="19" spans="2:13" x14ac:dyDescent="0.25">
      <c r="B19" t="s">
        <v>106</v>
      </c>
      <c r="D19" t="s">
        <v>107</v>
      </c>
      <c r="I19" t="s">
        <v>115</v>
      </c>
      <c r="J19">
        <f>J14*J17</f>
        <v>9.5</v>
      </c>
      <c r="K19">
        <f t="shared" ref="K19:M19" si="6">K14*K17</f>
        <v>9.9275000000000002</v>
      </c>
      <c r="L19">
        <f t="shared" si="6"/>
        <v>10.3742375</v>
      </c>
      <c r="M19">
        <f t="shared" si="6"/>
        <v>10.841078187500001</v>
      </c>
    </row>
    <row r="21" spans="2:13" x14ac:dyDescent="0.25">
      <c r="B21">
        <f>B7*(1+D7)^1</f>
        <v>110.00000000000001</v>
      </c>
      <c r="D21">
        <f>B7*(1+D7)^2</f>
        <v>121.00000000000001</v>
      </c>
      <c r="I21" t="s">
        <v>118</v>
      </c>
      <c r="J21">
        <f>J15*J17</f>
        <v>104.5</v>
      </c>
      <c r="K21">
        <f t="shared" ref="K21:M21" si="7">K15*K17</f>
        <v>109.2025</v>
      </c>
      <c r="L21">
        <f t="shared" si="7"/>
        <v>114.11661249999997</v>
      </c>
      <c r="M21">
        <f t="shared" si="7"/>
        <v>119.2518600625</v>
      </c>
    </row>
    <row r="23" spans="2:13" x14ac:dyDescent="0.25">
      <c r="B23" t="s">
        <v>108</v>
      </c>
      <c r="I23" t="s">
        <v>116</v>
      </c>
      <c r="J23">
        <f>J11*J13</f>
        <v>5</v>
      </c>
      <c r="K23">
        <f t="shared" ref="K23:M23" si="8">K11*K13</f>
        <v>5.5</v>
      </c>
      <c r="L23">
        <f t="shared" si="8"/>
        <v>6.0500000000000007</v>
      </c>
      <c r="M23">
        <f t="shared" si="8"/>
        <v>6.6550000000000002</v>
      </c>
    </row>
    <row r="24" spans="2:13" x14ac:dyDescent="0.25">
      <c r="B24" t="s">
        <v>109</v>
      </c>
      <c r="D24" t="s">
        <v>110</v>
      </c>
    </row>
    <row r="25" spans="2:13" x14ac:dyDescent="0.25">
      <c r="B25">
        <f>B21*(1-F7)</f>
        <v>104.50000000000001</v>
      </c>
      <c r="D25">
        <f>D21*(1-F7)^2</f>
        <v>109.20250000000001</v>
      </c>
      <c r="I25" t="s">
        <v>117</v>
      </c>
      <c r="J25">
        <f>J11*J17+J23</f>
        <v>100</v>
      </c>
      <c r="K25">
        <f t="shared" ref="K25:M25" si="9">K11*K17+K23</f>
        <v>104.77499999999999</v>
      </c>
      <c r="L25">
        <f t="shared" si="9"/>
        <v>109.79237499999998</v>
      </c>
      <c r="M25">
        <f t="shared" si="9"/>
        <v>115.065781875</v>
      </c>
    </row>
    <row r="27" spans="2:13" x14ac:dyDescent="0.25">
      <c r="B27" t="s">
        <v>111</v>
      </c>
      <c r="D27" t="s">
        <v>112</v>
      </c>
    </row>
    <row r="28" spans="2:13" x14ac:dyDescent="0.25">
      <c r="B28">
        <f>B7*(1+D7-F7)^1</f>
        <v>105</v>
      </c>
      <c r="D28">
        <f>B7*(1+D7-F7)^2</f>
        <v>110.25</v>
      </c>
    </row>
    <row r="30" spans="2:13" x14ac:dyDescent="0.25">
      <c r="B30" t="s">
        <v>113</v>
      </c>
      <c r="D30" t="s">
        <v>114</v>
      </c>
    </row>
    <row r="31" spans="2:13" x14ac:dyDescent="0.25">
      <c r="B31">
        <f>B7*(1+D7)^1*(1-F7)^1</f>
        <v>104.50000000000001</v>
      </c>
      <c r="D31">
        <f>B7*(1+D7)^2*(1-F7)^2</f>
        <v>109.20250000000001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2015-09-15T00:25:33Z</dcterms:modified>
</cp:coreProperties>
</file>