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EE88380D-C8DC-4BA0-A097-1F8A5D503ED0}" xr6:coauthVersionLast="45" xr6:coauthVersionMax="45" xr10:uidLastSave="{00000000-0000-0000-0000-000000000000}"/>
  <bookViews>
    <workbookView xWindow="10380" yWindow="6750" windowWidth="24255" windowHeight="13800" activeTab="1" xr2:uid="{00000000-000D-0000-FFFF-FFFF00000000}"/>
  </bookViews>
  <sheets>
    <sheet name="Historical Trends" sheetId="1" r:id="rId1"/>
    <sheet name="Polling Correlations" sheetId="3" r:id="rId2"/>
    <sheet name="Simulated Lin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7" i="3" l="1"/>
  <c r="AY10" i="3"/>
  <c r="AY11" i="3"/>
  <c r="AY6" i="3"/>
  <c r="AZ11" i="3"/>
  <c r="AT11" i="3"/>
  <c r="AZ6" i="3"/>
  <c r="AU10" i="3"/>
  <c r="AV11" i="3" s="1"/>
  <c r="AV10" i="3"/>
  <c r="AW11" i="3" s="1"/>
  <c r="AW10" i="3"/>
  <c r="AX11" i="3" s="1"/>
  <c r="AX10" i="3"/>
  <c r="AZ10" i="3"/>
  <c r="AT10" i="3"/>
  <c r="O7" i="3"/>
  <c r="AT6" i="3"/>
  <c r="AU6" i="3"/>
  <c r="AV6" i="3"/>
  <c r="AW6" i="3"/>
  <c r="AX6" i="3"/>
  <c r="N30" i="3"/>
  <c r="O30" i="3"/>
  <c r="P30" i="3"/>
  <c r="K29" i="3"/>
  <c r="L29" i="3"/>
  <c r="M29" i="3"/>
  <c r="N29" i="3"/>
  <c r="O29" i="3"/>
  <c r="P29" i="3"/>
  <c r="K28" i="3"/>
  <c r="L28" i="3"/>
  <c r="M28" i="3"/>
  <c r="N28" i="3"/>
  <c r="O28" i="3"/>
  <c r="P28" i="3"/>
  <c r="K27" i="3"/>
  <c r="L27" i="3"/>
  <c r="M27" i="3"/>
  <c r="N27" i="3"/>
  <c r="O27" i="3"/>
  <c r="P27" i="3"/>
  <c r="W28" i="3"/>
  <c r="W29" i="3"/>
  <c r="AI29" i="3" s="1"/>
  <c r="W30" i="3"/>
  <c r="W27" i="3"/>
  <c r="AI27" i="3" s="1"/>
  <c r="E27" i="3"/>
  <c r="F27" i="3"/>
  <c r="G27" i="3"/>
  <c r="H27" i="3"/>
  <c r="I27" i="3"/>
  <c r="S27" i="3" s="1"/>
  <c r="J27" i="3"/>
  <c r="D27" i="3"/>
  <c r="B28" i="3"/>
  <c r="B29" i="3" s="1"/>
  <c r="B30" i="3" s="1"/>
  <c r="K26" i="3"/>
  <c r="L26" i="3"/>
  <c r="M26" i="3"/>
  <c r="N26" i="3"/>
  <c r="O26" i="3"/>
  <c r="P26" i="3"/>
  <c r="K25" i="3"/>
  <c r="L25" i="3"/>
  <c r="N25" i="3"/>
  <c r="M25" i="3"/>
  <c r="O25" i="3"/>
  <c r="P25" i="3"/>
  <c r="K24" i="3"/>
  <c r="L24" i="3"/>
  <c r="M24" i="3"/>
  <c r="N24" i="3"/>
  <c r="O24" i="3"/>
  <c r="P24" i="3"/>
  <c r="W25" i="3"/>
  <c r="W26" i="3"/>
  <c r="W24" i="3"/>
  <c r="E24" i="3"/>
  <c r="F24" i="3"/>
  <c r="G24" i="3"/>
  <c r="H24" i="3"/>
  <c r="I24" i="3"/>
  <c r="U24" i="3" s="1"/>
  <c r="J24" i="3"/>
  <c r="D24" i="3"/>
  <c r="B25" i="3"/>
  <c r="B26" i="3" s="1"/>
  <c r="AA108" i="1"/>
  <c r="AB108" i="1"/>
  <c r="AC108" i="1"/>
  <c r="AE108" i="1"/>
  <c r="AF108" i="1"/>
  <c r="AF107" i="1"/>
  <c r="AE107" i="1"/>
  <c r="AC107" i="1"/>
  <c r="AB107" i="1"/>
  <c r="AA107" i="1"/>
  <c r="AF106" i="1"/>
  <c r="AE106" i="1"/>
  <c r="AC106" i="1"/>
  <c r="AB106" i="1"/>
  <c r="AA106" i="1"/>
  <c r="AF105" i="1"/>
  <c r="AE105" i="1"/>
  <c r="AC105" i="1"/>
  <c r="AB105" i="1"/>
  <c r="AA105" i="1"/>
  <c r="AE104" i="1"/>
  <c r="AC104" i="1"/>
  <c r="AE103" i="1"/>
  <c r="AC103" i="1"/>
  <c r="AE102" i="1"/>
  <c r="AC102" i="1"/>
  <c r="AB102" i="1"/>
  <c r="AE101" i="1"/>
  <c r="AD101" i="1"/>
  <c r="AC101" i="1"/>
  <c r="AB101" i="1"/>
  <c r="AD100" i="1"/>
  <c r="AC100" i="1"/>
  <c r="AB100" i="1"/>
  <c r="M108" i="1"/>
  <c r="W108" i="1" s="1"/>
  <c r="N108" i="1"/>
  <c r="X108" i="1" s="1"/>
  <c r="O108" i="1"/>
  <c r="Y108" i="1" s="1"/>
  <c r="P108" i="1"/>
  <c r="Z108" i="1" s="1"/>
  <c r="Q108" i="1"/>
  <c r="R108" i="1"/>
  <c r="S108" i="1"/>
  <c r="T108" i="1"/>
  <c r="AD108" i="1" s="1"/>
  <c r="U108" i="1"/>
  <c r="V108" i="1"/>
  <c r="V107" i="1"/>
  <c r="U107" i="1"/>
  <c r="T107" i="1"/>
  <c r="AD107" i="1" s="1"/>
  <c r="S107" i="1"/>
  <c r="R107" i="1"/>
  <c r="Q107" i="1"/>
  <c r="P107" i="1"/>
  <c r="Z107" i="1" s="1"/>
  <c r="O107" i="1"/>
  <c r="Y107" i="1" s="1"/>
  <c r="N107" i="1"/>
  <c r="X107" i="1" s="1"/>
  <c r="M107" i="1"/>
  <c r="W107" i="1" s="1"/>
  <c r="V106" i="1"/>
  <c r="U106" i="1"/>
  <c r="T106" i="1"/>
  <c r="AD106" i="1" s="1"/>
  <c r="S106" i="1"/>
  <c r="R106" i="1"/>
  <c r="Q106" i="1"/>
  <c r="P106" i="1"/>
  <c r="Z106" i="1" s="1"/>
  <c r="O106" i="1"/>
  <c r="Y106" i="1" s="1"/>
  <c r="N106" i="1"/>
  <c r="X106" i="1" s="1"/>
  <c r="M106" i="1"/>
  <c r="W106" i="1" s="1"/>
  <c r="V105" i="1"/>
  <c r="U105" i="1"/>
  <c r="T105" i="1"/>
  <c r="AD105" i="1" s="1"/>
  <c r="S105" i="1"/>
  <c r="R105" i="1"/>
  <c r="Q105" i="1"/>
  <c r="P105" i="1"/>
  <c r="Z105" i="1" s="1"/>
  <c r="O105" i="1"/>
  <c r="Y105" i="1" s="1"/>
  <c r="N105" i="1"/>
  <c r="X105" i="1" s="1"/>
  <c r="M105" i="1"/>
  <c r="W105" i="1" s="1"/>
  <c r="V104" i="1"/>
  <c r="AF104" i="1" s="1"/>
  <c r="U104" i="1"/>
  <c r="T104" i="1"/>
  <c r="AD104" i="1" s="1"/>
  <c r="S104" i="1"/>
  <c r="R104" i="1"/>
  <c r="AB104" i="1" s="1"/>
  <c r="Q104" i="1"/>
  <c r="AA104" i="1" s="1"/>
  <c r="P104" i="1"/>
  <c r="Z104" i="1" s="1"/>
  <c r="O104" i="1"/>
  <c r="Y104" i="1" s="1"/>
  <c r="N104" i="1"/>
  <c r="X104" i="1" s="1"/>
  <c r="M104" i="1"/>
  <c r="W104" i="1" s="1"/>
  <c r="V103" i="1"/>
  <c r="AF103" i="1" s="1"/>
  <c r="U103" i="1"/>
  <c r="T103" i="1"/>
  <c r="AD103" i="1" s="1"/>
  <c r="S103" i="1"/>
  <c r="R103" i="1"/>
  <c r="AB103" i="1" s="1"/>
  <c r="Q103" i="1"/>
  <c r="AA103" i="1" s="1"/>
  <c r="P103" i="1"/>
  <c r="Z103" i="1" s="1"/>
  <c r="O103" i="1"/>
  <c r="Y103" i="1" s="1"/>
  <c r="N103" i="1"/>
  <c r="X103" i="1" s="1"/>
  <c r="M103" i="1"/>
  <c r="W103" i="1" s="1"/>
  <c r="V102" i="1"/>
  <c r="AF102" i="1" s="1"/>
  <c r="U102" i="1"/>
  <c r="T102" i="1"/>
  <c r="AD102" i="1" s="1"/>
  <c r="S102" i="1"/>
  <c r="R102" i="1"/>
  <c r="Q102" i="1"/>
  <c r="AA102" i="1" s="1"/>
  <c r="P102" i="1"/>
  <c r="Z102" i="1" s="1"/>
  <c r="O102" i="1"/>
  <c r="Y102" i="1" s="1"/>
  <c r="N102" i="1"/>
  <c r="X102" i="1" s="1"/>
  <c r="M102" i="1"/>
  <c r="W102" i="1" s="1"/>
  <c r="V101" i="1"/>
  <c r="AF101" i="1" s="1"/>
  <c r="U101" i="1"/>
  <c r="T101" i="1"/>
  <c r="S101" i="1"/>
  <c r="R101" i="1"/>
  <c r="Q101" i="1"/>
  <c r="AA101" i="1" s="1"/>
  <c r="P101" i="1"/>
  <c r="Z101" i="1" s="1"/>
  <c r="O101" i="1"/>
  <c r="Y101" i="1" s="1"/>
  <c r="N101" i="1"/>
  <c r="X101" i="1" s="1"/>
  <c r="M101" i="1"/>
  <c r="W101" i="1" s="1"/>
  <c r="V100" i="1"/>
  <c r="AF100" i="1" s="1"/>
  <c r="U100" i="1"/>
  <c r="AE100" i="1" s="1"/>
  <c r="T100" i="1"/>
  <c r="S100" i="1"/>
  <c r="R100" i="1"/>
  <c r="Q100" i="1"/>
  <c r="AA100" i="1" s="1"/>
  <c r="P100" i="1"/>
  <c r="Z100" i="1" s="1"/>
  <c r="O100" i="1"/>
  <c r="Y100" i="1" s="1"/>
  <c r="N100" i="1"/>
  <c r="X100" i="1" s="1"/>
  <c r="M100" i="1"/>
  <c r="W100" i="1" s="1"/>
  <c r="V99" i="1"/>
  <c r="U99" i="1"/>
  <c r="T99" i="1"/>
  <c r="S99" i="1"/>
  <c r="R99" i="1"/>
  <c r="Q99" i="1"/>
  <c r="P99" i="1"/>
  <c r="O99" i="1"/>
  <c r="N99" i="1"/>
  <c r="M99" i="1"/>
  <c r="C114" i="1"/>
  <c r="D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C105" i="1"/>
  <c r="D105" i="1"/>
  <c r="D101" i="1"/>
  <c r="D102" i="1"/>
  <c r="D103" i="1"/>
  <c r="D104" i="1"/>
  <c r="D100" i="1"/>
  <c r="C104" i="1"/>
  <c r="C103" i="1"/>
  <c r="C102" i="1"/>
  <c r="C101" i="1"/>
  <c r="C100" i="1"/>
  <c r="AF90" i="1"/>
  <c r="AE90" i="1"/>
  <c r="AC90" i="1"/>
  <c r="AB90" i="1"/>
  <c r="AF89" i="1"/>
  <c r="AE89" i="1"/>
  <c r="AC89" i="1"/>
  <c r="AB89" i="1"/>
  <c r="AF88" i="1"/>
  <c r="AE88" i="1"/>
  <c r="AC88" i="1"/>
  <c r="AB88" i="1"/>
  <c r="AE87" i="1"/>
  <c r="AC87" i="1"/>
  <c r="AE86" i="1"/>
  <c r="AD86" i="1"/>
  <c r="AC86" i="1"/>
  <c r="AE85" i="1"/>
  <c r="AD85" i="1"/>
  <c r="AC85" i="1"/>
  <c r="AB85" i="1"/>
  <c r="AE84" i="1"/>
  <c r="AD84" i="1"/>
  <c r="AC84" i="1"/>
  <c r="AB84" i="1"/>
  <c r="AE83" i="1"/>
  <c r="AD83" i="1"/>
  <c r="AC83" i="1"/>
  <c r="V90" i="1"/>
  <c r="U90" i="1"/>
  <c r="T90" i="1"/>
  <c r="AD90" i="1" s="1"/>
  <c r="S90" i="1"/>
  <c r="R90" i="1"/>
  <c r="Q90" i="1"/>
  <c r="AA90" i="1" s="1"/>
  <c r="P90" i="1"/>
  <c r="Z90" i="1" s="1"/>
  <c r="O90" i="1"/>
  <c r="Y90" i="1" s="1"/>
  <c r="N90" i="1"/>
  <c r="X90" i="1" s="1"/>
  <c r="M90" i="1"/>
  <c r="W90" i="1" s="1"/>
  <c r="V89" i="1"/>
  <c r="U89" i="1"/>
  <c r="T89" i="1"/>
  <c r="AD89" i="1" s="1"/>
  <c r="S89" i="1"/>
  <c r="R89" i="1"/>
  <c r="Q89" i="1"/>
  <c r="AA89" i="1" s="1"/>
  <c r="P89" i="1"/>
  <c r="Z89" i="1" s="1"/>
  <c r="O89" i="1"/>
  <c r="Y89" i="1" s="1"/>
  <c r="N89" i="1"/>
  <c r="X89" i="1" s="1"/>
  <c r="M89" i="1"/>
  <c r="W89" i="1" s="1"/>
  <c r="V88" i="1"/>
  <c r="U88" i="1"/>
  <c r="T88" i="1"/>
  <c r="AD88" i="1" s="1"/>
  <c r="S88" i="1"/>
  <c r="R88" i="1"/>
  <c r="Q88" i="1"/>
  <c r="AA88" i="1" s="1"/>
  <c r="P88" i="1"/>
  <c r="Z88" i="1" s="1"/>
  <c r="O88" i="1"/>
  <c r="Y88" i="1" s="1"/>
  <c r="N88" i="1"/>
  <c r="X88" i="1" s="1"/>
  <c r="M88" i="1"/>
  <c r="W88" i="1" s="1"/>
  <c r="V87" i="1"/>
  <c r="AF87" i="1" s="1"/>
  <c r="U87" i="1"/>
  <c r="T87" i="1"/>
  <c r="AD87" i="1" s="1"/>
  <c r="S87" i="1"/>
  <c r="R87" i="1"/>
  <c r="AB87" i="1" s="1"/>
  <c r="Q87" i="1"/>
  <c r="AA87" i="1" s="1"/>
  <c r="P87" i="1"/>
  <c r="Z87" i="1" s="1"/>
  <c r="O87" i="1"/>
  <c r="Y87" i="1" s="1"/>
  <c r="N87" i="1"/>
  <c r="X87" i="1" s="1"/>
  <c r="M87" i="1"/>
  <c r="W87" i="1" s="1"/>
  <c r="V86" i="1"/>
  <c r="AF86" i="1" s="1"/>
  <c r="U86" i="1"/>
  <c r="T86" i="1"/>
  <c r="S86" i="1"/>
  <c r="R86" i="1"/>
  <c r="AB86" i="1" s="1"/>
  <c r="Q86" i="1"/>
  <c r="AA86" i="1" s="1"/>
  <c r="P86" i="1"/>
  <c r="Z86" i="1" s="1"/>
  <c r="O86" i="1"/>
  <c r="Y86" i="1" s="1"/>
  <c r="N86" i="1"/>
  <c r="X86" i="1" s="1"/>
  <c r="M86" i="1"/>
  <c r="W86" i="1" s="1"/>
  <c r="V85" i="1"/>
  <c r="AF85" i="1" s="1"/>
  <c r="U85" i="1"/>
  <c r="T85" i="1"/>
  <c r="S85" i="1"/>
  <c r="R85" i="1"/>
  <c r="Q85" i="1"/>
  <c r="AA85" i="1" s="1"/>
  <c r="P85" i="1"/>
  <c r="Z85" i="1" s="1"/>
  <c r="O85" i="1"/>
  <c r="Y85" i="1" s="1"/>
  <c r="N85" i="1"/>
  <c r="X85" i="1" s="1"/>
  <c r="M85" i="1"/>
  <c r="W85" i="1" s="1"/>
  <c r="V84" i="1"/>
  <c r="AF84" i="1" s="1"/>
  <c r="U84" i="1"/>
  <c r="T84" i="1"/>
  <c r="S84" i="1"/>
  <c r="R84" i="1"/>
  <c r="Q84" i="1"/>
  <c r="AA84" i="1" s="1"/>
  <c r="P84" i="1"/>
  <c r="Z84" i="1" s="1"/>
  <c r="O84" i="1"/>
  <c r="Y84" i="1" s="1"/>
  <c r="N84" i="1"/>
  <c r="X84" i="1" s="1"/>
  <c r="M84" i="1"/>
  <c r="W84" i="1" s="1"/>
  <c r="V83" i="1"/>
  <c r="AF83" i="1" s="1"/>
  <c r="U83" i="1"/>
  <c r="T83" i="1"/>
  <c r="S83" i="1"/>
  <c r="R83" i="1"/>
  <c r="AB83" i="1" s="1"/>
  <c r="Q83" i="1"/>
  <c r="AA83" i="1" s="1"/>
  <c r="P83" i="1"/>
  <c r="Z83" i="1" s="1"/>
  <c r="O83" i="1"/>
  <c r="Y83" i="1" s="1"/>
  <c r="N83" i="1"/>
  <c r="X83" i="1" s="1"/>
  <c r="M83" i="1"/>
  <c r="W83" i="1" s="1"/>
  <c r="V82" i="1"/>
  <c r="U82" i="1"/>
  <c r="T82" i="1"/>
  <c r="S82" i="1"/>
  <c r="R82" i="1"/>
  <c r="Q82" i="1"/>
  <c r="P82" i="1"/>
  <c r="O82" i="1"/>
  <c r="N82" i="1"/>
  <c r="M82" i="1"/>
  <c r="C96" i="1"/>
  <c r="D96" i="1"/>
  <c r="C95" i="1"/>
  <c r="D95" i="1"/>
  <c r="D94" i="1"/>
  <c r="F94" i="1"/>
  <c r="C94" i="1"/>
  <c r="F93" i="1"/>
  <c r="C93" i="1" s="1"/>
  <c r="C92" i="1"/>
  <c r="D92" i="1"/>
  <c r="F92" i="1"/>
  <c r="C91" i="1"/>
  <c r="D91" i="1"/>
  <c r="D90" i="1"/>
  <c r="C90" i="1"/>
  <c r="D89" i="1"/>
  <c r="C89" i="1"/>
  <c r="D88" i="1"/>
  <c r="C88" i="1"/>
  <c r="D87" i="1"/>
  <c r="C87" i="1"/>
  <c r="D86" i="1"/>
  <c r="C86" i="1"/>
  <c r="D85" i="1"/>
  <c r="C85" i="1"/>
  <c r="C84" i="1"/>
  <c r="D84" i="1"/>
  <c r="C83" i="1"/>
  <c r="D83" i="1"/>
  <c r="L23" i="3"/>
  <c r="M23" i="3"/>
  <c r="N23" i="3"/>
  <c r="O23" i="3"/>
  <c r="P23" i="3"/>
  <c r="K22" i="3"/>
  <c r="L22" i="3"/>
  <c r="M22" i="3"/>
  <c r="N22" i="3"/>
  <c r="O22" i="3"/>
  <c r="P22" i="3"/>
  <c r="K21" i="3"/>
  <c r="L21" i="3"/>
  <c r="M21" i="3"/>
  <c r="N21" i="3"/>
  <c r="O21" i="3"/>
  <c r="P21" i="3"/>
  <c r="K20" i="3"/>
  <c r="L20" i="3"/>
  <c r="N20" i="3"/>
  <c r="M20" i="3"/>
  <c r="O20" i="3"/>
  <c r="P20" i="3"/>
  <c r="W21" i="3"/>
  <c r="W22" i="3"/>
  <c r="AJ22" i="3" s="1"/>
  <c r="W23" i="3"/>
  <c r="W20" i="3"/>
  <c r="W17" i="3"/>
  <c r="W18" i="3"/>
  <c r="W19" i="3"/>
  <c r="W16" i="3"/>
  <c r="W12" i="3"/>
  <c r="W13" i="3"/>
  <c r="W14" i="3"/>
  <c r="W15" i="3"/>
  <c r="W11" i="3"/>
  <c r="W6" i="3"/>
  <c r="W7" i="3"/>
  <c r="W8" i="3"/>
  <c r="W9" i="3"/>
  <c r="W10" i="3"/>
  <c r="W5" i="3"/>
  <c r="E20" i="3"/>
  <c r="F20" i="3"/>
  <c r="G20" i="3"/>
  <c r="H20" i="3"/>
  <c r="I20" i="3"/>
  <c r="J20" i="3"/>
  <c r="D20" i="3"/>
  <c r="D16" i="3"/>
  <c r="D11" i="3"/>
  <c r="B21" i="3"/>
  <c r="B22" i="3" s="1"/>
  <c r="B23" i="3" s="1"/>
  <c r="AB75" i="1" a="1"/>
  <c r="AB75" i="1" s="1"/>
  <c r="AB66" i="1"/>
  <c r="AD66" i="1"/>
  <c r="AE66" i="1"/>
  <c r="AB67" i="1"/>
  <c r="AD67" i="1"/>
  <c r="AE67" i="1"/>
  <c r="AB68" i="1"/>
  <c r="AC68" i="1"/>
  <c r="AD68" i="1"/>
  <c r="AE68" i="1"/>
  <c r="AB69" i="1"/>
  <c r="AD69" i="1"/>
  <c r="AE69" i="1"/>
  <c r="AF69" i="1"/>
  <c r="AE70" i="1"/>
  <c r="AF70" i="1"/>
  <c r="AA71" i="1"/>
  <c r="AB71" i="1"/>
  <c r="AC71" i="1"/>
  <c r="AD71" i="1"/>
  <c r="AE71" i="1"/>
  <c r="AF71" i="1"/>
  <c r="AA72" i="1"/>
  <c r="AB72" i="1"/>
  <c r="AC72" i="1"/>
  <c r="AE72" i="1"/>
  <c r="AF72" i="1"/>
  <c r="AA73" i="1"/>
  <c r="AB73" i="1"/>
  <c r="AE73" i="1"/>
  <c r="AF73" i="1"/>
  <c r="AF65" i="1"/>
  <c r="AE65" i="1"/>
  <c r="AD65" i="1"/>
  <c r="AB65" i="1"/>
  <c r="AB76" i="1" s="1"/>
  <c r="V73" i="1"/>
  <c r="U73" i="1"/>
  <c r="T73" i="1"/>
  <c r="AD73" i="1" s="1"/>
  <c r="S73" i="1"/>
  <c r="AC73" i="1" s="1"/>
  <c r="R73" i="1"/>
  <c r="Q73" i="1"/>
  <c r="P73" i="1"/>
  <c r="Z73" i="1" s="1"/>
  <c r="O73" i="1"/>
  <c r="Y73" i="1" s="1"/>
  <c r="N73" i="1"/>
  <c r="X73" i="1" s="1"/>
  <c r="M73" i="1"/>
  <c r="W73" i="1" s="1"/>
  <c r="V72" i="1"/>
  <c r="U72" i="1"/>
  <c r="T72" i="1"/>
  <c r="AD72" i="1" s="1"/>
  <c r="S72" i="1"/>
  <c r="R72" i="1"/>
  <c r="Q72" i="1"/>
  <c r="P72" i="1"/>
  <c r="Z72" i="1" s="1"/>
  <c r="O72" i="1"/>
  <c r="Y72" i="1" s="1"/>
  <c r="N72" i="1"/>
  <c r="X72" i="1" s="1"/>
  <c r="M72" i="1"/>
  <c r="W72" i="1" s="1"/>
  <c r="V71" i="1"/>
  <c r="U71" i="1"/>
  <c r="T71" i="1"/>
  <c r="S71" i="1"/>
  <c r="R71" i="1"/>
  <c r="Q71" i="1"/>
  <c r="P71" i="1"/>
  <c r="Z71" i="1" s="1"/>
  <c r="O71" i="1"/>
  <c r="Y71" i="1" s="1"/>
  <c r="N71" i="1"/>
  <c r="X71" i="1" s="1"/>
  <c r="M71" i="1"/>
  <c r="W71" i="1" s="1"/>
  <c r="V70" i="1"/>
  <c r="U70" i="1"/>
  <c r="T70" i="1"/>
  <c r="AD70" i="1" s="1"/>
  <c r="S70" i="1"/>
  <c r="AC70" i="1" s="1"/>
  <c r="R70" i="1"/>
  <c r="AB70" i="1" s="1"/>
  <c r="Q70" i="1"/>
  <c r="AA70" i="1" s="1"/>
  <c r="P70" i="1"/>
  <c r="Z70" i="1" s="1"/>
  <c r="O70" i="1"/>
  <c r="Y70" i="1" s="1"/>
  <c r="N70" i="1"/>
  <c r="X70" i="1" s="1"/>
  <c r="M70" i="1"/>
  <c r="W70" i="1" s="1"/>
  <c r="V69" i="1"/>
  <c r="U69" i="1"/>
  <c r="T69" i="1"/>
  <c r="S69" i="1"/>
  <c r="AC69" i="1" s="1"/>
  <c r="R69" i="1"/>
  <c r="Q69" i="1"/>
  <c r="AA69" i="1" s="1"/>
  <c r="P69" i="1"/>
  <c r="Z69" i="1" s="1"/>
  <c r="O69" i="1"/>
  <c r="Y69" i="1" s="1"/>
  <c r="N69" i="1"/>
  <c r="X69" i="1" s="1"/>
  <c r="M69" i="1"/>
  <c r="W69" i="1" s="1"/>
  <c r="V68" i="1"/>
  <c r="AF68" i="1" s="1"/>
  <c r="U68" i="1"/>
  <c r="T68" i="1"/>
  <c r="S68" i="1"/>
  <c r="R68" i="1"/>
  <c r="Q68" i="1"/>
  <c r="AA68" i="1" s="1"/>
  <c r="P68" i="1"/>
  <c r="Z68" i="1" s="1"/>
  <c r="O68" i="1"/>
  <c r="Y68" i="1" s="1"/>
  <c r="N68" i="1"/>
  <c r="X68" i="1" s="1"/>
  <c r="M68" i="1"/>
  <c r="W68" i="1" s="1"/>
  <c r="V67" i="1"/>
  <c r="AF67" i="1" s="1"/>
  <c r="U67" i="1"/>
  <c r="T67" i="1"/>
  <c r="S67" i="1"/>
  <c r="AC67" i="1" s="1"/>
  <c r="R67" i="1"/>
  <c r="Q67" i="1"/>
  <c r="AA67" i="1" s="1"/>
  <c r="P67" i="1"/>
  <c r="Z67" i="1" s="1"/>
  <c r="O67" i="1"/>
  <c r="Y67" i="1" s="1"/>
  <c r="N67" i="1"/>
  <c r="X67" i="1" s="1"/>
  <c r="M67" i="1"/>
  <c r="W67" i="1" s="1"/>
  <c r="V66" i="1"/>
  <c r="AF66" i="1" s="1"/>
  <c r="U66" i="1"/>
  <c r="T66" i="1"/>
  <c r="S66" i="1"/>
  <c r="AC66" i="1" s="1"/>
  <c r="R66" i="1"/>
  <c r="Q66" i="1"/>
  <c r="AA66" i="1" s="1"/>
  <c r="P66" i="1"/>
  <c r="Z66" i="1" s="1"/>
  <c r="O66" i="1"/>
  <c r="Y66" i="1" s="1"/>
  <c r="N66" i="1"/>
  <c r="X66" i="1" s="1"/>
  <c r="M66" i="1"/>
  <c r="W66" i="1" s="1"/>
  <c r="V65" i="1"/>
  <c r="U65" i="1"/>
  <c r="T65" i="1"/>
  <c r="S65" i="1"/>
  <c r="AC65" i="1" s="1"/>
  <c r="R65" i="1"/>
  <c r="Q65" i="1"/>
  <c r="AA65" i="1" s="1"/>
  <c r="P65" i="1"/>
  <c r="Z65" i="1" s="1"/>
  <c r="O65" i="1"/>
  <c r="Y65" i="1" s="1"/>
  <c r="N65" i="1"/>
  <c r="X65" i="1" s="1"/>
  <c r="M65" i="1"/>
  <c r="W65" i="1" s="1"/>
  <c r="V64" i="1"/>
  <c r="U64" i="1"/>
  <c r="T64" i="1"/>
  <c r="S64" i="1"/>
  <c r="R64" i="1"/>
  <c r="Q64" i="1"/>
  <c r="P64" i="1"/>
  <c r="O64" i="1"/>
  <c r="N64" i="1"/>
  <c r="M64" i="1"/>
  <c r="D79" i="1"/>
  <c r="C79" i="1"/>
  <c r="D78" i="1"/>
  <c r="C78" i="1"/>
  <c r="D77" i="1"/>
  <c r="C77" i="1"/>
  <c r="D76" i="1"/>
  <c r="C76" i="1"/>
  <c r="C75" i="1"/>
  <c r="D75" i="1"/>
  <c r="D74" i="1"/>
  <c r="C74" i="1"/>
  <c r="D73" i="1"/>
  <c r="C73" i="1"/>
  <c r="C72" i="1"/>
  <c r="D72" i="1"/>
  <c r="C71" i="1"/>
  <c r="D71" i="1"/>
  <c r="C70" i="1"/>
  <c r="D70" i="1"/>
  <c r="C69" i="1"/>
  <c r="D69" i="1"/>
  <c r="C68" i="1"/>
  <c r="D68" i="1"/>
  <c r="C67" i="1"/>
  <c r="D67" i="1"/>
  <c r="C66" i="1"/>
  <c r="D66" i="1"/>
  <c r="D65" i="1"/>
  <c r="C65" i="1"/>
  <c r="J5" i="3"/>
  <c r="J11" i="3"/>
  <c r="AF11" i="3" s="1"/>
  <c r="J16" i="3"/>
  <c r="F16" i="3"/>
  <c r="G16" i="3"/>
  <c r="AC16" i="3" s="1"/>
  <c r="H16" i="3"/>
  <c r="I16" i="3"/>
  <c r="U16" i="3" s="1"/>
  <c r="E16" i="3"/>
  <c r="F11" i="3"/>
  <c r="G11" i="3"/>
  <c r="H11" i="3"/>
  <c r="I11" i="3"/>
  <c r="E11" i="3"/>
  <c r="E5" i="3"/>
  <c r="F5" i="3"/>
  <c r="G5" i="3"/>
  <c r="H5" i="3"/>
  <c r="I5" i="3"/>
  <c r="R5" i="3" s="1"/>
  <c r="D5" i="3"/>
  <c r="K19" i="3"/>
  <c r="L19" i="3"/>
  <c r="M19" i="3"/>
  <c r="N19" i="3"/>
  <c r="O19" i="3"/>
  <c r="P19" i="3"/>
  <c r="K18" i="3"/>
  <c r="L18" i="3"/>
  <c r="AH18" i="3" s="1"/>
  <c r="M18" i="3"/>
  <c r="AI18" i="3" s="1"/>
  <c r="N18" i="3"/>
  <c r="O18" i="3"/>
  <c r="P18" i="3"/>
  <c r="B17" i="3"/>
  <c r="B18" i="3" s="1"/>
  <c r="B19" i="3" s="1"/>
  <c r="B12" i="3"/>
  <c r="B13" i="3" s="1"/>
  <c r="B14" i="3" s="1"/>
  <c r="B15" i="3" s="1"/>
  <c r="B6" i="3"/>
  <c r="I25" i="3" s="1"/>
  <c r="Q25" i="3" s="1"/>
  <c r="L17" i="3"/>
  <c r="K17" i="3"/>
  <c r="M17" i="3"/>
  <c r="N17" i="3"/>
  <c r="O17" i="3"/>
  <c r="P17" i="3"/>
  <c r="P16" i="3"/>
  <c r="K16" i="3"/>
  <c r="L16" i="3"/>
  <c r="M16" i="3"/>
  <c r="N16" i="3"/>
  <c r="O16" i="3"/>
  <c r="AF56" i="1"/>
  <c r="AE56" i="1"/>
  <c r="AC56" i="1"/>
  <c r="AB56" i="1"/>
  <c r="AA56" i="1"/>
  <c r="AF55" i="1"/>
  <c r="AE55" i="1"/>
  <c r="AC55" i="1"/>
  <c r="AB55" i="1"/>
  <c r="AA55" i="1"/>
  <c r="AF54" i="1"/>
  <c r="AE54" i="1"/>
  <c r="AC54" i="1"/>
  <c r="AB54" i="1"/>
  <c r="AF53" i="1"/>
  <c r="AE53" i="1"/>
  <c r="AC53" i="1"/>
  <c r="AB53" i="1"/>
  <c r="AE52" i="1"/>
  <c r="AC52" i="1"/>
  <c r="AE51" i="1"/>
  <c r="AD51" i="1"/>
  <c r="AC51" i="1"/>
  <c r="AE50" i="1"/>
  <c r="AC50" i="1"/>
  <c r="AB50" i="1"/>
  <c r="AE49" i="1"/>
  <c r="AD49" i="1"/>
  <c r="AC49" i="1"/>
  <c r="AB49" i="1"/>
  <c r="AE48" i="1"/>
  <c r="AD48" i="1"/>
  <c r="AC48" i="1"/>
  <c r="AB48" i="1"/>
  <c r="AD47" i="1"/>
  <c r="AC47" i="1"/>
  <c r="U27" i="1"/>
  <c r="AE27" i="1" s="1"/>
  <c r="V27" i="1"/>
  <c r="U28" i="1"/>
  <c r="AE28" i="1" s="1"/>
  <c r="V28" i="1"/>
  <c r="AF28" i="1" s="1"/>
  <c r="U29" i="1"/>
  <c r="AE29" i="1" s="1"/>
  <c r="V29" i="1"/>
  <c r="AF29" i="1" s="1"/>
  <c r="U30" i="1"/>
  <c r="V30" i="1"/>
  <c r="AF30" i="1" s="1"/>
  <c r="U31" i="1"/>
  <c r="V31" i="1"/>
  <c r="AF31" i="1" s="1"/>
  <c r="U32" i="1"/>
  <c r="V32" i="1"/>
  <c r="U33" i="1"/>
  <c r="V33" i="1"/>
  <c r="U26" i="1"/>
  <c r="V26" i="1"/>
  <c r="O46" i="1"/>
  <c r="C16" i="3" s="1"/>
  <c r="P46" i="1"/>
  <c r="Q46" i="1"/>
  <c r="R46" i="1"/>
  <c r="S46" i="1"/>
  <c r="T46" i="1"/>
  <c r="U46" i="1"/>
  <c r="V46" i="1"/>
  <c r="O47" i="1"/>
  <c r="Y47" i="1" s="1"/>
  <c r="P47" i="1"/>
  <c r="Z47" i="1" s="1"/>
  <c r="Q47" i="1"/>
  <c r="AA47" i="1" s="1"/>
  <c r="R47" i="1"/>
  <c r="AB47" i="1" s="1"/>
  <c r="S47" i="1"/>
  <c r="T47" i="1"/>
  <c r="U47" i="1"/>
  <c r="AE47" i="1" s="1"/>
  <c r="V47" i="1"/>
  <c r="AF47" i="1" s="1"/>
  <c r="O48" i="1"/>
  <c r="Y48" i="1" s="1"/>
  <c r="P48" i="1"/>
  <c r="Z48" i="1" s="1"/>
  <c r="Q48" i="1"/>
  <c r="AA48" i="1" s="1"/>
  <c r="R48" i="1"/>
  <c r="S48" i="1"/>
  <c r="T48" i="1"/>
  <c r="U48" i="1"/>
  <c r="V48" i="1"/>
  <c r="AF48" i="1" s="1"/>
  <c r="O49" i="1"/>
  <c r="Y49" i="1" s="1"/>
  <c r="P49" i="1"/>
  <c r="Z49" i="1" s="1"/>
  <c r="Q49" i="1"/>
  <c r="AA49" i="1" s="1"/>
  <c r="R49" i="1"/>
  <c r="S49" i="1"/>
  <c r="T49" i="1"/>
  <c r="U49" i="1"/>
  <c r="V49" i="1"/>
  <c r="AF49" i="1" s="1"/>
  <c r="O50" i="1"/>
  <c r="Y50" i="1" s="1"/>
  <c r="P50" i="1"/>
  <c r="Z50" i="1" s="1"/>
  <c r="Q50" i="1"/>
  <c r="AA50" i="1" s="1"/>
  <c r="R50" i="1"/>
  <c r="S50" i="1"/>
  <c r="T50" i="1"/>
  <c r="AD50" i="1" s="1"/>
  <c r="U50" i="1"/>
  <c r="V50" i="1"/>
  <c r="AF50" i="1" s="1"/>
  <c r="O51" i="1"/>
  <c r="Y51" i="1" s="1"/>
  <c r="P51" i="1"/>
  <c r="Z51" i="1" s="1"/>
  <c r="Q51" i="1"/>
  <c r="AA51" i="1" s="1"/>
  <c r="R51" i="1"/>
  <c r="AB51" i="1" s="1"/>
  <c r="S51" i="1"/>
  <c r="T51" i="1"/>
  <c r="U51" i="1"/>
  <c r="V51" i="1"/>
  <c r="AF51" i="1" s="1"/>
  <c r="O52" i="1"/>
  <c r="Y52" i="1" s="1"/>
  <c r="P52" i="1"/>
  <c r="Z52" i="1" s="1"/>
  <c r="Q52" i="1"/>
  <c r="AA52" i="1" s="1"/>
  <c r="R52" i="1"/>
  <c r="AB52" i="1" s="1"/>
  <c r="S52" i="1"/>
  <c r="T52" i="1"/>
  <c r="AD52" i="1" s="1"/>
  <c r="U52" i="1"/>
  <c r="V52" i="1"/>
  <c r="AF52" i="1" s="1"/>
  <c r="O53" i="1"/>
  <c r="Y53" i="1" s="1"/>
  <c r="P53" i="1"/>
  <c r="Z53" i="1" s="1"/>
  <c r="Q53" i="1"/>
  <c r="AA53" i="1" s="1"/>
  <c r="R53" i="1"/>
  <c r="S53" i="1"/>
  <c r="T53" i="1"/>
  <c r="AD53" i="1" s="1"/>
  <c r="U53" i="1"/>
  <c r="V53" i="1"/>
  <c r="V56" i="1"/>
  <c r="U56" i="1"/>
  <c r="T56" i="1"/>
  <c r="AD56" i="1" s="1"/>
  <c r="S56" i="1"/>
  <c r="R56" i="1"/>
  <c r="Q56" i="1"/>
  <c r="P56" i="1"/>
  <c r="Z56" i="1" s="1"/>
  <c r="O56" i="1"/>
  <c r="Y56" i="1" s="1"/>
  <c r="V55" i="1"/>
  <c r="U55" i="1"/>
  <c r="T55" i="1"/>
  <c r="AD55" i="1" s="1"/>
  <c r="S55" i="1"/>
  <c r="R55" i="1"/>
  <c r="Q55" i="1"/>
  <c r="P55" i="1"/>
  <c r="Z55" i="1" s="1"/>
  <c r="O55" i="1"/>
  <c r="Y55" i="1" s="1"/>
  <c r="V54" i="1"/>
  <c r="U54" i="1"/>
  <c r="T54" i="1"/>
  <c r="AD54" i="1" s="1"/>
  <c r="S54" i="1"/>
  <c r="R54" i="1"/>
  <c r="Q54" i="1"/>
  <c r="AA54" i="1" s="1"/>
  <c r="P54" i="1"/>
  <c r="Z54" i="1" s="1"/>
  <c r="O54" i="1"/>
  <c r="Y54" i="1" s="1"/>
  <c r="C61" i="1"/>
  <c r="D61" i="1"/>
  <c r="C60" i="1"/>
  <c r="D60" i="1"/>
  <c r="D59" i="1"/>
  <c r="C59" i="1"/>
  <c r="D58" i="1"/>
  <c r="C58" i="1"/>
  <c r="D57" i="1"/>
  <c r="C57" i="1"/>
  <c r="D56" i="1"/>
  <c r="C56" i="1"/>
  <c r="C55" i="1"/>
  <c r="D55" i="1"/>
  <c r="D54" i="1"/>
  <c r="C54" i="1"/>
  <c r="D53" i="1"/>
  <c r="C53" i="1"/>
  <c r="D52" i="1"/>
  <c r="C52" i="1"/>
  <c r="D51" i="1"/>
  <c r="N50" i="1" s="1"/>
  <c r="X50" i="1" s="1"/>
  <c r="C51" i="1"/>
  <c r="C50" i="1"/>
  <c r="D50" i="1"/>
  <c r="C49" i="1"/>
  <c r="D49" i="1"/>
  <c r="C48" i="1"/>
  <c r="D48" i="1"/>
  <c r="N47" i="1" s="1"/>
  <c r="X47" i="1" s="1"/>
  <c r="D47" i="1"/>
  <c r="N46" i="1" s="1"/>
  <c r="C47" i="1"/>
  <c r="L15" i="3"/>
  <c r="M15" i="3"/>
  <c r="N15" i="3"/>
  <c r="O15" i="3"/>
  <c r="P15" i="3"/>
  <c r="K14" i="3"/>
  <c r="L14" i="3"/>
  <c r="M14" i="3"/>
  <c r="AI14" i="3" s="1"/>
  <c r="N14" i="3"/>
  <c r="O14" i="3"/>
  <c r="P14" i="3"/>
  <c r="K13" i="3"/>
  <c r="L13" i="3"/>
  <c r="M13" i="3"/>
  <c r="N13" i="3"/>
  <c r="O13" i="3"/>
  <c r="P13" i="3"/>
  <c r="K12" i="3"/>
  <c r="L12" i="3"/>
  <c r="M12" i="3"/>
  <c r="N12" i="3"/>
  <c r="O12" i="3"/>
  <c r="P12" i="3"/>
  <c r="K11" i="3"/>
  <c r="L11" i="3"/>
  <c r="M11" i="3"/>
  <c r="AI11" i="3" s="1"/>
  <c r="N11" i="3"/>
  <c r="O11" i="3"/>
  <c r="P11" i="3"/>
  <c r="AF37" i="1"/>
  <c r="AE37" i="1"/>
  <c r="AC37" i="1"/>
  <c r="AB37" i="1"/>
  <c r="AA37" i="1"/>
  <c r="AF36" i="1"/>
  <c r="AE36" i="1"/>
  <c r="AC36" i="1"/>
  <c r="AB36" i="1"/>
  <c r="AA36" i="1"/>
  <c r="AF35" i="1"/>
  <c r="AE35" i="1"/>
  <c r="AC35" i="1"/>
  <c r="AB35" i="1"/>
  <c r="AF34" i="1"/>
  <c r="AE34" i="1"/>
  <c r="AC34" i="1"/>
  <c r="AB34" i="1"/>
  <c r="AF33" i="1"/>
  <c r="AE33" i="1"/>
  <c r="AC33" i="1"/>
  <c r="AB33" i="1"/>
  <c r="AF32" i="1"/>
  <c r="AE32" i="1"/>
  <c r="AC32" i="1"/>
  <c r="AE31" i="1"/>
  <c r="AD31" i="1"/>
  <c r="AC31" i="1"/>
  <c r="AE30" i="1"/>
  <c r="AD30" i="1"/>
  <c r="AC30" i="1"/>
  <c r="AD29" i="1"/>
  <c r="AC29" i="1"/>
  <c r="AD28" i="1"/>
  <c r="AF27" i="1"/>
  <c r="AD27" i="1"/>
  <c r="AC27" i="1"/>
  <c r="V37" i="1"/>
  <c r="U37" i="1"/>
  <c r="T37" i="1"/>
  <c r="AD37" i="1" s="1"/>
  <c r="S37" i="1"/>
  <c r="R37" i="1"/>
  <c r="Q37" i="1"/>
  <c r="P37" i="1"/>
  <c r="Z37" i="1" s="1"/>
  <c r="O37" i="1"/>
  <c r="Y37" i="1" s="1"/>
  <c r="V36" i="1"/>
  <c r="U36" i="1"/>
  <c r="T36" i="1"/>
  <c r="AD36" i="1" s="1"/>
  <c r="S36" i="1"/>
  <c r="R36" i="1"/>
  <c r="Q36" i="1"/>
  <c r="P36" i="1"/>
  <c r="Z36" i="1" s="1"/>
  <c r="O36" i="1"/>
  <c r="Y36" i="1" s="1"/>
  <c r="V35" i="1"/>
  <c r="U35" i="1"/>
  <c r="T35" i="1"/>
  <c r="AD35" i="1" s="1"/>
  <c r="S35" i="1"/>
  <c r="R35" i="1"/>
  <c r="Q35" i="1"/>
  <c r="AA35" i="1" s="1"/>
  <c r="P35" i="1"/>
  <c r="Z35" i="1" s="1"/>
  <c r="O35" i="1"/>
  <c r="Y35" i="1" s="1"/>
  <c r="V34" i="1"/>
  <c r="U34" i="1"/>
  <c r="T34" i="1"/>
  <c r="AD34" i="1" s="1"/>
  <c r="S34" i="1"/>
  <c r="R34" i="1"/>
  <c r="Q34" i="1"/>
  <c r="AA34" i="1" s="1"/>
  <c r="P34" i="1"/>
  <c r="Z34" i="1" s="1"/>
  <c r="O34" i="1"/>
  <c r="Y34" i="1" s="1"/>
  <c r="T33" i="1"/>
  <c r="AD33" i="1" s="1"/>
  <c r="S33" i="1"/>
  <c r="R33" i="1"/>
  <c r="Q33" i="1"/>
  <c r="AA33" i="1" s="1"/>
  <c r="P33" i="1"/>
  <c r="Z33" i="1" s="1"/>
  <c r="O33" i="1"/>
  <c r="Y33" i="1" s="1"/>
  <c r="T32" i="1"/>
  <c r="AD32" i="1" s="1"/>
  <c r="S32" i="1"/>
  <c r="R32" i="1"/>
  <c r="AB32" i="1" s="1"/>
  <c r="Q32" i="1"/>
  <c r="AA32" i="1" s="1"/>
  <c r="P32" i="1"/>
  <c r="Z32" i="1" s="1"/>
  <c r="O32" i="1"/>
  <c r="Y32" i="1" s="1"/>
  <c r="T31" i="1"/>
  <c r="S31" i="1"/>
  <c r="R31" i="1"/>
  <c r="AB31" i="1" s="1"/>
  <c r="Q31" i="1"/>
  <c r="AA31" i="1" s="1"/>
  <c r="P31" i="1"/>
  <c r="Z31" i="1" s="1"/>
  <c r="O31" i="1"/>
  <c r="Y31" i="1" s="1"/>
  <c r="T30" i="1"/>
  <c r="S30" i="1"/>
  <c r="R30" i="1"/>
  <c r="AB30" i="1" s="1"/>
  <c r="Q30" i="1"/>
  <c r="AA30" i="1" s="1"/>
  <c r="P30" i="1"/>
  <c r="Z30" i="1" s="1"/>
  <c r="O30" i="1"/>
  <c r="Y30" i="1" s="1"/>
  <c r="T29" i="1"/>
  <c r="S29" i="1"/>
  <c r="R29" i="1"/>
  <c r="AB29" i="1" s="1"/>
  <c r="Q29" i="1"/>
  <c r="AA29" i="1" s="1"/>
  <c r="P29" i="1"/>
  <c r="Z29" i="1" s="1"/>
  <c r="O29" i="1"/>
  <c r="Y29" i="1" s="1"/>
  <c r="T28" i="1"/>
  <c r="S28" i="1"/>
  <c r="AC28" i="1" s="1"/>
  <c r="R28" i="1"/>
  <c r="AB28" i="1" s="1"/>
  <c r="Q28" i="1"/>
  <c r="AA28" i="1" s="1"/>
  <c r="P28" i="1"/>
  <c r="Z28" i="1" s="1"/>
  <c r="O28" i="1"/>
  <c r="Y28" i="1" s="1"/>
  <c r="T27" i="1"/>
  <c r="S27" i="1"/>
  <c r="R27" i="1"/>
  <c r="AB27" i="1" s="1"/>
  <c r="Q27" i="1"/>
  <c r="AA27" i="1" s="1"/>
  <c r="P27" i="1"/>
  <c r="Z27" i="1" s="1"/>
  <c r="O27" i="1"/>
  <c r="Y27" i="1" s="1"/>
  <c r="T26" i="1"/>
  <c r="S26" i="1"/>
  <c r="R26" i="1"/>
  <c r="Q26" i="1"/>
  <c r="P26" i="1"/>
  <c r="O26" i="1"/>
  <c r="C43" i="1"/>
  <c r="D43" i="1"/>
  <c r="C42" i="1"/>
  <c r="D42" i="1"/>
  <c r="D41" i="1"/>
  <c r="C41" i="1"/>
  <c r="C40" i="1"/>
  <c r="D40" i="1"/>
  <c r="D39" i="1"/>
  <c r="C39" i="1"/>
  <c r="C38" i="1"/>
  <c r="D38" i="1"/>
  <c r="D37" i="1"/>
  <c r="C37" i="1"/>
  <c r="D36" i="1"/>
  <c r="C36" i="1"/>
  <c r="M35" i="1" s="1"/>
  <c r="W35" i="1" s="1"/>
  <c r="D35" i="1"/>
  <c r="C35" i="1"/>
  <c r="D34" i="1"/>
  <c r="C34" i="1"/>
  <c r="D33" i="1"/>
  <c r="C33" i="1"/>
  <c r="D32" i="1"/>
  <c r="C32" i="1"/>
  <c r="M31" i="1" s="1"/>
  <c r="W31" i="1" s="1"/>
  <c r="D31" i="1"/>
  <c r="C31" i="1"/>
  <c r="C30" i="1"/>
  <c r="D30" i="1"/>
  <c r="D28" i="1"/>
  <c r="D29" i="1"/>
  <c r="D27" i="1"/>
  <c r="N26" i="1" s="1"/>
  <c r="C29" i="1"/>
  <c r="M28" i="1" s="1"/>
  <c r="W28" i="1" s="1"/>
  <c r="C28" i="1"/>
  <c r="C27" i="1"/>
  <c r="N10" i="3"/>
  <c r="O10" i="3"/>
  <c r="P10" i="3"/>
  <c r="K9" i="3"/>
  <c r="L9" i="3"/>
  <c r="M9" i="3"/>
  <c r="N9" i="3"/>
  <c r="O9" i="3"/>
  <c r="P9" i="3"/>
  <c r="K8" i="3"/>
  <c r="L8" i="3"/>
  <c r="M8" i="3"/>
  <c r="N8" i="3"/>
  <c r="O8" i="3"/>
  <c r="P8" i="3"/>
  <c r="AL8" i="3" s="1"/>
  <c r="K7" i="3"/>
  <c r="L7" i="3"/>
  <c r="M7" i="3"/>
  <c r="N7" i="3"/>
  <c r="P7" i="3"/>
  <c r="K6" i="3"/>
  <c r="AG6" i="3" s="1"/>
  <c r="L6" i="3"/>
  <c r="AH6" i="3" s="1"/>
  <c r="M6" i="3"/>
  <c r="AI6" i="3" s="1"/>
  <c r="N6" i="3"/>
  <c r="AJ6" i="3" s="1"/>
  <c r="O6" i="3"/>
  <c r="AK6" i="3" s="1"/>
  <c r="P6" i="3"/>
  <c r="AL6" i="3" s="1"/>
  <c r="K5" i="3"/>
  <c r="L5" i="3"/>
  <c r="M5" i="3"/>
  <c r="N5" i="3"/>
  <c r="O5" i="3"/>
  <c r="P5" i="3"/>
  <c r="U10" i="1"/>
  <c r="AE10" i="1" s="1"/>
  <c r="U9" i="1"/>
  <c r="AE9" i="1" s="1"/>
  <c r="D6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5" i="1"/>
  <c r="AB12" i="1"/>
  <c r="AB11" i="1"/>
  <c r="AA15" i="1"/>
  <c r="AA14" i="1"/>
  <c r="AA16" i="1"/>
  <c r="AB16" i="1"/>
  <c r="AC16" i="1"/>
  <c r="AE16" i="1"/>
  <c r="AA17" i="1"/>
  <c r="AB17" i="1"/>
  <c r="AC17" i="1"/>
  <c r="AE17" i="1"/>
  <c r="O16" i="1"/>
  <c r="Y16" i="1" s="1"/>
  <c r="AI16" i="1" s="1"/>
  <c r="P16" i="1"/>
  <c r="Z16" i="1" s="1"/>
  <c r="Q16" i="1"/>
  <c r="R16" i="1"/>
  <c r="S16" i="1"/>
  <c r="T16" i="1"/>
  <c r="U16" i="1"/>
  <c r="V16" i="1"/>
  <c r="AF16" i="1" s="1"/>
  <c r="O17" i="1"/>
  <c r="P17" i="1"/>
  <c r="Z17" i="1" s="1"/>
  <c r="Q17" i="1"/>
  <c r="R17" i="1"/>
  <c r="S17" i="1"/>
  <c r="T17" i="1"/>
  <c r="AD17" i="1" s="1"/>
  <c r="U17" i="1"/>
  <c r="V17" i="1"/>
  <c r="AF17" i="1" s="1"/>
  <c r="AP17" i="1" s="1"/>
  <c r="O4" i="1"/>
  <c r="Q4" i="1"/>
  <c r="R4" i="1"/>
  <c r="S4" i="1"/>
  <c r="T4" i="1"/>
  <c r="AC6" i="1"/>
  <c r="AD6" i="1"/>
  <c r="AF6" i="1"/>
  <c r="AD7" i="1"/>
  <c r="AF7" i="1"/>
  <c r="AC8" i="1"/>
  <c r="AD8" i="1"/>
  <c r="AF8" i="1"/>
  <c r="AC9" i="1"/>
  <c r="AF9" i="1"/>
  <c r="AC10" i="1"/>
  <c r="AF10" i="1"/>
  <c r="AC11" i="1"/>
  <c r="AE11" i="1"/>
  <c r="AF11" i="1"/>
  <c r="AC12" i="1"/>
  <c r="AE12" i="1"/>
  <c r="AF12" i="1"/>
  <c r="AB13" i="1"/>
  <c r="AC13" i="1"/>
  <c r="AE13" i="1"/>
  <c r="AF13" i="1"/>
  <c r="AB14" i="1"/>
  <c r="AC14" i="1"/>
  <c r="AE14" i="1"/>
  <c r="AF14" i="1"/>
  <c r="AB15" i="1"/>
  <c r="AC15" i="1"/>
  <c r="AE15" i="1"/>
  <c r="AF15" i="1"/>
  <c r="AD5" i="1"/>
  <c r="AE5" i="1"/>
  <c r="AF5" i="1"/>
  <c r="O6" i="1"/>
  <c r="Y6" i="1" s="1"/>
  <c r="Q6" i="1"/>
  <c r="AA6" i="1" s="1"/>
  <c r="R6" i="1"/>
  <c r="AB6" i="1" s="1"/>
  <c r="S6" i="1"/>
  <c r="T6" i="1"/>
  <c r="U6" i="1"/>
  <c r="AE6" i="1" s="1"/>
  <c r="AP6" i="1"/>
  <c r="O7" i="1"/>
  <c r="Y7" i="1" s="1"/>
  <c r="Q7" i="1"/>
  <c r="AA7" i="1" s="1"/>
  <c r="R7" i="1"/>
  <c r="AB7" i="1" s="1"/>
  <c r="S7" i="1"/>
  <c r="AC7" i="1" s="1"/>
  <c r="T7" i="1"/>
  <c r="U7" i="1"/>
  <c r="AE7" i="1" s="1"/>
  <c r="AP7" i="1"/>
  <c r="O8" i="1"/>
  <c r="Y8" i="1" s="1"/>
  <c r="Q8" i="1"/>
  <c r="AA8" i="1" s="1"/>
  <c r="R8" i="1"/>
  <c r="AB8" i="1" s="1"/>
  <c r="S8" i="1"/>
  <c r="T8" i="1"/>
  <c r="U8" i="1"/>
  <c r="AE8" i="1" s="1"/>
  <c r="O9" i="1"/>
  <c r="Y9" i="1" s="1"/>
  <c r="P9" i="1"/>
  <c r="Q9" i="1"/>
  <c r="AA9" i="1" s="1"/>
  <c r="R9" i="1"/>
  <c r="AB9" i="1" s="1"/>
  <c r="S9" i="1"/>
  <c r="T9" i="1"/>
  <c r="AD9" i="1" s="1"/>
  <c r="AP9" i="1"/>
  <c r="O10" i="1"/>
  <c r="Y10" i="1" s="1"/>
  <c r="P10" i="1"/>
  <c r="Z10" i="1" s="1"/>
  <c r="Q10" i="1"/>
  <c r="AA10" i="1" s="1"/>
  <c r="R10" i="1"/>
  <c r="AB10" i="1" s="1"/>
  <c r="S10" i="1"/>
  <c r="T10" i="1"/>
  <c r="AD10" i="1" s="1"/>
  <c r="O11" i="1"/>
  <c r="Y11" i="1" s="1"/>
  <c r="P11" i="1"/>
  <c r="Z11" i="1" s="1"/>
  <c r="Q11" i="1"/>
  <c r="AA11" i="1" s="1"/>
  <c r="R11" i="1"/>
  <c r="S11" i="1"/>
  <c r="T11" i="1"/>
  <c r="AD11" i="1" s="1"/>
  <c r="U11" i="1"/>
  <c r="V11" i="1"/>
  <c r="O12" i="1"/>
  <c r="Y12" i="1" s="1"/>
  <c r="P12" i="1"/>
  <c r="Z12" i="1" s="1"/>
  <c r="Q12" i="1"/>
  <c r="AA12" i="1" s="1"/>
  <c r="R12" i="1"/>
  <c r="S12" i="1"/>
  <c r="T12" i="1"/>
  <c r="AD12" i="1" s="1"/>
  <c r="U12" i="1"/>
  <c r="V12" i="1"/>
  <c r="O13" i="1"/>
  <c r="Y13" i="1" s="1"/>
  <c r="P13" i="1"/>
  <c r="Z13" i="1" s="1"/>
  <c r="Q13" i="1"/>
  <c r="AA13" i="1" s="1"/>
  <c r="R13" i="1"/>
  <c r="S13" i="1"/>
  <c r="T13" i="1"/>
  <c r="AD13" i="1" s="1"/>
  <c r="U13" i="1"/>
  <c r="V13" i="1"/>
  <c r="O14" i="1"/>
  <c r="Y14" i="1" s="1"/>
  <c r="P14" i="1"/>
  <c r="Z14" i="1" s="1"/>
  <c r="Q14" i="1"/>
  <c r="R14" i="1"/>
  <c r="S14" i="1"/>
  <c r="T14" i="1"/>
  <c r="AD14" i="1" s="1"/>
  <c r="U14" i="1"/>
  <c r="V14" i="1"/>
  <c r="O15" i="1"/>
  <c r="Y15" i="1" s="1"/>
  <c r="P15" i="1"/>
  <c r="Z15" i="1" s="1"/>
  <c r="Q15" i="1"/>
  <c r="R15" i="1"/>
  <c r="S15" i="1"/>
  <c r="T15" i="1"/>
  <c r="AD15" i="1" s="1"/>
  <c r="U15" i="1"/>
  <c r="V15" i="1"/>
  <c r="O5" i="1"/>
  <c r="Y5" i="1" s="1"/>
  <c r="Q5" i="1"/>
  <c r="AA5" i="1" s="1"/>
  <c r="R5" i="1"/>
  <c r="AB5" i="1" s="1"/>
  <c r="S5" i="1"/>
  <c r="AC5" i="1" s="1"/>
  <c r="T5" i="1"/>
  <c r="AN5" i="1" s="1"/>
  <c r="U5" i="1"/>
  <c r="AO5" i="1" s="1"/>
  <c r="AP5" i="1"/>
  <c r="AJ18" i="3" l="1"/>
  <c r="AU11" i="3"/>
  <c r="AG18" i="3"/>
  <c r="AJ9" i="3"/>
  <c r="S11" i="3"/>
  <c r="AO11" i="3" s="1"/>
  <c r="AG28" i="3"/>
  <c r="U20" i="3"/>
  <c r="AQ20" i="3" s="1"/>
  <c r="AI16" i="3"/>
  <c r="V25" i="3"/>
  <c r="AR25" i="3" s="1"/>
  <c r="U25" i="3"/>
  <c r="AQ25" i="3" s="1"/>
  <c r="T24" i="3"/>
  <c r="AP24" i="3" s="1"/>
  <c r="S24" i="3"/>
  <c r="AO24" i="3" s="1"/>
  <c r="T20" i="3"/>
  <c r="AP20" i="3" s="1"/>
  <c r="S20" i="3"/>
  <c r="AO20" i="3" s="1"/>
  <c r="R11" i="3"/>
  <c r="AN11" i="3" s="1"/>
  <c r="Q11" i="3"/>
  <c r="AM11" i="3" s="1"/>
  <c r="T16" i="3"/>
  <c r="AP16" i="3" s="1"/>
  <c r="Q27" i="3"/>
  <c r="AM27" i="3" s="1"/>
  <c r="S16" i="3"/>
  <c r="AO16" i="3" s="1"/>
  <c r="T25" i="3"/>
  <c r="AP25" i="3" s="1"/>
  <c r="R24" i="3"/>
  <c r="AN24" i="3" s="1"/>
  <c r="R20" i="3"/>
  <c r="AN20" i="3" s="1"/>
  <c r="R16" i="3"/>
  <c r="AN16" i="3" s="1"/>
  <c r="S25" i="3"/>
  <c r="AO25" i="3" s="1"/>
  <c r="Q24" i="3"/>
  <c r="AM24" i="3" s="1"/>
  <c r="Q20" i="3"/>
  <c r="AM20" i="3" s="1"/>
  <c r="Q16" i="3"/>
  <c r="AM16" i="3" s="1"/>
  <c r="V27" i="3"/>
  <c r="AR27" i="3" s="1"/>
  <c r="R25" i="3"/>
  <c r="AN25" i="3" s="1"/>
  <c r="V11" i="3"/>
  <c r="AR11" i="3" s="1"/>
  <c r="U27" i="3"/>
  <c r="AQ27" i="3" s="1"/>
  <c r="U11" i="3"/>
  <c r="AQ11" i="3" s="1"/>
  <c r="T27" i="3"/>
  <c r="AP27" i="3" s="1"/>
  <c r="V24" i="3"/>
  <c r="AR24" i="3" s="1"/>
  <c r="V20" i="3"/>
  <c r="AR20" i="3" s="1"/>
  <c r="V16" i="3"/>
  <c r="AR16" i="3" s="1"/>
  <c r="T11" i="3"/>
  <c r="AP11" i="3" s="1"/>
  <c r="R27" i="3"/>
  <c r="AN27" i="3" s="1"/>
  <c r="V5" i="3"/>
  <c r="AR5" i="3" s="1"/>
  <c r="U5" i="3"/>
  <c r="AQ5" i="3" s="1"/>
  <c r="T5" i="3"/>
  <c r="AP5" i="3" s="1"/>
  <c r="S5" i="3"/>
  <c r="AO5" i="3" s="1"/>
  <c r="Q5" i="3"/>
  <c r="AM5" i="3" s="1"/>
  <c r="AM25" i="3"/>
  <c r="AQ24" i="3"/>
  <c r="AQ16" i="3"/>
  <c r="AL18" i="3"/>
  <c r="AK18" i="3"/>
  <c r="AO27" i="3"/>
  <c r="AN5" i="3"/>
  <c r="AK5" i="3"/>
  <c r="AJ5" i="3"/>
  <c r="AK16" i="3"/>
  <c r="AB5" i="3"/>
  <c r="AE16" i="3"/>
  <c r="AJ16" i="3"/>
  <c r="AD16" i="3"/>
  <c r="AK8" i="3"/>
  <c r="Y16" i="3"/>
  <c r="AH16" i="3"/>
  <c r="AJ8" i="3"/>
  <c r="AK14" i="3"/>
  <c r="AG16" i="3"/>
  <c r="AE25" i="3"/>
  <c r="AF16" i="3"/>
  <c r="AB16" i="3"/>
  <c r="AI8" i="3"/>
  <c r="AL16" i="3"/>
  <c r="AH8" i="3"/>
  <c r="AG8" i="3"/>
  <c r="AA16" i="3"/>
  <c r="E6" i="3"/>
  <c r="AA6" i="3" s="1"/>
  <c r="AH24" i="3"/>
  <c r="AH23" i="3"/>
  <c r="AF27" i="3"/>
  <c r="AH27" i="3"/>
  <c r="AE27" i="3"/>
  <c r="AL28" i="3"/>
  <c r="AC27" i="3"/>
  <c r="AA27" i="3"/>
  <c r="Z27" i="3"/>
  <c r="AA20" i="3"/>
  <c r="H21" i="3"/>
  <c r="AD21" i="3" s="1"/>
  <c r="AL15" i="3"/>
  <c r="F21" i="3"/>
  <c r="AB21" i="3" s="1"/>
  <c r="AK15" i="3"/>
  <c r="J17" i="3"/>
  <c r="AI21" i="3"/>
  <c r="J28" i="3"/>
  <c r="AJ15" i="3"/>
  <c r="H12" i="3"/>
  <c r="AD12" i="3" s="1"/>
  <c r="AL26" i="3"/>
  <c r="H28" i="3"/>
  <c r="AD28" i="3" s="1"/>
  <c r="AI15" i="3"/>
  <c r="G6" i="3"/>
  <c r="AC6" i="3" s="1"/>
  <c r="F12" i="3"/>
  <c r="AB12" i="3" s="1"/>
  <c r="H25" i="3"/>
  <c r="AD25" i="3" s="1"/>
  <c r="AK26" i="3"/>
  <c r="AH15" i="3"/>
  <c r="F25" i="3"/>
  <c r="AB25" i="3" s="1"/>
  <c r="AG26" i="3"/>
  <c r="AJ30" i="3"/>
  <c r="AH17" i="3"/>
  <c r="AI25" i="3"/>
  <c r="AJ17" i="3"/>
  <c r="AL19" i="3"/>
  <c r="AK24" i="3"/>
  <c r="AJ25" i="3"/>
  <c r="AJ24" i="3"/>
  <c r="AG17" i="3"/>
  <c r="AB24" i="3"/>
  <c r="AI24" i="3"/>
  <c r="AH29" i="3"/>
  <c r="AG24" i="3"/>
  <c r="AJ26" i="3"/>
  <c r="AL24" i="3"/>
  <c r="AL5" i="3"/>
  <c r="AH11" i="3"/>
  <c r="AJ14" i="3"/>
  <c r="AI17" i="3"/>
  <c r="AA5" i="3"/>
  <c r="F6" i="3"/>
  <c r="G12" i="3"/>
  <c r="AC12" i="3" s="1"/>
  <c r="D12" i="3"/>
  <c r="Z12" i="3" s="1"/>
  <c r="D21" i="3"/>
  <c r="Z21" i="3" s="1"/>
  <c r="G21" i="3"/>
  <c r="AC21" i="3" s="1"/>
  <c r="AG20" i="3"/>
  <c r="G25" i="3"/>
  <c r="AC25" i="3" s="1"/>
  <c r="AA24" i="3"/>
  <c r="I28" i="3"/>
  <c r="AK28" i="3"/>
  <c r="AH14" i="3"/>
  <c r="AA11" i="3"/>
  <c r="E12" i="3"/>
  <c r="AA12" i="3" s="1"/>
  <c r="I17" i="3"/>
  <c r="E21" i="3"/>
  <c r="AA21" i="3" s="1"/>
  <c r="AG13" i="3"/>
  <c r="E25" i="3"/>
  <c r="AA25" i="3" s="1"/>
  <c r="G28" i="3"/>
  <c r="AC28" i="3" s="1"/>
  <c r="AH28" i="3"/>
  <c r="AI5" i="3"/>
  <c r="AG14" i="3"/>
  <c r="Z5" i="3"/>
  <c r="AE11" i="3"/>
  <c r="H17" i="3"/>
  <c r="AD17" i="3" s="1"/>
  <c r="D6" i="3"/>
  <c r="Z6" i="3" s="1"/>
  <c r="AI9" i="3"/>
  <c r="AI12" i="3"/>
  <c r="AF24" i="3"/>
  <c r="AK25" i="3"/>
  <c r="F28" i="3"/>
  <c r="AB28" i="3" s="1"/>
  <c r="AJ28" i="3"/>
  <c r="AH5" i="3"/>
  <c r="AL11" i="3"/>
  <c r="AE5" i="3"/>
  <c r="AD11" i="3"/>
  <c r="G17" i="3"/>
  <c r="AC17" i="3" s="1"/>
  <c r="J6" i="3"/>
  <c r="D17" i="3"/>
  <c r="Z17" i="3" s="1"/>
  <c r="Z24" i="3"/>
  <c r="AE24" i="3"/>
  <c r="E28" i="3"/>
  <c r="AA28" i="3" s="1"/>
  <c r="AG11" i="3"/>
  <c r="AG5" i="3"/>
  <c r="AK11" i="3"/>
  <c r="AL17" i="3"/>
  <c r="AD5" i="3"/>
  <c r="I6" i="3"/>
  <c r="AC11" i="3"/>
  <c r="F17" i="3"/>
  <c r="AB17" i="3" s="1"/>
  <c r="AF5" i="3"/>
  <c r="J21" i="3"/>
  <c r="AG19" i="3"/>
  <c r="J25" i="3"/>
  <c r="AD24" i="3"/>
  <c r="D28" i="3"/>
  <c r="Z28" i="3" s="1"/>
  <c r="AJ11" i="3"/>
  <c r="AL14" i="3"/>
  <c r="AK17" i="3"/>
  <c r="AC5" i="3"/>
  <c r="H6" i="3"/>
  <c r="AD6" i="3" s="1"/>
  <c r="AB11" i="3"/>
  <c r="I12" i="3"/>
  <c r="E17" i="3"/>
  <c r="AA17" i="3" s="1"/>
  <c r="J12" i="3"/>
  <c r="I21" i="3"/>
  <c r="D25" i="3"/>
  <c r="Z25" i="3" s="1"/>
  <c r="AC24" i="3"/>
  <c r="AK19" i="3"/>
  <c r="AG27" i="3"/>
  <c r="AG29" i="3"/>
  <c r="AL7" i="3"/>
  <c r="AJ19" i="3"/>
  <c r="AH25" i="3"/>
  <c r="AK7" i="3"/>
  <c r="AI19" i="3"/>
  <c r="AI26" i="3"/>
  <c r="AG25" i="3"/>
  <c r="AI28" i="3"/>
  <c r="AJ7" i="3"/>
  <c r="AH19" i="3"/>
  <c r="AH26" i="3"/>
  <c r="AL27" i="3"/>
  <c r="AL29" i="3"/>
  <c r="AI7" i="3"/>
  <c r="AK20" i="3"/>
  <c r="AK27" i="3"/>
  <c r="AK29" i="3"/>
  <c r="AL30" i="3"/>
  <c r="AH7" i="3"/>
  <c r="AF20" i="3"/>
  <c r="AL25" i="3"/>
  <c r="AJ27" i="3"/>
  <c r="AJ29" i="3"/>
  <c r="AK30" i="3"/>
  <c r="AG7" i="3"/>
  <c r="AD27" i="3"/>
  <c r="AB27" i="3"/>
  <c r="C30" i="3"/>
  <c r="Y30" i="3" s="1"/>
  <c r="C29" i="3"/>
  <c r="Y29" i="3" s="1"/>
  <c r="C28" i="3"/>
  <c r="Y28" i="3" s="1"/>
  <c r="C27" i="3"/>
  <c r="Y27" i="3" s="1"/>
  <c r="C26" i="3"/>
  <c r="Y26" i="3" s="1"/>
  <c r="C25" i="3"/>
  <c r="Y25" i="3" s="1"/>
  <c r="C24" i="3"/>
  <c r="Y24" i="3" s="1"/>
  <c r="AL23" i="3"/>
  <c r="AI13" i="3"/>
  <c r="D93" i="1"/>
  <c r="AL12" i="3"/>
  <c r="AE20" i="3"/>
  <c r="AJ20" i="3"/>
  <c r="AH21" i="3"/>
  <c r="AH9" i="3"/>
  <c r="AK12" i="3"/>
  <c r="Z20" i="3"/>
  <c r="AD20" i="3"/>
  <c r="AH20" i="3"/>
  <c r="AG9" i="3"/>
  <c r="AJ12" i="3"/>
  <c r="AC20" i="3"/>
  <c r="AB20" i="3"/>
  <c r="AH12" i="3"/>
  <c r="AL9" i="3"/>
  <c r="AG12" i="3"/>
  <c r="AK9" i="3"/>
  <c r="AL20" i="3"/>
  <c r="AH13" i="3"/>
  <c r="AG21" i="3"/>
  <c r="AH22" i="3"/>
  <c r="AI22" i="3"/>
  <c r="AL10" i="3"/>
  <c r="AB77" i="1"/>
  <c r="AG22" i="3"/>
  <c r="AK10" i="3"/>
  <c r="AL13" i="3"/>
  <c r="AI20" i="3"/>
  <c r="AJ10" i="3"/>
  <c r="AL21" i="3"/>
  <c r="AK23" i="3"/>
  <c r="AK21" i="3"/>
  <c r="AL22" i="3"/>
  <c r="AJ23" i="3"/>
  <c r="AK13" i="3"/>
  <c r="AJ21" i="3"/>
  <c r="AK22" i="3"/>
  <c r="AI23" i="3"/>
  <c r="AJ13" i="3"/>
  <c r="Z16" i="3"/>
  <c r="Z11" i="3"/>
  <c r="C23" i="3"/>
  <c r="Y23" i="3" s="1"/>
  <c r="C22" i="3"/>
  <c r="Y22" i="3" s="1"/>
  <c r="C21" i="3"/>
  <c r="Y21" i="3" s="1"/>
  <c r="C20" i="3"/>
  <c r="Y20" i="3" s="1"/>
  <c r="X76" i="1"/>
  <c r="Z77" i="1"/>
  <c r="AA77" i="1"/>
  <c r="W77" i="1"/>
  <c r="Y76" i="1"/>
  <c r="Y77" i="1"/>
  <c r="X77" i="1"/>
  <c r="Z75" i="1" a="1"/>
  <c r="Z75" i="1" s="1"/>
  <c r="AA76" i="1"/>
  <c r="W76" i="1"/>
  <c r="Z76" i="1"/>
  <c r="X75" i="1" a="1"/>
  <c r="X75" i="1" s="1"/>
  <c r="Y75" i="1" a="1"/>
  <c r="Y75" i="1" s="1"/>
  <c r="AA75" i="1" a="1"/>
  <c r="AA75" i="1" s="1"/>
  <c r="W75" i="1" a="1"/>
  <c r="W75" i="1" s="1"/>
  <c r="M51" i="1"/>
  <c r="W51" i="1" s="1"/>
  <c r="N28" i="1"/>
  <c r="X28" i="1" s="1"/>
  <c r="M32" i="1"/>
  <c r="W32" i="1" s="1"/>
  <c r="M36" i="1"/>
  <c r="W36" i="1" s="1"/>
  <c r="M47" i="1"/>
  <c r="W47" i="1" s="1"/>
  <c r="N55" i="1"/>
  <c r="X55" i="1" s="1"/>
  <c r="N31" i="1"/>
  <c r="X31" i="1" s="1"/>
  <c r="N27" i="1"/>
  <c r="X27" i="1" s="1"/>
  <c r="N32" i="1"/>
  <c r="X32" i="1" s="1"/>
  <c r="N36" i="1"/>
  <c r="X36" i="1" s="1"/>
  <c r="N48" i="1"/>
  <c r="X48" i="1" s="1"/>
  <c r="M52" i="1"/>
  <c r="W52" i="1" s="1"/>
  <c r="M54" i="1"/>
  <c r="W54" i="1" s="1"/>
  <c r="N29" i="1"/>
  <c r="X29" i="1" s="1"/>
  <c r="M33" i="1"/>
  <c r="W33" i="1" s="1"/>
  <c r="M48" i="1"/>
  <c r="W48" i="1" s="1"/>
  <c r="N56" i="1"/>
  <c r="X56" i="1" s="1"/>
  <c r="M29" i="1"/>
  <c r="W29" i="1" s="1"/>
  <c r="N33" i="1"/>
  <c r="X33" i="1" s="1"/>
  <c r="M37" i="1"/>
  <c r="W37" i="1" s="1"/>
  <c r="N49" i="1"/>
  <c r="X49" i="1" s="1"/>
  <c r="M53" i="1"/>
  <c r="W53" i="1" s="1"/>
  <c r="AB58" i="1" a="1"/>
  <c r="AB58" i="1" s="1"/>
  <c r="M26" i="1"/>
  <c r="M30" i="1"/>
  <c r="W30" i="1" s="1"/>
  <c r="M34" i="1"/>
  <c r="W34" i="1" s="1"/>
  <c r="M49" i="1"/>
  <c r="W49" i="1" s="1"/>
  <c r="M27" i="1"/>
  <c r="W27" i="1" s="1"/>
  <c r="N30" i="1"/>
  <c r="X30" i="1" s="1"/>
  <c r="N34" i="1"/>
  <c r="X34" i="1" s="1"/>
  <c r="N37" i="1"/>
  <c r="X37" i="1" s="1"/>
  <c r="M46" i="1"/>
  <c r="M50" i="1"/>
  <c r="W50" i="1" s="1"/>
  <c r="N54" i="1"/>
  <c r="X54" i="1" s="1"/>
  <c r="M55" i="1"/>
  <c r="W55" i="1" s="1"/>
  <c r="N51" i="1"/>
  <c r="X51" i="1" s="1"/>
  <c r="M56" i="1"/>
  <c r="W56" i="1" s="1"/>
  <c r="N35" i="1"/>
  <c r="X35" i="1" s="1"/>
  <c r="N53" i="1"/>
  <c r="X53" i="1" s="1"/>
  <c r="N52" i="1"/>
  <c r="X52" i="1" s="1"/>
  <c r="B7" i="3"/>
  <c r="C19" i="3"/>
  <c r="Y19" i="3" s="1"/>
  <c r="C18" i="3"/>
  <c r="Y18" i="3" s="1"/>
  <c r="C17" i="3"/>
  <c r="Y17" i="3" s="1"/>
  <c r="AM12" i="1"/>
  <c r="AK17" i="1"/>
  <c r="AA60" i="1"/>
  <c r="Z60" i="1"/>
  <c r="Y60" i="1"/>
  <c r="AB60" i="1"/>
  <c r="AA59" i="1"/>
  <c r="Z59" i="1"/>
  <c r="Y59" i="1"/>
  <c r="AB59" i="1"/>
  <c r="AA58" i="1" a="1"/>
  <c r="AA58" i="1" s="1"/>
  <c r="Z58" i="1" a="1"/>
  <c r="Z58" i="1" s="1"/>
  <c r="Y58" i="1" a="1"/>
  <c r="Y58" i="1" s="1"/>
  <c r="AM9" i="1"/>
  <c r="AK16" i="1"/>
  <c r="C15" i="3"/>
  <c r="Y15" i="3" s="1"/>
  <c r="C14" i="3"/>
  <c r="Y14" i="3" s="1"/>
  <c r="C13" i="3"/>
  <c r="Y13" i="3" s="1"/>
  <c r="C12" i="3"/>
  <c r="Y12" i="3" s="1"/>
  <c r="C11" i="3"/>
  <c r="Y11" i="3" s="1"/>
  <c r="Z41" i="1"/>
  <c r="AB41" i="1"/>
  <c r="Y41" i="1"/>
  <c r="AA41" i="1"/>
  <c r="AA40" i="1"/>
  <c r="AB39" i="1" a="1"/>
  <c r="AB39" i="1" s="1"/>
  <c r="Y39" i="1" a="1"/>
  <c r="Y39" i="1" s="1"/>
  <c r="Z39" i="1" a="1"/>
  <c r="Z39" i="1" s="1"/>
  <c r="AA39" i="1" a="1"/>
  <c r="AA39" i="1" s="1"/>
  <c r="AB40" i="1"/>
  <c r="Z40" i="1"/>
  <c r="Y40" i="1"/>
  <c r="AO15" i="1"/>
  <c r="N16" i="1"/>
  <c r="X16" i="1" s="1"/>
  <c r="AL17" i="1"/>
  <c r="AL13" i="1"/>
  <c r="AM17" i="1"/>
  <c r="N17" i="1"/>
  <c r="X17" i="1" s="1"/>
  <c r="AH17" i="1" s="1"/>
  <c r="AO14" i="1"/>
  <c r="AM6" i="1"/>
  <c r="AL16" i="1"/>
  <c r="AM10" i="1"/>
  <c r="AN8" i="1"/>
  <c r="AP14" i="1"/>
  <c r="AN6" i="1"/>
  <c r="AO16" i="1"/>
  <c r="AP12" i="1"/>
  <c r="AO12" i="1"/>
  <c r="AP15" i="1"/>
  <c r="AN7" i="1"/>
  <c r="AM15" i="1"/>
  <c r="AL15" i="1"/>
  <c r="AM16" i="1"/>
  <c r="C10" i="3"/>
  <c r="Y10" i="3" s="1"/>
  <c r="C9" i="3"/>
  <c r="Y9" i="3" s="1"/>
  <c r="C8" i="3"/>
  <c r="Y8" i="3" s="1"/>
  <c r="C7" i="3"/>
  <c r="Y7" i="3" s="1"/>
  <c r="C6" i="3"/>
  <c r="Y6" i="3" s="1"/>
  <c r="C5" i="3"/>
  <c r="Y5" i="3" s="1"/>
  <c r="AA19" i="1" a="1"/>
  <c r="AA19" i="1" s="1"/>
  <c r="AB19" i="1" a="1"/>
  <c r="AB19" i="1" s="1"/>
  <c r="AB21" i="1"/>
  <c r="AB20" i="1"/>
  <c r="N15" i="1"/>
  <c r="X15" i="1" s="1"/>
  <c r="AA21" i="1"/>
  <c r="AO17" i="1"/>
  <c r="AJ17" i="1"/>
  <c r="Y17" i="1"/>
  <c r="AI17" i="1" s="1"/>
  <c r="AN17" i="1"/>
  <c r="AJ16" i="1"/>
  <c r="AP16" i="1"/>
  <c r="AD16" i="1"/>
  <c r="AN16" i="1" s="1"/>
  <c r="AA20" i="1"/>
  <c r="AM11" i="1"/>
  <c r="AP8" i="1"/>
  <c r="AP13" i="1"/>
  <c r="AM8" i="1"/>
  <c r="AO13" i="1"/>
  <c r="AM14" i="1"/>
  <c r="AP11" i="1"/>
  <c r="AL14" i="1"/>
  <c r="AM13" i="1"/>
  <c r="AO11" i="1"/>
  <c r="AP10" i="1"/>
  <c r="Y20" i="1"/>
  <c r="AK7" i="1"/>
  <c r="AL10" i="1"/>
  <c r="AI9" i="1"/>
  <c r="AL7" i="1"/>
  <c r="AN13" i="1"/>
  <c r="AM7" i="1"/>
  <c r="AI8" i="1"/>
  <c r="AJ11" i="1"/>
  <c r="AK11" i="1"/>
  <c r="AL6" i="1"/>
  <c r="AK8" i="1"/>
  <c r="AI12" i="1"/>
  <c r="AL8" i="1"/>
  <c r="AJ12" i="1"/>
  <c r="AN14" i="1"/>
  <c r="AM5" i="1"/>
  <c r="AK6" i="1"/>
  <c r="AI7" i="1"/>
  <c r="AO8" i="1"/>
  <c r="AK10" i="1"/>
  <c r="AI11" i="1"/>
  <c r="AK14" i="1"/>
  <c r="AI15" i="1"/>
  <c r="AN9" i="1"/>
  <c r="AJ15" i="1"/>
  <c r="AK15" i="1"/>
  <c r="AN10" i="1"/>
  <c r="AL11" i="1"/>
  <c r="AI5" i="1"/>
  <c r="AO6" i="1"/>
  <c r="AO10" i="1"/>
  <c r="AK12" i="1"/>
  <c r="AI13" i="1"/>
  <c r="AN11" i="1"/>
  <c r="AL12" i="1"/>
  <c r="AJ13" i="1"/>
  <c r="AN15" i="1"/>
  <c r="AO9" i="1"/>
  <c r="AK5" i="1"/>
  <c r="AI6" i="1"/>
  <c r="AO7" i="1"/>
  <c r="AK9" i="1"/>
  <c r="AI10" i="1"/>
  <c r="AK13" i="1"/>
  <c r="AI14" i="1"/>
  <c r="AL5" i="1"/>
  <c r="AL9" i="1"/>
  <c r="AJ10" i="1"/>
  <c r="AN12" i="1"/>
  <c r="AJ14" i="1"/>
  <c r="V21" i="3" l="1"/>
  <c r="AR21" i="3" s="1"/>
  <c r="Q21" i="3"/>
  <c r="AM21" i="3" s="1"/>
  <c r="R21" i="3"/>
  <c r="AN21" i="3" s="1"/>
  <c r="S21" i="3"/>
  <c r="AO21" i="3" s="1"/>
  <c r="U21" i="3"/>
  <c r="AQ21" i="3" s="1"/>
  <c r="T21" i="3"/>
  <c r="AP21" i="3" s="1"/>
  <c r="U28" i="3"/>
  <c r="AQ28" i="3" s="1"/>
  <c r="S28" i="3"/>
  <c r="AO28" i="3" s="1"/>
  <c r="V28" i="3"/>
  <c r="AR28" i="3" s="1"/>
  <c r="T28" i="3"/>
  <c r="AP28" i="3" s="1"/>
  <c r="Q28" i="3"/>
  <c r="AM28" i="3" s="1"/>
  <c r="R28" i="3"/>
  <c r="AN28" i="3" s="1"/>
  <c r="Q6" i="3"/>
  <c r="AM6" i="3" s="1"/>
  <c r="R6" i="3"/>
  <c r="AN6" i="3" s="1"/>
  <c r="S6" i="3"/>
  <c r="AO6" i="3" s="1"/>
  <c r="T6" i="3"/>
  <c r="AP6" i="3" s="1"/>
  <c r="U6" i="3"/>
  <c r="AQ6" i="3" s="1"/>
  <c r="V6" i="3"/>
  <c r="AR6" i="3" s="1"/>
  <c r="U12" i="3"/>
  <c r="AQ12" i="3" s="1"/>
  <c r="S12" i="3"/>
  <c r="AO12" i="3" s="1"/>
  <c r="V12" i="3"/>
  <c r="AR12" i="3" s="1"/>
  <c r="Q12" i="3"/>
  <c r="AM12" i="3" s="1"/>
  <c r="T12" i="3"/>
  <c r="AP12" i="3" s="1"/>
  <c r="R12" i="3"/>
  <c r="AN12" i="3" s="1"/>
  <c r="Q17" i="3"/>
  <c r="AM17" i="3" s="1"/>
  <c r="R17" i="3"/>
  <c r="AN17" i="3" s="1"/>
  <c r="S17" i="3"/>
  <c r="AO17" i="3" s="1"/>
  <c r="V17" i="3"/>
  <c r="AR17" i="3" s="1"/>
  <c r="T17" i="3"/>
  <c r="AP17" i="3" s="1"/>
  <c r="U17" i="3"/>
  <c r="AQ17" i="3" s="1"/>
  <c r="AF12" i="3"/>
  <c r="AF28" i="3"/>
  <c r="AF25" i="3"/>
  <c r="AF17" i="3"/>
  <c r="AF6" i="3"/>
  <c r="AF21" i="3"/>
  <c r="AE17" i="3"/>
  <c r="AE28" i="3"/>
  <c r="AE6" i="3"/>
  <c r="AE12" i="3"/>
  <c r="AE21" i="3"/>
  <c r="D29" i="3"/>
  <c r="Z29" i="3" s="1"/>
  <c r="H18" i="3"/>
  <c r="AD18" i="3" s="1"/>
  <c r="E29" i="3"/>
  <c r="AA29" i="3" s="1"/>
  <c r="D26" i="3"/>
  <c r="Z26" i="3" s="1"/>
  <c r="J13" i="3"/>
  <c r="I18" i="3"/>
  <c r="E13" i="3"/>
  <c r="AA13" i="3" s="1"/>
  <c r="E18" i="3"/>
  <c r="AA18" i="3" s="1"/>
  <c r="I13" i="3"/>
  <c r="D22" i="3"/>
  <c r="Z22" i="3" s="1"/>
  <c r="F29" i="3"/>
  <c r="AB29" i="3" s="1"/>
  <c r="E26" i="3"/>
  <c r="AA26" i="3" s="1"/>
  <c r="E22" i="3"/>
  <c r="AA22" i="3" s="1"/>
  <c r="F13" i="3"/>
  <c r="AB13" i="3" s="1"/>
  <c r="E7" i="3"/>
  <c r="AA7" i="3" s="1"/>
  <c r="I29" i="3"/>
  <c r="H26" i="3"/>
  <c r="AD26" i="3" s="1"/>
  <c r="H7" i="3"/>
  <c r="AD7" i="3" s="1"/>
  <c r="G18" i="3"/>
  <c r="AC18" i="3" s="1"/>
  <c r="G29" i="3"/>
  <c r="AC29" i="3" s="1"/>
  <c r="F26" i="3"/>
  <c r="AB26" i="3" s="1"/>
  <c r="F22" i="3"/>
  <c r="AB22" i="3" s="1"/>
  <c r="D18" i="3"/>
  <c r="Z18" i="3" s="1"/>
  <c r="J7" i="3"/>
  <c r="G13" i="3"/>
  <c r="AC13" i="3" s="1"/>
  <c r="F7" i="3"/>
  <c r="D13" i="3"/>
  <c r="Z13" i="3" s="1"/>
  <c r="H29" i="3"/>
  <c r="AD29" i="3" s="1"/>
  <c r="G26" i="3"/>
  <c r="AC26" i="3" s="1"/>
  <c r="G22" i="3"/>
  <c r="AC22" i="3" s="1"/>
  <c r="D7" i="3"/>
  <c r="Z7" i="3" s="1"/>
  <c r="H13" i="3"/>
  <c r="AD13" i="3" s="1"/>
  <c r="G7" i="3"/>
  <c r="AC7" i="3" s="1"/>
  <c r="H22" i="3"/>
  <c r="AD22" i="3" s="1"/>
  <c r="J22" i="3"/>
  <c r="J29" i="3"/>
  <c r="I26" i="3"/>
  <c r="I22" i="3"/>
  <c r="J18" i="3"/>
  <c r="F18" i="3"/>
  <c r="AB18" i="3" s="1"/>
  <c r="I7" i="3"/>
  <c r="J26" i="3"/>
  <c r="AH4" i="3"/>
  <c r="AU7" i="3" s="1"/>
  <c r="AI4" i="3"/>
  <c r="AV7" i="3" s="1"/>
  <c r="AL4" i="3"/>
  <c r="AZ7" i="3" s="1"/>
  <c r="AG4" i="3"/>
  <c r="AT7" i="3" s="1"/>
  <c r="AJ4" i="3"/>
  <c r="AW7" i="3" s="1"/>
  <c r="AK4" i="3"/>
  <c r="AX7" i="3" s="1"/>
  <c r="W39" i="1" a="1"/>
  <c r="W39" i="1" s="1"/>
  <c r="W40" i="1"/>
  <c r="W60" i="1"/>
  <c r="W41" i="1"/>
  <c r="X39" i="1" a="1"/>
  <c r="X39" i="1" s="1"/>
  <c r="X58" i="1" a="1"/>
  <c r="X58" i="1" s="1"/>
  <c r="W59" i="1"/>
  <c r="X60" i="1"/>
  <c r="W58" i="1" a="1"/>
  <c r="W58" i="1" s="1"/>
  <c r="X41" i="1"/>
  <c r="X40" i="1"/>
  <c r="X59" i="1"/>
  <c r="B8" i="3"/>
  <c r="AB6" i="3"/>
  <c r="Y4" i="3"/>
  <c r="AH16" i="1"/>
  <c r="Y19" i="1" a="1"/>
  <c r="Y19" i="1" s="1"/>
  <c r="AH15" i="1"/>
  <c r="Y21" i="1"/>
  <c r="Q29" i="3" l="1"/>
  <c r="AM29" i="3" s="1"/>
  <c r="R29" i="3"/>
  <c r="AN29" i="3" s="1"/>
  <c r="S29" i="3"/>
  <c r="AO29" i="3" s="1"/>
  <c r="V29" i="3"/>
  <c r="AR29" i="3" s="1"/>
  <c r="T29" i="3"/>
  <c r="AP29" i="3" s="1"/>
  <c r="U29" i="3"/>
  <c r="AQ29" i="3" s="1"/>
  <c r="Q18" i="3"/>
  <c r="AM18" i="3" s="1"/>
  <c r="R18" i="3"/>
  <c r="AN18" i="3" s="1"/>
  <c r="S18" i="3"/>
  <c r="AO18" i="3" s="1"/>
  <c r="T18" i="3"/>
  <c r="AP18" i="3" s="1"/>
  <c r="U18" i="3"/>
  <c r="AQ18" i="3" s="1"/>
  <c r="V18" i="3"/>
  <c r="AR18" i="3" s="1"/>
  <c r="Q22" i="3"/>
  <c r="R22" i="3"/>
  <c r="AN22" i="3" s="1"/>
  <c r="S22" i="3"/>
  <c r="AO22" i="3" s="1"/>
  <c r="T22" i="3"/>
  <c r="AP22" i="3" s="1"/>
  <c r="U22" i="3"/>
  <c r="AQ22" i="3" s="1"/>
  <c r="V22" i="3"/>
  <c r="AR22" i="3" s="1"/>
  <c r="Q26" i="3"/>
  <c r="AM26" i="3" s="1"/>
  <c r="R26" i="3"/>
  <c r="AN26" i="3" s="1"/>
  <c r="S26" i="3"/>
  <c r="AO26" i="3" s="1"/>
  <c r="T26" i="3"/>
  <c r="AP26" i="3" s="1"/>
  <c r="U26" i="3"/>
  <c r="AQ26" i="3" s="1"/>
  <c r="V26" i="3"/>
  <c r="AR26" i="3" s="1"/>
  <c r="S7" i="3"/>
  <c r="AO7" i="3" s="1"/>
  <c r="T7" i="3"/>
  <c r="AP7" i="3" s="1"/>
  <c r="U7" i="3"/>
  <c r="AQ7" i="3" s="1"/>
  <c r="V7" i="3"/>
  <c r="AR7" i="3" s="1"/>
  <c r="Q7" i="3"/>
  <c r="AM7" i="3" s="1"/>
  <c r="R7" i="3"/>
  <c r="AN7" i="3" s="1"/>
  <c r="U13" i="3"/>
  <c r="AQ13" i="3" s="1"/>
  <c r="V13" i="3"/>
  <c r="AR13" i="3" s="1"/>
  <c r="Q13" i="3"/>
  <c r="AM13" i="3" s="1"/>
  <c r="R13" i="3"/>
  <c r="AN13" i="3" s="1"/>
  <c r="S13" i="3"/>
  <c r="AO13" i="3" s="1"/>
  <c r="T13" i="3"/>
  <c r="AP13" i="3" s="1"/>
  <c r="AM22" i="3"/>
  <c r="AF26" i="3"/>
  <c r="AF7" i="3"/>
  <c r="AF18" i="3"/>
  <c r="AF13" i="3"/>
  <c r="AF29" i="3"/>
  <c r="AF22" i="3"/>
  <c r="AE22" i="3"/>
  <c r="AE18" i="3"/>
  <c r="AE26" i="3"/>
  <c r="E30" i="3"/>
  <c r="AA30" i="3" s="1"/>
  <c r="E23" i="3"/>
  <c r="AA23" i="3" s="1"/>
  <c r="D23" i="3"/>
  <c r="Z23" i="3" s="1"/>
  <c r="D14" i="3"/>
  <c r="Z14" i="3" s="1"/>
  <c r="G14" i="3"/>
  <c r="AC14" i="3" s="1"/>
  <c r="F8" i="3"/>
  <c r="F30" i="3"/>
  <c r="AB30" i="3" s="1"/>
  <c r="F23" i="3"/>
  <c r="AB23" i="3" s="1"/>
  <c r="H14" i="3"/>
  <c r="AD14" i="3" s="1"/>
  <c r="G8" i="3"/>
  <c r="AC8" i="3" s="1"/>
  <c r="G30" i="3"/>
  <c r="AC30" i="3" s="1"/>
  <c r="G23" i="3"/>
  <c r="AC23" i="3" s="1"/>
  <c r="J14" i="3"/>
  <c r="E19" i="3"/>
  <c r="AA19" i="3" s="1"/>
  <c r="I14" i="3"/>
  <c r="H8" i="3"/>
  <c r="AD8" i="3" s="1"/>
  <c r="H19" i="3"/>
  <c r="AD19" i="3" s="1"/>
  <c r="F14" i="3"/>
  <c r="AB14" i="3" s="1"/>
  <c r="E8" i="3"/>
  <c r="AA8" i="3" s="1"/>
  <c r="H30" i="3"/>
  <c r="AD30" i="3" s="1"/>
  <c r="H23" i="3"/>
  <c r="AD23" i="3" s="1"/>
  <c r="F19" i="3"/>
  <c r="AB19" i="3" s="1"/>
  <c r="I8" i="3"/>
  <c r="J23" i="3"/>
  <c r="I30" i="3"/>
  <c r="I23" i="3"/>
  <c r="D19" i="3"/>
  <c r="Z19" i="3" s="1"/>
  <c r="J8" i="3"/>
  <c r="G19" i="3"/>
  <c r="AC19" i="3" s="1"/>
  <c r="J30" i="3"/>
  <c r="AF30" i="3" s="1"/>
  <c r="D8" i="3"/>
  <c r="Z8" i="3" s="1"/>
  <c r="J19" i="3"/>
  <c r="I19" i="3"/>
  <c r="E14" i="3"/>
  <c r="AA14" i="3" s="1"/>
  <c r="D30" i="3"/>
  <c r="Z30" i="3" s="1"/>
  <c r="AE7" i="3"/>
  <c r="AE13" i="3"/>
  <c r="AE29" i="3"/>
  <c r="B9" i="3"/>
  <c r="AB7" i="3"/>
  <c r="C23" i="1"/>
  <c r="C22" i="1"/>
  <c r="C21" i="1"/>
  <c r="C20" i="1"/>
  <c r="C19" i="1"/>
  <c r="C18" i="1"/>
  <c r="M17" i="1" s="1"/>
  <c r="C17" i="1"/>
  <c r="C16" i="1"/>
  <c r="C15" i="1"/>
  <c r="C14" i="1"/>
  <c r="C13" i="1"/>
  <c r="C12" i="1"/>
  <c r="C11" i="1"/>
  <c r="C10" i="1"/>
  <c r="M9" i="1" s="1"/>
  <c r="F9" i="1"/>
  <c r="C9" i="1" s="1"/>
  <c r="F8" i="1"/>
  <c r="C8" i="1" s="1"/>
  <c r="F7" i="1"/>
  <c r="C7" i="1" s="1"/>
  <c r="C6" i="1"/>
  <c r="C5" i="1"/>
  <c r="Q14" i="3" l="1"/>
  <c r="AM14" i="3" s="1"/>
  <c r="R14" i="3"/>
  <c r="AN14" i="3" s="1"/>
  <c r="S14" i="3"/>
  <c r="AO14" i="3" s="1"/>
  <c r="T14" i="3"/>
  <c r="AP14" i="3" s="1"/>
  <c r="U14" i="3"/>
  <c r="AQ14" i="3" s="1"/>
  <c r="V14" i="3"/>
  <c r="AR14" i="3" s="1"/>
  <c r="U8" i="3"/>
  <c r="AQ8" i="3" s="1"/>
  <c r="V8" i="3"/>
  <c r="AR8" i="3" s="1"/>
  <c r="T8" i="3"/>
  <c r="AP8" i="3" s="1"/>
  <c r="Q8" i="3"/>
  <c r="AM8" i="3" s="1"/>
  <c r="R8" i="3"/>
  <c r="AN8" i="3" s="1"/>
  <c r="S8" i="3"/>
  <c r="AO8" i="3" s="1"/>
  <c r="S23" i="3"/>
  <c r="AO23" i="3" s="1"/>
  <c r="T23" i="3"/>
  <c r="AP23" i="3" s="1"/>
  <c r="U23" i="3"/>
  <c r="AQ23" i="3" s="1"/>
  <c r="V23" i="3"/>
  <c r="AR23" i="3" s="1"/>
  <c r="Q23" i="3"/>
  <c r="R23" i="3"/>
  <c r="AN23" i="3" s="1"/>
  <c r="S19" i="3"/>
  <c r="AO19" i="3" s="1"/>
  <c r="T19" i="3"/>
  <c r="AP19" i="3" s="1"/>
  <c r="U19" i="3"/>
  <c r="AQ19" i="3" s="1"/>
  <c r="V19" i="3"/>
  <c r="AR19" i="3" s="1"/>
  <c r="Q19" i="3"/>
  <c r="AM19" i="3" s="1"/>
  <c r="R19" i="3"/>
  <c r="AN19" i="3" s="1"/>
  <c r="Q30" i="3"/>
  <c r="R30" i="3"/>
  <c r="S30" i="3"/>
  <c r="T30" i="3"/>
  <c r="AP30" i="3" s="1"/>
  <c r="U30" i="3"/>
  <c r="AQ30" i="3" s="1"/>
  <c r="V30" i="3"/>
  <c r="AR30" i="3" s="1"/>
  <c r="AF19" i="3"/>
  <c r="AF23" i="3"/>
  <c r="AF14" i="3"/>
  <c r="AF8" i="3"/>
  <c r="AE8" i="3"/>
  <c r="AE14" i="3"/>
  <c r="I9" i="3"/>
  <c r="D15" i="3"/>
  <c r="Z15" i="3" s="1"/>
  <c r="J9" i="3"/>
  <c r="I15" i="3"/>
  <c r="J15" i="3"/>
  <c r="E15" i="3"/>
  <c r="AA15" i="3" s="1"/>
  <c r="F15" i="3"/>
  <c r="AB15" i="3" s="1"/>
  <c r="E9" i="3"/>
  <c r="AA9" i="3" s="1"/>
  <c r="G15" i="3"/>
  <c r="AC15" i="3" s="1"/>
  <c r="F9" i="3"/>
  <c r="D9" i="3"/>
  <c r="Z9" i="3" s="1"/>
  <c r="H15" i="3"/>
  <c r="AD15" i="3" s="1"/>
  <c r="G9" i="3"/>
  <c r="AC9" i="3" s="1"/>
  <c r="H9" i="3"/>
  <c r="AD9" i="3" s="1"/>
  <c r="AE23" i="3"/>
  <c r="AE19" i="3"/>
  <c r="AE30" i="3"/>
  <c r="W17" i="1"/>
  <c r="AG17" i="1" s="1"/>
  <c r="M11" i="1"/>
  <c r="W11" i="1" s="1"/>
  <c r="AG11" i="1" s="1"/>
  <c r="M10" i="1"/>
  <c r="W10" i="1" s="1"/>
  <c r="AG10" i="1" s="1"/>
  <c r="B10" i="3"/>
  <c r="AB8" i="3"/>
  <c r="M6" i="1"/>
  <c r="W6" i="1" s="1"/>
  <c r="AG6" i="1" s="1"/>
  <c r="M7" i="1"/>
  <c r="W7" i="1" s="1"/>
  <c r="AG7" i="1" s="1"/>
  <c r="M8" i="1"/>
  <c r="W8" i="1" s="1"/>
  <c r="AG8" i="1" s="1"/>
  <c r="M4" i="1"/>
  <c r="M12" i="1"/>
  <c r="W12" i="1" s="1"/>
  <c r="M13" i="1"/>
  <c r="W13" i="1" s="1"/>
  <c r="AG13" i="1" s="1"/>
  <c r="M14" i="1"/>
  <c r="W14" i="1" s="1"/>
  <c r="AG14" i="1" s="1"/>
  <c r="M5" i="1"/>
  <c r="W5" i="1" s="1"/>
  <c r="M15" i="1"/>
  <c r="W15" i="1" s="1"/>
  <c r="AG15" i="1" s="1"/>
  <c r="M16" i="1"/>
  <c r="W16" i="1" s="1"/>
  <c r="AG16" i="1" s="1"/>
  <c r="D7" i="1"/>
  <c r="P5" i="1"/>
  <c r="P4" i="1"/>
  <c r="P6" i="1"/>
  <c r="Z6" i="1" s="1"/>
  <c r="AJ6" i="1" s="1"/>
  <c r="D8" i="1"/>
  <c r="P7" i="1"/>
  <c r="D9" i="1"/>
  <c r="P8" i="1"/>
  <c r="Z9" i="1"/>
  <c r="AJ9" i="1" s="1"/>
  <c r="W9" i="1"/>
  <c r="AG9" i="1" s="1"/>
  <c r="N14" i="1"/>
  <c r="Q9" i="3" l="1"/>
  <c r="AM9" i="3" s="1"/>
  <c r="R9" i="3"/>
  <c r="AN9" i="3" s="1"/>
  <c r="V9" i="3"/>
  <c r="AR9" i="3" s="1"/>
  <c r="S9" i="3"/>
  <c r="AO9" i="3" s="1"/>
  <c r="U9" i="3"/>
  <c r="AQ9" i="3" s="1"/>
  <c r="T9" i="3"/>
  <c r="AP9" i="3" s="1"/>
  <c r="S15" i="3"/>
  <c r="AO15" i="3" s="1"/>
  <c r="T15" i="3"/>
  <c r="AP15" i="3" s="1"/>
  <c r="U15" i="3"/>
  <c r="AQ15" i="3" s="1"/>
  <c r="V15" i="3"/>
  <c r="AR15" i="3" s="1"/>
  <c r="R15" i="3"/>
  <c r="AN15" i="3" s="1"/>
  <c r="Q15" i="3"/>
  <c r="AF9" i="3"/>
  <c r="AF15" i="3"/>
  <c r="AE9" i="3"/>
  <c r="AE15" i="3"/>
  <c r="E10" i="3"/>
  <c r="AA10" i="3" s="1"/>
  <c r="AA4" i="3" s="1"/>
  <c r="F10" i="3"/>
  <c r="AB10" i="3" s="1"/>
  <c r="I10" i="3"/>
  <c r="G10" i="3"/>
  <c r="H10" i="3"/>
  <c r="AD10" i="3" s="1"/>
  <c r="AD4" i="3" s="1"/>
  <c r="D10" i="3"/>
  <c r="Z10" i="3" s="1"/>
  <c r="Z4" i="3" s="1"/>
  <c r="J10" i="3"/>
  <c r="AB9" i="3"/>
  <c r="AG12" i="1"/>
  <c r="AG5" i="1"/>
  <c r="N4" i="1"/>
  <c r="Z8" i="1"/>
  <c r="AJ8" i="1" s="1"/>
  <c r="Z7" i="1"/>
  <c r="AJ7" i="1" s="1"/>
  <c r="Z5" i="1"/>
  <c r="AJ5" i="1" s="1"/>
  <c r="W20" i="1"/>
  <c r="W21" i="1"/>
  <c r="W19" i="1" a="1"/>
  <c r="W19" i="1" s="1"/>
  <c r="X14" i="1"/>
  <c r="AH14" i="1" s="1"/>
  <c r="N13" i="1"/>
  <c r="Q10" i="3" l="1"/>
  <c r="R10" i="3"/>
  <c r="S10" i="3"/>
  <c r="T10" i="3"/>
  <c r="AP10" i="3" s="1"/>
  <c r="AP4" i="3" s="1"/>
  <c r="AW8" i="3" s="1"/>
  <c r="U10" i="3"/>
  <c r="AQ10" i="3" s="1"/>
  <c r="AQ4" i="3" s="1"/>
  <c r="AX8" i="3" s="1"/>
  <c r="V10" i="3"/>
  <c r="AR10" i="3" s="1"/>
  <c r="AR4" i="3" s="1"/>
  <c r="AZ8" i="3" s="1"/>
  <c r="AF10" i="3"/>
  <c r="AF4" i="3" s="1"/>
  <c r="AN4" i="3"/>
  <c r="AU8" i="3" s="1"/>
  <c r="AO4" i="3"/>
  <c r="AV8" i="3" s="1"/>
  <c r="AM4" i="3"/>
  <c r="AT8" i="3" s="1"/>
  <c r="AE10" i="3"/>
  <c r="AE4" i="3" s="1"/>
  <c r="AB4" i="3"/>
  <c r="AC10" i="3"/>
  <c r="AC4" i="3" s="1"/>
  <c r="Z19" i="1" a="1"/>
  <c r="Z19" i="1" s="1"/>
  <c r="Z20" i="1"/>
  <c r="Z21" i="1"/>
  <c r="X13" i="1"/>
  <c r="AH13" i="1" s="1"/>
  <c r="N12" i="1"/>
  <c r="AY8" i="3" l="1"/>
  <c r="AT9" i="3"/>
  <c r="AU9" i="3"/>
  <c r="AV9" i="3"/>
  <c r="AW9" i="3"/>
  <c r="AX9" i="3"/>
  <c r="AZ9" i="3"/>
  <c r="X12" i="1"/>
  <c r="AH12" i="1" s="1"/>
  <c r="N11" i="1"/>
  <c r="AY9" i="3" l="1"/>
  <c r="X11" i="1"/>
  <c r="AH11" i="1" s="1"/>
  <c r="N10" i="1"/>
  <c r="X10" i="1" l="1"/>
  <c r="AH10" i="1" s="1"/>
  <c r="N9" i="1"/>
  <c r="X9" i="1" l="1"/>
  <c r="AH9" i="1" s="1"/>
  <c r="N8" i="1"/>
  <c r="X8" i="1" l="1"/>
  <c r="AH8" i="1" s="1"/>
  <c r="N7" i="1"/>
  <c r="X7" i="1" l="1"/>
  <c r="AH7" i="1" s="1"/>
  <c r="N6" i="1"/>
  <c r="X6" i="1" l="1"/>
  <c r="AH6" i="1" s="1"/>
  <c r="N5" i="1" l="1"/>
  <c r="X5" i="1" l="1"/>
  <c r="X19" i="1" s="1" a="1"/>
  <c r="X19" i="1" s="1"/>
  <c r="AH5" i="1" l="1"/>
  <c r="X21" i="1"/>
  <c r="X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<sst xmlns="http://schemas.openxmlformats.org/spreadsheetml/2006/main" count="373" uniqueCount="152">
  <si>
    <t>Election</t>
  </si>
  <si>
    <t>ALP</t>
  </si>
  <si>
    <t>LNP</t>
  </si>
  <si>
    <t>GRN</t>
  </si>
  <si>
    <t>ONP</t>
  </si>
  <si>
    <t>UAP</t>
  </si>
  <si>
    <t>DEM</t>
  </si>
  <si>
    <t>2019 fed</t>
  </si>
  <si>
    <t>OTH</t>
  </si>
  <si>
    <t>2016 fed</t>
  </si>
  <si>
    <t>2013 fed</t>
  </si>
  <si>
    <t>2010 fed</t>
  </si>
  <si>
    <t>2007 fed</t>
  </si>
  <si>
    <t>FF</t>
  </si>
  <si>
    <t>2004 fed</t>
  </si>
  <si>
    <t>2001 fed</t>
  </si>
  <si>
    <t>1998 fed</t>
  </si>
  <si>
    <t>xOTH</t>
  </si>
  <si>
    <t>1996 fed</t>
  </si>
  <si>
    <t>1993 fed</t>
  </si>
  <si>
    <t>1990 fed</t>
  </si>
  <si>
    <t>1987 fed</t>
  </si>
  <si>
    <t>1984 fed</t>
  </si>
  <si>
    <t>DLP</t>
  </si>
  <si>
    <t>1983 fed</t>
  </si>
  <si>
    <t>1980 fed</t>
  </si>
  <si>
    <t>1977 fed</t>
  </si>
  <si>
    <t>1975 fed</t>
  </si>
  <si>
    <t>1974 fed</t>
  </si>
  <si>
    <t>1972 fed</t>
  </si>
  <si>
    <t>Primary Values</t>
  </si>
  <si>
    <t>Year</t>
  </si>
  <si>
    <t>Forecast Length:</t>
  </si>
  <si>
    <t>Residuals</t>
  </si>
  <si>
    <t>autocorrelation</t>
  </si>
  <si>
    <t>bias</t>
  </si>
  <si>
    <t>2022 fed</t>
  </si>
  <si>
    <t>RMSE</t>
  </si>
  <si>
    <t>Trend predictions</t>
  </si>
  <si>
    <t>2 years</t>
  </si>
  <si>
    <t>Trend</t>
  </si>
  <si>
    <t>1 year</t>
  </si>
  <si>
    <t>6 months</t>
  </si>
  <si>
    <t>3 months</t>
  </si>
  <si>
    <t>1 month</t>
  </si>
  <si>
    <t>Pre-election</t>
  </si>
  <si>
    <t>Polls &amp; results</t>
  </si>
  <si>
    <t>Errors</t>
  </si>
  <si>
    <t>2019 nsw</t>
  </si>
  <si>
    <t>2017 qld</t>
  </si>
  <si>
    <t>KAP</t>
  </si>
  <si>
    <t>2015 qld</t>
  </si>
  <si>
    <t>2012 qld</t>
  </si>
  <si>
    <t>2009 qld</t>
  </si>
  <si>
    <t>2006 qld</t>
  </si>
  <si>
    <t>2004 qld</t>
  </si>
  <si>
    <t>2001 qld</t>
  </si>
  <si>
    <t>1998 qld</t>
  </si>
  <si>
    <t>1995 qld</t>
  </si>
  <si>
    <t>1992 qld</t>
  </si>
  <si>
    <t>1989 qld</t>
  </si>
  <si>
    <t>1986 qld</t>
  </si>
  <si>
    <t>1983 qld</t>
  </si>
  <si>
    <t>1980 qld</t>
  </si>
  <si>
    <t>1977 qld</t>
  </si>
  <si>
    <t>1974 qld</t>
  </si>
  <si>
    <t>1972 qld</t>
  </si>
  <si>
    <t>2020 qld</t>
  </si>
  <si>
    <t>2023 nsw</t>
  </si>
  <si>
    <t>SFF</t>
  </si>
  <si>
    <t>2015 nsw</t>
  </si>
  <si>
    <t>CD</t>
  </si>
  <si>
    <t>2011 nsw</t>
  </si>
  <si>
    <t>2007 nsw</t>
  </si>
  <si>
    <t>2003 nsw</t>
  </si>
  <si>
    <t>1999 nsw</t>
  </si>
  <si>
    <t>1995 nsw</t>
  </si>
  <si>
    <t>1991 nsw</t>
  </si>
  <si>
    <t>1988 nsw</t>
  </si>
  <si>
    <t>1984 nsw</t>
  </si>
  <si>
    <t>1981 nsw</t>
  </si>
  <si>
    <t>1978 nsw</t>
  </si>
  <si>
    <t>1976 nsw</t>
  </si>
  <si>
    <t>1973 nsw</t>
  </si>
  <si>
    <t>1971 nsw</t>
  </si>
  <si>
    <t>Average</t>
  </si>
  <si>
    <t>x</t>
  </si>
  <si>
    <t>Previous election averages</t>
  </si>
  <si>
    <t>1 day</t>
  </si>
  <si>
    <t>Result</t>
  </si>
  <si>
    <t>2022 vic</t>
  </si>
  <si>
    <t>2018 vic</t>
  </si>
  <si>
    <t>2014 vic</t>
  </si>
  <si>
    <t>2010 vic</t>
  </si>
  <si>
    <t>2006 vic</t>
  </si>
  <si>
    <t>2002 vic</t>
  </si>
  <si>
    <t>1999 vic</t>
  </si>
  <si>
    <t>1996 vic</t>
  </si>
  <si>
    <t>1992 vic</t>
  </si>
  <si>
    <t>1988 vic</t>
  </si>
  <si>
    <t>1985 vic</t>
  </si>
  <si>
    <t>1982 vic</t>
  </si>
  <si>
    <t>1979 vic</t>
  </si>
  <si>
    <t>1976 vic</t>
  </si>
  <si>
    <t>1973 vic</t>
  </si>
  <si>
    <t>1970 vic</t>
  </si>
  <si>
    <t>2017 wa</t>
  </si>
  <si>
    <t>2013 wa</t>
  </si>
  <si>
    <t>2008 wa</t>
  </si>
  <si>
    <t>2021 wa</t>
  </si>
  <si>
    <t>AC/FF</t>
  </si>
  <si>
    <t>2005 wa</t>
  </si>
  <si>
    <t>2001 wa</t>
  </si>
  <si>
    <t>X</t>
  </si>
  <si>
    <t>1996 wa</t>
  </si>
  <si>
    <t>1993 wa</t>
  </si>
  <si>
    <t>1989 wa</t>
  </si>
  <si>
    <t>1986 wa</t>
  </si>
  <si>
    <t>1983 wa</t>
  </si>
  <si>
    <t>1980 wa</t>
  </si>
  <si>
    <t>1977 wa</t>
  </si>
  <si>
    <t>1974 wa</t>
  </si>
  <si>
    <t>1971 wa</t>
  </si>
  <si>
    <t>2022 sa</t>
  </si>
  <si>
    <t>2018 sa</t>
  </si>
  <si>
    <t>2014 sa</t>
  </si>
  <si>
    <t>SAB</t>
  </si>
  <si>
    <t>2010 sa</t>
  </si>
  <si>
    <t>2006 sa</t>
  </si>
  <si>
    <t>2002 sa</t>
  </si>
  <si>
    <t>1997 sa</t>
  </si>
  <si>
    <t>1993 sa</t>
  </si>
  <si>
    <t>1989 sa</t>
  </si>
  <si>
    <t>1985 sa</t>
  </si>
  <si>
    <t>1982 sa</t>
  </si>
  <si>
    <t>1979 sa</t>
  </si>
  <si>
    <t>1977 sa</t>
  </si>
  <si>
    <t>1975 sa</t>
  </si>
  <si>
    <t>LM</t>
  </si>
  <si>
    <t>1973 sa</t>
  </si>
  <si>
    <t>1970 sa</t>
  </si>
  <si>
    <t>Combined</t>
  </si>
  <si>
    <t>2 ye/6 el</t>
  </si>
  <si>
    <t>1 ye/6 el</t>
  </si>
  <si>
    <t>6 mo/6 el</t>
  </si>
  <si>
    <t>1 yr/6 el</t>
  </si>
  <si>
    <t>6 mo/1 el</t>
  </si>
  <si>
    <t>3 mo/6 el</t>
  </si>
  <si>
    <t>1 mo/6 el</t>
  </si>
  <si>
    <t>1 day/6 el</t>
  </si>
  <si>
    <t>Log days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</si>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</sst>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Correlations'!$AT$6:$AZ$6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Correlations'!$AT$7:$AZ$7</c:f>
              <c:numCache>
                <c:formatCode>General</c:formatCode>
                <c:ptCount val="7"/>
                <c:pt idx="0">
                  <c:v>5.1222966004247024</c:v>
                </c:pt>
                <c:pt idx="1">
                  <c:v>4.2769482852216658</c:v>
                </c:pt>
                <c:pt idx="2">
                  <c:v>3.5176700837394375</c:v>
                </c:pt>
                <c:pt idx="3">
                  <c:v>2.9585642076757721</c:v>
                </c:pt>
                <c:pt idx="4">
                  <c:v>2.9003454325657705</c:v>
                </c:pt>
                <c:pt idx="5">
                  <c:v>2.466159340462958</c:v>
                </c:pt>
                <c:pt idx="6">
                  <c:v>2.0319732483601456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0-4FDF-8D2E-EE175261E0E0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Correlations'!$AT$6:$AZ$6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Correlations'!$AT$8:$AZ$8</c:f>
              <c:numCache>
                <c:formatCode>General</c:formatCode>
                <c:ptCount val="7"/>
                <c:pt idx="0">
                  <c:v>4.4273201065868344</c:v>
                </c:pt>
                <c:pt idx="1">
                  <c:v>3.9285414836060144</c:v>
                </c:pt>
                <c:pt idx="2">
                  <c:v>3.2592318705378176</c:v>
                </c:pt>
                <c:pt idx="3">
                  <c:v>2.8182496269833837</c:v>
                </c:pt>
                <c:pt idx="4">
                  <c:v>2.7520354096037374</c:v>
                </c:pt>
                <c:pt idx="5">
                  <c:v>2.3763954554513678</c:v>
                </c:pt>
                <c:pt idx="6">
                  <c:v>2.0007555012989977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0-4FDF-8D2E-EE175261E0E0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Correlations'!$AT$6:$AZ$6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Correlations'!$AT$9:$AZ$9</c:f>
              <c:numCache>
                <c:formatCode>General</c:formatCode>
                <c:ptCount val="7"/>
                <c:pt idx="0">
                  <c:v>5.0423038677643959</c:v>
                </c:pt>
                <c:pt idx="1">
                  <c:v>5.0423038677643959</c:v>
                </c:pt>
                <c:pt idx="2">
                  <c:v>5.0423038677643959</c:v>
                </c:pt>
                <c:pt idx="3">
                  <c:v>5.0423038677643959</c:v>
                </c:pt>
                <c:pt idx="4">
                  <c:v>5.0423038677643959</c:v>
                </c:pt>
                <c:pt idx="5">
                  <c:v>5.0423038677643959</c:v>
                </c:pt>
                <c:pt idx="6">
                  <c:v>5.0423038677643959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00-4FDF-8D2E-EE175261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intercept val="0.95000000000000007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Correlations'!$AT$6:$AZ$6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Correlations'!$AT$11:$AZ$11</c:f>
              <c:numCache>
                <c:formatCode>General</c:formatCode>
                <c:ptCount val="7"/>
                <c:pt idx="0">
                  <c:v>0.46500000000000002</c:v>
                </c:pt>
                <c:pt idx="1">
                  <c:v>0.60833333333333328</c:v>
                </c:pt>
                <c:pt idx="2">
                  <c:v>0.72833333333333317</c:v>
                </c:pt>
                <c:pt idx="3">
                  <c:v>0.79166666666666663</c:v>
                </c:pt>
                <c:pt idx="4">
                  <c:v>0.86250000000000004</c:v>
                </c:pt>
                <c:pt idx="5">
                  <c:v>0.89624999999999999</c:v>
                </c:pt>
                <c:pt idx="6">
                  <c:v>0.93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0-40C2-9954-3B9F82808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28575</xdr:colOff>
      <xdr:row>11</xdr:row>
      <xdr:rowOff>109537</xdr:rowOff>
    </xdr:from>
    <xdr:to>
      <xdr:col>53</xdr:col>
      <xdr:colOff>333375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F7D2-F959-4E73-81B9-883191951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585787</xdr:colOff>
      <xdr:row>4</xdr:row>
      <xdr:rowOff>147637</xdr:rowOff>
    </xdr:from>
    <xdr:to>
      <xdr:col>61</xdr:col>
      <xdr:colOff>280987</xdr:colOff>
      <xdr:row>19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5E8E7-3D6C-4306-8291-5C0F27DE6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4"/>
  <sheetViews>
    <sheetView topLeftCell="A88" workbookViewId="0">
      <selection activeCell="E101" sqref="E101"/>
    </sheetView>
  </sheetViews>
  <sheetFormatPr defaultRowHeight="15" x14ac:dyDescent="0.25"/>
  <cols>
    <col min="1" max="1" width="9.140625" customWidth="1"/>
    <col min="2" max="2" width="5.7109375" style="4" customWidth="1"/>
    <col min="3" max="11" width="6.28515625" customWidth="1"/>
    <col min="12" max="12" width="6.28515625" style="4" customWidth="1"/>
    <col min="13" max="17" width="6" customWidth="1"/>
    <col min="18" max="18" width="6.140625" customWidth="1"/>
    <col min="19" max="21" width="6" customWidth="1"/>
    <col min="22" max="22" width="6" style="4" customWidth="1"/>
    <col min="23" max="23" width="6" customWidth="1"/>
    <col min="24" max="24" width="6.7109375" customWidth="1"/>
    <col min="25" max="31" width="6" customWidth="1"/>
    <col min="32" max="32" width="6" style="4" customWidth="1"/>
    <col min="33" max="41" width="6" customWidth="1"/>
    <col min="42" max="42" width="6" style="4" customWidth="1"/>
  </cols>
  <sheetData>
    <row r="1" spans="1:42" x14ac:dyDescent="0.25">
      <c r="A1" s="3" t="s">
        <v>32</v>
      </c>
      <c r="B1" s="3"/>
      <c r="C1" s="3"/>
      <c r="D1">
        <v>6</v>
      </c>
    </row>
    <row r="2" spans="1:42" x14ac:dyDescent="0.25">
      <c r="C2" s="5" t="s">
        <v>30</v>
      </c>
      <c r="D2" s="6"/>
      <c r="E2" s="6"/>
      <c r="F2" s="6"/>
      <c r="G2" s="6"/>
      <c r="H2" s="6"/>
      <c r="I2" s="6"/>
      <c r="J2" s="6"/>
      <c r="K2" s="6"/>
      <c r="L2" s="7"/>
      <c r="M2" s="5" t="s">
        <v>38</v>
      </c>
      <c r="N2" s="6"/>
      <c r="O2" s="6"/>
      <c r="P2" s="6"/>
      <c r="Q2" s="6"/>
      <c r="R2" s="6"/>
      <c r="S2" s="6"/>
      <c r="T2" s="6"/>
      <c r="U2" s="6"/>
      <c r="V2" s="7"/>
      <c r="W2" s="5" t="s">
        <v>33</v>
      </c>
      <c r="X2" s="6"/>
      <c r="Y2" s="6"/>
      <c r="Z2" s="6"/>
      <c r="AA2" s="6"/>
      <c r="AB2" s="6"/>
      <c r="AC2" s="6"/>
      <c r="AD2" s="6"/>
      <c r="AE2" s="6"/>
      <c r="AF2" s="7"/>
      <c r="AG2" s="5"/>
      <c r="AH2" s="6"/>
      <c r="AI2" s="6"/>
      <c r="AJ2" s="6"/>
      <c r="AK2" s="6"/>
      <c r="AL2" s="6"/>
      <c r="AM2" s="6"/>
      <c r="AN2" s="6"/>
      <c r="AO2" s="6"/>
      <c r="AP2" s="7"/>
    </row>
    <row r="3" spans="1:42" x14ac:dyDescent="0.25">
      <c r="A3" t="s">
        <v>0</v>
      </c>
      <c r="B3" s="4" t="s">
        <v>31</v>
      </c>
      <c r="C3" t="s">
        <v>8</v>
      </c>
      <c r="D3" t="s">
        <v>17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13</v>
      </c>
      <c r="L3" s="4" t="s">
        <v>23</v>
      </c>
      <c r="M3" t="s">
        <v>8</v>
      </c>
      <c r="N3" t="s">
        <v>17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13</v>
      </c>
      <c r="V3" s="4" t="s">
        <v>23</v>
      </c>
      <c r="W3" t="s">
        <v>8</v>
      </c>
      <c r="X3" t="s">
        <v>17</v>
      </c>
      <c r="Y3" t="s">
        <v>1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13</v>
      </c>
      <c r="AF3" s="4" t="s">
        <v>23</v>
      </c>
      <c r="AG3" t="s">
        <v>8</v>
      </c>
      <c r="AH3" t="s">
        <v>17</v>
      </c>
      <c r="AI3" t="s">
        <v>1</v>
      </c>
      <c r="AJ3" t="s">
        <v>2</v>
      </c>
      <c r="AK3" t="s">
        <v>3</v>
      </c>
      <c r="AL3" t="s">
        <v>4</v>
      </c>
      <c r="AM3" t="s">
        <v>5</v>
      </c>
      <c r="AN3" t="s">
        <v>6</v>
      </c>
      <c r="AO3" t="s">
        <v>13</v>
      </c>
      <c r="AP3" s="4" t="s">
        <v>23</v>
      </c>
    </row>
    <row r="4" spans="1:42" x14ac:dyDescent="0.25">
      <c r="A4" t="s">
        <v>36</v>
      </c>
      <c r="B4" s="4">
        <v>2022</v>
      </c>
      <c r="M4">
        <f ca="1">MAX(0,_xlfn.FORECAST.LINEAR($B4,OFFSET(C5,0,0,$D$1),OFFSET($B5,0,0,$D$1)))</f>
        <v>15.909333333333052</v>
      </c>
      <c r="N4">
        <f t="shared" ref="N4" ca="1" si="0">MAX(0,_xlfn.FORECAST.LINEAR($B4,OFFSET(D5,0,0,$D$1),OFFSET($B5,0,0,$D$1)))</f>
        <v>10.384000000000015</v>
      </c>
      <c r="O4">
        <f t="shared" ref="O4" ca="1" si="1">MAX(0,_xlfn.FORECAST.LINEAR($B4,OFFSET(E5,0,0,$D$1),OFFSET($B5,0,0,$D$1)))</f>
        <v>31.607333333333372</v>
      </c>
      <c r="P4">
        <f t="shared" ref="P4" ca="1" si="2">MAX(0,_xlfn.FORECAST.LINEAR($B4,OFFSET(F5,0,0,$D$1),OFFSET($B5,0,0,$D$1)))</f>
        <v>41.120666666666637</v>
      </c>
      <c r="Q4">
        <f t="shared" ref="Q4" ca="1" si="3">MAX(0,_xlfn.FORECAST.LINEAR($B4,OFFSET(G5,0,0,$D$1),OFFSET($B5,0,0,$D$1)))</f>
        <v>11.362666666666655</v>
      </c>
      <c r="R4">
        <f t="shared" ref="R4" ca="1" si="4">MAX(0,_xlfn.FORECAST.LINEAR($B4,OFFSET(H5,0,0,$D$1),OFFSET($B5,0,0,$D$1)))</f>
        <v>2.2839999999999918</v>
      </c>
      <c r="S4">
        <f t="shared" ref="S4" ca="1" si="5">MAX(0,_xlfn.FORECAST.LINEAR($B4,OFFSET(I5,0,0,$D$1),OFFSET($B5,0,0,$D$1)))</f>
        <v>2.3999999999999773</v>
      </c>
      <c r="T4">
        <f t="shared" ref="T4" ca="1" si="6">MAX(0,_xlfn.FORECAST.LINEAR($B4,OFFSET(J5,0,0,$D$1),OFFSET($B5,0,0,$D$1)))</f>
        <v>0</v>
      </c>
      <c r="W4" s="9"/>
      <c r="X4" s="8"/>
      <c r="Y4" s="8"/>
      <c r="Z4" s="8"/>
      <c r="AA4" s="8"/>
      <c r="AB4" s="8"/>
      <c r="AC4" s="8"/>
      <c r="AD4" s="8"/>
      <c r="AE4" s="8"/>
      <c r="AF4" s="10"/>
    </row>
    <row r="5" spans="1:42" x14ac:dyDescent="0.25">
      <c r="A5" t="s">
        <v>7</v>
      </c>
      <c r="B5" s="4">
        <v>2019</v>
      </c>
      <c r="C5">
        <f>100-SUM(E5:G5)</f>
        <v>14.719999999999999</v>
      </c>
      <c r="D5">
        <f>100-SUM(E5:J5)</f>
        <v>8.2099999999999937</v>
      </c>
      <c r="E5">
        <v>33.44</v>
      </c>
      <c r="F5">
        <v>41.44</v>
      </c>
      <c r="G5">
        <v>10.4</v>
      </c>
      <c r="H5">
        <v>3.08</v>
      </c>
      <c r="I5">
        <v>3.43</v>
      </c>
      <c r="M5">
        <f ca="1">MAX(0,_xlfn.FORECAST.LINEAR($B5,OFFSET(C6,0,0,$D$1),OFFSET($B6,0,0,$D$1)))</f>
        <v>10.779999999999987</v>
      </c>
      <c r="N5">
        <f t="shared" ref="N5:U5" ca="1" si="7">MAX(0,_xlfn.FORECAST.LINEAR($B5,OFFSET(D6,0,0,$D$1),OFFSET($B6,0,0,$D$1)))</f>
        <v>10.728666666666641</v>
      </c>
      <c r="O5">
        <f t="shared" ca="1" si="7"/>
        <v>34.122666666666646</v>
      </c>
      <c r="P5">
        <f t="shared" ca="1" si="7"/>
        <v>43.197333333333333</v>
      </c>
      <c r="Q5">
        <f t="shared" ca="1" si="7"/>
        <v>11.899999999999864</v>
      </c>
      <c r="R5">
        <f t="shared" ca="1" si="7"/>
        <v>0</v>
      </c>
      <c r="S5" t="e">
        <f t="shared" ca="1" si="7"/>
        <v>#DIV/0!</v>
      </c>
      <c r="T5">
        <f t="shared" ca="1" si="7"/>
        <v>0</v>
      </c>
      <c r="U5">
        <f t="shared" ca="1" si="7"/>
        <v>1.3440000000000083</v>
      </c>
      <c r="V5" s="11"/>
      <c r="W5" s="9">
        <f ca="1">IF(ISBLANK(C5),NA(),C5-M5)</f>
        <v>3.9400000000000119</v>
      </c>
      <c r="X5" s="8">
        <f t="shared" ref="X5:AF5" ca="1" si="8">IF(ISBLANK(D5),NA(),D5-N5)</f>
        <v>-2.5186666666666468</v>
      </c>
      <c r="Y5" s="8">
        <f t="shared" ca="1" si="8"/>
        <v>-0.68266666666664833</v>
      </c>
      <c r="Z5" s="8">
        <f t="shared" ca="1" si="8"/>
        <v>-1.7573333333333352</v>
      </c>
      <c r="AA5" s="8">
        <f t="shared" ca="1" si="8"/>
        <v>-1.4999999999998632</v>
      </c>
      <c r="AB5" s="8">
        <f t="shared" ca="1" si="8"/>
        <v>3.08</v>
      </c>
      <c r="AC5" s="8" t="e">
        <f t="shared" ca="1" si="8"/>
        <v>#DIV/0!</v>
      </c>
      <c r="AD5" s="8" t="e">
        <f t="shared" si="8"/>
        <v>#N/A</v>
      </c>
      <c r="AE5" s="8" t="e">
        <f t="shared" si="8"/>
        <v>#N/A</v>
      </c>
      <c r="AF5" s="10" t="e">
        <f t="shared" si="8"/>
        <v>#N/A</v>
      </c>
      <c r="AG5" s="9">
        <f ca="1">IF(ISBLANK(M5),NA(),M5-W5)</f>
        <v>6.839999999999975</v>
      </c>
      <c r="AH5" s="8">
        <f t="shared" ref="AH5:AH15" ca="1" si="9">IF(ISBLANK(N5),NA(),N5-X5)</f>
        <v>13.247333333333287</v>
      </c>
      <c r="AI5" s="8">
        <f t="shared" ref="AI5:AI15" ca="1" si="10">IF(ISBLANK(O5),NA(),O5-Y5)</f>
        <v>34.805333333333294</v>
      </c>
      <c r="AJ5" s="8">
        <f t="shared" ref="AJ5:AJ15" ca="1" si="11">IF(ISBLANK(P5),NA(),P5-Z5)</f>
        <v>44.954666666666668</v>
      </c>
      <c r="AK5" s="8">
        <f t="shared" ref="AK5:AK15" ca="1" si="12">IF(ISBLANK(Q5),NA(),Q5-AA5)</f>
        <v>13.399999999999727</v>
      </c>
      <c r="AL5" s="8">
        <f t="shared" ref="AL5:AL15" ca="1" si="13">IF(ISBLANK(R5),NA(),R5-AB5)</f>
        <v>-3.08</v>
      </c>
      <c r="AM5" s="8" t="e">
        <f t="shared" ref="AM5:AM15" ca="1" si="14">IF(ISBLANK(S5),NA(),S5-AC5)</f>
        <v>#DIV/0!</v>
      </c>
      <c r="AN5" s="8" t="e">
        <f t="shared" ref="AN5:AN15" ca="1" si="15">IF(ISBLANK(T5),NA(),T5-AD5)</f>
        <v>#N/A</v>
      </c>
      <c r="AO5" s="8" t="e">
        <f t="shared" ref="AO5:AO15" ca="1" si="16">IF(ISBLANK(U5),NA(),U5-AE5)</f>
        <v>#N/A</v>
      </c>
      <c r="AP5" s="10" t="e">
        <f t="shared" ref="AP5:AP15" si="17">IF(ISBLANK(V5),NA(),V5-AF5)</f>
        <v>#N/A</v>
      </c>
    </row>
    <row r="6" spans="1:42" x14ac:dyDescent="0.25">
      <c r="A6" t="s">
        <v>9</v>
      </c>
      <c r="B6" s="4">
        <v>2016</v>
      </c>
      <c r="C6">
        <f>100-SUM(E6:G6)</f>
        <v>13</v>
      </c>
      <c r="D6">
        <f t="shared" ref="D6:D23" si="18">100-SUM(E6:J6)</f>
        <v>11.709999999999994</v>
      </c>
      <c r="E6">
        <v>34.729999999999997</v>
      </c>
      <c r="F6">
        <v>42.04</v>
      </c>
      <c r="G6">
        <v>10.23</v>
      </c>
      <c r="H6">
        <v>1.29</v>
      </c>
      <c r="K6">
        <v>1.49</v>
      </c>
      <c r="M6">
        <f t="shared" ref="M6:M15" ca="1" si="19">MAX(0,_xlfn.FORECAST.LINEAR($B6,OFFSET(C7,0,0,$D$1),OFFSET($B7,0,0,$D$1)))</f>
        <v>5.8899999999999864</v>
      </c>
      <c r="N6">
        <f t="shared" ref="N6:N15" ca="1" si="20">MAX(0,_xlfn.FORECAST.LINEAR($B6,OFFSET(D7,0,0,$D$1),OFFSET($B7,0,0,$D$1)))</f>
        <v>7.7439999999999714</v>
      </c>
      <c r="O6">
        <f t="shared" ref="O6:O15" ca="1" si="21">MAX(0,_xlfn.FORECAST.LINEAR($B6,OFFSET(E7,0,0,$D$1),OFFSET($B7,0,0,$D$1)))</f>
        <v>35.646666666666647</v>
      </c>
      <c r="P6">
        <f t="shared" ref="P6:P15" ca="1" si="22">MAX(0,_xlfn.FORECAST.LINEAR($B6,OFFSET(F7,0,0,$D$1),OFFSET($B7,0,0,$D$1)))</f>
        <v>46.186666666666611</v>
      </c>
      <c r="Q6">
        <f t="shared" ref="Q6:Q15" ca="1" si="23">MAX(0,_xlfn.FORECAST.LINEAR($B6,OFFSET(G7,0,0,$D$1),OFFSET($B7,0,0,$D$1)))</f>
        <v>12.276666666666642</v>
      </c>
      <c r="R6">
        <f t="shared" ref="R6:R15" ca="1" si="24">MAX(0,_xlfn.FORECAST.LINEAR($B6,OFFSET(H7,0,0,$D$1),OFFSET($B7,0,0,$D$1)))</f>
        <v>0</v>
      </c>
      <c r="S6" t="e">
        <f t="shared" ref="S6:S15" ca="1" si="25">MAX(0,_xlfn.FORECAST.LINEAR($B6,OFFSET(I7,0,0,$D$1),OFFSET($B7,0,0,$D$1)))</f>
        <v>#DIV/0!</v>
      </c>
      <c r="T6">
        <f t="shared" ref="T6:T15" ca="1" si="26">MAX(0,_xlfn.FORECAST.LINEAR($B6,OFFSET(J7,0,0,$D$1),OFFSET($B7,0,0,$D$1)))</f>
        <v>0</v>
      </c>
      <c r="U6">
        <f t="shared" ref="U6:U15" ca="1" si="27">MAX(0,_xlfn.FORECAST.LINEAR($B6,OFFSET(K7,0,0,$D$1),OFFSET($B7,0,0,$D$1)))</f>
        <v>1.5300000000000153</v>
      </c>
      <c r="W6" s="9">
        <f t="shared" ref="W6:W15" ca="1" si="28">IF(ISBLANK(C6),NA(),C6-M6)</f>
        <v>7.1100000000000136</v>
      </c>
      <c r="X6" s="8">
        <f t="shared" ref="X6:X15" ca="1" si="29">IF(ISBLANK(D6),NA(),D6-N6)</f>
        <v>3.9660000000000224</v>
      </c>
      <c r="Y6" s="8">
        <f t="shared" ref="Y6:Y15" ca="1" si="30">IF(ISBLANK(E6),NA(),E6-O6)</f>
        <v>-0.91666666666665009</v>
      </c>
      <c r="Z6" s="8">
        <f t="shared" ref="Z6:Z15" ca="1" si="31">IF(ISBLANK(F6),NA(),F6-P6)</f>
        <v>-4.1466666666666114</v>
      </c>
      <c r="AA6" s="8">
        <f t="shared" ref="AA6:AA13" ca="1" si="32">IF(ISBLANK(G6),NA(),G6-Q6)</f>
        <v>-2.046666666666642</v>
      </c>
      <c r="AB6" s="8">
        <f t="shared" ref="AB6:AB15" ca="1" si="33">IF(ISBLANK(H6),NA(),H6-R6)</f>
        <v>1.29</v>
      </c>
      <c r="AC6" s="8" t="e">
        <f t="shared" ref="AC6:AC15" si="34">IF(ISBLANK(I6),NA(),I6-S6)</f>
        <v>#N/A</v>
      </c>
      <c r="AD6" s="8" t="e">
        <f t="shared" ref="AD6:AD15" si="35">IF(ISBLANK(J6),NA(),J6-T6)</f>
        <v>#N/A</v>
      </c>
      <c r="AE6" s="8">
        <f t="shared" ref="AE6:AE15" ca="1" si="36">IF(ISBLANK(K6),NA(),K6-U6)</f>
        <v>-4.0000000000015357E-2</v>
      </c>
      <c r="AF6" s="10" t="e">
        <f t="shared" ref="AF6:AF15" si="37">IF(ISBLANK(L6),NA(),L6-V6)</f>
        <v>#N/A</v>
      </c>
      <c r="AG6" s="9">
        <f t="shared" ref="AG6:AG15" ca="1" si="38">IF(ISBLANK(M6),NA(),M6-W6)</f>
        <v>-1.2200000000000273</v>
      </c>
      <c r="AH6" s="8">
        <f t="shared" ca="1" si="9"/>
        <v>3.777999999999949</v>
      </c>
      <c r="AI6" s="8">
        <f t="shared" ca="1" si="10"/>
        <v>36.563333333333297</v>
      </c>
      <c r="AJ6" s="8">
        <f t="shared" ca="1" si="11"/>
        <v>50.333333333333222</v>
      </c>
      <c r="AK6" s="8">
        <f t="shared" ca="1" si="12"/>
        <v>14.323333333333284</v>
      </c>
      <c r="AL6" s="8">
        <f t="shared" ca="1" si="13"/>
        <v>-1.29</v>
      </c>
      <c r="AM6" s="8" t="e">
        <f t="shared" ca="1" si="14"/>
        <v>#DIV/0!</v>
      </c>
      <c r="AN6" s="8" t="e">
        <f t="shared" ca="1" si="15"/>
        <v>#N/A</v>
      </c>
      <c r="AO6" s="8">
        <f t="shared" ca="1" si="16"/>
        <v>1.5700000000000307</v>
      </c>
      <c r="AP6" s="10" t="e">
        <f t="shared" si="17"/>
        <v>#N/A</v>
      </c>
    </row>
    <row r="7" spans="1:42" x14ac:dyDescent="0.25">
      <c r="A7" t="s">
        <v>10</v>
      </c>
      <c r="B7" s="4">
        <v>2013</v>
      </c>
      <c r="C7">
        <f>100-SUM(E7:G7)</f>
        <v>12.419999999999987</v>
      </c>
      <c r="D7">
        <f t="shared" si="18"/>
        <v>6.7599999999999909</v>
      </c>
      <c r="E7">
        <v>33.380000000000003</v>
      </c>
      <c r="F7">
        <f>32.02+8.92+4.29+0.32</f>
        <v>45.550000000000004</v>
      </c>
      <c r="G7">
        <v>8.65</v>
      </c>
      <c r="H7">
        <v>0.17</v>
      </c>
      <c r="I7">
        <v>5.49</v>
      </c>
      <c r="K7">
        <v>1.41</v>
      </c>
      <c r="M7">
        <f t="shared" ca="1" si="19"/>
        <v>4.2059302325583303</v>
      </c>
      <c r="N7">
        <f t="shared" ca="1" si="20"/>
        <v>7.0855348837209249</v>
      </c>
      <c r="O7">
        <f t="shared" ca="1" si="21"/>
        <v>39.873790697674409</v>
      </c>
      <c r="P7">
        <f t="shared" ca="1" si="22"/>
        <v>43.252395348837226</v>
      </c>
      <c r="Q7">
        <f t="shared" ca="1" si="23"/>
        <v>12.667883720930149</v>
      </c>
      <c r="R7">
        <f t="shared" ca="1" si="24"/>
        <v>0</v>
      </c>
      <c r="S7" t="e">
        <f t="shared" ca="1" si="25"/>
        <v>#DIV/0!</v>
      </c>
      <c r="T7">
        <f t="shared" ca="1" si="26"/>
        <v>0</v>
      </c>
      <c r="U7">
        <f t="shared" ca="1" si="27"/>
        <v>2.3233333333333235</v>
      </c>
      <c r="W7" s="9">
        <f t="shared" ca="1" si="28"/>
        <v>8.2140697674416572</v>
      </c>
      <c r="X7" s="8">
        <f t="shared" ca="1" si="29"/>
        <v>-0.32553488372093398</v>
      </c>
      <c r="Y7" s="8">
        <f t="shared" ca="1" si="30"/>
        <v>-6.493790697674406</v>
      </c>
      <c r="Z7" s="8">
        <f t="shared" ca="1" si="31"/>
        <v>2.2976046511627786</v>
      </c>
      <c r="AA7" s="8">
        <f t="shared" ca="1" si="32"/>
        <v>-4.0178837209301488</v>
      </c>
      <c r="AB7" s="8">
        <f t="shared" ca="1" si="33"/>
        <v>0.17</v>
      </c>
      <c r="AC7" s="8" t="e">
        <f t="shared" ca="1" si="34"/>
        <v>#DIV/0!</v>
      </c>
      <c r="AD7" s="8" t="e">
        <f t="shared" si="35"/>
        <v>#N/A</v>
      </c>
      <c r="AE7" s="8">
        <f t="shared" ca="1" si="36"/>
        <v>-0.91333333333332356</v>
      </c>
      <c r="AF7" s="10" t="e">
        <f t="shared" si="37"/>
        <v>#N/A</v>
      </c>
      <c r="AG7" s="9">
        <f t="shared" ca="1" si="38"/>
        <v>-4.0081395348833269</v>
      </c>
      <c r="AH7" s="8">
        <f t="shared" ca="1" si="9"/>
        <v>7.4110697674418589</v>
      </c>
      <c r="AI7" s="8">
        <f t="shared" ca="1" si="10"/>
        <v>46.367581395348815</v>
      </c>
      <c r="AJ7" s="8">
        <f t="shared" ca="1" si="11"/>
        <v>40.954790697674447</v>
      </c>
      <c r="AK7" s="8">
        <f t="shared" ca="1" si="12"/>
        <v>16.6857674418603</v>
      </c>
      <c r="AL7" s="8">
        <f t="shared" ca="1" si="13"/>
        <v>-0.17</v>
      </c>
      <c r="AM7" s="8" t="e">
        <f t="shared" ca="1" si="14"/>
        <v>#DIV/0!</v>
      </c>
      <c r="AN7" s="8" t="e">
        <f t="shared" ca="1" si="15"/>
        <v>#N/A</v>
      </c>
      <c r="AO7" s="8">
        <f t="shared" ca="1" si="16"/>
        <v>3.2366666666666468</v>
      </c>
      <c r="AP7" s="10" t="e">
        <f t="shared" si="17"/>
        <v>#N/A</v>
      </c>
    </row>
    <row r="8" spans="1:42" x14ac:dyDescent="0.25">
      <c r="A8" t="s">
        <v>11</v>
      </c>
      <c r="B8" s="4">
        <v>2010</v>
      </c>
      <c r="C8">
        <f t="shared" ref="C8:C15" si="39">100-SUM(E8:G8)</f>
        <v>6.5899999999999892</v>
      </c>
      <c r="D8">
        <f t="shared" si="18"/>
        <v>6.3699999999999903</v>
      </c>
      <c r="E8">
        <v>37.99</v>
      </c>
      <c r="F8">
        <f>30.46+9.12+3.43+0.31+0.34</f>
        <v>43.660000000000004</v>
      </c>
      <c r="G8">
        <v>11.76</v>
      </c>
      <c r="H8">
        <v>0.22</v>
      </c>
      <c r="K8">
        <v>2.25</v>
      </c>
      <c r="M8">
        <f t="shared" ca="1" si="19"/>
        <v>8.4934734239802765</v>
      </c>
      <c r="N8">
        <f t="shared" ca="1" si="20"/>
        <v>5.8699011124845413</v>
      </c>
      <c r="O8">
        <f t="shared" ca="1" si="21"/>
        <v>39.14101359703335</v>
      </c>
      <c r="P8">
        <f t="shared" ca="1" si="22"/>
        <v>43.05813349814585</v>
      </c>
      <c r="Q8">
        <f t="shared" ca="1" si="23"/>
        <v>9.3073794808404955</v>
      </c>
      <c r="R8">
        <f t="shared" ca="1" si="24"/>
        <v>0</v>
      </c>
      <c r="S8" t="e">
        <f t="shared" ca="1" si="25"/>
        <v>#DIV/0!</v>
      </c>
      <c r="T8">
        <f t="shared" ca="1" si="26"/>
        <v>0.49432632880098026</v>
      </c>
      <c r="U8">
        <f t="shared" ca="1" si="27"/>
        <v>1.9700000000000006</v>
      </c>
      <c r="W8" s="9">
        <f t="shared" ca="1" si="28"/>
        <v>-1.9034734239802873</v>
      </c>
      <c r="X8" s="8">
        <f t="shared" ca="1" si="29"/>
        <v>0.50009888751544906</v>
      </c>
      <c r="Y8" s="8">
        <f t="shared" ca="1" si="30"/>
        <v>-1.1510135970333479</v>
      </c>
      <c r="Z8" s="8">
        <f t="shared" ca="1" si="31"/>
        <v>0.60186650185415402</v>
      </c>
      <c r="AA8" s="8">
        <f t="shared" ca="1" si="32"/>
        <v>2.4526205191595043</v>
      </c>
      <c r="AB8" s="8">
        <f t="shared" ca="1" si="33"/>
        <v>0.22</v>
      </c>
      <c r="AC8" s="8" t="e">
        <f t="shared" si="34"/>
        <v>#N/A</v>
      </c>
      <c r="AD8" s="8" t="e">
        <f t="shared" si="35"/>
        <v>#N/A</v>
      </c>
      <c r="AE8" s="8">
        <f t="shared" ca="1" si="36"/>
        <v>0.27999999999999936</v>
      </c>
      <c r="AF8" s="10" t="e">
        <f t="shared" si="37"/>
        <v>#N/A</v>
      </c>
      <c r="AG8" s="9">
        <f t="shared" ca="1" si="38"/>
        <v>10.396946847960564</v>
      </c>
      <c r="AH8" s="8">
        <f t="shared" ca="1" si="9"/>
        <v>5.3698022249690922</v>
      </c>
      <c r="AI8" s="8">
        <f t="shared" ca="1" si="10"/>
        <v>40.292027194066698</v>
      </c>
      <c r="AJ8" s="8">
        <f t="shared" ca="1" si="11"/>
        <v>42.456266996291696</v>
      </c>
      <c r="AK8" s="8">
        <f t="shared" ca="1" si="12"/>
        <v>6.8547589616809912</v>
      </c>
      <c r="AL8" s="8">
        <f t="shared" ca="1" si="13"/>
        <v>-0.22</v>
      </c>
      <c r="AM8" s="8" t="e">
        <f t="shared" ca="1" si="14"/>
        <v>#DIV/0!</v>
      </c>
      <c r="AN8" s="8" t="e">
        <f t="shared" ca="1" si="15"/>
        <v>#N/A</v>
      </c>
      <c r="AO8" s="8">
        <f t="shared" ca="1" si="16"/>
        <v>1.6900000000000013</v>
      </c>
      <c r="AP8" s="10" t="e">
        <f t="shared" si="17"/>
        <v>#N/A</v>
      </c>
    </row>
    <row r="9" spans="1:42" x14ac:dyDescent="0.25">
      <c r="A9" t="s">
        <v>12</v>
      </c>
      <c r="B9" s="4">
        <v>2007</v>
      </c>
      <c r="C9">
        <f t="shared" si="39"/>
        <v>6.7399999999999949</v>
      </c>
      <c r="D9">
        <f t="shared" si="18"/>
        <v>5.7599999999999909</v>
      </c>
      <c r="E9">
        <v>43.38</v>
      </c>
      <c r="F9">
        <f>36.6+5.49</f>
        <v>42.09</v>
      </c>
      <c r="G9">
        <v>7.79</v>
      </c>
      <c r="H9">
        <v>0.26</v>
      </c>
      <c r="J9">
        <v>0.72</v>
      </c>
      <c r="K9">
        <v>1.99</v>
      </c>
      <c r="M9">
        <f t="shared" ca="1" si="19"/>
        <v>10.981212121212138</v>
      </c>
      <c r="N9">
        <f t="shared" ca="1" si="20"/>
        <v>5.1696969696969717</v>
      </c>
      <c r="O9">
        <f t="shared" ca="1" si="21"/>
        <v>36.776969696969672</v>
      </c>
      <c r="P9">
        <f t="shared" ca="1" si="22"/>
        <v>44.748030303030333</v>
      </c>
      <c r="Q9">
        <f t="shared" ca="1" si="23"/>
        <v>7.4937878787878844</v>
      </c>
      <c r="R9">
        <f t="shared" ca="1" si="24"/>
        <v>0</v>
      </c>
      <c r="S9" t="e">
        <f t="shared" ca="1" si="25"/>
        <v>#DIV/0!</v>
      </c>
      <c r="T9">
        <f t="shared" ca="1" si="26"/>
        <v>0.65757575757572795</v>
      </c>
      <c r="U9">
        <f>K9-K10</f>
        <v>-1.9999999999999796E-2</v>
      </c>
      <c r="W9" s="9">
        <f t="shared" ca="1" si="28"/>
        <v>-4.2412121212121434</v>
      </c>
      <c r="X9" s="8">
        <f t="shared" ca="1" si="29"/>
        <v>0.59030303030301923</v>
      </c>
      <c r="Y9" s="8">
        <f t="shared" ca="1" si="30"/>
        <v>6.6030303030303301</v>
      </c>
      <c r="Z9" s="8">
        <f t="shared" ca="1" si="31"/>
        <v>-2.6580303030303298</v>
      </c>
      <c r="AA9" s="8">
        <f t="shared" ca="1" si="32"/>
        <v>0.2962121212121156</v>
      </c>
      <c r="AB9" s="8">
        <f t="shared" ca="1" si="33"/>
        <v>0.26</v>
      </c>
      <c r="AC9" s="8" t="e">
        <f t="shared" si="34"/>
        <v>#N/A</v>
      </c>
      <c r="AD9" s="8">
        <f t="shared" ca="1" si="35"/>
        <v>6.2424242424272025E-2</v>
      </c>
      <c r="AE9" s="8">
        <f t="shared" si="36"/>
        <v>2.0099999999999998</v>
      </c>
      <c r="AF9" s="10" t="e">
        <f t="shared" si="37"/>
        <v>#N/A</v>
      </c>
      <c r="AG9" s="9">
        <f t="shared" ca="1" si="38"/>
        <v>15.222424242424282</v>
      </c>
      <c r="AH9" s="8">
        <f t="shared" ca="1" si="9"/>
        <v>4.5793939393939525</v>
      </c>
      <c r="AI9" s="8">
        <f t="shared" ca="1" si="10"/>
        <v>30.173939393939342</v>
      </c>
      <c r="AJ9" s="8">
        <f t="shared" ca="1" si="11"/>
        <v>47.406060606060663</v>
      </c>
      <c r="AK9" s="8">
        <f t="shared" ca="1" si="12"/>
        <v>7.1975757575757688</v>
      </c>
      <c r="AL9" s="8">
        <f t="shared" ca="1" si="13"/>
        <v>-0.26</v>
      </c>
      <c r="AM9" s="8" t="e">
        <f t="shared" ca="1" si="14"/>
        <v>#DIV/0!</v>
      </c>
      <c r="AN9" s="8">
        <f t="shared" ca="1" si="15"/>
        <v>0.59515151515145592</v>
      </c>
      <c r="AO9" s="8">
        <f t="shared" si="16"/>
        <v>-2.0299999999999994</v>
      </c>
      <c r="AP9" s="10" t="e">
        <f t="shared" si="17"/>
        <v>#N/A</v>
      </c>
    </row>
    <row r="10" spans="1:42" x14ac:dyDescent="0.25">
      <c r="A10" t="s">
        <v>14</v>
      </c>
      <c r="B10" s="4">
        <v>2004</v>
      </c>
      <c r="C10">
        <f t="shared" si="39"/>
        <v>8.4699999999999989</v>
      </c>
      <c r="D10">
        <f t="shared" si="18"/>
        <v>6.0400000000000063</v>
      </c>
      <c r="E10">
        <v>37.630000000000003</v>
      </c>
      <c r="F10">
        <v>46.71</v>
      </c>
      <c r="G10">
        <v>7.19</v>
      </c>
      <c r="H10">
        <v>1.19</v>
      </c>
      <c r="J10">
        <v>1.24</v>
      </c>
      <c r="K10">
        <v>2.0099999999999998</v>
      </c>
      <c r="M10">
        <f t="shared" ca="1" si="19"/>
        <v>16.409270704573373</v>
      </c>
      <c r="N10">
        <f t="shared" ca="1" si="20"/>
        <v>4.7727070457354728</v>
      </c>
      <c r="O10">
        <f t="shared" ca="1" si="21"/>
        <v>36.610568603213778</v>
      </c>
      <c r="P10">
        <f t="shared" ca="1" si="22"/>
        <v>41.67414091470954</v>
      </c>
      <c r="Q10">
        <f t="shared" ca="1" si="23"/>
        <v>5.2427868852460051</v>
      </c>
      <c r="R10">
        <f t="shared" ca="1" si="24"/>
        <v>0</v>
      </c>
      <c r="S10" t="e">
        <f t="shared" ca="1" si="25"/>
        <v>#DIV/0!</v>
      </c>
      <c r="T10">
        <f t="shared" ca="1" si="26"/>
        <v>4.5424351050679661</v>
      </c>
      <c r="U10">
        <f>K10</f>
        <v>2.0099999999999998</v>
      </c>
      <c r="W10" s="9">
        <f t="shared" ca="1" si="28"/>
        <v>-7.9392707045733744</v>
      </c>
      <c r="X10" s="8">
        <f t="shared" ca="1" si="29"/>
        <v>1.2672929542645335</v>
      </c>
      <c r="Y10" s="8">
        <f t="shared" ca="1" si="30"/>
        <v>1.0194313967862243</v>
      </c>
      <c r="Z10" s="8">
        <f t="shared" ca="1" si="31"/>
        <v>5.0358590852904612</v>
      </c>
      <c r="AA10" s="8">
        <f t="shared" ca="1" si="32"/>
        <v>1.9472131147539953</v>
      </c>
      <c r="AB10" s="8">
        <f t="shared" ca="1" si="33"/>
        <v>1.19</v>
      </c>
      <c r="AC10" s="8" t="e">
        <f t="shared" si="34"/>
        <v>#N/A</v>
      </c>
      <c r="AD10" s="8">
        <f t="shared" ca="1" si="35"/>
        <v>-3.3024351050679659</v>
      </c>
      <c r="AE10" s="8">
        <f t="shared" si="36"/>
        <v>0</v>
      </c>
      <c r="AF10" s="10" t="e">
        <f t="shared" si="37"/>
        <v>#N/A</v>
      </c>
      <c r="AG10" s="9">
        <f t="shared" ca="1" si="38"/>
        <v>24.348541409146748</v>
      </c>
      <c r="AH10" s="8">
        <f t="shared" ca="1" si="9"/>
        <v>3.5054140914709393</v>
      </c>
      <c r="AI10" s="8">
        <f t="shared" ca="1" si="10"/>
        <v>35.591137206427554</v>
      </c>
      <c r="AJ10" s="8">
        <f t="shared" ca="1" si="11"/>
        <v>36.638281829419078</v>
      </c>
      <c r="AK10" s="8">
        <f t="shared" ca="1" si="12"/>
        <v>3.2955737704920098</v>
      </c>
      <c r="AL10" s="8">
        <f t="shared" ca="1" si="13"/>
        <v>-1.19</v>
      </c>
      <c r="AM10" s="8" t="e">
        <f t="shared" ca="1" si="14"/>
        <v>#DIV/0!</v>
      </c>
      <c r="AN10" s="8">
        <f t="shared" ca="1" si="15"/>
        <v>7.844870210135932</v>
      </c>
      <c r="AO10" s="8">
        <f t="shared" si="16"/>
        <v>2.0099999999999998</v>
      </c>
      <c r="AP10" s="10" t="e">
        <f t="shared" si="17"/>
        <v>#N/A</v>
      </c>
    </row>
    <row r="11" spans="1:42" x14ac:dyDescent="0.25">
      <c r="A11" t="s">
        <v>15</v>
      </c>
      <c r="B11" s="4">
        <v>2001</v>
      </c>
      <c r="C11">
        <f t="shared" si="39"/>
        <v>14.280000000000001</v>
      </c>
      <c r="D11">
        <f t="shared" si="18"/>
        <v>4.5300000000000011</v>
      </c>
      <c r="E11">
        <v>37.840000000000003</v>
      </c>
      <c r="F11">
        <v>42.92</v>
      </c>
      <c r="G11">
        <v>4.96</v>
      </c>
      <c r="H11">
        <v>4.34</v>
      </c>
      <c r="J11">
        <v>5.41</v>
      </c>
      <c r="M11">
        <f t="shared" ca="1" si="19"/>
        <v>16.528976744186139</v>
      </c>
      <c r="N11">
        <f t="shared" ca="1" si="20"/>
        <v>4.9316511627907289</v>
      </c>
      <c r="O11">
        <f t="shared" ca="1" si="21"/>
        <v>37.573302325581381</v>
      </c>
      <c r="P11">
        <f t="shared" ca="1" si="22"/>
        <v>42.261558139534884</v>
      </c>
      <c r="Q11">
        <f t="shared" ca="1" si="23"/>
        <v>3.4385714285714357</v>
      </c>
      <c r="R11" t="e">
        <f t="shared" ca="1" si="24"/>
        <v>#DIV/0!</v>
      </c>
      <c r="S11" t="e">
        <f t="shared" ca="1" si="25"/>
        <v>#DIV/0!</v>
      </c>
      <c r="T11">
        <f t="shared" ca="1" si="26"/>
        <v>5.7858139534883861</v>
      </c>
      <c r="U11" t="e">
        <f t="shared" ca="1" si="27"/>
        <v>#DIV/0!</v>
      </c>
      <c r="V11" s="4">
        <f t="shared" ref="V11:V15" ca="1" si="40">MAX(0,_xlfn.FORECAST.LINEAR($B11,OFFSET(L12,0,0,$D$1),OFFSET($B12,0,0,$D$1)))</f>
        <v>0</v>
      </c>
      <c r="W11" s="9">
        <f t="shared" ca="1" si="28"/>
        <v>-2.2489767441861375</v>
      </c>
      <c r="X11" s="8">
        <f t="shared" ca="1" si="29"/>
        <v>-0.40165116279072777</v>
      </c>
      <c r="Y11" s="8">
        <f t="shared" ca="1" si="30"/>
        <v>0.26669767441862291</v>
      </c>
      <c r="Z11" s="8">
        <f t="shared" ca="1" si="31"/>
        <v>0.65844186046511766</v>
      </c>
      <c r="AA11" s="8">
        <f t="shared" ca="1" si="32"/>
        <v>1.5214285714285642</v>
      </c>
      <c r="AB11" s="8">
        <f>H11-H12</f>
        <v>-5.09</v>
      </c>
      <c r="AC11" s="8" t="e">
        <f t="shared" si="34"/>
        <v>#N/A</v>
      </c>
      <c r="AD11" s="8">
        <f t="shared" ca="1" si="35"/>
        <v>-0.37581395348838598</v>
      </c>
      <c r="AE11" s="8" t="e">
        <f t="shared" si="36"/>
        <v>#N/A</v>
      </c>
      <c r="AF11" s="10" t="e">
        <f t="shared" si="37"/>
        <v>#N/A</v>
      </c>
      <c r="AG11" s="9">
        <f t="shared" ca="1" si="38"/>
        <v>18.777953488372276</v>
      </c>
      <c r="AH11" s="8">
        <f t="shared" ca="1" si="9"/>
        <v>5.3333023255814567</v>
      </c>
      <c r="AI11" s="8">
        <f t="shared" ca="1" si="10"/>
        <v>37.306604651162758</v>
      </c>
      <c r="AJ11" s="8">
        <f t="shared" ca="1" si="11"/>
        <v>41.603116279069766</v>
      </c>
      <c r="AK11" s="8">
        <f t="shared" ca="1" si="12"/>
        <v>1.9171428571428715</v>
      </c>
      <c r="AL11" s="8" t="e">
        <f t="shared" ca="1" si="13"/>
        <v>#DIV/0!</v>
      </c>
      <c r="AM11" s="8" t="e">
        <f t="shared" ca="1" si="14"/>
        <v>#DIV/0!</v>
      </c>
      <c r="AN11" s="8">
        <f t="shared" ca="1" si="15"/>
        <v>6.1616279069767721</v>
      </c>
      <c r="AO11" s="8" t="e">
        <f t="shared" ca="1" si="16"/>
        <v>#DIV/0!</v>
      </c>
      <c r="AP11" s="10" t="e">
        <f t="shared" ca="1" si="17"/>
        <v>#N/A</v>
      </c>
    </row>
    <row r="12" spans="1:42" x14ac:dyDescent="0.25">
      <c r="A12" t="s">
        <v>16</v>
      </c>
      <c r="B12" s="4">
        <v>1998</v>
      </c>
      <c r="C12">
        <f t="shared" si="39"/>
        <v>17.769999999999996</v>
      </c>
      <c r="D12">
        <f t="shared" si="18"/>
        <v>3.210000000000008</v>
      </c>
      <c r="E12">
        <v>40.1</v>
      </c>
      <c r="F12">
        <v>39.51</v>
      </c>
      <c r="G12">
        <v>2.62</v>
      </c>
      <c r="H12">
        <v>9.43</v>
      </c>
      <c r="J12">
        <v>5.13</v>
      </c>
      <c r="M12">
        <f t="shared" ca="1" si="19"/>
        <v>12.797261146496794</v>
      </c>
      <c r="N12">
        <f t="shared" ca="1" si="20"/>
        <v>5.6848407643312271</v>
      </c>
      <c r="O12">
        <f t="shared" ca="1" si="21"/>
        <v>37.913757961783404</v>
      </c>
      <c r="P12">
        <f t="shared" ca="1" si="22"/>
        <v>46.156560509554168</v>
      </c>
      <c r="Q12">
        <f t="shared" ca="1" si="23"/>
        <v>3.3316666666667061</v>
      </c>
      <c r="R12" t="e">
        <f t="shared" ca="1" si="24"/>
        <v>#DIV/0!</v>
      </c>
      <c r="S12" t="e">
        <f t="shared" ca="1" si="25"/>
        <v>#DIV/0!</v>
      </c>
      <c r="T12">
        <f t="shared" ca="1" si="26"/>
        <v>7.1124203821656238</v>
      </c>
      <c r="U12" t="e">
        <f t="shared" ca="1" si="27"/>
        <v>#DIV/0!</v>
      </c>
      <c r="V12" s="4">
        <f t="shared" ca="1" si="40"/>
        <v>0</v>
      </c>
      <c r="W12" s="9">
        <f t="shared" ca="1" si="28"/>
        <v>4.972738853503202</v>
      </c>
      <c r="X12" s="8">
        <f t="shared" ca="1" si="29"/>
        <v>-2.4748407643312191</v>
      </c>
      <c r="Y12" s="8">
        <f t="shared" ca="1" si="30"/>
        <v>2.1862420382165979</v>
      </c>
      <c r="Z12" s="8">
        <f t="shared" ca="1" si="31"/>
        <v>-6.6465605095541704</v>
      </c>
      <c r="AA12" s="8">
        <f t="shared" ca="1" si="32"/>
        <v>-0.71166666666670597</v>
      </c>
      <c r="AB12" s="8">
        <f>H12</f>
        <v>9.43</v>
      </c>
      <c r="AC12" s="8" t="e">
        <f t="shared" si="34"/>
        <v>#N/A</v>
      </c>
      <c r="AD12" s="8">
        <f t="shared" ca="1" si="35"/>
        <v>-1.9824203821656239</v>
      </c>
      <c r="AE12" s="8" t="e">
        <f t="shared" si="36"/>
        <v>#N/A</v>
      </c>
      <c r="AF12" s="10" t="e">
        <f t="shared" si="37"/>
        <v>#N/A</v>
      </c>
      <c r="AG12" s="9">
        <f t="shared" ca="1" si="38"/>
        <v>7.824522292993592</v>
      </c>
      <c r="AH12" s="8">
        <f t="shared" ca="1" si="9"/>
        <v>8.1596815286624462</v>
      </c>
      <c r="AI12" s="8">
        <f t="shared" ca="1" si="10"/>
        <v>35.727515923566806</v>
      </c>
      <c r="AJ12" s="8">
        <f t="shared" ca="1" si="11"/>
        <v>52.803121019108339</v>
      </c>
      <c r="AK12" s="8">
        <f t="shared" ca="1" si="12"/>
        <v>4.043333333333412</v>
      </c>
      <c r="AL12" s="8" t="e">
        <f t="shared" ca="1" si="13"/>
        <v>#DIV/0!</v>
      </c>
      <c r="AM12" s="8" t="e">
        <f t="shared" ca="1" si="14"/>
        <v>#DIV/0!</v>
      </c>
      <c r="AN12" s="8">
        <f t="shared" ca="1" si="15"/>
        <v>9.0948407643312486</v>
      </c>
      <c r="AO12" s="8" t="e">
        <f t="shared" ca="1" si="16"/>
        <v>#DIV/0!</v>
      </c>
      <c r="AP12" s="10" t="e">
        <f t="shared" ca="1" si="17"/>
        <v>#N/A</v>
      </c>
    </row>
    <row r="13" spans="1:42" x14ac:dyDescent="0.25">
      <c r="A13" t="s">
        <v>18</v>
      </c>
      <c r="B13" s="4">
        <v>1996</v>
      </c>
      <c r="C13">
        <f t="shared" si="39"/>
        <v>11.079999999999998</v>
      </c>
      <c r="D13">
        <f t="shared" si="18"/>
        <v>4.3199999999999932</v>
      </c>
      <c r="E13">
        <v>38.75</v>
      </c>
      <c r="F13">
        <v>47.25</v>
      </c>
      <c r="G13">
        <v>2.92</v>
      </c>
      <c r="J13">
        <v>6.76</v>
      </c>
      <c r="M13">
        <f t="shared" ca="1" si="19"/>
        <v>12.571959361393283</v>
      </c>
      <c r="N13">
        <f t="shared" ca="1" si="20"/>
        <v>5.7545137880986204</v>
      </c>
      <c r="O13">
        <f t="shared" ca="1" si="21"/>
        <v>41.831843251088458</v>
      </c>
      <c r="P13">
        <f t="shared" ca="1" si="22"/>
        <v>43.542336719883906</v>
      </c>
      <c r="Q13">
        <f t="shared" ca="1" si="23"/>
        <v>2.2900000000000205</v>
      </c>
      <c r="R13" t="e">
        <f t="shared" ca="1" si="24"/>
        <v>#DIV/0!</v>
      </c>
      <c r="S13" t="e">
        <f t="shared" ca="1" si="25"/>
        <v>#DIV/0!</v>
      </c>
      <c r="T13">
        <f t="shared" ca="1" si="26"/>
        <v>6.8174455732946342</v>
      </c>
      <c r="U13" t="e">
        <f t="shared" ca="1" si="27"/>
        <v>#DIV/0!</v>
      </c>
      <c r="V13" s="4">
        <f t="shared" ca="1" si="40"/>
        <v>0</v>
      </c>
      <c r="W13" s="9">
        <f t="shared" ca="1" si="28"/>
        <v>-1.4919593613932847</v>
      </c>
      <c r="X13" s="8">
        <f t="shared" ca="1" si="29"/>
        <v>-1.4345137880986272</v>
      </c>
      <c r="Y13" s="8">
        <f t="shared" ca="1" si="30"/>
        <v>-3.0818432510884577</v>
      </c>
      <c r="Z13" s="8">
        <f t="shared" ca="1" si="31"/>
        <v>3.707663280116094</v>
      </c>
      <c r="AA13" s="8">
        <f t="shared" ca="1" si="32"/>
        <v>0.62999999999997947</v>
      </c>
      <c r="AB13" s="8" t="e">
        <f t="shared" si="33"/>
        <v>#N/A</v>
      </c>
      <c r="AC13" s="8" t="e">
        <f t="shared" si="34"/>
        <v>#N/A</v>
      </c>
      <c r="AD13" s="8">
        <f t="shared" ca="1" si="35"/>
        <v>-5.74455732946344E-2</v>
      </c>
      <c r="AE13" s="8" t="e">
        <f t="shared" si="36"/>
        <v>#N/A</v>
      </c>
      <c r="AF13" s="10" t="e">
        <f t="shared" si="37"/>
        <v>#N/A</v>
      </c>
      <c r="AG13" s="9">
        <f t="shared" ca="1" si="38"/>
        <v>14.063918722786568</v>
      </c>
      <c r="AH13" s="8">
        <f t="shared" ca="1" si="9"/>
        <v>7.1890275761972475</v>
      </c>
      <c r="AI13" s="8">
        <f t="shared" ca="1" si="10"/>
        <v>44.913686502176915</v>
      </c>
      <c r="AJ13" s="8">
        <f t="shared" ca="1" si="11"/>
        <v>39.834673439767812</v>
      </c>
      <c r="AK13" s="8">
        <f t="shared" ca="1" si="12"/>
        <v>1.660000000000041</v>
      </c>
      <c r="AL13" s="8" t="e">
        <f t="shared" ca="1" si="13"/>
        <v>#DIV/0!</v>
      </c>
      <c r="AM13" s="8" t="e">
        <f t="shared" ca="1" si="14"/>
        <v>#DIV/0!</v>
      </c>
      <c r="AN13" s="8">
        <f t="shared" ca="1" si="15"/>
        <v>6.8748911465892686</v>
      </c>
      <c r="AO13" s="8" t="e">
        <f t="shared" ca="1" si="16"/>
        <v>#DIV/0!</v>
      </c>
      <c r="AP13" s="10" t="e">
        <f t="shared" ca="1" si="17"/>
        <v>#N/A</v>
      </c>
    </row>
    <row r="14" spans="1:42" x14ac:dyDescent="0.25">
      <c r="A14" t="s">
        <v>19</v>
      </c>
      <c r="B14" s="4">
        <v>1993</v>
      </c>
      <c r="C14">
        <f t="shared" si="39"/>
        <v>8.980000000000004</v>
      </c>
      <c r="D14">
        <f t="shared" si="18"/>
        <v>5.230000000000004</v>
      </c>
      <c r="E14">
        <v>44.92</v>
      </c>
      <c r="F14">
        <v>44.27</v>
      </c>
      <c r="G14">
        <v>1.83</v>
      </c>
      <c r="J14">
        <v>3.75</v>
      </c>
      <c r="M14">
        <f t="shared" ca="1" si="19"/>
        <v>11.743515981735129</v>
      </c>
      <c r="N14">
        <f t="shared" ca="1" si="20"/>
        <v>3.5565296803652586</v>
      </c>
      <c r="O14">
        <f t="shared" ca="1" si="21"/>
        <v>44.553926940639265</v>
      </c>
      <c r="P14">
        <f t="shared" ca="1" si="22"/>
        <v>42.701643835616437</v>
      </c>
      <c r="Q14" t="e">
        <f t="shared" ca="1" si="23"/>
        <v>#DIV/0!</v>
      </c>
      <c r="R14" t="e">
        <f t="shared" ca="1" si="24"/>
        <v>#DIV/0!</v>
      </c>
      <c r="S14" t="e">
        <f t="shared" ca="1" si="25"/>
        <v>#DIV/0!</v>
      </c>
      <c r="T14">
        <f t="shared" ca="1" si="26"/>
        <v>8.1869863013698705</v>
      </c>
      <c r="U14" t="e">
        <f t="shared" ca="1" si="27"/>
        <v>#DIV/0!</v>
      </c>
      <c r="V14" s="4">
        <f t="shared" ca="1" si="40"/>
        <v>0</v>
      </c>
      <c r="W14" s="9">
        <f t="shared" ca="1" si="28"/>
        <v>-2.7635159817351251</v>
      </c>
      <c r="X14" s="8">
        <f t="shared" ca="1" si="29"/>
        <v>1.6734703196347454</v>
      </c>
      <c r="Y14" s="8">
        <f t="shared" ca="1" si="30"/>
        <v>0.36607305936073686</v>
      </c>
      <c r="Z14" s="8">
        <f t="shared" ca="1" si="31"/>
        <v>1.568356164383566</v>
      </c>
      <c r="AA14" s="8">
        <f>G14-G15</f>
        <v>0.45999999999999996</v>
      </c>
      <c r="AB14" s="8" t="e">
        <f t="shared" si="33"/>
        <v>#N/A</v>
      </c>
      <c r="AC14" s="8" t="e">
        <f t="shared" si="34"/>
        <v>#N/A</v>
      </c>
      <c r="AD14" s="8">
        <f t="shared" ca="1" si="35"/>
        <v>-4.4369863013698705</v>
      </c>
      <c r="AE14" s="8" t="e">
        <f t="shared" si="36"/>
        <v>#N/A</v>
      </c>
      <c r="AF14" s="10" t="e">
        <f t="shared" si="37"/>
        <v>#N/A</v>
      </c>
      <c r="AG14" s="9">
        <f t="shared" ca="1" si="38"/>
        <v>14.507031963470254</v>
      </c>
      <c r="AH14" s="8">
        <f t="shared" ca="1" si="9"/>
        <v>1.8830593607305133</v>
      </c>
      <c r="AI14" s="8">
        <f t="shared" ca="1" si="10"/>
        <v>44.187853881278528</v>
      </c>
      <c r="AJ14" s="8">
        <f t="shared" ca="1" si="11"/>
        <v>41.133287671232871</v>
      </c>
      <c r="AK14" s="8" t="e">
        <f t="shared" ca="1" si="12"/>
        <v>#DIV/0!</v>
      </c>
      <c r="AL14" s="8" t="e">
        <f t="shared" ca="1" si="13"/>
        <v>#DIV/0!</v>
      </c>
      <c r="AM14" s="8" t="e">
        <f t="shared" ca="1" si="14"/>
        <v>#DIV/0!</v>
      </c>
      <c r="AN14" s="8">
        <f t="shared" ca="1" si="15"/>
        <v>12.623972602739741</v>
      </c>
      <c r="AO14" s="8" t="e">
        <f t="shared" ca="1" si="16"/>
        <v>#DIV/0!</v>
      </c>
      <c r="AP14" s="10" t="e">
        <f t="shared" ca="1" si="17"/>
        <v>#N/A</v>
      </c>
    </row>
    <row r="15" spans="1:42" x14ac:dyDescent="0.25">
      <c r="A15" t="s">
        <v>20</v>
      </c>
      <c r="B15" s="4">
        <v>1990</v>
      </c>
      <c r="C15">
        <f t="shared" si="39"/>
        <v>15.72999999999999</v>
      </c>
      <c r="D15">
        <f t="shared" si="18"/>
        <v>4.4699999999999847</v>
      </c>
      <c r="E15">
        <v>39.44</v>
      </c>
      <c r="F15">
        <v>43.46</v>
      </c>
      <c r="G15">
        <v>1.37</v>
      </c>
      <c r="J15">
        <v>11.26</v>
      </c>
      <c r="M15">
        <f t="shared" ca="1" si="19"/>
        <v>8.1801960784313721</v>
      </c>
      <c r="N15">
        <f t="shared" ca="1" si="20"/>
        <v>1.1587254901960478</v>
      </c>
      <c r="O15">
        <f t="shared" ca="1" si="21"/>
        <v>50.055588235294181</v>
      </c>
      <c r="P15">
        <f t="shared" ca="1" si="22"/>
        <v>41.764215686274383</v>
      </c>
      <c r="Q15" t="e">
        <f t="shared" ca="1" si="23"/>
        <v>#DIV/0!</v>
      </c>
      <c r="R15" t="e">
        <f t="shared" ca="1" si="24"/>
        <v>#DIV/0!</v>
      </c>
      <c r="S15" t="e">
        <f t="shared" ca="1" si="25"/>
        <v>#DIV/0!</v>
      </c>
      <c r="T15">
        <f t="shared" ca="1" si="26"/>
        <v>3.7538775510204232</v>
      </c>
      <c r="U15" t="e">
        <f t="shared" ca="1" si="27"/>
        <v>#DIV/0!</v>
      </c>
      <c r="V15" s="4">
        <f t="shared" ca="1" si="40"/>
        <v>0</v>
      </c>
      <c r="W15" s="9">
        <f t="shared" ca="1" si="28"/>
        <v>7.5498039215686177</v>
      </c>
      <c r="X15" s="8">
        <f t="shared" ca="1" si="29"/>
        <v>3.3112745098039369</v>
      </c>
      <c r="Y15" s="8">
        <f t="shared" ca="1" si="30"/>
        <v>-10.615588235294183</v>
      </c>
      <c r="Z15" s="8">
        <f t="shared" ca="1" si="31"/>
        <v>1.6957843137256177</v>
      </c>
      <c r="AA15" s="8">
        <f>G15</f>
        <v>1.37</v>
      </c>
      <c r="AB15" s="8" t="e">
        <f t="shared" si="33"/>
        <v>#N/A</v>
      </c>
      <c r="AC15" s="8" t="e">
        <f t="shared" si="34"/>
        <v>#N/A</v>
      </c>
      <c r="AD15" s="8">
        <f t="shared" ca="1" si="35"/>
        <v>7.5061224489795766</v>
      </c>
      <c r="AE15" s="8" t="e">
        <f t="shared" si="36"/>
        <v>#N/A</v>
      </c>
      <c r="AF15" s="10" t="e">
        <f t="shared" si="37"/>
        <v>#N/A</v>
      </c>
      <c r="AG15" s="9">
        <f t="shared" ca="1" si="38"/>
        <v>0.6303921568627544</v>
      </c>
      <c r="AH15" s="8">
        <f t="shared" ca="1" si="9"/>
        <v>-2.1525490196078891</v>
      </c>
      <c r="AI15" s="8">
        <f t="shared" ca="1" si="10"/>
        <v>60.671176470588364</v>
      </c>
      <c r="AJ15" s="8">
        <f t="shared" ca="1" si="11"/>
        <v>40.068431372548766</v>
      </c>
      <c r="AK15" s="8" t="e">
        <f t="shared" ca="1" si="12"/>
        <v>#DIV/0!</v>
      </c>
      <c r="AL15" s="8" t="e">
        <f t="shared" ca="1" si="13"/>
        <v>#DIV/0!</v>
      </c>
      <c r="AM15" s="8" t="e">
        <f t="shared" ca="1" si="14"/>
        <v>#DIV/0!</v>
      </c>
      <c r="AN15" s="8">
        <f t="shared" ca="1" si="15"/>
        <v>-3.7522448979591534</v>
      </c>
      <c r="AO15" s="8" t="e">
        <f t="shared" ca="1" si="16"/>
        <v>#DIV/0!</v>
      </c>
      <c r="AP15" s="10" t="e">
        <f t="shared" ca="1" si="17"/>
        <v>#N/A</v>
      </c>
    </row>
    <row r="16" spans="1:42" x14ac:dyDescent="0.25">
      <c r="A16" t="s">
        <v>21</v>
      </c>
      <c r="B16" s="4">
        <v>1987</v>
      </c>
      <c r="C16">
        <f t="shared" ref="C16:C19" si="41">100-SUM(E16:G16)</f>
        <v>8.2000000000000028</v>
      </c>
      <c r="D16">
        <f t="shared" si="18"/>
        <v>2.2000000000000028</v>
      </c>
      <c r="E16">
        <v>45.9</v>
      </c>
      <c r="F16">
        <v>45.9</v>
      </c>
      <c r="J16">
        <v>6</v>
      </c>
      <c r="L16" s="4">
        <v>0.04</v>
      </c>
      <c r="M16">
        <f t="shared" ref="M16:M17" ca="1" si="42">MAX(0,_xlfn.FORECAST.LINEAR($B16,OFFSET(C17,0,0,$D$1),OFFSET($B17,0,0,$D$1)))</f>
        <v>8.7521689059501</v>
      </c>
      <c r="N16">
        <f t="shared" ref="N16:N17" ca="1" si="43">MAX(0,_xlfn.FORECAST.LINEAR($B16,OFFSET(D17,0,0,$D$1),OFFSET($B17,0,0,$D$1)))</f>
        <v>0.62420345489442752</v>
      </c>
      <c r="O16">
        <f t="shared" ref="O16:O17" ca="1" si="44">MAX(0,_xlfn.FORECAST.LINEAR($B16,OFFSET(E17,0,0,$D$1),OFFSET($B17,0,0,$D$1)))</f>
        <v>48.419366602687205</v>
      </c>
      <c r="P16">
        <f t="shared" ref="P16:P17" ca="1" si="45">MAX(0,_xlfn.FORECAST.LINEAR($B16,OFFSET(F17,0,0,$D$1),OFFSET($B17,0,0,$D$1)))</f>
        <v>42.828464491362638</v>
      </c>
      <c r="Q16" t="e">
        <f t="shared" ref="Q16:Q17" ca="1" si="46">MAX(0,_xlfn.FORECAST.LINEAR($B16,OFFSET(G17,0,0,$D$1),OFFSET($B17,0,0,$D$1)))</f>
        <v>#DIV/0!</v>
      </c>
      <c r="R16" t="e">
        <f t="shared" ref="R16:R17" ca="1" si="47">MAX(0,_xlfn.FORECAST.LINEAR($B16,OFFSET(H17,0,0,$D$1),OFFSET($B17,0,0,$D$1)))</f>
        <v>#DIV/0!</v>
      </c>
      <c r="S16" t="e">
        <f t="shared" ref="S16:S17" ca="1" si="48">MAX(0,_xlfn.FORECAST.LINEAR($B16,OFFSET(I17,0,0,$D$1),OFFSET($B17,0,0,$D$1)))</f>
        <v>#DIV/0!</v>
      </c>
      <c r="T16">
        <f t="shared" ref="T16:T17" ca="1" si="49">MAX(0,_xlfn.FORECAST.LINEAR($B16,OFFSET(J17,0,0,$D$1),OFFSET($B17,0,0,$D$1)))</f>
        <v>3.0715000000000146</v>
      </c>
      <c r="U16" t="e">
        <f t="shared" ref="U16:U17" ca="1" si="50">MAX(0,_xlfn.FORECAST.LINEAR($B16,OFFSET(K17,0,0,$D$1),OFFSET($B17,0,0,$D$1)))</f>
        <v>#DIV/0!</v>
      </c>
      <c r="V16" s="4">
        <f t="shared" ref="V16:V17" ca="1" si="51">MAX(0,_xlfn.FORECAST.LINEAR($B16,OFFSET(L17,0,0,$D$1),OFFSET($B17,0,0,$D$1)))</f>
        <v>0</v>
      </c>
      <c r="W16" s="9">
        <f t="shared" ref="W16:W17" ca="1" si="52">IF(ISBLANK(C16),NA(),C16-M16)</f>
        <v>-0.55216890595009716</v>
      </c>
      <c r="X16" s="8">
        <f t="shared" ref="X16:X17" ca="1" si="53">IF(ISBLANK(D16),NA(),D16-N16)</f>
        <v>1.5757965451055753</v>
      </c>
      <c r="Y16" s="8">
        <f t="shared" ref="Y16:Y17" ca="1" si="54">IF(ISBLANK(E16),NA(),E16-O16)</f>
        <v>-2.5193666026872066</v>
      </c>
      <c r="Z16" s="8">
        <f t="shared" ref="Z16:Z17" ca="1" si="55">IF(ISBLANK(F16),NA(),F16-P16)</f>
        <v>3.0715355086373606</v>
      </c>
      <c r="AA16" s="8" t="e">
        <f t="shared" ref="AA16:AA17" si="56">IF(ISBLANK(G16),NA(),G16-Q16)</f>
        <v>#N/A</v>
      </c>
      <c r="AB16" s="8" t="e">
        <f t="shared" ref="AB16:AB17" si="57">IF(ISBLANK(H16),NA(),H16-R16)</f>
        <v>#N/A</v>
      </c>
      <c r="AC16" s="8" t="e">
        <f t="shared" ref="AC16:AC17" si="58">IF(ISBLANK(I16),NA(),I16-S16)</f>
        <v>#N/A</v>
      </c>
      <c r="AD16" s="8">
        <f t="shared" ref="AD16:AD17" ca="1" si="59">IF(ISBLANK(J16),NA(),J16-T16)</f>
        <v>2.9284999999999854</v>
      </c>
      <c r="AE16" s="8" t="e">
        <f t="shared" ref="AE16:AE17" si="60">IF(ISBLANK(K16),NA(),K16-U16)</f>
        <v>#N/A</v>
      </c>
      <c r="AF16" s="10">
        <f t="shared" ref="AF16:AF17" ca="1" si="61">IF(ISBLANK(L16),NA(),L16-V16)</f>
        <v>0.04</v>
      </c>
      <c r="AG16" s="9">
        <f t="shared" ref="AG16:AG17" ca="1" si="62">IF(ISBLANK(M16),NA(),M16-W16)</f>
        <v>9.3043378119001972</v>
      </c>
      <c r="AH16" s="8">
        <f t="shared" ref="AH16:AH17" ca="1" si="63">IF(ISBLANK(N16),NA(),N16-X16)</f>
        <v>-0.9515930902111478</v>
      </c>
      <c r="AI16" s="8">
        <f t="shared" ref="AI16:AI17" ca="1" si="64">IF(ISBLANK(O16),NA(),O16-Y16)</f>
        <v>50.938733205374412</v>
      </c>
      <c r="AJ16" s="8">
        <f t="shared" ref="AJ16:AJ17" ca="1" si="65">IF(ISBLANK(P16),NA(),P16-Z16)</f>
        <v>39.756928982725277</v>
      </c>
      <c r="AK16" s="8" t="e">
        <f t="shared" ref="AK16:AK17" ca="1" si="66">IF(ISBLANK(Q16),NA(),Q16-AA16)</f>
        <v>#DIV/0!</v>
      </c>
      <c r="AL16" s="8" t="e">
        <f t="shared" ref="AL16:AL17" ca="1" si="67">IF(ISBLANK(R16),NA(),R16-AB16)</f>
        <v>#DIV/0!</v>
      </c>
      <c r="AM16" s="8" t="e">
        <f t="shared" ref="AM16:AM17" ca="1" si="68">IF(ISBLANK(S16),NA(),S16-AC16)</f>
        <v>#DIV/0!</v>
      </c>
      <c r="AN16" s="8">
        <f t="shared" ref="AN16:AN17" ca="1" si="69">IF(ISBLANK(T16),NA(),T16-AD16)</f>
        <v>0.1430000000000291</v>
      </c>
      <c r="AO16" s="8" t="e">
        <f t="shared" ref="AO16:AO17" ca="1" si="70">IF(ISBLANK(U16),NA(),U16-AE16)</f>
        <v>#DIV/0!</v>
      </c>
      <c r="AP16" s="10">
        <f t="shared" ref="AP16:AP17" ca="1" si="71">IF(ISBLANK(V16),NA(),V16-AF16)</f>
        <v>-0.04</v>
      </c>
    </row>
    <row r="17" spans="1:42" x14ac:dyDescent="0.25">
      <c r="A17" t="s">
        <v>22</v>
      </c>
      <c r="B17" s="4">
        <v>1984</v>
      </c>
      <c r="C17">
        <f t="shared" si="41"/>
        <v>7.4399999999999977</v>
      </c>
      <c r="D17">
        <f t="shared" si="18"/>
        <v>1.9899999999999949</v>
      </c>
      <c r="E17">
        <v>47.55</v>
      </c>
      <c r="F17">
        <v>45.01</v>
      </c>
      <c r="J17">
        <v>5.45</v>
      </c>
      <c r="L17" s="4">
        <v>0.56999999999999995</v>
      </c>
      <c r="M17">
        <f t="shared" ca="1" si="42"/>
        <v>8.1754325955734259</v>
      </c>
      <c r="N17">
        <f t="shared" ca="1" si="43"/>
        <v>5.9798792756510011E-2</v>
      </c>
      <c r="O17">
        <f t="shared" ca="1" si="44"/>
        <v>45.724949698189121</v>
      </c>
      <c r="P17">
        <f t="shared" ca="1" si="45"/>
        <v>46.099617706237439</v>
      </c>
      <c r="Q17" t="e">
        <f t="shared" ca="1" si="46"/>
        <v>#DIV/0!</v>
      </c>
      <c r="R17" t="e">
        <f t="shared" ca="1" si="47"/>
        <v>#DIV/0!</v>
      </c>
      <c r="S17" t="e">
        <f t="shared" ca="1" si="48"/>
        <v>#DIV/0!</v>
      </c>
      <c r="T17">
        <f t="shared" ca="1" si="49"/>
        <v>4.0933333333334758</v>
      </c>
      <c r="U17" t="e">
        <f t="shared" ca="1" si="50"/>
        <v>#DIV/0!</v>
      </c>
      <c r="V17" s="4">
        <f t="shared" ca="1" si="51"/>
        <v>0</v>
      </c>
      <c r="W17" s="9">
        <f t="shared" ca="1" si="52"/>
        <v>-0.73543259557342822</v>
      </c>
      <c r="X17" s="8">
        <f t="shared" ca="1" si="53"/>
        <v>1.9302012072434849</v>
      </c>
      <c r="Y17" s="8">
        <f t="shared" ca="1" si="54"/>
        <v>1.8250503018108759</v>
      </c>
      <c r="Z17" s="8">
        <f t="shared" ca="1" si="55"/>
        <v>-1.0896177062374406</v>
      </c>
      <c r="AA17" s="8" t="e">
        <f t="shared" si="56"/>
        <v>#N/A</v>
      </c>
      <c r="AB17" s="8" t="e">
        <f t="shared" si="57"/>
        <v>#N/A</v>
      </c>
      <c r="AC17" s="8" t="e">
        <f t="shared" si="58"/>
        <v>#N/A</v>
      </c>
      <c r="AD17" s="8">
        <f t="shared" ca="1" si="59"/>
        <v>1.3566666666665244</v>
      </c>
      <c r="AE17" s="8" t="e">
        <f t="shared" si="60"/>
        <v>#N/A</v>
      </c>
      <c r="AF17" s="10">
        <f t="shared" ca="1" si="61"/>
        <v>0.56999999999999995</v>
      </c>
      <c r="AG17" s="9">
        <f t="shared" ca="1" si="62"/>
        <v>8.9108651911468542</v>
      </c>
      <c r="AH17" s="8">
        <f t="shared" ca="1" si="63"/>
        <v>-1.8704024144869749</v>
      </c>
      <c r="AI17" s="8">
        <f t="shared" ca="1" si="64"/>
        <v>43.899899396378245</v>
      </c>
      <c r="AJ17" s="8">
        <f t="shared" ca="1" si="65"/>
        <v>47.189235412474879</v>
      </c>
      <c r="AK17" s="8" t="e">
        <f t="shared" ca="1" si="66"/>
        <v>#DIV/0!</v>
      </c>
      <c r="AL17" s="8" t="e">
        <f t="shared" ca="1" si="67"/>
        <v>#DIV/0!</v>
      </c>
      <c r="AM17" s="8" t="e">
        <f t="shared" ca="1" si="68"/>
        <v>#DIV/0!</v>
      </c>
      <c r="AN17" s="8">
        <f t="shared" ca="1" si="69"/>
        <v>2.7366666666669515</v>
      </c>
      <c r="AO17" s="8" t="e">
        <f t="shared" ca="1" si="70"/>
        <v>#DIV/0!</v>
      </c>
      <c r="AP17" s="10">
        <f t="shared" ca="1" si="71"/>
        <v>-0.56999999999999995</v>
      </c>
    </row>
    <row r="18" spans="1:42" x14ac:dyDescent="0.25">
      <c r="A18" t="s">
        <v>24</v>
      </c>
      <c r="B18" s="4">
        <v>1983</v>
      </c>
      <c r="C18">
        <f t="shared" si="41"/>
        <v>6.9099999999999966</v>
      </c>
      <c r="D18">
        <f t="shared" si="18"/>
        <v>1.8799999999999955</v>
      </c>
      <c r="E18">
        <v>49.48</v>
      </c>
      <c r="F18">
        <v>43.61</v>
      </c>
      <c r="J18">
        <v>5.03</v>
      </c>
      <c r="L18" s="4">
        <v>0.2</v>
      </c>
    </row>
    <row r="19" spans="1:42" x14ac:dyDescent="0.25">
      <c r="A19" t="s">
        <v>25</v>
      </c>
      <c r="B19" s="4">
        <v>1980</v>
      </c>
      <c r="C19">
        <f t="shared" si="41"/>
        <v>8.4500000000000028</v>
      </c>
      <c r="D19">
        <f t="shared" si="18"/>
        <v>1.8799999999999955</v>
      </c>
      <c r="E19">
        <v>45.15</v>
      </c>
      <c r="F19">
        <v>46.4</v>
      </c>
      <c r="J19">
        <v>6.57</v>
      </c>
      <c r="L19" s="4">
        <v>0.31</v>
      </c>
      <c r="T19" s="2" t="s">
        <v>34</v>
      </c>
      <c r="U19" s="2"/>
      <c r="V19" s="13"/>
      <c r="W19" cm="1">
        <f t="array" aca="1" ref="W19" ca="1">INDEX(LINEST(W6:W17,W5:W16),1)</f>
        <v>0.28124884496046404</v>
      </c>
      <c r="X19" cm="1">
        <f t="array" aca="1" ref="X19" ca="1">INDEX(LINEST(X6:X17,X5:X16),1)</f>
        <v>3.8209101152991663E-3</v>
      </c>
      <c r="Y19" cm="1">
        <f t="array" aca="1" ref="Y19" ca="1">INDEX(LINEST(Y6:Y17,Y5:Y16),1)</f>
        <v>4.29741425261638E-2</v>
      </c>
      <c r="Z19" cm="1">
        <f t="array" aca="1" ref="Z19" ca="1">INDEX(LINEST(Z6:Z17,Z5:Z16),1)</f>
        <v>-0.24813237748009134</v>
      </c>
      <c r="AA19" cm="1">
        <f t="array" aca="1" ref="AA19" ca="1">INDEX(LINEST(AA6:AA15,AA5:AA14),1)</f>
        <v>0.14737280604417469</v>
      </c>
      <c r="AB19" cm="1">
        <f t="array" aca="1" ref="AB19" ca="1">INDEX(LINEST(AB6:AB12,AB5:AB11),1)</f>
        <v>-1.3177412305803269</v>
      </c>
    </row>
    <row r="20" spans="1:42" x14ac:dyDescent="0.25">
      <c r="A20" t="s">
        <v>26</v>
      </c>
      <c r="B20" s="4">
        <v>1977</v>
      </c>
      <c r="C20">
        <f t="shared" ref="C20:C22" si="72">100-SUM(E20:G20)</f>
        <v>12.240000000000009</v>
      </c>
      <c r="D20">
        <f t="shared" si="18"/>
        <v>2.8600000000000136</v>
      </c>
      <c r="E20">
        <v>39.65</v>
      </c>
      <c r="F20">
        <v>48.11</v>
      </c>
      <c r="J20">
        <v>9.3800000000000008</v>
      </c>
      <c r="L20" s="4">
        <v>1.43</v>
      </c>
      <c r="T20" s="2" t="s">
        <v>35</v>
      </c>
      <c r="U20" s="2"/>
      <c r="V20" s="13"/>
      <c r="W20">
        <f ca="1">AVERAGE(W5:W15)</f>
        <v>1.0180185641302864</v>
      </c>
      <c r="X20">
        <f ca="1">AVERAGE(X5:X15)</f>
        <v>0.37756658508305013</v>
      </c>
      <c r="Y20">
        <f ca="1">AVERAGE(Y5:Y15)</f>
        <v>-1.1363722402373801</v>
      </c>
      <c r="Z20">
        <f ca="1">AVERAGE(Z5:Z15)</f>
        <v>3.2453185855758383E-2</v>
      </c>
      <c r="AA20">
        <f ca="1">AVERAGE(AA5:AA13)</f>
        <v>-0.158749191967689</v>
      </c>
      <c r="AB20">
        <f ca="1">AVERAGE(AB5:AB12)</f>
        <v>1.3187499999999999</v>
      </c>
    </row>
    <row r="21" spans="1:42" x14ac:dyDescent="0.25">
      <c r="A21" t="s">
        <v>27</v>
      </c>
      <c r="B21" s="4">
        <v>1975</v>
      </c>
      <c r="C21">
        <f t="shared" si="72"/>
        <v>4.1099999999999994</v>
      </c>
      <c r="D21">
        <f t="shared" si="18"/>
        <v>4.1099999999999994</v>
      </c>
      <c r="E21">
        <v>42.84</v>
      </c>
      <c r="F21">
        <v>53.05</v>
      </c>
      <c r="L21" s="4">
        <v>1.32</v>
      </c>
      <c r="T21" s="2" t="s">
        <v>37</v>
      </c>
      <c r="U21" s="2"/>
      <c r="V21" s="13"/>
      <c r="W21">
        <f ca="1">SQRT(SUMSQ(W5:W17)/COUNT(W5:W17))</f>
        <v>4.9278177029348882</v>
      </c>
      <c r="X21">
        <f ca="1">SQRT(SUMSQ(X5:X17)/COUNT(X5:X17))</f>
        <v>2.0134402676991789</v>
      </c>
      <c r="Y21">
        <f ca="1">SQRT(SUMSQ(Y5:Y17)/COUNT(Y5:Y17))</f>
        <v>4.1721696118379379</v>
      </c>
      <c r="Z21">
        <f ca="1">SQRT(SUMSQ(Z5:Z17)/COUNT(Z5:Z17))</f>
        <v>3.1945072936553078</v>
      </c>
      <c r="AA21">
        <f ca="1">SQRT(SUMSQ(AA5:AA13)/COUNT(AA5:AA13))</f>
        <v>1.9915118859741887</v>
      </c>
      <c r="AB21">
        <f ca="1">SQRT(SUMSQ(AB5:AB12)/COUNT(AB5:AB12))</f>
        <v>3.9928764694139987</v>
      </c>
    </row>
    <row r="22" spans="1:42" x14ac:dyDescent="0.25">
      <c r="A22" t="s">
        <v>28</v>
      </c>
      <c r="B22" s="4">
        <v>1974</v>
      </c>
      <c r="C22">
        <f t="shared" si="72"/>
        <v>4.9699999999999989</v>
      </c>
      <c r="D22">
        <f t="shared" si="18"/>
        <v>4.9699999999999989</v>
      </c>
      <c r="E22">
        <v>49.3</v>
      </c>
      <c r="F22">
        <v>45.73</v>
      </c>
      <c r="L22" s="4">
        <v>1.42</v>
      </c>
    </row>
    <row r="23" spans="1:42" x14ac:dyDescent="0.25">
      <c r="A23" t="s">
        <v>29</v>
      </c>
      <c r="B23" s="4">
        <v>1972</v>
      </c>
      <c r="C23">
        <f t="shared" ref="C23" si="73">100-SUM(E23:G23)</f>
        <v>8.9300000000000068</v>
      </c>
      <c r="D23">
        <f t="shared" si="18"/>
        <v>8.9300000000000068</v>
      </c>
      <c r="E23">
        <v>49.59</v>
      </c>
      <c r="F23">
        <v>41.48</v>
      </c>
      <c r="L23" s="4">
        <v>5.25</v>
      </c>
    </row>
    <row r="25" spans="1:42" x14ac:dyDescent="0.25">
      <c r="C25" t="s">
        <v>8</v>
      </c>
      <c r="D25" t="s">
        <v>17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s="11" t="s">
        <v>50</v>
      </c>
      <c r="L25" s="4" t="s">
        <v>13</v>
      </c>
      <c r="M25" t="s">
        <v>8</v>
      </c>
      <c r="N25" t="s">
        <v>17</v>
      </c>
      <c r="O25" t="s">
        <v>1</v>
      </c>
      <c r="P25" t="s">
        <v>2</v>
      </c>
      <c r="Q25" t="s">
        <v>3</v>
      </c>
      <c r="R25" t="s">
        <v>4</v>
      </c>
      <c r="S25" t="s">
        <v>5</v>
      </c>
      <c r="T25" t="s">
        <v>6</v>
      </c>
      <c r="U25" t="s">
        <v>50</v>
      </c>
      <c r="V25" s="4" t="s">
        <v>13</v>
      </c>
      <c r="W25" t="s">
        <v>8</v>
      </c>
      <c r="X25" t="s">
        <v>17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13</v>
      </c>
      <c r="AF25" s="4" t="s">
        <v>23</v>
      </c>
    </row>
    <row r="26" spans="1:42" x14ac:dyDescent="0.25">
      <c r="A26" t="s">
        <v>67</v>
      </c>
      <c r="B26" s="4">
        <v>2020</v>
      </c>
      <c r="K26" s="11"/>
      <c r="M26">
        <f ca="1">MAX(0,_xlfn.FORECAST.LINEAR($B26,OFFSET(C27,0,0,$D$1),OFFSET($B27,0,0,$D$1)))</f>
        <v>20.182097812097709</v>
      </c>
      <c r="N26">
        <f t="shared" ref="N26:N37" ca="1" si="74">MAX(0,_xlfn.FORECAST.LINEAR($B26,OFFSET(D27,0,0,$D$1),OFFSET($B27,0,0,$D$1)))</f>
        <v>4.2840154440154379</v>
      </c>
      <c r="O26">
        <f t="shared" ref="O26:O37" ca="1" si="75">MAX(0,_xlfn.FORECAST.LINEAR($B26,OFFSET(E27,0,0,$D$1),OFFSET($B27,0,0,$D$1)))</f>
        <v>28.933166023165995</v>
      </c>
      <c r="P26">
        <f t="shared" ref="P26:P37" ca="1" si="76">MAX(0,_xlfn.FORECAST.LINEAR($B26,OFFSET(F27,0,0,$D$1),OFFSET($B27,0,0,$D$1)))</f>
        <v>41.106975546975548</v>
      </c>
      <c r="Q26">
        <f t="shared" ref="Q26:Q37" ca="1" si="77">MAX(0,_xlfn.FORECAST.LINEAR($B26,OFFSET(G27,0,0,$D$1),OFFSET($B27,0,0,$D$1)))</f>
        <v>9.7777606177606344</v>
      </c>
      <c r="R26">
        <f t="shared" ref="R26:R37" ca="1" si="78">MAX(0,_xlfn.FORECAST.LINEAR($B26,OFFSET(H27,0,0,$D$1),OFFSET($B27,0,0,$D$1)))</f>
        <v>7.7298069498068571</v>
      </c>
      <c r="S26" t="e">
        <f t="shared" ref="S26:S37" ca="1" si="79">MAX(0,_xlfn.FORECAST.LINEAR($B26,OFFSET(I27,0,0,$D$1),OFFSET($B27,0,0,$D$1)))</f>
        <v>#DIV/0!</v>
      </c>
      <c r="T26" t="e">
        <f t="shared" ref="T26:T37" ca="1" si="80">MAX(0,_xlfn.FORECAST.LINEAR($B26,OFFSET(J27,0,0,$D$1),OFFSET($B27,0,0,$D$1)))</f>
        <v>#DIV/0!</v>
      </c>
      <c r="U26">
        <f t="shared" ref="U26" ca="1" si="81">MAX(0,_xlfn.FORECAST.LINEAR($B26,OFFSET(K27,0,0,$D$1),OFFSET($B27,0,0,$D$1)))</f>
        <v>0</v>
      </c>
      <c r="V26">
        <f t="shared" ref="V26" ca="1" si="82">MAX(0,_xlfn.FORECAST.LINEAR($B26,OFFSET(L27,0,0,$D$1),OFFSET($B27,0,0,$D$1)))</f>
        <v>0.82099999999999795</v>
      </c>
      <c r="W26" s="9"/>
      <c r="X26" s="8"/>
      <c r="Y26" s="8"/>
      <c r="Z26" s="8"/>
      <c r="AA26" s="8"/>
      <c r="AB26" s="8"/>
      <c r="AC26" s="8"/>
      <c r="AD26" s="8"/>
      <c r="AE26" s="8"/>
      <c r="AF26" s="10"/>
    </row>
    <row r="27" spans="1:42" x14ac:dyDescent="0.25">
      <c r="A27" t="s">
        <v>49</v>
      </c>
      <c r="B27" s="4">
        <v>2017</v>
      </c>
      <c r="C27">
        <f>100-SUM(E27:G27)</f>
        <v>20.879999999999995</v>
      </c>
      <c r="D27">
        <f>100-SUM(E27:K27)</f>
        <v>4.8299999999999983</v>
      </c>
      <c r="E27">
        <v>35.43</v>
      </c>
      <c r="F27">
        <v>33.69</v>
      </c>
      <c r="G27">
        <v>10</v>
      </c>
      <c r="H27">
        <v>13.73</v>
      </c>
      <c r="K27" s="11">
        <v>2.3199999999999998</v>
      </c>
      <c r="M27">
        <f ca="1">MAX(0,_xlfn.FORECAST.LINEAR($B27,OFFSET(C28,0,0,$D$1),OFFSET($B28,0,0,$D$1)))</f>
        <v>10.859666254635329</v>
      </c>
      <c r="N27">
        <f t="shared" ca="1" si="74"/>
        <v>3.4554264524103928</v>
      </c>
      <c r="O27">
        <f t="shared" ca="1" si="75"/>
        <v>29.854091470951971</v>
      </c>
      <c r="P27">
        <f t="shared" ca="1" si="76"/>
        <v>49.373992583436575</v>
      </c>
      <c r="Q27">
        <f t="shared" ca="1" si="77"/>
        <v>9.9122496909765232</v>
      </c>
      <c r="R27">
        <f t="shared" ca="1" si="78"/>
        <v>0</v>
      </c>
      <c r="S27" t="e">
        <f t="shared" ca="1" si="79"/>
        <v>#DIV/0!</v>
      </c>
      <c r="T27">
        <f t="shared" ca="1" si="80"/>
        <v>0</v>
      </c>
      <c r="U27">
        <f t="shared" ref="U27:U33" ca="1" si="83">MAX(0,_xlfn.FORECAST.LINEAR($B27,OFFSET(K28,0,0,$D$1),OFFSET($B28,0,0,$D$1)))</f>
        <v>0</v>
      </c>
      <c r="V27">
        <f t="shared" ref="V27:V33" ca="1" si="84">MAX(0,_xlfn.FORECAST.LINEAR($B27,OFFSET(L28,0,0,$D$1),OFFSET($B28,0,0,$D$1)))</f>
        <v>0.97699999999998965</v>
      </c>
      <c r="W27" s="9">
        <f ca="1">IF(ISBLANK(C27),NA(),C27-M27)</f>
        <v>10.020333745364667</v>
      </c>
      <c r="X27" s="8">
        <f t="shared" ref="X27:X37" ca="1" si="85">IF(ISBLANK(D27),NA(),D27-N27)</f>
        <v>1.3745735475896055</v>
      </c>
      <c r="Y27" s="8">
        <f t="shared" ref="Y27:Y37" ca="1" si="86">IF(ISBLANK(E27),NA(),E27-O27)</f>
        <v>5.5759085290480286</v>
      </c>
      <c r="Z27" s="8">
        <f t="shared" ref="Z27:Z37" ca="1" si="87">IF(ISBLANK(F27),NA(),F27-P27)</f>
        <v>-15.683992583436577</v>
      </c>
      <c r="AA27" s="8">
        <f t="shared" ref="AA27:AA35" ca="1" si="88">IF(ISBLANK(G27),NA(),G27-Q27)</f>
        <v>8.7750309023476802E-2</v>
      </c>
      <c r="AB27" s="8">
        <f t="shared" ref="AB27:AB32" ca="1" si="89">IF(ISBLANK(H27),NA(),H27-R27)</f>
        <v>13.73</v>
      </c>
      <c r="AC27" s="8" t="e">
        <f t="shared" ref="AC27:AC37" si="90">IF(ISBLANK(I27),NA(),I27-S27)</f>
        <v>#N/A</v>
      </c>
      <c r="AD27" s="8" t="e">
        <f t="shared" ref="AD27:AD37" si="91">IF(ISBLANK(J27),NA(),J27-T27)</f>
        <v>#N/A</v>
      </c>
      <c r="AE27" s="8">
        <f t="shared" ref="AE27:AE37" ca="1" si="92">IF(ISBLANK(K27),NA(),K27-U27)</f>
        <v>2.3199999999999998</v>
      </c>
      <c r="AF27" s="10" t="e">
        <f t="shared" ref="AF27:AF37" si="93">IF(ISBLANK(L27),NA(),L27-V27)</f>
        <v>#N/A</v>
      </c>
    </row>
    <row r="28" spans="1:42" x14ac:dyDescent="0.25">
      <c r="A28" t="s">
        <v>51</v>
      </c>
      <c r="B28" s="4">
        <v>2015</v>
      </c>
      <c r="C28">
        <f>100-SUM(E28:G28)</f>
        <v>12.780000000000001</v>
      </c>
      <c r="D28">
        <f t="shared" ref="D28:D29" si="94">100-SUM(E28:K28)</f>
        <v>4.8199999999999932</v>
      </c>
      <c r="E28">
        <v>37.47</v>
      </c>
      <c r="F28">
        <v>41.32</v>
      </c>
      <c r="G28">
        <v>8.43</v>
      </c>
      <c r="H28">
        <v>0.92</v>
      </c>
      <c r="I28">
        <v>5.1100000000000003</v>
      </c>
      <c r="K28" s="11">
        <v>1.93</v>
      </c>
      <c r="L28" s="4">
        <v>1.19</v>
      </c>
      <c r="M28">
        <f t="shared" ref="M28:M37" ca="1" si="95">MAX(0,_xlfn.FORECAST.LINEAR($B28,OFFSET(C29,0,0,$D$1),OFFSET($B29,0,0,$D$1)))</f>
        <v>4.8889393939393813</v>
      </c>
      <c r="N28">
        <f t="shared" ca="1" si="74"/>
        <v>6.0760606060606221</v>
      </c>
      <c r="O28">
        <f t="shared" ca="1" si="75"/>
        <v>33.264090909090783</v>
      </c>
      <c r="P28">
        <f t="shared" ca="1" si="76"/>
        <v>51.316363636363349</v>
      </c>
      <c r="Q28">
        <f t="shared" ca="1" si="77"/>
        <v>10.530606060606033</v>
      </c>
      <c r="R28">
        <f t="shared" ca="1" si="78"/>
        <v>0</v>
      </c>
      <c r="S28" t="e">
        <f t="shared" ca="1" si="79"/>
        <v>#DIV/0!</v>
      </c>
      <c r="T28">
        <f t="shared" ca="1" si="80"/>
        <v>0</v>
      </c>
      <c r="U28" t="e">
        <f t="shared" ca="1" si="83"/>
        <v>#DIV/0!</v>
      </c>
      <c r="V28">
        <f t="shared" ca="1" si="84"/>
        <v>0.82666666666665378</v>
      </c>
      <c r="W28" s="9">
        <f t="shared" ref="W28:W39" ca="1" si="96">IF(ISBLANK(C28),NA(),C28-M28)</f>
        <v>7.8910606060606199</v>
      </c>
      <c r="X28" s="8">
        <f t="shared" ca="1" si="85"/>
        <v>-1.256060606060629</v>
      </c>
      <c r="Y28" s="8">
        <f t="shared" ca="1" si="86"/>
        <v>4.2059090909092163</v>
      </c>
      <c r="Z28" s="8">
        <f t="shared" ca="1" si="87"/>
        <v>-9.9963636363633483</v>
      </c>
      <c r="AA28" s="8">
        <f t="shared" ca="1" si="88"/>
        <v>-2.1006060606060331</v>
      </c>
      <c r="AB28" s="8">
        <f t="shared" ca="1" si="89"/>
        <v>0.92</v>
      </c>
      <c r="AC28" s="8" t="e">
        <f t="shared" ca="1" si="90"/>
        <v>#DIV/0!</v>
      </c>
      <c r="AD28" s="8" t="e">
        <f t="shared" si="91"/>
        <v>#N/A</v>
      </c>
      <c r="AE28" s="8" t="e">
        <f t="shared" ca="1" si="92"/>
        <v>#DIV/0!</v>
      </c>
      <c r="AF28" s="10">
        <f t="shared" ca="1" si="93"/>
        <v>0.36333333333334616</v>
      </c>
    </row>
    <row r="29" spans="1:42" x14ac:dyDescent="0.25">
      <c r="A29" t="s">
        <v>52</v>
      </c>
      <c r="B29" s="4">
        <v>2012</v>
      </c>
      <c r="C29">
        <f>100-SUM(E29:G29)</f>
        <v>16.150000000000006</v>
      </c>
      <c r="D29">
        <f t="shared" si="94"/>
        <v>4.5200000000000102</v>
      </c>
      <c r="E29">
        <v>26.66</v>
      </c>
      <c r="F29">
        <v>49.66</v>
      </c>
      <c r="G29">
        <v>7.53</v>
      </c>
      <c r="H29">
        <v>0.1</v>
      </c>
      <c r="K29" s="11">
        <v>11.53</v>
      </c>
      <c r="L29" s="4">
        <v>1.36</v>
      </c>
      <c r="M29">
        <f t="shared" ca="1" si="95"/>
        <v>7.5975030902347953</v>
      </c>
      <c r="N29">
        <f t="shared" ca="1" si="74"/>
        <v>8.6402843016069255</v>
      </c>
      <c r="O29">
        <f t="shared" ca="1" si="75"/>
        <v>46.550000000000011</v>
      </c>
      <c r="P29">
        <f t="shared" ca="1" si="76"/>
        <v>35.831149567367163</v>
      </c>
      <c r="Q29">
        <f t="shared" ca="1" si="77"/>
        <v>10.02134734239803</v>
      </c>
      <c r="R29">
        <f t="shared" ca="1" si="78"/>
        <v>0</v>
      </c>
      <c r="S29" t="e">
        <f t="shared" ca="1" si="79"/>
        <v>#DIV/0!</v>
      </c>
      <c r="T29">
        <f t="shared" ca="1" si="80"/>
        <v>0</v>
      </c>
      <c r="U29" t="e">
        <f t="shared" ca="1" si="83"/>
        <v>#DIV/0!</v>
      </c>
      <c r="V29">
        <f t="shared" ca="1" si="84"/>
        <v>0</v>
      </c>
      <c r="W29" s="9">
        <f t="shared" ca="1" si="96"/>
        <v>8.5524969097652104</v>
      </c>
      <c r="X29" s="8">
        <f t="shared" ca="1" si="85"/>
        <v>-4.1202843016069153</v>
      </c>
      <c r="Y29" s="8">
        <f t="shared" ca="1" si="86"/>
        <v>-19.890000000000011</v>
      </c>
      <c r="Z29" s="8">
        <f t="shared" ca="1" si="87"/>
        <v>13.828850432632834</v>
      </c>
      <c r="AA29" s="8">
        <f t="shared" ca="1" si="88"/>
        <v>-2.4913473423980301</v>
      </c>
      <c r="AB29" s="8">
        <f t="shared" ca="1" si="89"/>
        <v>0.1</v>
      </c>
      <c r="AC29" s="8" t="e">
        <f t="shared" si="90"/>
        <v>#N/A</v>
      </c>
      <c r="AD29" s="8" t="e">
        <f t="shared" si="91"/>
        <v>#N/A</v>
      </c>
      <c r="AE29" s="8" t="e">
        <f t="shared" ca="1" si="92"/>
        <v>#DIV/0!</v>
      </c>
      <c r="AF29" s="10">
        <f t="shared" ca="1" si="93"/>
        <v>1.36</v>
      </c>
    </row>
    <row r="30" spans="1:42" x14ac:dyDescent="0.25">
      <c r="A30" t="s">
        <v>53</v>
      </c>
      <c r="B30" s="4">
        <v>2009</v>
      </c>
      <c r="C30">
        <f>100-SUM(E30:G30)</f>
        <v>7.7800000000000011</v>
      </c>
      <c r="D30">
        <f t="shared" ref="D30:D37" si="97">100-SUM(E30:K30)</f>
        <v>7.4000000000000057</v>
      </c>
      <c r="E30">
        <v>42.25</v>
      </c>
      <c r="F30">
        <v>41.6</v>
      </c>
      <c r="G30">
        <v>8.3699999999999992</v>
      </c>
      <c r="H30">
        <v>0.38</v>
      </c>
      <c r="L30" s="4">
        <v>0.82</v>
      </c>
      <c r="M30">
        <f t="shared" ca="1" si="95"/>
        <v>14.527534883720932</v>
      </c>
      <c r="N30">
        <f t="shared" ca="1" si="74"/>
        <v>7.670372093023218</v>
      </c>
      <c r="O30">
        <f t="shared" ca="1" si="75"/>
        <v>46.832232558139538</v>
      </c>
      <c r="P30">
        <f t="shared" ca="1" si="76"/>
        <v>30.157186046511697</v>
      </c>
      <c r="Q30">
        <f t="shared" ca="1" si="77"/>
        <v>8.4830465116278901</v>
      </c>
      <c r="R30">
        <f t="shared" ca="1" si="78"/>
        <v>0</v>
      </c>
      <c r="S30" t="e">
        <f t="shared" ca="1" si="79"/>
        <v>#DIV/0!</v>
      </c>
      <c r="T30">
        <f t="shared" ca="1" si="80"/>
        <v>0.16766666666666197</v>
      </c>
      <c r="U30" t="e">
        <f t="shared" ca="1" si="83"/>
        <v>#DIV/0!</v>
      </c>
      <c r="V30" t="e">
        <f t="shared" ca="1" si="84"/>
        <v>#DIV/0!</v>
      </c>
      <c r="W30" s="9">
        <f t="shared" ca="1" si="96"/>
        <v>-6.747534883720931</v>
      </c>
      <c r="X30" s="8">
        <f t="shared" ca="1" si="85"/>
        <v>-0.2703720930232123</v>
      </c>
      <c r="Y30" s="8">
        <f t="shared" ca="1" si="86"/>
        <v>-4.5822325581395376</v>
      </c>
      <c r="Z30" s="8">
        <f t="shared" ca="1" si="87"/>
        <v>11.442813953488304</v>
      </c>
      <c r="AA30" s="8">
        <f t="shared" ca="1" si="88"/>
        <v>-0.11304651162789092</v>
      </c>
      <c r="AB30" s="8">
        <f t="shared" ca="1" si="89"/>
        <v>0.38</v>
      </c>
      <c r="AC30" s="8" t="e">
        <f t="shared" si="90"/>
        <v>#N/A</v>
      </c>
      <c r="AD30" s="8" t="e">
        <f t="shared" si="91"/>
        <v>#N/A</v>
      </c>
      <c r="AE30" s="8" t="e">
        <f t="shared" si="92"/>
        <v>#N/A</v>
      </c>
      <c r="AF30" s="10" t="e">
        <f t="shared" ca="1" si="93"/>
        <v>#DIV/0!</v>
      </c>
    </row>
    <row r="31" spans="1:42" x14ac:dyDescent="0.25">
      <c r="A31" t="s">
        <v>54</v>
      </c>
      <c r="B31" s="4">
        <v>2006</v>
      </c>
      <c r="C31">
        <f>100-SUM(E31:G31)</f>
        <v>7.1700000000000017</v>
      </c>
      <c r="D31">
        <f t="shared" si="97"/>
        <v>6.5700000000000074</v>
      </c>
      <c r="E31">
        <v>46.92</v>
      </c>
      <c r="F31">
        <v>37.92</v>
      </c>
      <c r="G31">
        <v>7.99</v>
      </c>
      <c r="H31">
        <v>0.6</v>
      </c>
      <c r="L31" s="4">
        <v>1.89</v>
      </c>
      <c r="M31">
        <f t="shared" ca="1" si="95"/>
        <v>21.039142857142906</v>
      </c>
      <c r="N31">
        <f t="shared" ca="1" si="74"/>
        <v>7.8507619047618959</v>
      </c>
      <c r="O31">
        <f t="shared" ca="1" si="75"/>
        <v>44.337523809523816</v>
      </c>
      <c r="P31">
        <f t="shared" ca="1" si="76"/>
        <v>28.676857142856989</v>
      </c>
      <c r="Q31">
        <f t="shared" ca="1" si="77"/>
        <v>5.9464761904762327</v>
      </c>
      <c r="R31">
        <f t="shared" ca="1" si="78"/>
        <v>0</v>
      </c>
      <c r="S31" t="e">
        <f t="shared" ca="1" si="79"/>
        <v>#DIV/0!</v>
      </c>
      <c r="T31">
        <f t="shared" ca="1" si="80"/>
        <v>0.52838095238094951</v>
      </c>
      <c r="U31" t="e">
        <f t="shared" ca="1" si="83"/>
        <v>#DIV/0!</v>
      </c>
      <c r="V31" t="e">
        <f t="shared" ca="1" si="84"/>
        <v>#DIV/0!</v>
      </c>
      <c r="W31" s="9">
        <f t="shared" ca="1" si="96"/>
        <v>-13.869142857142904</v>
      </c>
      <c r="X31" s="8">
        <f t="shared" ca="1" si="85"/>
        <v>-1.2807619047618886</v>
      </c>
      <c r="Y31" s="8">
        <f t="shared" ca="1" si="86"/>
        <v>2.5824761904761857</v>
      </c>
      <c r="Z31" s="8">
        <f t="shared" ca="1" si="87"/>
        <v>9.2431428571430132</v>
      </c>
      <c r="AA31" s="8">
        <f t="shared" ca="1" si="88"/>
        <v>2.0435238095237676</v>
      </c>
      <c r="AB31" s="8">
        <f t="shared" ca="1" si="89"/>
        <v>0.6</v>
      </c>
      <c r="AC31" s="8" t="e">
        <f t="shared" si="90"/>
        <v>#N/A</v>
      </c>
      <c r="AD31" s="8" t="e">
        <f t="shared" si="91"/>
        <v>#N/A</v>
      </c>
      <c r="AE31" s="8" t="e">
        <f t="shared" si="92"/>
        <v>#N/A</v>
      </c>
      <c r="AF31" s="10" t="e">
        <f t="shared" ca="1" si="93"/>
        <v>#DIV/0!</v>
      </c>
    </row>
    <row r="32" spans="1:42" x14ac:dyDescent="0.25">
      <c r="A32" t="s">
        <v>55</v>
      </c>
      <c r="B32" s="4">
        <v>2004</v>
      </c>
      <c r="C32">
        <f>100-SUM(E32:G32)</f>
        <v>10.769999999999996</v>
      </c>
      <c r="D32">
        <f t="shared" si="97"/>
        <v>5.8499999999999943</v>
      </c>
      <c r="E32">
        <v>47.01</v>
      </c>
      <c r="F32">
        <v>35.46</v>
      </c>
      <c r="G32">
        <v>6.76</v>
      </c>
      <c r="H32">
        <v>4.88</v>
      </c>
      <c r="J32">
        <v>0.04</v>
      </c>
      <c r="M32">
        <f t="shared" ca="1" si="95"/>
        <v>26.618666666666286</v>
      </c>
      <c r="N32">
        <f t="shared" ca="1" si="74"/>
        <v>9.1739999999999782</v>
      </c>
      <c r="O32">
        <f t="shared" ca="1" si="75"/>
        <v>44.991333333333337</v>
      </c>
      <c r="P32">
        <f t="shared" ca="1" si="76"/>
        <v>24.850000000000364</v>
      </c>
      <c r="Q32">
        <f t="shared" ca="1" si="77"/>
        <v>3.5640000000000214</v>
      </c>
      <c r="R32">
        <f t="shared" ca="1" si="78"/>
        <v>0</v>
      </c>
      <c r="S32" t="e">
        <f t="shared" ca="1" si="79"/>
        <v>#DIV/0!</v>
      </c>
      <c r="T32">
        <f t="shared" ca="1" si="80"/>
        <v>1.0673333333333375</v>
      </c>
      <c r="U32" t="e">
        <f t="shared" ca="1" si="83"/>
        <v>#DIV/0!</v>
      </c>
      <c r="V32" t="e">
        <f t="shared" ca="1" si="84"/>
        <v>#DIV/0!</v>
      </c>
      <c r="W32" s="9">
        <f t="shared" ca="1" si="96"/>
        <v>-15.84866666666629</v>
      </c>
      <c r="X32" s="8">
        <f t="shared" ca="1" si="85"/>
        <v>-3.3239999999999839</v>
      </c>
      <c r="Y32" s="8">
        <f t="shared" ca="1" si="86"/>
        <v>2.0186666666666611</v>
      </c>
      <c r="Z32" s="8">
        <f t="shared" ca="1" si="87"/>
        <v>10.609999999999637</v>
      </c>
      <c r="AA32" s="8">
        <f t="shared" ca="1" si="88"/>
        <v>3.1959999999999784</v>
      </c>
      <c r="AB32" s="8">
        <f t="shared" ca="1" si="89"/>
        <v>4.88</v>
      </c>
      <c r="AC32" s="8" t="e">
        <f t="shared" si="90"/>
        <v>#N/A</v>
      </c>
      <c r="AD32" s="8">
        <f t="shared" ca="1" si="91"/>
        <v>-1.0273333333333374</v>
      </c>
      <c r="AE32" s="8" t="e">
        <f t="shared" si="92"/>
        <v>#N/A</v>
      </c>
      <c r="AF32" s="10" t="e">
        <f t="shared" si="93"/>
        <v>#N/A</v>
      </c>
    </row>
    <row r="33" spans="1:32" x14ac:dyDescent="0.25">
      <c r="A33" t="s">
        <v>56</v>
      </c>
      <c r="B33" s="4">
        <v>2001</v>
      </c>
      <c r="C33">
        <f>100-SUM(E33:G33)</f>
        <v>20.03</v>
      </c>
      <c r="D33">
        <f t="shared" si="97"/>
        <v>11</v>
      </c>
      <c r="E33">
        <v>48.98</v>
      </c>
      <c r="F33">
        <v>28.48</v>
      </c>
      <c r="G33">
        <v>2.5099999999999998</v>
      </c>
      <c r="H33">
        <v>8.69</v>
      </c>
      <c r="J33">
        <v>0.34</v>
      </c>
      <c r="M33">
        <f t="shared" ca="1" si="95"/>
        <v>21.724666666666963</v>
      </c>
      <c r="N33">
        <f t="shared" ca="1" si="74"/>
        <v>5.1926666666666961</v>
      </c>
      <c r="O33">
        <f t="shared" ca="1" si="75"/>
        <v>42.101999999999919</v>
      </c>
      <c r="P33">
        <f t="shared" ca="1" si="76"/>
        <v>33.062666666666701</v>
      </c>
      <c r="Q33">
        <f t="shared" ca="1" si="77"/>
        <v>3.6299999999999955</v>
      </c>
      <c r="R33" t="e">
        <f t="shared" ca="1" si="78"/>
        <v>#DIV/0!</v>
      </c>
      <c r="S33" t="e">
        <f t="shared" ca="1" si="79"/>
        <v>#DIV/0!</v>
      </c>
      <c r="T33">
        <f t="shared" ca="1" si="80"/>
        <v>1.4120000000000061</v>
      </c>
      <c r="U33" t="e">
        <f t="shared" ca="1" si="83"/>
        <v>#DIV/0!</v>
      </c>
      <c r="V33" t="e">
        <f t="shared" ca="1" si="84"/>
        <v>#DIV/0!</v>
      </c>
      <c r="W33" s="9">
        <f t="shared" ca="1" si="96"/>
        <v>-1.6946666666669614</v>
      </c>
      <c r="X33" s="8">
        <f t="shared" ca="1" si="85"/>
        <v>5.8073333333333039</v>
      </c>
      <c r="Y33" s="8">
        <f t="shared" ca="1" si="86"/>
        <v>6.8780000000000783</v>
      </c>
      <c r="Z33" s="8">
        <f t="shared" ca="1" si="87"/>
        <v>-4.5826666666667002</v>
      </c>
      <c r="AA33" s="8">
        <f t="shared" ca="1" si="88"/>
        <v>-1.1199999999999957</v>
      </c>
      <c r="AB33" s="8">
        <f>H33-H34</f>
        <v>-13.99</v>
      </c>
      <c r="AC33" s="8" t="e">
        <f t="shared" si="90"/>
        <v>#N/A</v>
      </c>
      <c r="AD33" s="8">
        <f t="shared" ca="1" si="91"/>
        <v>-1.0720000000000061</v>
      </c>
      <c r="AE33" s="8" t="e">
        <f t="shared" si="92"/>
        <v>#N/A</v>
      </c>
      <c r="AF33" s="10" t="e">
        <f t="shared" si="93"/>
        <v>#N/A</v>
      </c>
    </row>
    <row r="34" spans="1:32" x14ac:dyDescent="0.25">
      <c r="A34" s="14" t="s">
        <v>57</v>
      </c>
      <c r="B34" s="15">
        <v>1998</v>
      </c>
      <c r="C34">
        <f>100-SUM(E34:G34)</f>
        <v>27.519999999999996</v>
      </c>
      <c r="D34">
        <f t="shared" si="97"/>
        <v>3.230000000000004</v>
      </c>
      <c r="E34">
        <v>38.86</v>
      </c>
      <c r="F34">
        <v>31.26</v>
      </c>
      <c r="G34">
        <v>2.36</v>
      </c>
      <c r="H34">
        <v>22.68</v>
      </c>
      <c r="J34">
        <v>1.61</v>
      </c>
      <c r="M34">
        <f t="shared" ca="1" si="95"/>
        <v>6.2953333333333603</v>
      </c>
      <c r="N34">
        <f t="shared" ca="1" si="74"/>
        <v>5.7246666666666783</v>
      </c>
      <c r="O34">
        <f t="shared" ca="1" si="75"/>
        <v>47.813333333333276</v>
      </c>
      <c r="P34">
        <f t="shared" ca="1" si="76"/>
        <v>43.582000000000107</v>
      </c>
      <c r="Q34">
        <f t="shared" ca="1" si="77"/>
        <v>3.8266666666667106</v>
      </c>
      <c r="R34" t="e">
        <f t="shared" ca="1" si="78"/>
        <v>#DIV/0!</v>
      </c>
      <c r="S34" t="e">
        <f t="shared" ca="1" si="79"/>
        <v>#DIV/0!</v>
      </c>
      <c r="T34">
        <f t="shared" ca="1" si="80"/>
        <v>0.57066666666666777</v>
      </c>
      <c r="U34" t="e">
        <f t="shared" ref="U34:U37" ca="1" si="98">MAX(0,_xlfn.FORECAST.LINEAR($B34,OFFSET(K35,0,0,$D$1),OFFSET($B35,0,0,$D$1)))</f>
        <v>#DIV/0!</v>
      </c>
      <c r="V34" s="4" t="e">
        <f t="shared" ref="V34:V37" ca="1" si="99">MAX(0,_xlfn.FORECAST.LINEAR($B34,OFFSET(L35,0,0,$D$1),OFFSET($B35,0,0,$D$1)))</f>
        <v>#DIV/0!</v>
      </c>
      <c r="W34" s="9">
        <f t="shared" ca="1" si="96"/>
        <v>21.224666666666636</v>
      </c>
      <c r="X34" s="8">
        <f t="shared" ca="1" si="85"/>
        <v>-2.4946666666666744</v>
      </c>
      <c r="Y34" s="8">
        <f t="shared" ca="1" si="86"/>
        <v>-8.9533333333332763</v>
      </c>
      <c r="Z34" s="8">
        <f t="shared" ca="1" si="87"/>
        <v>-12.322000000000106</v>
      </c>
      <c r="AA34" s="8">
        <f t="shared" ca="1" si="88"/>
        <v>-1.4666666666667107</v>
      </c>
      <c r="AB34" s="8">
        <f>H34</f>
        <v>22.68</v>
      </c>
      <c r="AC34" s="8" t="e">
        <f t="shared" si="90"/>
        <v>#N/A</v>
      </c>
      <c r="AD34" s="8">
        <f t="shared" ca="1" si="91"/>
        <v>1.0393333333333323</v>
      </c>
      <c r="AE34" s="8" t="e">
        <f t="shared" si="92"/>
        <v>#N/A</v>
      </c>
      <c r="AF34" s="10" t="e">
        <f t="shared" si="93"/>
        <v>#N/A</v>
      </c>
    </row>
    <row r="35" spans="1:32" x14ac:dyDescent="0.25">
      <c r="A35" s="14" t="s">
        <v>58</v>
      </c>
      <c r="B35" s="4">
        <v>1995</v>
      </c>
      <c r="C35">
        <f>100-SUM(E35:G35)</f>
        <v>5.25</v>
      </c>
      <c r="D35">
        <f t="shared" si="97"/>
        <v>4</v>
      </c>
      <c r="E35">
        <v>42.89</v>
      </c>
      <c r="F35">
        <v>48.99</v>
      </c>
      <c r="G35">
        <v>2.87</v>
      </c>
      <c r="J35">
        <v>1.25</v>
      </c>
      <c r="M35">
        <f t="shared" ca="1" si="95"/>
        <v>5.0093333333333305</v>
      </c>
      <c r="N35">
        <f t="shared" ca="1" si="74"/>
        <v>5.0906666666666638</v>
      </c>
      <c r="O35">
        <f t="shared" ca="1" si="75"/>
        <v>50.111333333333278</v>
      </c>
      <c r="P35">
        <f t="shared" ca="1" si="76"/>
        <v>44.285333333333256</v>
      </c>
      <c r="Q35">
        <f t="shared" ca="1" si="77"/>
        <v>0.98999999999998067</v>
      </c>
      <c r="R35" t="e">
        <f t="shared" ca="1" si="78"/>
        <v>#DIV/0!</v>
      </c>
      <c r="S35" t="e">
        <f t="shared" ca="1" si="79"/>
        <v>#DIV/0!</v>
      </c>
      <c r="T35">
        <f t="shared" ca="1" si="80"/>
        <v>0</v>
      </c>
      <c r="U35" t="e">
        <f t="shared" ca="1" si="98"/>
        <v>#DIV/0!</v>
      </c>
      <c r="V35" s="4" t="e">
        <f t="shared" ca="1" si="99"/>
        <v>#DIV/0!</v>
      </c>
      <c r="W35" s="9">
        <f t="shared" ca="1" si="96"/>
        <v>0.24066666666666947</v>
      </c>
      <c r="X35" s="8">
        <f t="shared" ca="1" si="85"/>
        <v>-1.0906666666666638</v>
      </c>
      <c r="Y35" s="8">
        <f t="shared" ca="1" si="86"/>
        <v>-7.221333333333277</v>
      </c>
      <c r="Z35" s="8">
        <f t="shared" ca="1" si="87"/>
        <v>4.7046666666667463</v>
      </c>
      <c r="AA35" s="8">
        <f t="shared" ca="1" si="88"/>
        <v>1.8800000000000194</v>
      </c>
      <c r="AB35" s="8" t="e">
        <f t="shared" ref="AB35:AB37" si="100">IF(ISBLANK(H35),NA(),H35-R35)</f>
        <v>#N/A</v>
      </c>
      <c r="AC35" s="8" t="e">
        <f t="shared" si="90"/>
        <v>#N/A</v>
      </c>
      <c r="AD35" s="8">
        <f t="shared" ca="1" si="91"/>
        <v>1.25</v>
      </c>
      <c r="AE35" s="8" t="e">
        <f t="shared" si="92"/>
        <v>#N/A</v>
      </c>
      <c r="AF35" s="10" t="e">
        <f t="shared" si="93"/>
        <v>#N/A</v>
      </c>
    </row>
    <row r="36" spans="1:32" x14ac:dyDescent="0.25">
      <c r="A36" s="14" t="s">
        <v>59</v>
      </c>
      <c r="B36" s="4">
        <v>1992</v>
      </c>
      <c r="C36">
        <f>100-SUM(E36:G36)</f>
        <v>6.460000000000008</v>
      </c>
      <c r="D36">
        <f t="shared" si="97"/>
        <v>6.1300000000000097</v>
      </c>
      <c r="E36">
        <v>48.73</v>
      </c>
      <c r="F36">
        <v>44.15</v>
      </c>
      <c r="G36">
        <v>0.66</v>
      </c>
      <c r="J36">
        <v>0.33</v>
      </c>
      <c r="M36">
        <f t="shared" ca="1" si="95"/>
        <v>2.5180000000000291</v>
      </c>
      <c r="N36">
        <f t="shared" ca="1" si="74"/>
        <v>1.8453333333333148</v>
      </c>
      <c r="O36">
        <f t="shared" ca="1" si="75"/>
        <v>49.602666666666664</v>
      </c>
      <c r="P36">
        <f t="shared" ca="1" si="76"/>
        <v>47.659333333333279</v>
      </c>
      <c r="Q36" t="e">
        <f t="shared" ca="1" si="77"/>
        <v>#DIV/0!</v>
      </c>
      <c r="R36" t="e">
        <f t="shared" ca="1" si="78"/>
        <v>#DIV/0!</v>
      </c>
      <c r="S36" t="e">
        <f t="shared" ca="1" si="79"/>
        <v>#DIV/0!</v>
      </c>
      <c r="T36">
        <f t="shared" ca="1" si="80"/>
        <v>3.4999999999996589E-2</v>
      </c>
      <c r="U36" t="e">
        <f t="shared" ca="1" si="98"/>
        <v>#DIV/0!</v>
      </c>
      <c r="V36" s="4" t="e">
        <f t="shared" ca="1" si="99"/>
        <v>#DIV/0!</v>
      </c>
      <c r="W36" s="9">
        <f t="shared" ca="1" si="96"/>
        <v>3.9419999999999789</v>
      </c>
      <c r="X36" s="8">
        <f t="shared" ca="1" si="85"/>
        <v>4.2846666666666948</v>
      </c>
      <c r="Y36" s="8">
        <f t="shared" ca="1" si="86"/>
        <v>-0.87266666666666737</v>
      </c>
      <c r="Z36" s="8">
        <f t="shared" ca="1" si="87"/>
        <v>-3.5093333333332808</v>
      </c>
      <c r="AA36" s="8">
        <f>G36-G37</f>
        <v>0.33</v>
      </c>
      <c r="AB36" s="8" t="e">
        <f t="shared" si="100"/>
        <v>#N/A</v>
      </c>
      <c r="AC36" s="8" t="e">
        <f t="shared" si="90"/>
        <v>#N/A</v>
      </c>
      <c r="AD36" s="8">
        <f t="shared" ca="1" si="91"/>
        <v>0.29500000000000343</v>
      </c>
      <c r="AE36" s="8" t="e">
        <f t="shared" si="92"/>
        <v>#N/A</v>
      </c>
      <c r="AF36" s="10" t="e">
        <f t="shared" si="93"/>
        <v>#N/A</v>
      </c>
    </row>
    <row r="37" spans="1:32" x14ac:dyDescent="0.25">
      <c r="A37" s="14" t="s">
        <v>60</v>
      </c>
      <c r="B37" s="4">
        <v>1989</v>
      </c>
      <c r="C37">
        <f>100-SUM(E37:G37)</f>
        <v>4.2099999999999937</v>
      </c>
      <c r="D37">
        <f t="shared" si="97"/>
        <v>3.789999999999992</v>
      </c>
      <c r="E37">
        <v>50.32</v>
      </c>
      <c r="F37">
        <v>45.14</v>
      </c>
      <c r="G37">
        <v>0.33</v>
      </c>
      <c r="J37">
        <v>0.42</v>
      </c>
      <c r="M37">
        <f t="shared" ca="1" si="95"/>
        <v>0</v>
      </c>
      <c r="N37">
        <f t="shared" ca="1" si="74"/>
        <v>0</v>
      </c>
      <c r="O37">
        <f t="shared" ca="1" si="75"/>
        <v>41.902534883720932</v>
      </c>
      <c r="P37">
        <f t="shared" ca="1" si="76"/>
        <v>58.398697674418599</v>
      </c>
      <c r="Q37" t="e">
        <f t="shared" ca="1" si="77"/>
        <v>#DIV/0!</v>
      </c>
      <c r="R37" t="e">
        <f t="shared" ca="1" si="78"/>
        <v>#DIV/0!</v>
      </c>
      <c r="S37" t="e">
        <f t="shared" ca="1" si="79"/>
        <v>#DIV/0!</v>
      </c>
      <c r="T37">
        <f t="shared" ca="1" si="80"/>
        <v>0.24000000000000909</v>
      </c>
      <c r="U37" t="e">
        <f t="shared" ca="1" si="98"/>
        <v>#DIV/0!</v>
      </c>
      <c r="V37" s="4" t="e">
        <f t="shared" ca="1" si="99"/>
        <v>#DIV/0!</v>
      </c>
      <c r="W37" s="9">
        <f t="shared" ca="1" si="96"/>
        <v>4.2099999999999937</v>
      </c>
      <c r="X37" s="8">
        <f t="shared" ca="1" si="85"/>
        <v>3.789999999999992</v>
      </c>
      <c r="Y37" s="8">
        <f t="shared" ca="1" si="86"/>
        <v>8.4174651162790681</v>
      </c>
      <c r="Z37" s="8">
        <f t="shared" ca="1" si="87"/>
        <v>-13.258697674418599</v>
      </c>
      <c r="AA37" s="8">
        <f>G37</f>
        <v>0.33</v>
      </c>
      <c r="AB37" s="8" t="e">
        <f t="shared" si="100"/>
        <v>#N/A</v>
      </c>
      <c r="AC37" s="8" t="e">
        <f t="shared" si="90"/>
        <v>#N/A</v>
      </c>
      <c r="AD37" s="8">
        <f t="shared" ca="1" si="91"/>
        <v>0.17999999999999089</v>
      </c>
      <c r="AE37" s="8" t="e">
        <f t="shared" si="92"/>
        <v>#N/A</v>
      </c>
      <c r="AF37" s="10" t="e">
        <f t="shared" si="93"/>
        <v>#N/A</v>
      </c>
    </row>
    <row r="38" spans="1:32" x14ac:dyDescent="0.25">
      <c r="A38" s="14" t="s">
        <v>61</v>
      </c>
      <c r="B38" s="4">
        <v>1986</v>
      </c>
      <c r="C38">
        <f>100-SUM(E38:G38)</f>
        <v>2.539999999999992</v>
      </c>
      <c r="D38">
        <f t="shared" ref="D38:D39" si="101">100-SUM(E38:K38)</f>
        <v>1.9099999999999966</v>
      </c>
      <c r="E38">
        <v>41.32</v>
      </c>
      <c r="F38">
        <v>56.14</v>
      </c>
      <c r="J38">
        <v>0.63</v>
      </c>
      <c r="W38" s="9"/>
      <c r="X38" s="8"/>
      <c r="Y38" s="8"/>
      <c r="Z38" s="8"/>
      <c r="AA38" s="8"/>
      <c r="AB38" s="8"/>
      <c r="AC38" s="8"/>
      <c r="AD38" s="8"/>
      <c r="AE38" s="8"/>
      <c r="AF38" s="10"/>
    </row>
    <row r="39" spans="1:32" x14ac:dyDescent="0.25">
      <c r="A39" s="14" t="s">
        <v>62</v>
      </c>
      <c r="B39" s="4">
        <v>1983</v>
      </c>
      <c r="C39">
        <f>100-SUM(E39:G39)</f>
        <v>2.210000000000008</v>
      </c>
      <c r="D39">
        <f t="shared" si="101"/>
        <v>1.3800000000000097</v>
      </c>
      <c r="E39">
        <v>43.98</v>
      </c>
      <c r="F39">
        <v>53.81</v>
      </c>
      <c r="J39">
        <v>0.83</v>
      </c>
      <c r="T39" s="2" t="s">
        <v>34</v>
      </c>
      <c r="U39" s="2"/>
      <c r="V39" s="13"/>
      <c r="W39" cm="1">
        <f t="array" aca="1" ref="W39" ca="1">INDEX(LINEST(W28:W37,W27:W36),1)</f>
        <v>0.34462668509548661</v>
      </c>
      <c r="X39" cm="1">
        <f t="array" aca="1" ref="X39" ca="1">INDEX(LINEST(X28:X37,X27:X36),1)</f>
        <v>-0.11208168887581149</v>
      </c>
      <c r="Y39" cm="1">
        <f t="array" aca="1" ref="Y39" ca="1">INDEX(LINEST(Y28:Y37,Y27:Y36),1)</f>
        <v>8.0369719973065207E-3</v>
      </c>
      <c r="Z39" cm="1">
        <f t="array" aca="1" ref="Z39" ca="1">INDEX(LINEST(Z28:Z37,Z27:Z36),1)</f>
        <v>0.33416110640489377</v>
      </c>
      <c r="AA39" cm="1">
        <f t="array" aca="1" ref="AA39" ca="1">INDEX(LINEST(AA28:AA37,AA27:AA36),1)</f>
        <v>0.2386388415415627</v>
      </c>
      <c r="AB39" cm="1">
        <f t="array" aca="1" ref="AB39" ca="1">INDEX(LINEST(AB28:AB34,AB27:AB33),1)</f>
        <v>-0.95342648367329508</v>
      </c>
      <c r="AC39" s="8"/>
      <c r="AD39" s="8"/>
      <c r="AE39" s="8"/>
      <c r="AF39" s="10"/>
    </row>
    <row r="40" spans="1:32" x14ac:dyDescent="0.25">
      <c r="A40" s="14" t="s">
        <v>63</v>
      </c>
      <c r="B40" s="4">
        <v>1980</v>
      </c>
      <c r="C40">
        <f>100-SUM(E40:G40)</f>
        <v>3.6500000000000057</v>
      </c>
      <c r="D40">
        <f t="shared" ref="D40:D41" si="102">100-SUM(E40:K40)</f>
        <v>2.2700000000000102</v>
      </c>
      <c r="E40">
        <v>41.49</v>
      </c>
      <c r="F40">
        <v>54.86</v>
      </c>
      <c r="J40">
        <v>1.38</v>
      </c>
      <c r="T40" s="2" t="s">
        <v>35</v>
      </c>
      <c r="U40" s="2"/>
      <c r="V40" s="13"/>
      <c r="W40">
        <f ca="1">AVERAGE(W27:W37)</f>
        <v>1.6292012291206079</v>
      </c>
      <c r="X40">
        <f ca="1">AVERAGE(X27:X37)</f>
        <v>0.12906920989123902</v>
      </c>
      <c r="Y40">
        <f ca="1">AVERAGE(Y27:Y37)</f>
        <v>-1.0764672998266847</v>
      </c>
      <c r="Z40">
        <f ca="1">AVERAGE(Z27:Z37)</f>
        <v>-0.86577999857164334</v>
      </c>
      <c r="AA40">
        <f ca="1">AVERAGE(AA27:AA37)</f>
        <v>5.2327957931689248E-2</v>
      </c>
      <c r="AB40">
        <f ca="1">AVERAGE(AB27:AB34)</f>
        <v>3.6624999999999996</v>
      </c>
    </row>
    <row r="41" spans="1:32" x14ac:dyDescent="0.25">
      <c r="A41" s="14" t="s">
        <v>64</v>
      </c>
      <c r="B41" s="4">
        <v>1977</v>
      </c>
      <c r="C41">
        <f>100-SUM(E41:G41)</f>
        <v>4.8000000000000114</v>
      </c>
      <c r="D41">
        <f t="shared" si="102"/>
        <v>3.1900000000000119</v>
      </c>
      <c r="E41">
        <v>42.83</v>
      </c>
      <c r="F41">
        <v>52.37</v>
      </c>
      <c r="J41">
        <v>1.61</v>
      </c>
      <c r="T41" s="2" t="s">
        <v>37</v>
      </c>
      <c r="U41" s="2"/>
      <c r="V41" s="13"/>
      <c r="W41">
        <f ca="1">SQRT(SUMSQ(W27:W37)/COUNT(W27:W37))</f>
        <v>10.494862247894932</v>
      </c>
      <c r="X41">
        <f ca="1">SQRT(SUMSQ(X27:X37)/COUNT(X27:X37))</f>
        <v>3.1198312305711506</v>
      </c>
      <c r="Y41">
        <f ca="1">SQRT(SUMSQ(Y27:Y37)/COUNT(Y27:Y37))</f>
        <v>8.1316752371733418</v>
      </c>
      <c r="Z41">
        <f ca="1">SQRT(SUMSQ(Z27:Z37)/COUNT(Z27:Z37))</f>
        <v>10.656507552305673</v>
      </c>
      <c r="AA41">
        <f ca="1">SQRT(SUMSQ(AA27:AA37)/COUNT(AA27:AA37))</f>
        <v>1.7106073802774153</v>
      </c>
      <c r="AB41">
        <f ca="1">SQRT(SUMSQ(AB27:AB34)/COUNT(AB27:AB34))</f>
        <v>10.745874789890305</v>
      </c>
    </row>
    <row r="42" spans="1:32" x14ac:dyDescent="0.25">
      <c r="A42" s="14" t="s">
        <v>65</v>
      </c>
      <c r="B42" s="4">
        <v>1974</v>
      </c>
      <c r="C42">
        <f>100-SUM(E42:G42)</f>
        <v>5</v>
      </c>
      <c r="D42">
        <f t="shared" ref="D42:D43" si="103">100-SUM(E42:K42)</f>
        <v>5</v>
      </c>
      <c r="E42">
        <v>36.03</v>
      </c>
      <c r="F42">
        <v>58.97</v>
      </c>
    </row>
    <row r="43" spans="1:32" x14ac:dyDescent="0.25">
      <c r="A43" t="s">
        <v>66</v>
      </c>
      <c r="B43" s="4">
        <v>1972</v>
      </c>
      <c r="C43">
        <f>100-SUM(E43:G43)</f>
        <v>11.02000000000001</v>
      </c>
      <c r="D43">
        <f t="shared" si="103"/>
        <v>11.02000000000001</v>
      </c>
      <c r="E43">
        <v>46.75</v>
      </c>
      <c r="F43">
        <v>42.23</v>
      </c>
    </row>
    <row r="45" spans="1:32" x14ac:dyDescent="0.25">
      <c r="C45" t="s">
        <v>8</v>
      </c>
      <c r="D45" t="s">
        <v>17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 s="11" t="s">
        <v>69</v>
      </c>
      <c r="L45" s="4" t="s">
        <v>71</v>
      </c>
      <c r="M45" t="s">
        <v>8</v>
      </c>
      <c r="N45" t="s">
        <v>17</v>
      </c>
      <c r="O45" t="s">
        <v>1</v>
      </c>
      <c r="P45" t="s">
        <v>2</v>
      </c>
      <c r="Q45" t="s">
        <v>3</v>
      </c>
      <c r="R45" t="s">
        <v>4</v>
      </c>
      <c r="S45" t="s">
        <v>5</v>
      </c>
      <c r="T45" t="s">
        <v>6</v>
      </c>
      <c r="U45" t="s">
        <v>69</v>
      </c>
      <c r="V45" s="4" t="s">
        <v>71</v>
      </c>
      <c r="W45" t="s">
        <v>8</v>
      </c>
      <c r="X45" t="s">
        <v>17</v>
      </c>
      <c r="Y45" t="s">
        <v>1</v>
      </c>
      <c r="Z45" t="s">
        <v>2</v>
      </c>
      <c r="AA45" t="s">
        <v>3</v>
      </c>
      <c r="AB45" t="s">
        <v>4</v>
      </c>
      <c r="AC45" t="s">
        <v>5</v>
      </c>
      <c r="AD45" t="s">
        <v>6</v>
      </c>
      <c r="AE45" t="s">
        <v>69</v>
      </c>
      <c r="AF45" s="4" t="s">
        <v>71</v>
      </c>
    </row>
    <row r="46" spans="1:32" x14ac:dyDescent="0.25">
      <c r="A46" t="s">
        <v>68</v>
      </c>
      <c r="B46" s="4">
        <v>2023</v>
      </c>
      <c r="M46">
        <f t="shared" ref="M46:M53" ca="1" si="104">MAX(0,_xlfn.FORECAST.LINEAR($B46,OFFSET(C47,0,0,$D$1),OFFSET($B47,0,0,$D$1)))</f>
        <v>10.837333333333277</v>
      </c>
      <c r="N46">
        <f t="shared" ref="N46:N53" ca="1" si="105">MAX(0,_xlfn.FORECAST.LINEAR($B46,OFFSET(D47,0,0,$D$1),OFFSET($B47,0,0,$D$1)))</f>
        <v>11.552</v>
      </c>
      <c r="O46">
        <f t="shared" ref="O46:O53" ca="1" si="106">MAX(0,_xlfn.FORECAST.LINEAR($B46,OFFSET(E47,0,0,$D$1),OFFSET($B47,0,0,$D$1)))</f>
        <v>27.761999999999944</v>
      </c>
      <c r="P46">
        <f t="shared" ref="P46:P53" ca="1" si="107">MAX(0,_xlfn.FORECAST.LINEAR($B46,OFFSET(F47,0,0,$D$1),OFFSET($B47,0,0,$D$1)))</f>
        <v>49.273999999999887</v>
      </c>
      <c r="Q46">
        <f t="shared" ref="Q46:Q53" ca="1" si="108">MAX(0,_xlfn.FORECAST.LINEAR($B46,OFFSET(G47,0,0,$D$1),OFFSET($B47,0,0,$D$1)))</f>
        <v>12.126666666666608</v>
      </c>
      <c r="R46">
        <f t="shared" ref="R46:R53" ca="1" si="109">MAX(0,_xlfn.FORECAST.LINEAR($B46,OFFSET(H47,0,0,$D$1),OFFSET($B47,0,0,$D$1)))</f>
        <v>0</v>
      </c>
      <c r="S46" t="e">
        <f t="shared" ref="S46:S53" ca="1" si="110">MAX(0,_xlfn.FORECAST.LINEAR($B46,OFFSET(I47,0,0,$D$1),OFFSET($B47,0,0,$D$1)))</f>
        <v>#DIV/0!</v>
      </c>
      <c r="T46">
        <f t="shared" ref="T46:T53" ca="1" si="111">MAX(0,_xlfn.FORECAST.LINEAR($B46,OFFSET(J47,0,0,$D$1),OFFSET($B47,0,0,$D$1)))</f>
        <v>0</v>
      </c>
      <c r="U46" t="e">
        <f t="shared" ref="U46:U53" ca="1" si="112">MAX(0,_xlfn.FORECAST.LINEAR($B46,OFFSET(K47,0,0,$D$1),OFFSET($B47,0,0,$D$1)))</f>
        <v>#DIV/0!</v>
      </c>
      <c r="V46" s="4">
        <f t="shared" ref="V46:V53" ca="1" si="113">MAX(0,_xlfn.FORECAST.LINEAR($B46,OFFSET(L47,0,0,$D$1),OFFSET($B47,0,0,$D$1)))</f>
        <v>2.3146666666666675</v>
      </c>
      <c r="W46" s="9"/>
      <c r="X46" s="8"/>
      <c r="Y46" s="8"/>
      <c r="Z46" s="8"/>
      <c r="AA46" s="8"/>
      <c r="AB46" s="8"/>
      <c r="AC46" s="8"/>
      <c r="AD46" s="8"/>
      <c r="AE46" s="8"/>
      <c r="AF46" s="10"/>
    </row>
    <row r="47" spans="1:32" x14ac:dyDescent="0.25">
      <c r="A47" t="s">
        <v>48</v>
      </c>
      <c r="B47" s="4">
        <v>2019</v>
      </c>
      <c r="C47">
        <f>100-SUM(E47:G47)</f>
        <v>15.539999999999992</v>
      </c>
      <c r="D47">
        <f>100-SUM(E47:K47)</f>
        <v>10.980000000000004</v>
      </c>
      <c r="E47">
        <v>33.31</v>
      </c>
      <c r="F47">
        <v>41.58</v>
      </c>
      <c r="G47">
        <v>9.57</v>
      </c>
      <c r="H47">
        <v>1.1000000000000001</v>
      </c>
      <c r="K47">
        <v>3.46</v>
      </c>
      <c r="L47" s="4">
        <v>0.8</v>
      </c>
      <c r="M47">
        <f t="shared" ca="1" si="104"/>
        <v>10.990666666666641</v>
      </c>
      <c r="N47">
        <f t="shared" ca="1" si="105"/>
        <v>13.042666666666662</v>
      </c>
      <c r="O47">
        <f t="shared" ca="1" si="106"/>
        <v>28.501999999999953</v>
      </c>
      <c r="P47">
        <f t="shared" ca="1" si="107"/>
        <v>47.287333333333436</v>
      </c>
      <c r="Q47">
        <f t="shared" ca="1" si="108"/>
        <v>13.220000000000027</v>
      </c>
      <c r="R47">
        <f t="shared" ca="1" si="109"/>
        <v>0</v>
      </c>
      <c r="S47" t="e">
        <f t="shared" ca="1" si="110"/>
        <v>#DIV/0!</v>
      </c>
      <c r="T47">
        <f t="shared" ca="1" si="111"/>
        <v>0</v>
      </c>
      <c r="U47" t="e">
        <f t="shared" ca="1" si="112"/>
        <v>#DIV/0!</v>
      </c>
      <c r="V47" s="4">
        <f t="shared" ca="1" si="113"/>
        <v>3.8769999999999811</v>
      </c>
      <c r="W47" s="9">
        <f ca="1">IF(ISBLANK(C47),NA(),C47-M47)</f>
        <v>4.549333333333351</v>
      </c>
      <c r="X47" s="8">
        <f t="shared" ref="X47:X57" ca="1" si="114">IF(ISBLANK(D47),NA(),D47-N47)</f>
        <v>-2.062666666666658</v>
      </c>
      <c r="Y47" s="8">
        <f t="shared" ref="Y47:Y57" ca="1" si="115">IF(ISBLANK(E47),NA(),E47-O47)</f>
        <v>4.8080000000000496</v>
      </c>
      <c r="Z47" s="8">
        <f t="shared" ref="Z47:Z57" ca="1" si="116">IF(ISBLANK(F47),NA(),F47-P47)</f>
        <v>-5.7073333333334375</v>
      </c>
      <c r="AA47" s="8">
        <f t="shared" ref="AA47:AA55" ca="1" si="117">IF(ISBLANK(G47),NA(),G47-Q47)</f>
        <v>-3.650000000000027</v>
      </c>
      <c r="AB47" s="8">
        <f t="shared" ref="AB47:AB52" ca="1" si="118">IF(ISBLANK(H47),NA(),H47-R47)</f>
        <v>1.1000000000000001</v>
      </c>
      <c r="AC47" s="8" t="e">
        <f t="shared" ref="AC47:AC57" si="119">IF(ISBLANK(I47),NA(),I47-S47)</f>
        <v>#N/A</v>
      </c>
      <c r="AD47" s="8" t="e">
        <f t="shared" ref="AD47:AD57" si="120">IF(ISBLANK(J47),NA(),J47-T47)</f>
        <v>#N/A</v>
      </c>
      <c r="AE47" s="8" t="e">
        <f t="shared" ref="AE47:AE57" ca="1" si="121">IF(ISBLANK(K47),NA(),K47-U47)</f>
        <v>#DIV/0!</v>
      </c>
      <c r="AF47" s="10">
        <f t="shared" ref="AF47:AF57" ca="1" si="122">IF(ISBLANK(L47),NA(),L47-V47)</f>
        <v>-3.0769999999999813</v>
      </c>
    </row>
    <row r="48" spans="1:32" x14ac:dyDescent="0.25">
      <c r="A48" t="s">
        <v>70</v>
      </c>
      <c r="B48" s="4">
        <v>2015</v>
      </c>
      <c r="C48">
        <f>100-SUM(E48:G48)</f>
        <v>10</v>
      </c>
      <c r="D48">
        <f>100-SUM(E48:K48)</f>
        <v>10</v>
      </c>
      <c r="E48">
        <v>34.08</v>
      </c>
      <c r="F48">
        <v>45.63</v>
      </c>
      <c r="G48">
        <v>10.29</v>
      </c>
      <c r="L48" s="4">
        <v>3.24</v>
      </c>
      <c r="M48">
        <f t="shared" ca="1" si="104"/>
        <v>14.116666666666646</v>
      </c>
      <c r="N48">
        <f t="shared" ca="1" si="105"/>
        <v>14.919333333333384</v>
      </c>
      <c r="O48">
        <f t="shared" ca="1" si="106"/>
        <v>30.901333333333469</v>
      </c>
      <c r="P48">
        <f t="shared" ca="1" si="107"/>
        <v>42.015999999999991</v>
      </c>
      <c r="Q48">
        <f t="shared" ca="1" si="108"/>
        <v>12.965999999999894</v>
      </c>
      <c r="R48">
        <f t="shared" ca="1" si="109"/>
        <v>0</v>
      </c>
      <c r="S48" t="e">
        <f t="shared" ca="1" si="110"/>
        <v>#DIV/0!</v>
      </c>
      <c r="T48">
        <f t="shared" ca="1" si="111"/>
        <v>0</v>
      </c>
      <c r="U48" t="e">
        <f t="shared" ca="1" si="112"/>
        <v>#DIV/0!</v>
      </c>
      <c r="V48" s="4">
        <f t="shared" ca="1" si="113"/>
        <v>3.6100000000000136</v>
      </c>
      <c r="W48" s="9">
        <f t="shared" ref="W48:W57" ca="1" si="123">IF(ISBLANK(C48),NA(),C48-M48)</f>
        <v>-4.1166666666666458</v>
      </c>
      <c r="X48" s="8">
        <f t="shared" ca="1" si="114"/>
        <v>-4.919333333333384</v>
      </c>
      <c r="Y48" s="8">
        <f t="shared" ca="1" si="115"/>
        <v>3.1786666666665297</v>
      </c>
      <c r="Z48" s="8">
        <f t="shared" ca="1" si="116"/>
        <v>3.6140000000000114</v>
      </c>
      <c r="AA48" s="8">
        <f t="shared" ca="1" si="117"/>
        <v>-2.6759999999998954</v>
      </c>
      <c r="AB48" s="8" t="e">
        <f t="shared" si="118"/>
        <v>#N/A</v>
      </c>
      <c r="AC48" s="8" t="e">
        <f t="shared" si="119"/>
        <v>#N/A</v>
      </c>
      <c r="AD48" s="8" t="e">
        <f t="shared" si="120"/>
        <v>#N/A</v>
      </c>
      <c r="AE48" s="8" t="e">
        <f t="shared" si="121"/>
        <v>#N/A</v>
      </c>
      <c r="AF48" s="10">
        <f t="shared" ca="1" si="122"/>
        <v>-0.37000000000001343</v>
      </c>
    </row>
    <row r="49" spans="1:32" x14ac:dyDescent="0.25">
      <c r="A49" t="s">
        <v>72</v>
      </c>
      <c r="B49" s="4">
        <v>2011</v>
      </c>
      <c r="C49">
        <f>100-SUM(E49:G49)</f>
        <v>13.030000000000001</v>
      </c>
      <c r="D49">
        <f>100-SUM(E49:K49)</f>
        <v>13.030000000000001</v>
      </c>
      <c r="E49">
        <v>25.55</v>
      </c>
      <c r="F49">
        <v>51.14</v>
      </c>
      <c r="G49">
        <v>10.28</v>
      </c>
      <c r="L49" s="4">
        <v>3.12</v>
      </c>
      <c r="M49">
        <f t="shared" ca="1" si="104"/>
        <v>16.977329073482451</v>
      </c>
      <c r="N49">
        <f t="shared" ca="1" si="105"/>
        <v>14.438990415335411</v>
      </c>
      <c r="O49">
        <f t="shared" ca="1" si="106"/>
        <v>41.860255591054312</v>
      </c>
      <c r="P49">
        <f t="shared" ca="1" si="107"/>
        <v>30.005565495207748</v>
      </c>
      <c r="Q49">
        <f t="shared" ca="1" si="108"/>
        <v>11.587999999999965</v>
      </c>
      <c r="R49">
        <f t="shared" ca="1" si="109"/>
        <v>0</v>
      </c>
      <c r="S49" t="e">
        <f t="shared" ca="1" si="110"/>
        <v>#DIV/0!</v>
      </c>
      <c r="T49">
        <f t="shared" ca="1" si="111"/>
        <v>0.80913636363635533</v>
      </c>
      <c r="U49" t="e">
        <f t="shared" ca="1" si="112"/>
        <v>#DIV/0!</v>
      </c>
      <c r="V49" s="4">
        <f t="shared" ca="1" si="113"/>
        <v>2.8766666666666652</v>
      </c>
      <c r="W49" s="9">
        <f t="shared" ca="1" si="123"/>
        <v>-3.9473290734824502</v>
      </c>
      <c r="X49" s="8">
        <f t="shared" ca="1" si="114"/>
        <v>-1.4089904153354098</v>
      </c>
      <c r="Y49" s="8">
        <f t="shared" ca="1" si="115"/>
        <v>-16.310255591054311</v>
      </c>
      <c r="Z49" s="8">
        <f t="shared" ca="1" si="116"/>
        <v>21.134434504792253</v>
      </c>
      <c r="AA49" s="8">
        <f t="shared" ca="1" si="117"/>
        <v>-1.3079999999999661</v>
      </c>
      <c r="AB49" s="8" t="e">
        <f t="shared" si="118"/>
        <v>#N/A</v>
      </c>
      <c r="AC49" s="8" t="e">
        <f t="shared" si="119"/>
        <v>#N/A</v>
      </c>
      <c r="AD49" s="8" t="e">
        <f t="shared" si="120"/>
        <v>#N/A</v>
      </c>
      <c r="AE49" s="8" t="e">
        <f t="shared" si="121"/>
        <v>#N/A</v>
      </c>
      <c r="AF49" s="10">
        <f t="shared" ca="1" si="122"/>
        <v>0.24333333333333496</v>
      </c>
    </row>
    <row r="50" spans="1:32" x14ac:dyDescent="0.25">
      <c r="A50" t="s">
        <v>73</v>
      </c>
      <c r="B50" s="4">
        <v>2007</v>
      </c>
      <c r="C50">
        <f>100-SUM(E50:G50)</f>
        <v>15.079999999999998</v>
      </c>
      <c r="D50">
        <f>100-SUM(E50:K50)</f>
        <v>14.539999999999992</v>
      </c>
      <c r="E50">
        <v>38.979999999999997</v>
      </c>
      <c r="F50">
        <v>36.99</v>
      </c>
      <c r="G50">
        <v>8.9499999999999993</v>
      </c>
      <c r="J50">
        <v>0.54</v>
      </c>
      <c r="L50" s="4">
        <v>2.4700000000000002</v>
      </c>
      <c r="M50">
        <f t="shared" ca="1" si="104"/>
        <v>19.276818181818271</v>
      </c>
      <c r="N50">
        <f t="shared" ca="1" si="105"/>
        <v>13.559705882353001</v>
      </c>
      <c r="O50">
        <f t="shared" ca="1" si="106"/>
        <v>40.375802139037432</v>
      </c>
      <c r="P50">
        <f t="shared" ca="1" si="107"/>
        <v>32.065187165775342</v>
      </c>
      <c r="Q50">
        <f t="shared" ca="1" si="108"/>
        <v>9.9200000000000728</v>
      </c>
      <c r="R50">
        <f t="shared" ca="1" si="109"/>
        <v>0</v>
      </c>
      <c r="S50" t="e">
        <f t="shared" ca="1" si="110"/>
        <v>#DIV/0!</v>
      </c>
      <c r="T50">
        <f t="shared" ca="1" si="111"/>
        <v>3.7294169096209941</v>
      </c>
      <c r="U50" t="e">
        <f t="shared" ca="1" si="112"/>
        <v>#DIV/0!</v>
      </c>
      <c r="V50" s="4">
        <f t="shared" ca="1" si="113"/>
        <v>1.9699999999999989</v>
      </c>
      <c r="W50" s="9">
        <f t="shared" ca="1" si="123"/>
        <v>-4.1968181818182728</v>
      </c>
      <c r="X50" s="8">
        <f t="shared" ca="1" si="114"/>
        <v>0.98029411764699148</v>
      </c>
      <c r="Y50" s="8">
        <f t="shared" ca="1" si="115"/>
        <v>-1.3958021390374356</v>
      </c>
      <c r="Z50" s="8">
        <f t="shared" ca="1" si="116"/>
        <v>4.9248128342246602</v>
      </c>
      <c r="AA50" s="8">
        <f t="shared" ca="1" si="117"/>
        <v>-0.97000000000007347</v>
      </c>
      <c r="AB50" s="8" t="e">
        <f t="shared" si="118"/>
        <v>#N/A</v>
      </c>
      <c r="AC50" s="8" t="e">
        <f t="shared" si="119"/>
        <v>#N/A</v>
      </c>
      <c r="AD50" s="8">
        <f t="shared" ca="1" si="120"/>
        <v>-3.1894169096209941</v>
      </c>
      <c r="AE50" s="8" t="e">
        <f t="shared" si="121"/>
        <v>#N/A</v>
      </c>
      <c r="AF50" s="10">
        <f t="shared" ca="1" si="122"/>
        <v>0.50000000000000133</v>
      </c>
    </row>
    <row r="51" spans="1:32" x14ac:dyDescent="0.25">
      <c r="A51" t="s">
        <v>74</v>
      </c>
      <c r="B51" s="4">
        <v>2003</v>
      </c>
      <c r="C51">
        <f>100-SUM(E51:G51)</f>
        <v>14.719999999999999</v>
      </c>
      <c r="D51">
        <f>100-SUM(E51:K51)</f>
        <v>13.439999999999998</v>
      </c>
      <c r="E51">
        <v>42.68</v>
      </c>
      <c r="F51">
        <v>34.35</v>
      </c>
      <c r="G51">
        <v>8.25</v>
      </c>
      <c r="H51">
        <v>1.28</v>
      </c>
      <c r="L51" s="4">
        <v>1.73</v>
      </c>
      <c r="M51">
        <f t="shared" ca="1" si="104"/>
        <v>21.686378299120179</v>
      </c>
      <c r="N51">
        <f t="shared" ca="1" si="105"/>
        <v>12.598005865102664</v>
      </c>
      <c r="O51">
        <f t="shared" ca="1" si="106"/>
        <v>35.017741935483855</v>
      </c>
      <c r="P51">
        <f t="shared" ca="1" si="107"/>
        <v>39.160791788856329</v>
      </c>
      <c r="Q51">
        <f t="shared" ca="1" si="108"/>
        <v>5.6700000000000728</v>
      </c>
      <c r="R51" t="e">
        <f t="shared" ca="1" si="109"/>
        <v>#DIV/0!</v>
      </c>
      <c r="S51" t="e">
        <f t="shared" ca="1" si="110"/>
        <v>#DIV/0!</v>
      </c>
      <c r="T51">
        <f t="shared" ca="1" si="111"/>
        <v>3.7113782991202271</v>
      </c>
      <c r="U51" t="e">
        <f t="shared" ca="1" si="112"/>
        <v>#DIV/0!</v>
      </c>
      <c r="V51" s="4" t="e">
        <f t="shared" ca="1" si="113"/>
        <v>#DIV/0!</v>
      </c>
      <c r="W51" s="9">
        <f t="shared" ca="1" si="123"/>
        <v>-6.9663782991201799</v>
      </c>
      <c r="X51" s="8">
        <f t="shared" ca="1" si="114"/>
        <v>0.84199413489733388</v>
      </c>
      <c r="Y51" s="8">
        <f t="shared" ca="1" si="115"/>
        <v>7.6622580645161449</v>
      </c>
      <c r="Z51" s="8">
        <f t="shared" ca="1" si="116"/>
        <v>-4.8107917888563279</v>
      </c>
      <c r="AA51" s="8">
        <f t="shared" ca="1" si="117"/>
        <v>2.5799999999999272</v>
      </c>
      <c r="AB51" s="8" t="e">
        <f t="shared" ca="1" si="118"/>
        <v>#DIV/0!</v>
      </c>
      <c r="AC51" s="8" t="e">
        <f t="shared" si="119"/>
        <v>#N/A</v>
      </c>
      <c r="AD51" s="8" t="e">
        <f t="shared" si="120"/>
        <v>#N/A</v>
      </c>
      <c r="AE51" s="8" t="e">
        <f t="shared" si="121"/>
        <v>#N/A</v>
      </c>
      <c r="AF51" s="10" t="e">
        <f t="shared" ca="1" si="122"/>
        <v>#DIV/0!</v>
      </c>
    </row>
    <row r="52" spans="1:32" x14ac:dyDescent="0.25">
      <c r="A52" t="s">
        <v>75</v>
      </c>
      <c r="B52" s="4">
        <v>1999</v>
      </c>
      <c r="C52">
        <f>100-SUM(E52:G52)</f>
        <v>20.120000000000005</v>
      </c>
      <c r="D52">
        <f>100-SUM(E52:K52)</f>
        <v>9.2600000000000051</v>
      </c>
      <c r="E52">
        <v>42.21</v>
      </c>
      <c r="F52">
        <v>33.79</v>
      </c>
      <c r="G52">
        <v>3.88</v>
      </c>
      <c r="H52">
        <v>7.53</v>
      </c>
      <c r="J52">
        <v>3.33</v>
      </c>
      <c r="L52" s="4">
        <v>1.49</v>
      </c>
      <c r="M52">
        <f t="shared" ca="1" si="104"/>
        <v>17.19091207888232</v>
      </c>
      <c r="N52">
        <f t="shared" ca="1" si="105"/>
        <v>13.565612161051831</v>
      </c>
      <c r="O52">
        <f t="shared" ca="1" si="106"/>
        <v>31.554478225144067</v>
      </c>
      <c r="P52">
        <f t="shared" ca="1" si="107"/>
        <v>49.134798685291685</v>
      </c>
      <c r="Q52">
        <f t="shared" ca="1" si="108"/>
        <v>4.6000000000000227</v>
      </c>
      <c r="R52" t="e">
        <f t="shared" ca="1" si="109"/>
        <v>#DIV/0!</v>
      </c>
      <c r="S52" t="e">
        <f t="shared" ca="1" si="110"/>
        <v>#DIV/0!</v>
      </c>
      <c r="T52">
        <f t="shared" ca="1" si="111"/>
        <v>3.6252999178307306</v>
      </c>
      <c r="U52" t="e">
        <f t="shared" ca="1" si="112"/>
        <v>#DIV/0!</v>
      </c>
      <c r="V52" s="4" t="e">
        <f t="shared" ca="1" si="113"/>
        <v>#DIV/0!</v>
      </c>
      <c r="W52" s="9">
        <f t="shared" ca="1" si="123"/>
        <v>2.9290879211176843</v>
      </c>
      <c r="X52" s="8">
        <f t="shared" ca="1" si="114"/>
        <v>-4.3056121610518261</v>
      </c>
      <c r="Y52" s="8">
        <f t="shared" ca="1" si="115"/>
        <v>10.655521774855934</v>
      </c>
      <c r="Z52" s="8">
        <f t="shared" ca="1" si="116"/>
        <v>-15.344798685291686</v>
      </c>
      <c r="AA52" s="8">
        <f t="shared" ca="1" si="117"/>
        <v>-0.72000000000002284</v>
      </c>
      <c r="AB52" s="8" t="e">
        <f t="shared" ca="1" si="118"/>
        <v>#DIV/0!</v>
      </c>
      <c r="AC52" s="8" t="e">
        <f t="shared" si="119"/>
        <v>#N/A</v>
      </c>
      <c r="AD52" s="8">
        <f t="shared" ca="1" si="120"/>
        <v>-0.29529991783073051</v>
      </c>
      <c r="AE52" s="8" t="e">
        <f t="shared" si="121"/>
        <v>#N/A</v>
      </c>
      <c r="AF52" s="10" t="e">
        <f t="shared" ca="1" si="122"/>
        <v>#DIV/0!</v>
      </c>
    </row>
    <row r="53" spans="1:32" x14ac:dyDescent="0.25">
      <c r="A53" t="s">
        <v>76</v>
      </c>
      <c r="B53" s="4">
        <v>1995</v>
      </c>
      <c r="C53">
        <f>100-SUM(E53:G53)</f>
        <v>12.230000000000018</v>
      </c>
      <c r="D53">
        <f>100-SUM(E53:K53)</f>
        <v>9.7300000000000182</v>
      </c>
      <c r="E53">
        <v>41.26</v>
      </c>
      <c r="F53">
        <v>43.94</v>
      </c>
      <c r="G53">
        <v>2.57</v>
      </c>
      <c r="J53">
        <v>2.5</v>
      </c>
      <c r="M53">
        <f t="shared" ca="1" si="104"/>
        <v>17.645476190476302</v>
      </c>
      <c r="N53">
        <f t="shared" ca="1" si="105"/>
        <v>12.509523809523898</v>
      </c>
      <c r="O53">
        <f t="shared" ca="1" si="106"/>
        <v>34.33047619047602</v>
      </c>
      <c r="P53">
        <f t="shared" ca="1" si="107"/>
        <v>47.62547619047632</v>
      </c>
      <c r="Q53" t="e">
        <f t="shared" ca="1" si="108"/>
        <v>#DIV/0!</v>
      </c>
      <c r="R53" t="e">
        <f t="shared" ca="1" si="109"/>
        <v>#DIV/0!</v>
      </c>
      <c r="S53" t="e">
        <f t="shared" ca="1" si="110"/>
        <v>#DIV/0!</v>
      </c>
      <c r="T53">
        <f t="shared" ca="1" si="111"/>
        <v>4.5274908424908062</v>
      </c>
      <c r="U53" t="e">
        <f t="shared" ca="1" si="112"/>
        <v>#DIV/0!</v>
      </c>
      <c r="V53" s="4" t="e">
        <f t="shared" ca="1" si="113"/>
        <v>#DIV/0!</v>
      </c>
      <c r="W53" s="9">
        <f t="shared" ca="1" si="123"/>
        <v>-5.4154761904762836</v>
      </c>
      <c r="X53" s="8">
        <f t="shared" ca="1" si="114"/>
        <v>-2.7795238095238801</v>
      </c>
      <c r="Y53" s="8">
        <f t="shared" ca="1" si="115"/>
        <v>6.9295238095239782</v>
      </c>
      <c r="Z53" s="8">
        <f t="shared" ca="1" si="116"/>
        <v>-3.6854761904763222</v>
      </c>
      <c r="AA53" s="8" t="e">
        <f t="shared" ca="1" si="117"/>
        <v>#DIV/0!</v>
      </c>
      <c r="AB53" s="8">
        <f>H53-H54</f>
        <v>0</v>
      </c>
      <c r="AC53" s="8" t="e">
        <f t="shared" si="119"/>
        <v>#N/A</v>
      </c>
      <c r="AD53" s="8">
        <f t="shared" ca="1" si="120"/>
        <v>-2.0274908424908062</v>
      </c>
      <c r="AE53" s="8" t="e">
        <f t="shared" si="121"/>
        <v>#N/A</v>
      </c>
      <c r="AF53" s="10" t="e">
        <f t="shared" si="122"/>
        <v>#N/A</v>
      </c>
    </row>
    <row r="54" spans="1:32" x14ac:dyDescent="0.25">
      <c r="A54" t="s">
        <v>77</v>
      </c>
      <c r="B54" s="4">
        <v>1991</v>
      </c>
      <c r="C54">
        <f>100-SUM(E54:G54)</f>
        <v>15.730000000000004</v>
      </c>
      <c r="D54">
        <f>100-SUM(E54:K54)</f>
        <v>10.370000000000005</v>
      </c>
      <c r="E54">
        <v>39.049999999999997</v>
      </c>
      <c r="F54">
        <v>44.68</v>
      </c>
      <c r="G54">
        <v>0.54</v>
      </c>
      <c r="J54">
        <v>5.36</v>
      </c>
      <c r="M54">
        <f t="shared" ref="M54:M56" ca="1" si="124">MAX(0,_xlfn.FORECAST.LINEAR($B54,OFFSET(C55,0,0,$D$1),OFFSET($B55,0,0,$D$1)))</f>
        <v>9.3089999999999975</v>
      </c>
      <c r="N54">
        <f t="shared" ref="N54:N56" ca="1" si="125">MAX(0,_xlfn.FORECAST.LINEAR($B54,OFFSET(D55,0,0,$D$1),OFFSET($B55,0,0,$D$1)))</f>
        <v>5.998266666666666</v>
      </c>
      <c r="O54">
        <f t="shared" ref="O54:O56" ca="1" si="126">MAX(0,_xlfn.FORECAST.LINEAR($B54,OFFSET(E55,0,0,$D$1),OFFSET($B55,0,0,$D$1)))</f>
        <v>44.769000000000005</v>
      </c>
      <c r="P54">
        <f t="shared" ref="P54:P56" ca="1" si="127">MAX(0,_xlfn.FORECAST.LINEAR($B54,OFFSET(F55,0,0,$D$1),OFFSET($B55,0,0,$D$1)))</f>
        <v>45.922000000000025</v>
      </c>
      <c r="Q54" t="e">
        <f t="shared" ref="Q54:Q56" ca="1" si="128">MAX(0,_xlfn.FORECAST.LINEAR($B54,OFFSET(G55,0,0,$D$1),OFFSET($B55,0,0,$D$1)))</f>
        <v>#DIV/0!</v>
      </c>
      <c r="R54" t="e">
        <f t="shared" ref="R54:R56" ca="1" si="129">MAX(0,_xlfn.FORECAST.LINEAR($B54,OFFSET(H55,0,0,$D$1),OFFSET($B55,0,0,$D$1)))</f>
        <v>#DIV/0!</v>
      </c>
      <c r="S54" t="e">
        <f t="shared" ref="S54:S56" ca="1" si="130">MAX(0,_xlfn.FORECAST.LINEAR($B54,OFFSET(I55,0,0,$D$1),OFFSET($B55,0,0,$D$1)))</f>
        <v>#DIV/0!</v>
      </c>
      <c r="T54">
        <f t="shared" ref="T54:T56" ca="1" si="131">MAX(0,_xlfn.FORECAST.LINEAR($B54,OFFSET(J55,0,0,$D$1),OFFSET($B55,0,0,$D$1)))</f>
        <v>1.866164383561653</v>
      </c>
      <c r="U54" t="e">
        <f t="shared" ref="U54:U56" ca="1" si="132">MAX(0,_xlfn.FORECAST.LINEAR($B54,OFFSET(K55,0,0,$D$1),OFFSET($B55,0,0,$D$1)))</f>
        <v>#DIV/0!</v>
      </c>
      <c r="V54" s="4" t="e">
        <f t="shared" ref="V54:V56" ca="1" si="133">MAX(0,_xlfn.FORECAST.LINEAR($B54,OFFSET(L55,0,0,$D$1),OFFSET($B55,0,0,$D$1)))</f>
        <v>#DIV/0!</v>
      </c>
      <c r="W54" s="9">
        <f t="shared" ca="1" si="123"/>
        <v>6.4210000000000065</v>
      </c>
      <c r="X54" s="8">
        <f t="shared" ca="1" si="114"/>
        <v>4.3717333333333386</v>
      </c>
      <c r="Y54" s="8">
        <f t="shared" ca="1" si="115"/>
        <v>-5.7190000000000083</v>
      </c>
      <c r="Z54" s="8">
        <f t="shared" ca="1" si="116"/>
        <v>-1.2420000000000258</v>
      </c>
      <c r="AA54" s="8" t="e">
        <f t="shared" ca="1" si="117"/>
        <v>#DIV/0!</v>
      </c>
      <c r="AB54" s="8">
        <f>H54</f>
        <v>0</v>
      </c>
      <c r="AC54" s="8" t="e">
        <f t="shared" si="119"/>
        <v>#N/A</v>
      </c>
      <c r="AD54" s="8">
        <f t="shared" ca="1" si="120"/>
        <v>3.4938356164383473</v>
      </c>
      <c r="AE54" s="8" t="e">
        <f t="shared" si="121"/>
        <v>#N/A</v>
      </c>
      <c r="AF54" s="10" t="e">
        <f t="shared" si="122"/>
        <v>#N/A</v>
      </c>
    </row>
    <row r="55" spans="1:32" x14ac:dyDescent="0.25">
      <c r="A55" t="s">
        <v>78</v>
      </c>
      <c r="B55" s="4">
        <v>1988</v>
      </c>
      <c r="C55">
        <f>100-SUM(E55:G55)</f>
        <v>11.980000000000004</v>
      </c>
      <c r="D55">
        <f>100-SUM(E55:K55)</f>
        <v>10.170000000000002</v>
      </c>
      <c r="E55">
        <v>38.479999999999997</v>
      </c>
      <c r="F55">
        <v>49.54</v>
      </c>
      <c r="J55">
        <v>1.81</v>
      </c>
      <c r="M55">
        <f t="shared" ca="1" si="124"/>
        <v>3.9370126227209994</v>
      </c>
      <c r="N55">
        <f t="shared" ca="1" si="125"/>
        <v>0</v>
      </c>
      <c r="O55">
        <f t="shared" ca="1" si="126"/>
        <v>57.333253856942292</v>
      </c>
      <c r="P55">
        <f t="shared" ca="1" si="127"/>
        <v>38.729733520336595</v>
      </c>
      <c r="Q55" t="e">
        <f t="shared" ca="1" si="128"/>
        <v>#DIV/0!</v>
      </c>
      <c r="R55" t="e">
        <f t="shared" ca="1" si="129"/>
        <v>#DIV/0!</v>
      </c>
      <c r="S55" t="e">
        <f t="shared" ca="1" si="130"/>
        <v>#DIV/0!</v>
      </c>
      <c r="T55">
        <f t="shared" ca="1" si="131"/>
        <v>2.8766666666666652</v>
      </c>
      <c r="U55" t="e">
        <f t="shared" ca="1" si="132"/>
        <v>#DIV/0!</v>
      </c>
      <c r="V55" s="4" t="e">
        <f t="shared" ca="1" si="133"/>
        <v>#DIV/0!</v>
      </c>
      <c r="W55" s="9">
        <f t="shared" ca="1" si="123"/>
        <v>8.0429873772790046</v>
      </c>
      <c r="X55" s="8">
        <f t="shared" ca="1" si="114"/>
        <v>10.170000000000002</v>
      </c>
      <c r="Y55" s="8">
        <f t="shared" ca="1" si="115"/>
        <v>-18.853253856942295</v>
      </c>
      <c r="Z55" s="8">
        <f t="shared" ca="1" si="116"/>
        <v>10.810266479663404</v>
      </c>
      <c r="AA55" s="8" t="e">
        <f t="shared" si="117"/>
        <v>#N/A</v>
      </c>
      <c r="AB55" s="8" t="e">
        <f t="shared" ref="AB55:AB57" si="134">IF(ISBLANK(H55),NA(),H55-R55)</f>
        <v>#N/A</v>
      </c>
      <c r="AC55" s="8" t="e">
        <f t="shared" si="119"/>
        <v>#N/A</v>
      </c>
      <c r="AD55" s="8">
        <f t="shared" ca="1" si="120"/>
        <v>-1.0666666666666651</v>
      </c>
      <c r="AE55" s="8" t="e">
        <f t="shared" si="121"/>
        <v>#N/A</v>
      </c>
      <c r="AF55" s="10" t="e">
        <f t="shared" si="122"/>
        <v>#N/A</v>
      </c>
    </row>
    <row r="56" spans="1:32" x14ac:dyDescent="0.25">
      <c r="A56" t="s">
        <v>79</v>
      </c>
      <c r="B56" s="4">
        <v>1984</v>
      </c>
      <c r="C56">
        <f>100-SUM(E56:G56)</f>
        <v>8.2299999999999898</v>
      </c>
      <c r="D56">
        <f>100-SUM(E56:K56)</f>
        <v>5.3799999999999955</v>
      </c>
      <c r="E56">
        <v>48.77</v>
      </c>
      <c r="F56">
        <v>43</v>
      </c>
      <c r="J56">
        <v>2.85</v>
      </c>
      <c r="M56">
        <f t="shared" ca="1" si="124"/>
        <v>1.6480254777068239</v>
      </c>
      <c r="N56">
        <f t="shared" ca="1" si="125"/>
        <v>0</v>
      </c>
      <c r="O56">
        <f t="shared" ca="1" si="126"/>
        <v>62.062101910828005</v>
      </c>
      <c r="P56">
        <f t="shared" ca="1" si="127"/>
        <v>36.289872611464943</v>
      </c>
      <c r="Q56" t="e">
        <f t="shared" ca="1" si="128"/>
        <v>#DIV/0!</v>
      </c>
      <c r="R56" t="e">
        <f t="shared" ca="1" si="129"/>
        <v>#DIV/0!</v>
      </c>
      <c r="S56" t="e">
        <f t="shared" ca="1" si="130"/>
        <v>#DIV/0!</v>
      </c>
      <c r="T56">
        <f t="shared" ca="1" si="131"/>
        <v>2.2099999999999795</v>
      </c>
      <c r="U56" t="e">
        <f t="shared" ca="1" si="132"/>
        <v>#DIV/0!</v>
      </c>
      <c r="V56" s="4" t="e">
        <f t="shared" ca="1" si="133"/>
        <v>#DIV/0!</v>
      </c>
      <c r="W56" s="9">
        <f t="shared" ca="1" si="123"/>
        <v>6.5819745222931658</v>
      </c>
      <c r="X56" s="8">
        <f t="shared" ca="1" si="114"/>
        <v>5.3799999999999955</v>
      </c>
      <c r="Y56" s="8">
        <f t="shared" ca="1" si="115"/>
        <v>-13.292101910828002</v>
      </c>
      <c r="Z56" s="8">
        <f t="shared" ca="1" si="116"/>
        <v>6.7101273885350565</v>
      </c>
      <c r="AA56" s="8">
        <f>G56-G57</f>
        <v>0</v>
      </c>
      <c r="AB56" s="8" t="e">
        <f t="shared" si="134"/>
        <v>#N/A</v>
      </c>
      <c r="AC56" s="8" t="e">
        <f t="shared" si="119"/>
        <v>#N/A</v>
      </c>
      <c r="AD56" s="8">
        <f t="shared" ca="1" si="120"/>
        <v>0.64000000000002055</v>
      </c>
      <c r="AE56" s="8" t="e">
        <f t="shared" si="121"/>
        <v>#N/A</v>
      </c>
      <c r="AF56" s="10" t="e">
        <f t="shared" si="122"/>
        <v>#N/A</v>
      </c>
    </row>
    <row r="57" spans="1:32" x14ac:dyDescent="0.25">
      <c r="A57" t="s">
        <v>80</v>
      </c>
      <c r="B57" s="4">
        <v>1981</v>
      </c>
      <c r="C57">
        <f>100-SUM(E57:G57)</f>
        <v>5.4399999999999977</v>
      </c>
      <c r="D57">
        <f>100-SUM(E57:K57)</f>
        <v>3.0099999999999909</v>
      </c>
      <c r="E57">
        <v>55.73</v>
      </c>
      <c r="F57">
        <v>38.83</v>
      </c>
      <c r="J57">
        <v>2.4300000000000002</v>
      </c>
      <c r="W57" s="9"/>
      <c r="X57" s="8"/>
      <c r="Y57" s="8"/>
      <c r="Z57" s="8"/>
      <c r="AA57" s="8"/>
      <c r="AB57" s="8"/>
      <c r="AC57" s="8"/>
      <c r="AD57" s="8"/>
      <c r="AE57" s="8"/>
      <c r="AF57" s="10"/>
    </row>
    <row r="58" spans="1:32" x14ac:dyDescent="0.25">
      <c r="A58" t="s">
        <v>81</v>
      </c>
      <c r="B58" s="4">
        <v>1978</v>
      </c>
      <c r="C58">
        <f>100-SUM(E58:G58)</f>
        <v>5.3499999999999943</v>
      </c>
      <c r="D58">
        <f>100-SUM(E58:K58)</f>
        <v>2.6999999999999886</v>
      </c>
      <c r="E58">
        <v>57.77</v>
      </c>
      <c r="F58">
        <v>36.880000000000003</v>
      </c>
      <c r="J58">
        <v>2.65</v>
      </c>
      <c r="T58" s="2" t="s">
        <v>34</v>
      </c>
      <c r="U58" s="2"/>
      <c r="V58" s="13"/>
      <c r="W58" cm="1">
        <f t="array" aca="1" ref="W58" ca="1">INDEX(LINEST(W48:W56,W47:W55),1)</f>
        <v>0.29219269773633227</v>
      </c>
      <c r="X58" cm="1">
        <f t="array" aca="1" ref="X58" ca="1">INDEX(LINEST(X48:X56,X47:X55),1)</f>
        <v>0.61421464080189336</v>
      </c>
      <c r="Y58" cm="1">
        <f t="array" aca="1" ref="Y58" ca="1">INDEX(LINEST(Y48:Y56,Y47:Y55),1)</f>
        <v>0.46917624447567152</v>
      </c>
      <c r="Z58" cm="1">
        <f t="array" aca="1" ref="Z58" ca="1">INDEX(LINEST(Z48:Z56,Z47:Z55),1)</f>
        <v>0.34168786649231042</v>
      </c>
      <c r="AA58" t="e" cm="1">
        <f t="array" aca="1" ref="AA58" ca="1">INDEX(LINEST(AA48:AA56,AA47:AA55),1)</f>
        <v>#VALUE!</v>
      </c>
      <c r="AB58" t="e" cm="1">
        <f t="array" aca="1" ref="AB58" ca="1">INDEX(LINEST(AB48:AB56,AB47:AB55),1)</f>
        <v>#VALUE!</v>
      </c>
    </row>
    <row r="59" spans="1:32" x14ac:dyDescent="0.25">
      <c r="A59" t="s">
        <v>82</v>
      </c>
      <c r="B59" s="4">
        <v>1976</v>
      </c>
      <c r="C59">
        <f>100-SUM(E59:G59)</f>
        <v>3.9300000000000068</v>
      </c>
      <c r="D59">
        <f>100-SUM(E59:K59)</f>
        <v>3.9300000000000068</v>
      </c>
      <c r="E59">
        <v>49.75</v>
      </c>
      <c r="F59">
        <v>46.32</v>
      </c>
      <c r="T59" s="2" t="s">
        <v>35</v>
      </c>
      <c r="U59" s="2"/>
      <c r="V59" s="13"/>
      <c r="W59">
        <f ca="1">AVERAGE(W47:W56)</f>
        <v>0.38817147424593801</v>
      </c>
      <c r="X59">
        <f ca="1">AVERAGE(X47:X56)</f>
        <v>0.62678951999665034</v>
      </c>
      <c r="Y59">
        <f ca="1">AVERAGE(Y47:Y56)</f>
        <v>-2.2336443182299415</v>
      </c>
      <c r="Z59">
        <f ca="1">AVERAGE(Z47:Z56)</f>
        <v>1.6403241209257586</v>
      </c>
      <c r="AA59" t="e">
        <f ca="1">AVERAGE(AA47:AA56)</f>
        <v>#DIV/0!</v>
      </c>
      <c r="AB59" t="e">
        <f ca="1">AVERAGE(AB47:AB56)</f>
        <v>#N/A</v>
      </c>
    </row>
    <row r="60" spans="1:32" x14ac:dyDescent="0.25">
      <c r="A60" t="s">
        <v>83</v>
      </c>
      <c r="B60" s="4">
        <v>1973</v>
      </c>
      <c r="C60">
        <f>100-SUM(E60:G60)</f>
        <v>12.740000000000009</v>
      </c>
      <c r="D60">
        <f>100-SUM(E60:K60)</f>
        <v>12.740000000000009</v>
      </c>
      <c r="E60">
        <v>42.93</v>
      </c>
      <c r="F60">
        <v>44.33</v>
      </c>
      <c r="T60" s="2" t="s">
        <v>37</v>
      </c>
      <c r="U60" s="2"/>
      <c r="V60" s="13"/>
      <c r="W60">
        <f ca="1">SQRT(SUMSQ(W47:W56)/COUNT(W47:W56))</f>
        <v>5.5363951130380311</v>
      </c>
      <c r="X60">
        <f ca="1">SQRT(SUMSQ(X47:X56)/COUNT(X47:X56))</f>
        <v>4.5810372179224856</v>
      </c>
      <c r="Y60">
        <f ca="1">SQRT(SUMSQ(Y47:Y56)/COUNT(Y47:Y56))</f>
        <v>10.422544052222642</v>
      </c>
      <c r="Z60">
        <f ca="1">SQRT(SUMSQ(Z47:Z56)/COUNT(Z47:Z56))</f>
        <v>9.7579315793737962</v>
      </c>
      <c r="AA60" t="e">
        <f ca="1">SQRT(SUMSQ(AA47:AA56)/COUNT(AA47:AA56))</f>
        <v>#DIV/0!</v>
      </c>
      <c r="AB60" t="e">
        <f ca="1">SQRT(SUMSQ(AB47:AB56)/COUNT(AB47:AB56))</f>
        <v>#N/A</v>
      </c>
    </row>
    <row r="61" spans="1:32" x14ac:dyDescent="0.25">
      <c r="A61" t="s">
        <v>84</v>
      </c>
      <c r="B61" s="4">
        <v>1971</v>
      </c>
      <c r="C61">
        <f>100-SUM(E61:G61)</f>
        <v>10.590000000000003</v>
      </c>
      <c r="D61">
        <f>100-SUM(E61:K61)</f>
        <v>10.590000000000003</v>
      </c>
      <c r="E61">
        <v>45.02</v>
      </c>
      <c r="F61">
        <v>44.39</v>
      </c>
    </row>
    <row r="63" spans="1:32" x14ac:dyDescent="0.25">
      <c r="C63" t="s">
        <v>8</v>
      </c>
      <c r="D63" t="s">
        <v>17</v>
      </c>
      <c r="E63" t="s">
        <v>1</v>
      </c>
      <c r="F63" t="s">
        <v>2</v>
      </c>
      <c r="G63" t="s">
        <v>3</v>
      </c>
      <c r="H63" t="s">
        <v>4</v>
      </c>
      <c r="I63" t="s">
        <v>23</v>
      </c>
      <c r="J63" t="s">
        <v>6</v>
      </c>
      <c r="K63" s="11" t="s">
        <v>69</v>
      </c>
      <c r="L63" s="4" t="s">
        <v>13</v>
      </c>
      <c r="M63" t="s">
        <v>8</v>
      </c>
      <c r="N63" t="s">
        <v>17</v>
      </c>
      <c r="O63" t="s">
        <v>1</v>
      </c>
      <c r="P63" t="s">
        <v>2</v>
      </c>
      <c r="Q63" t="s">
        <v>3</v>
      </c>
      <c r="R63" t="s">
        <v>4</v>
      </c>
      <c r="S63" t="s">
        <v>5</v>
      </c>
      <c r="T63" t="s">
        <v>6</v>
      </c>
      <c r="U63" t="s">
        <v>69</v>
      </c>
      <c r="V63" s="4" t="s">
        <v>71</v>
      </c>
      <c r="W63" t="s">
        <v>8</v>
      </c>
      <c r="X63" t="s">
        <v>17</v>
      </c>
      <c r="Y63" t="s">
        <v>1</v>
      </c>
      <c r="Z63" t="s">
        <v>2</v>
      </c>
      <c r="AA63" t="s">
        <v>3</v>
      </c>
      <c r="AB63" t="s">
        <v>4</v>
      </c>
      <c r="AC63" t="s">
        <v>5</v>
      </c>
      <c r="AD63" t="s">
        <v>6</v>
      </c>
      <c r="AE63" t="s">
        <v>69</v>
      </c>
      <c r="AF63" s="4" t="s">
        <v>71</v>
      </c>
    </row>
    <row r="64" spans="1:32" x14ac:dyDescent="0.25">
      <c r="A64" t="s">
        <v>90</v>
      </c>
      <c r="B64" s="4">
        <v>2022</v>
      </c>
      <c r="M64">
        <f t="shared" ref="M64:M74" ca="1" si="135">MAX(0,_xlfn.FORECAST.LINEAR($B64,OFFSET(C65,0,0,$D$1),OFFSET($B65,0,0,$D$1)))</f>
        <v>10.557795527156543</v>
      </c>
      <c r="N64">
        <f t="shared" ref="N64:N74" ca="1" si="136">MAX(0,_xlfn.FORECAST.LINEAR($B64,OFFSET(D65,0,0,$D$1),OFFSET($B65,0,0,$D$1)))</f>
        <v>10.068811501597395</v>
      </c>
      <c r="O64">
        <f t="shared" ref="O64:O74" ca="1" si="137">MAX(0,_xlfn.FORECAST.LINEAR($B64,OFFSET(E65,0,0,$D$1),OFFSET($B65,0,0,$D$1)))</f>
        <v>37.177878594249137</v>
      </c>
      <c r="P64">
        <f t="shared" ref="P64:P74" ca="1" si="138">MAX(0,_xlfn.FORECAST.LINEAR($B64,OFFSET(F65,0,0,$D$1),OFFSET($B65,0,0,$D$1)))</f>
        <v>37.879015974440904</v>
      </c>
      <c r="Q64">
        <f t="shared" ref="Q64:Q74" ca="1" si="139">MAX(0,_xlfn.FORECAST.LINEAR($B64,OFFSET(G65,0,0,$D$1),OFFSET($B65,0,0,$D$1)))</f>
        <v>14.385309904153246</v>
      </c>
      <c r="R64" t="e">
        <f t="shared" ref="R64:R74" ca="1" si="140">MAX(0,_xlfn.FORECAST.LINEAR($B64,OFFSET(H65,0,0,$D$1),OFFSET($B65,0,0,$D$1)))</f>
        <v>#DIV/0!</v>
      </c>
      <c r="S64">
        <f t="shared" ref="S64:S74" ca="1" si="141">MAX(0,_xlfn.FORECAST.LINEAR($B64,OFFSET(I65,0,0,$D$1),OFFSET($B65,0,0,$D$1)))</f>
        <v>0.68791536050157021</v>
      </c>
      <c r="T64" t="e">
        <f t="shared" ref="T64:T74" ca="1" si="142">MAX(0,_xlfn.FORECAST.LINEAR($B64,OFFSET(J65,0,0,$D$1),OFFSET($B65,0,0,$D$1)))</f>
        <v>#DIV/0!</v>
      </c>
      <c r="U64" t="e">
        <f t="shared" ref="U64:U74" ca="1" si="143">MAX(0,_xlfn.FORECAST.LINEAR($B64,OFFSET(K65,0,0,$D$1),OFFSET($B65,0,0,$D$1)))</f>
        <v>#DIV/0!</v>
      </c>
      <c r="V64" s="4">
        <f t="shared" ref="V64:V74" ca="1" si="144">MAX(0,_xlfn.FORECAST.LINEAR($B64,OFFSET(L65,0,0,$D$1),OFFSET($B65,0,0,$D$1)))</f>
        <v>0</v>
      </c>
    </row>
    <row r="65" spans="1:32" x14ac:dyDescent="0.25">
      <c r="A65" t="s">
        <v>91</v>
      </c>
      <c r="B65" s="4">
        <v>2018</v>
      </c>
      <c r="C65">
        <f>100-SUM(E65:G65)</f>
        <v>11.240000000000009</v>
      </c>
      <c r="D65">
        <f>100-SUM(E65:K65)</f>
        <v>10.550000000000011</v>
      </c>
      <c r="E65">
        <v>42.86</v>
      </c>
      <c r="F65">
        <v>35.19</v>
      </c>
      <c r="G65">
        <v>10.71</v>
      </c>
      <c r="I65">
        <v>0.69</v>
      </c>
      <c r="M65">
        <f t="shared" ca="1" si="135"/>
        <v>7.3488552915766832</v>
      </c>
      <c r="N65">
        <f t="shared" ca="1" si="136"/>
        <v>6.9782937365010582</v>
      </c>
      <c r="O65">
        <f t="shared" ca="1" si="137"/>
        <v>35.85866810655159</v>
      </c>
      <c r="P65">
        <f t="shared" ca="1" si="138"/>
        <v>40.477976961842955</v>
      </c>
      <c r="Q65">
        <f t="shared" ca="1" si="139"/>
        <v>15.321850828729112</v>
      </c>
      <c r="R65" t="e">
        <f t="shared" ca="1" si="140"/>
        <v>#DIV/0!</v>
      </c>
      <c r="S65">
        <f t="shared" ca="1" si="141"/>
        <v>0.48547495682210595</v>
      </c>
      <c r="T65" t="e">
        <f t="shared" ca="1" si="142"/>
        <v>#DIV/0!</v>
      </c>
      <c r="U65" t="e">
        <f t="shared" ca="1" si="143"/>
        <v>#DIV/0!</v>
      </c>
      <c r="V65" s="4">
        <f t="shared" ca="1" si="144"/>
        <v>0</v>
      </c>
      <c r="W65" s="9">
        <f ca="1">IF(ISBLANK(C65),NA(),C65-M65)</f>
        <v>3.8911447084233259</v>
      </c>
      <c r="X65" s="8">
        <f t="shared" ref="X65" ca="1" si="145">IF(ISBLANK(D65),NA(),D65-N65)</f>
        <v>3.5717062634989531</v>
      </c>
      <c r="Y65" s="8">
        <f t="shared" ref="Y65" ca="1" si="146">IF(ISBLANK(E65),NA(),E65-O65)</f>
        <v>7.001331893448409</v>
      </c>
      <c r="Z65" s="8">
        <f t="shared" ref="Z65" ca="1" si="147">IF(ISBLANK(F65),NA(),F65-P65)</f>
        <v>-5.2879769618429577</v>
      </c>
      <c r="AA65" s="8">
        <f t="shared" ref="AA65" ca="1" si="148">IF(ISBLANK(G65),NA(),G65-Q65)</f>
        <v>-4.6118508287291107</v>
      </c>
      <c r="AB65" s="8" t="e">
        <f t="shared" ref="AB65" si="149">IF(ISBLANK(H65),NA(),H65-R65)</f>
        <v>#N/A</v>
      </c>
      <c r="AC65" s="8">
        <f t="shared" ref="AC65" ca="1" si="150">IF(ISBLANK(I65),NA(),I65-S65)</f>
        <v>0.20452504317789399</v>
      </c>
      <c r="AD65" s="8" t="e">
        <f t="shared" ref="AD65" si="151">IF(ISBLANK(J65),NA(),J65-T65)</f>
        <v>#N/A</v>
      </c>
      <c r="AE65" s="8" t="e">
        <f t="shared" ref="AE65" si="152">IF(ISBLANK(K65),NA(),K65-U65)</f>
        <v>#N/A</v>
      </c>
      <c r="AF65" s="10" t="e">
        <f t="shared" ref="AF65" si="153">IF(ISBLANK(L65),NA(),L65-V65)</f>
        <v>#N/A</v>
      </c>
    </row>
    <row r="66" spans="1:32" x14ac:dyDescent="0.25">
      <c r="A66" t="s">
        <v>92</v>
      </c>
      <c r="B66" s="4">
        <v>2014</v>
      </c>
      <c r="C66">
        <f>100-SUM(E66:G66)</f>
        <v>6.4200000000000017</v>
      </c>
      <c r="D66">
        <f>100-SUM(E66:K66)</f>
        <v>6.3400000000000034</v>
      </c>
      <c r="E66">
        <v>38.1</v>
      </c>
      <c r="F66">
        <v>44</v>
      </c>
      <c r="G66">
        <v>11.48</v>
      </c>
      <c r="I66">
        <v>0.08</v>
      </c>
      <c r="L66" s="4">
        <v>1.1100000000000001</v>
      </c>
      <c r="M66">
        <f t="shared" ca="1" si="135"/>
        <v>6.1079323597232928</v>
      </c>
      <c r="N66">
        <f t="shared" ca="1" si="136"/>
        <v>5.4812298232129422</v>
      </c>
      <c r="O66">
        <f t="shared" ca="1" si="137"/>
        <v>41.145026902382796</v>
      </c>
      <c r="P66">
        <f t="shared" ca="1" si="138"/>
        <v>37.441137586471996</v>
      </c>
      <c r="Q66">
        <f t="shared" ca="1" si="139"/>
        <v>15.704509090909141</v>
      </c>
      <c r="R66" t="e">
        <f t="shared" ca="1" si="140"/>
        <v>#DIV/0!</v>
      </c>
      <c r="S66">
        <f t="shared" ca="1" si="141"/>
        <v>1.1093298969072123</v>
      </c>
      <c r="T66">
        <f t="shared" ca="1" si="142"/>
        <v>0.4728571428571442</v>
      </c>
      <c r="U66" t="e">
        <f t="shared" ca="1" si="143"/>
        <v>#DIV/0!</v>
      </c>
      <c r="V66" s="4">
        <f t="shared" ca="1" si="144"/>
        <v>0.28999999999996362</v>
      </c>
      <c r="W66" s="9">
        <f t="shared" ref="W66:W73" ca="1" si="154">IF(ISBLANK(C66),NA(),C66-M66)</f>
        <v>0.31206764027670886</v>
      </c>
      <c r="X66" s="8">
        <f t="shared" ref="X66:X73" ca="1" si="155">IF(ISBLANK(D66),NA(),D66-N66)</f>
        <v>0.85877017678706125</v>
      </c>
      <c r="Y66" s="8">
        <f t="shared" ref="Y66:Y73" ca="1" si="156">IF(ISBLANK(E66),NA(),E66-O66)</f>
        <v>-3.0450269023827943</v>
      </c>
      <c r="Z66" s="8">
        <f t="shared" ref="Z66:Z73" ca="1" si="157">IF(ISBLANK(F66),NA(),F66-P66)</f>
        <v>6.5588624135280043</v>
      </c>
      <c r="AA66" s="8">
        <f t="shared" ref="AA66:AA73" ca="1" si="158">IF(ISBLANK(G66),NA(),G66-Q66)</f>
        <v>-4.224509090909141</v>
      </c>
      <c r="AB66" s="8" t="e">
        <f t="shared" ref="AB66:AB73" si="159">IF(ISBLANK(H66),NA(),H66-R66)</f>
        <v>#N/A</v>
      </c>
      <c r="AC66" s="8">
        <f t="shared" ref="AC66:AC73" ca="1" si="160">IF(ISBLANK(I66),NA(),I66-S66)</f>
        <v>-1.0293298969072122</v>
      </c>
      <c r="AD66" s="8" t="e">
        <f t="shared" ref="AD66:AD73" si="161">IF(ISBLANK(J66),NA(),J66-T66)</f>
        <v>#N/A</v>
      </c>
      <c r="AE66" s="8" t="e">
        <f t="shared" ref="AE66:AE73" si="162">IF(ISBLANK(K66),NA(),K66-U66)</f>
        <v>#N/A</v>
      </c>
      <c r="AF66" s="10">
        <f t="shared" ref="AF66:AF73" ca="1" si="163">IF(ISBLANK(L66),NA(),L66-V66)</f>
        <v>0.82000000000003648</v>
      </c>
    </row>
    <row r="67" spans="1:32" x14ac:dyDescent="0.25">
      <c r="A67" t="s">
        <v>93</v>
      </c>
      <c r="B67" s="4">
        <v>2010</v>
      </c>
      <c r="C67">
        <f>100-SUM(E67:G67)</f>
        <v>7.7599999999999909</v>
      </c>
      <c r="D67">
        <f>100-SUM(E67:K67)</f>
        <v>6.8699999999999903</v>
      </c>
      <c r="E67">
        <v>36.25</v>
      </c>
      <c r="F67">
        <v>44.78</v>
      </c>
      <c r="G67">
        <v>11.21</v>
      </c>
      <c r="I67">
        <v>0.89</v>
      </c>
      <c r="L67" s="4">
        <v>2.29</v>
      </c>
      <c r="M67">
        <f t="shared" ca="1" si="135"/>
        <v>5.9381091468101488</v>
      </c>
      <c r="N67">
        <f t="shared" ca="1" si="136"/>
        <v>6.217671022290542</v>
      </c>
      <c r="O67">
        <f t="shared" ca="1" si="137"/>
        <v>45.306518063028449</v>
      </c>
      <c r="P67">
        <f t="shared" ca="1" si="138"/>
        <v>37.11159877017667</v>
      </c>
      <c r="Q67">
        <f t="shared" ca="1" si="139"/>
        <v>16.215810810811035</v>
      </c>
      <c r="R67" t="e">
        <f t="shared" ca="1" si="140"/>
        <v>#DIV/0!</v>
      </c>
      <c r="S67">
        <f t="shared" ca="1" si="141"/>
        <v>1.0276073619632342E-2</v>
      </c>
      <c r="T67">
        <f t="shared" ca="1" si="142"/>
        <v>0</v>
      </c>
      <c r="U67" t="e">
        <f t="shared" ca="1" si="143"/>
        <v>#DIV/0!</v>
      </c>
      <c r="V67" s="4" t="e">
        <f t="shared" ca="1" si="144"/>
        <v>#DIV/0!</v>
      </c>
      <c r="W67" s="9">
        <f t="shared" ca="1" si="154"/>
        <v>1.8218908531898421</v>
      </c>
      <c r="X67" s="8">
        <f t="shared" ca="1" si="155"/>
        <v>0.65232897770944831</v>
      </c>
      <c r="Y67" s="8">
        <f t="shared" ca="1" si="156"/>
        <v>-9.0565180630284488</v>
      </c>
      <c r="Z67" s="8">
        <f t="shared" ca="1" si="157"/>
        <v>7.6684012298233313</v>
      </c>
      <c r="AA67" s="8">
        <f t="shared" ca="1" si="158"/>
        <v>-5.0058108108110346</v>
      </c>
      <c r="AB67" s="8" t="e">
        <f t="shared" si="159"/>
        <v>#N/A</v>
      </c>
      <c r="AC67" s="8">
        <f t="shared" ca="1" si="160"/>
        <v>0.87972392638036767</v>
      </c>
      <c r="AD67" s="8" t="e">
        <f t="shared" si="161"/>
        <v>#N/A</v>
      </c>
      <c r="AE67" s="8" t="e">
        <f t="shared" si="162"/>
        <v>#N/A</v>
      </c>
      <c r="AF67" s="10" t="e">
        <f t="shared" ca="1" si="163"/>
        <v>#DIV/0!</v>
      </c>
    </row>
    <row r="68" spans="1:32" x14ac:dyDescent="0.25">
      <c r="A68" t="s">
        <v>94</v>
      </c>
      <c r="B68" s="4">
        <v>2006</v>
      </c>
      <c r="C68">
        <f>100-SUM(E68:G68)</f>
        <v>7.3000000000000114</v>
      </c>
      <c r="D68">
        <f>100-SUM(E68:K68)</f>
        <v>7.3000000000000114</v>
      </c>
      <c r="E68">
        <v>43.06</v>
      </c>
      <c r="F68">
        <v>39.6</v>
      </c>
      <c r="G68">
        <v>10.039999999999999</v>
      </c>
      <c r="L68" s="4">
        <v>4.29</v>
      </c>
      <c r="M68">
        <f t="shared" ca="1" si="135"/>
        <v>7.0657187499999736</v>
      </c>
      <c r="N68">
        <f t="shared" ca="1" si="136"/>
        <v>6.8603906250000364</v>
      </c>
      <c r="O68">
        <f t="shared" ca="1" si="137"/>
        <v>44.231687500000021</v>
      </c>
      <c r="P68">
        <f t="shared" ca="1" si="138"/>
        <v>41.847046874999933</v>
      </c>
      <c r="Q68">
        <f t="shared" ca="1" si="139"/>
        <v>21.170000000000073</v>
      </c>
      <c r="R68" t="e">
        <f t="shared" ca="1" si="140"/>
        <v>#DIV/0!</v>
      </c>
      <c r="S68">
        <f t="shared" ca="1" si="141"/>
        <v>5.7024539877300384E-2</v>
      </c>
      <c r="T68">
        <f t="shared" ca="1" si="142"/>
        <v>0</v>
      </c>
      <c r="U68" t="e">
        <f t="shared" ca="1" si="143"/>
        <v>#DIV/0!</v>
      </c>
      <c r="V68" s="4" t="e">
        <f t="shared" ca="1" si="144"/>
        <v>#DIV/0!</v>
      </c>
      <c r="W68" s="9">
        <f t="shared" ca="1" si="154"/>
        <v>0.23428125000003774</v>
      </c>
      <c r="X68" s="8">
        <f t="shared" ca="1" si="155"/>
        <v>0.43960937499997499</v>
      </c>
      <c r="Y68" s="8">
        <f t="shared" ca="1" si="156"/>
        <v>-1.1716875000000186</v>
      </c>
      <c r="Z68" s="8">
        <f t="shared" ca="1" si="157"/>
        <v>-2.2470468749999313</v>
      </c>
      <c r="AA68" s="8">
        <f t="shared" ca="1" si="158"/>
        <v>-11.130000000000074</v>
      </c>
      <c r="AB68" s="8" t="e">
        <f t="shared" si="159"/>
        <v>#N/A</v>
      </c>
      <c r="AC68" s="8" t="e">
        <f t="shared" si="160"/>
        <v>#N/A</v>
      </c>
      <c r="AD68" s="8" t="e">
        <f t="shared" si="161"/>
        <v>#N/A</v>
      </c>
      <c r="AE68" s="8" t="e">
        <f t="shared" si="162"/>
        <v>#N/A</v>
      </c>
      <c r="AF68" s="10" t="e">
        <f t="shared" ca="1" si="163"/>
        <v>#DIV/0!</v>
      </c>
    </row>
    <row r="69" spans="1:32" x14ac:dyDescent="0.25">
      <c r="A69" t="s">
        <v>95</v>
      </c>
      <c r="B69" s="4">
        <v>2002</v>
      </c>
      <c r="C69">
        <f>100-SUM(E69:G69)</f>
        <v>4.1099999999999994</v>
      </c>
      <c r="D69">
        <f>100-SUM(E69:K69)</f>
        <v>4.0699999999999932</v>
      </c>
      <c r="E69">
        <v>47.95</v>
      </c>
      <c r="F69">
        <v>38.21</v>
      </c>
      <c r="G69">
        <v>9.73</v>
      </c>
      <c r="I69">
        <v>0.04</v>
      </c>
      <c r="M69">
        <f t="shared" ca="1" si="135"/>
        <v>7.5987499999999955</v>
      </c>
      <c r="N69">
        <f t="shared" ca="1" si="136"/>
        <v>8.6232031250000318</v>
      </c>
      <c r="O69">
        <f t="shared" ca="1" si="137"/>
        <v>40.761093749999986</v>
      </c>
      <c r="P69">
        <f t="shared" ca="1" si="138"/>
        <v>50.903437499999995</v>
      </c>
      <c r="Q69" t="e">
        <f t="shared" ca="1" si="139"/>
        <v>#DIV/0!</v>
      </c>
      <c r="R69" t="e">
        <f t="shared" ca="1" si="140"/>
        <v>#DIV/0!</v>
      </c>
      <c r="S69">
        <f t="shared" ca="1" si="141"/>
        <v>0.18952914798206244</v>
      </c>
      <c r="T69">
        <f t="shared" ca="1" si="142"/>
        <v>0</v>
      </c>
      <c r="U69" t="e">
        <f t="shared" ca="1" si="143"/>
        <v>#DIV/0!</v>
      </c>
      <c r="V69" s="4" t="e">
        <f t="shared" ca="1" si="144"/>
        <v>#DIV/0!</v>
      </c>
      <c r="W69" s="9">
        <f t="shared" ca="1" si="154"/>
        <v>-3.488749999999996</v>
      </c>
      <c r="X69" s="8">
        <f t="shared" ca="1" si="155"/>
        <v>-4.5532031250000387</v>
      </c>
      <c r="Y69" s="8">
        <f t="shared" ca="1" si="156"/>
        <v>7.1889062500000165</v>
      </c>
      <c r="Z69" s="8">
        <f t="shared" ca="1" si="157"/>
        <v>-12.693437499999995</v>
      </c>
      <c r="AA69" s="8" t="e">
        <f t="shared" ca="1" si="158"/>
        <v>#DIV/0!</v>
      </c>
      <c r="AB69" s="8" t="e">
        <f t="shared" si="159"/>
        <v>#N/A</v>
      </c>
      <c r="AC69" s="8">
        <f t="shared" ca="1" si="160"/>
        <v>-0.14952914798206243</v>
      </c>
      <c r="AD69" s="8" t="e">
        <f t="shared" si="161"/>
        <v>#N/A</v>
      </c>
      <c r="AE69" s="8" t="e">
        <f t="shared" si="162"/>
        <v>#N/A</v>
      </c>
      <c r="AF69" s="10" t="e">
        <f t="shared" si="163"/>
        <v>#N/A</v>
      </c>
    </row>
    <row r="70" spans="1:32" x14ac:dyDescent="0.25">
      <c r="A70" t="s">
        <v>96</v>
      </c>
      <c r="B70" s="4">
        <v>1999</v>
      </c>
      <c r="C70">
        <f>100-SUM(E70:G70)</f>
        <v>6.2599999999999909</v>
      </c>
      <c r="D70">
        <f>100-SUM(E70:K70)</f>
        <v>5.4699999999999847</v>
      </c>
      <c r="E70">
        <v>45.57</v>
      </c>
      <c r="F70">
        <v>47.02</v>
      </c>
      <c r="G70">
        <v>1.1499999999999999</v>
      </c>
      <c r="H70">
        <v>0.28999999999999998</v>
      </c>
      <c r="I70">
        <v>0.22</v>
      </c>
      <c r="J70">
        <v>0.28000000000000003</v>
      </c>
      <c r="M70">
        <f t="shared" ca="1" si="135"/>
        <v>6.7566666666666606</v>
      </c>
      <c r="N70">
        <f t="shared" ca="1" si="136"/>
        <v>8.9646000000000186</v>
      </c>
      <c r="O70">
        <f t="shared" ca="1" si="137"/>
        <v>40.448266666666541</v>
      </c>
      <c r="P70">
        <f t="shared" ca="1" si="138"/>
        <v>52.795066666666685</v>
      </c>
      <c r="Q70" t="e">
        <f t="shared" ca="1" si="139"/>
        <v>#DIV/0!</v>
      </c>
      <c r="R70" t="e">
        <f t="shared" ca="1" si="140"/>
        <v>#DIV/0!</v>
      </c>
      <c r="S70">
        <f t="shared" ca="1" si="141"/>
        <v>0</v>
      </c>
      <c r="T70">
        <f t="shared" ca="1" si="142"/>
        <v>0</v>
      </c>
      <c r="U70" t="e">
        <f t="shared" ca="1" si="143"/>
        <v>#DIV/0!</v>
      </c>
      <c r="V70" s="4" t="e">
        <f t="shared" ca="1" si="144"/>
        <v>#DIV/0!</v>
      </c>
      <c r="W70" s="9">
        <f t="shared" ca="1" si="154"/>
        <v>-0.4966666666666697</v>
      </c>
      <c r="X70" s="8">
        <f t="shared" ca="1" si="155"/>
        <v>-3.4946000000000339</v>
      </c>
      <c r="Y70" s="8">
        <f t="shared" ca="1" si="156"/>
        <v>5.1217333333334594</v>
      </c>
      <c r="Z70" s="8">
        <f t="shared" ca="1" si="157"/>
        <v>-5.7750666666666817</v>
      </c>
      <c r="AA70" s="8" t="e">
        <f t="shared" ca="1" si="158"/>
        <v>#DIV/0!</v>
      </c>
      <c r="AB70" s="8" t="e">
        <f t="shared" ca="1" si="159"/>
        <v>#DIV/0!</v>
      </c>
      <c r="AC70" s="8">
        <f t="shared" ca="1" si="160"/>
        <v>0.22</v>
      </c>
      <c r="AD70" s="8">
        <f t="shared" ca="1" si="161"/>
        <v>0.28000000000000003</v>
      </c>
      <c r="AE70" s="8" t="e">
        <f t="shared" si="162"/>
        <v>#N/A</v>
      </c>
      <c r="AF70" s="10" t="e">
        <f t="shared" si="163"/>
        <v>#N/A</v>
      </c>
    </row>
    <row r="71" spans="1:32" x14ac:dyDescent="0.25">
      <c r="A71" t="s">
        <v>97</v>
      </c>
      <c r="B71" s="4">
        <v>1996</v>
      </c>
      <c r="C71">
        <f>100-SUM(E71:G71)</f>
        <v>6.1899999999999977</v>
      </c>
      <c r="D71">
        <f>100-SUM(E71:K71)</f>
        <v>6.1899999999999977</v>
      </c>
      <c r="E71">
        <v>43.13</v>
      </c>
      <c r="F71">
        <v>50.68</v>
      </c>
      <c r="M71">
        <f t="shared" ca="1" si="135"/>
        <v>7.2633076923077056</v>
      </c>
      <c r="N71">
        <f t="shared" ca="1" si="136"/>
        <v>8.1785576923075496</v>
      </c>
      <c r="O71">
        <f t="shared" ca="1" si="137"/>
        <v>43.217153846153849</v>
      </c>
      <c r="P71">
        <f t="shared" ca="1" si="138"/>
        <v>49.51953846153846</v>
      </c>
      <c r="Q71" t="e">
        <f t="shared" ca="1" si="139"/>
        <v>#DIV/0!</v>
      </c>
      <c r="R71" t="e">
        <f t="shared" ca="1" si="140"/>
        <v>#DIV/0!</v>
      </c>
      <c r="S71">
        <f t="shared" ca="1" si="141"/>
        <v>0</v>
      </c>
      <c r="T71">
        <f t="shared" ca="1" si="142"/>
        <v>0</v>
      </c>
      <c r="U71" t="e">
        <f t="shared" ca="1" si="143"/>
        <v>#DIV/0!</v>
      </c>
      <c r="V71" s="4" t="e">
        <f t="shared" ca="1" si="144"/>
        <v>#DIV/0!</v>
      </c>
      <c r="W71" s="9">
        <f t="shared" ca="1" si="154"/>
        <v>-1.0733076923077078</v>
      </c>
      <c r="X71" s="8">
        <f t="shared" ca="1" si="155"/>
        <v>-1.9885576923075519</v>
      </c>
      <c r="Y71" s="8">
        <f t="shared" ca="1" si="156"/>
        <v>-8.7153846153846359E-2</v>
      </c>
      <c r="Z71" s="8">
        <f t="shared" ca="1" si="157"/>
        <v>1.16046153846154</v>
      </c>
      <c r="AA71" s="8" t="e">
        <f t="shared" si="158"/>
        <v>#N/A</v>
      </c>
      <c r="AB71" s="8" t="e">
        <f t="shared" si="159"/>
        <v>#N/A</v>
      </c>
      <c r="AC71" s="8" t="e">
        <f t="shared" si="160"/>
        <v>#N/A</v>
      </c>
      <c r="AD71" s="8" t="e">
        <f t="shared" si="161"/>
        <v>#N/A</v>
      </c>
      <c r="AE71" s="8" t="e">
        <f t="shared" si="162"/>
        <v>#N/A</v>
      </c>
      <c r="AF71" s="10" t="e">
        <f t="shared" si="163"/>
        <v>#N/A</v>
      </c>
    </row>
    <row r="72" spans="1:32" x14ac:dyDescent="0.25">
      <c r="A72" t="s">
        <v>98</v>
      </c>
      <c r="B72" s="4">
        <v>1992</v>
      </c>
      <c r="C72">
        <f>100-SUM(E72:G72)</f>
        <v>9.5999999999999943</v>
      </c>
      <c r="D72">
        <f>100-SUM(E72:K72)</f>
        <v>9.4099999999999966</v>
      </c>
      <c r="E72">
        <v>38.409999999999997</v>
      </c>
      <c r="F72">
        <v>51.99</v>
      </c>
      <c r="J72">
        <v>0.19</v>
      </c>
      <c r="M72">
        <f t="shared" ca="1" si="135"/>
        <v>1.8114285714285643</v>
      </c>
      <c r="N72">
        <f t="shared" ca="1" si="136"/>
        <v>2.3750476190476277</v>
      </c>
      <c r="O72">
        <f t="shared" ca="1" si="137"/>
        <v>51.692666666666696</v>
      </c>
      <c r="P72">
        <f t="shared" ca="1" si="138"/>
        <v>46.495904761904796</v>
      </c>
      <c r="Q72" t="e">
        <f t="shared" ca="1" si="139"/>
        <v>#DIV/0!</v>
      </c>
      <c r="R72" t="e">
        <f t="shared" ca="1" si="140"/>
        <v>#DIV/0!</v>
      </c>
      <c r="S72">
        <f t="shared" ca="1" si="141"/>
        <v>0</v>
      </c>
      <c r="T72">
        <f t="shared" ca="1" si="142"/>
        <v>0</v>
      </c>
      <c r="U72" t="e">
        <f t="shared" ca="1" si="143"/>
        <v>#DIV/0!</v>
      </c>
      <c r="V72" s="4" t="e">
        <f t="shared" ca="1" si="144"/>
        <v>#DIV/0!</v>
      </c>
      <c r="W72" s="9">
        <f t="shared" ca="1" si="154"/>
        <v>7.78857142857143</v>
      </c>
      <c r="X72" s="8">
        <f t="shared" ca="1" si="155"/>
        <v>7.0349523809523689</v>
      </c>
      <c r="Y72" s="8">
        <f t="shared" ca="1" si="156"/>
        <v>-13.282666666666699</v>
      </c>
      <c r="Z72" s="8">
        <f t="shared" ca="1" si="157"/>
        <v>5.4940952380952055</v>
      </c>
      <c r="AA72" s="8" t="e">
        <f t="shared" si="158"/>
        <v>#N/A</v>
      </c>
      <c r="AB72" s="8" t="e">
        <f t="shared" si="159"/>
        <v>#N/A</v>
      </c>
      <c r="AC72" s="8" t="e">
        <f t="shared" si="160"/>
        <v>#N/A</v>
      </c>
      <c r="AD72" s="8">
        <f t="shared" ca="1" si="161"/>
        <v>0.19</v>
      </c>
      <c r="AE72" s="8" t="e">
        <f t="shared" si="162"/>
        <v>#N/A</v>
      </c>
      <c r="AF72" s="10" t="e">
        <f t="shared" si="163"/>
        <v>#N/A</v>
      </c>
    </row>
    <row r="73" spans="1:32" x14ac:dyDescent="0.25">
      <c r="A73" t="s">
        <v>99</v>
      </c>
      <c r="B73" s="4">
        <v>1988</v>
      </c>
      <c r="C73">
        <f>100-SUM(E73:G73)</f>
        <v>5.1800000000000068</v>
      </c>
      <c r="D73">
        <f>100-SUM(E73:K73)</f>
        <v>3.8800000000000097</v>
      </c>
      <c r="E73">
        <v>46.55</v>
      </c>
      <c r="F73">
        <v>48.27</v>
      </c>
      <c r="I73">
        <v>0.25</v>
      </c>
      <c r="J73">
        <v>1.05</v>
      </c>
      <c r="M73">
        <f t="shared" ca="1" si="135"/>
        <v>1.1173333333335904</v>
      </c>
      <c r="N73">
        <f t="shared" ca="1" si="136"/>
        <v>2.2199999999999704</v>
      </c>
      <c r="O73">
        <f t="shared" ca="1" si="137"/>
        <v>52.213333333333367</v>
      </c>
      <c r="P73">
        <f t="shared" ca="1" si="138"/>
        <v>46.669333333333384</v>
      </c>
      <c r="Q73" t="e">
        <f t="shared" ca="1" si="139"/>
        <v>#DIV/0!</v>
      </c>
      <c r="R73" t="e">
        <f t="shared" ca="1" si="140"/>
        <v>#DIV/0!</v>
      </c>
      <c r="S73">
        <f t="shared" ca="1" si="141"/>
        <v>0</v>
      </c>
      <c r="T73">
        <f t="shared" ca="1" si="142"/>
        <v>5.18</v>
      </c>
      <c r="U73" t="e">
        <f t="shared" ca="1" si="143"/>
        <v>#DIV/0!</v>
      </c>
      <c r="V73" s="4" t="e">
        <f t="shared" ca="1" si="144"/>
        <v>#DIV/0!</v>
      </c>
      <c r="W73" s="9">
        <f t="shared" ca="1" si="154"/>
        <v>4.0626666666664164</v>
      </c>
      <c r="X73" s="8">
        <f t="shared" ca="1" si="155"/>
        <v>1.6600000000000392</v>
      </c>
      <c r="Y73" s="8">
        <f t="shared" ca="1" si="156"/>
        <v>-5.6633333333333695</v>
      </c>
      <c r="Z73" s="8">
        <f t="shared" ca="1" si="157"/>
        <v>1.6006666666666192</v>
      </c>
      <c r="AA73" s="8" t="e">
        <f t="shared" si="158"/>
        <v>#N/A</v>
      </c>
      <c r="AB73" s="8" t="e">
        <f t="shared" si="159"/>
        <v>#N/A</v>
      </c>
      <c r="AC73" s="8">
        <f t="shared" ca="1" si="160"/>
        <v>0.25</v>
      </c>
      <c r="AD73" s="8">
        <f t="shared" ca="1" si="161"/>
        <v>-4.13</v>
      </c>
      <c r="AE73" s="8" t="e">
        <f t="shared" si="162"/>
        <v>#N/A</v>
      </c>
      <c r="AF73" s="10" t="e">
        <f t="shared" si="163"/>
        <v>#N/A</v>
      </c>
    </row>
    <row r="74" spans="1:32" x14ac:dyDescent="0.25">
      <c r="A74" t="s">
        <v>100</v>
      </c>
      <c r="B74" s="4">
        <v>1985</v>
      </c>
      <c r="C74">
        <f>100-SUM(E74:G74)</f>
        <v>0.84000000000000341</v>
      </c>
      <c r="D74">
        <f>100-SUM(E74:K74)</f>
        <v>0.84000000000000341</v>
      </c>
      <c r="E74">
        <v>50.01</v>
      </c>
      <c r="F74">
        <v>49.15</v>
      </c>
    </row>
    <row r="75" spans="1:32" x14ac:dyDescent="0.25">
      <c r="A75" t="s">
        <v>101</v>
      </c>
      <c r="B75" s="4">
        <v>1982</v>
      </c>
      <c r="C75">
        <f>100-SUM(E75:G75)</f>
        <v>6.6899999999999977</v>
      </c>
      <c r="D75">
        <f>100-SUM(E75:K75)</f>
        <v>1.0499999999999972</v>
      </c>
      <c r="E75">
        <v>50.01</v>
      </c>
      <c r="F75">
        <v>43.3</v>
      </c>
      <c r="I75">
        <v>0.34</v>
      </c>
      <c r="J75">
        <v>5.3</v>
      </c>
      <c r="T75" s="2" t="s">
        <v>34</v>
      </c>
      <c r="U75" s="2"/>
      <c r="V75" s="13"/>
      <c r="W75" cm="1">
        <f t="array" aca="1" ref="W75" ca="1">INDEX(LINEST(W66:W73,W65:W72),1)</f>
        <v>0.20119340502008709</v>
      </c>
      <c r="X75" cm="1">
        <f t="array" aca="1" ref="X75" ca="1">INDEX(LINEST(X66:X73,X65:X72),1)</f>
        <v>0.2233533719583114</v>
      </c>
      <c r="Y75" cm="1">
        <f t="array" aca="1" ref="Y75" ca="1">INDEX(LINEST(Y66:Y73,Y65:Y72),1)</f>
        <v>0.26425262583339865</v>
      </c>
      <c r="Z75" cm="1">
        <f t="array" aca="1" ref="Z75" ca="1">INDEX(LINEST(Z66:Z73,Z65:Z72),1)</f>
        <v>0.30710489071047509</v>
      </c>
      <c r="AA75" t="e" cm="1">
        <f t="array" aca="1" ref="AA75" ca="1">INDEX(LINEST(AA66:AA73,AA65:AA72),1)</f>
        <v>#VALUE!</v>
      </c>
      <c r="AB75" t="e" cm="1">
        <f t="array" ref="AB75">INDEX(LINEST(AB66:AB73,AB65:AB72),1)</f>
        <v>#VALUE!</v>
      </c>
    </row>
    <row r="76" spans="1:32" x14ac:dyDescent="0.25">
      <c r="A76" t="s">
        <v>102</v>
      </c>
      <c r="B76" s="4">
        <v>1979</v>
      </c>
      <c r="C76">
        <f>100-SUM(E76:G76)</f>
        <v>7.7199999999999989</v>
      </c>
      <c r="D76">
        <f>100-SUM(E76:K76)</f>
        <v>1.8499999999999943</v>
      </c>
      <c r="E76">
        <v>45.23</v>
      </c>
      <c r="F76">
        <v>47.05</v>
      </c>
      <c r="I76">
        <v>0.51</v>
      </c>
      <c r="J76">
        <v>5.36</v>
      </c>
      <c r="T76" s="2" t="s">
        <v>35</v>
      </c>
      <c r="U76" s="2"/>
      <c r="V76" s="13"/>
      <c r="W76">
        <f ca="1">AVERAGE(W65:W73)</f>
        <v>1.4502109097948208</v>
      </c>
      <c r="X76">
        <f t="shared" ref="X76:AB76" ca="1" si="164">AVERAGE(X65:X73)</f>
        <v>0.46455626184891347</v>
      </c>
      <c r="Y76">
        <f t="shared" ca="1" si="164"/>
        <v>-1.443823870531477</v>
      </c>
      <c r="Z76">
        <f t="shared" ca="1" si="164"/>
        <v>-0.39122676854831834</v>
      </c>
      <c r="AA76" t="e">
        <f t="shared" ca="1" si="164"/>
        <v>#DIV/0!</v>
      </c>
      <c r="AB76" t="e">
        <f t="shared" si="164"/>
        <v>#N/A</v>
      </c>
    </row>
    <row r="77" spans="1:32" x14ac:dyDescent="0.25">
      <c r="A77" t="s">
        <v>103</v>
      </c>
      <c r="B77" s="4">
        <v>1976</v>
      </c>
      <c r="C77">
        <f>100-SUM(E77:G77)</f>
        <v>4.6299999999999955</v>
      </c>
      <c r="D77">
        <f>100-SUM(E77:K77)</f>
        <v>2.0499999999999972</v>
      </c>
      <c r="E77">
        <v>42.43</v>
      </c>
      <c r="F77">
        <v>52.94</v>
      </c>
      <c r="I77">
        <v>2.58</v>
      </c>
      <c r="T77" s="2" t="s">
        <v>37</v>
      </c>
      <c r="U77" s="2"/>
      <c r="V77" s="13"/>
      <c r="W77">
        <f ca="1">SQRT(SUMSQ(W65:W73)/COUNT(W65:W73))</f>
        <v>3.4856804918931998</v>
      </c>
      <c r="X77">
        <f t="shared" ref="X77:AB77" ca="1" si="165">SQRT(SUMSQ(X65:X73)/COUNT(X65:X73))</f>
        <v>3.3871942814471958</v>
      </c>
      <c r="Y77">
        <f t="shared" ca="1" si="165"/>
        <v>6.8969148301272352</v>
      </c>
      <c r="Z77">
        <f t="shared" ca="1" si="165"/>
        <v>6.3543826643481305</v>
      </c>
      <c r="AA77" t="e">
        <f t="shared" ca="1" si="165"/>
        <v>#DIV/0!</v>
      </c>
      <c r="AB77" t="e">
        <f t="shared" ca="1" si="165"/>
        <v>#N/A</v>
      </c>
    </row>
    <row r="78" spans="1:32" x14ac:dyDescent="0.25">
      <c r="A78" t="s">
        <v>104</v>
      </c>
      <c r="B78" s="4">
        <v>1973</v>
      </c>
      <c r="C78">
        <f>100-SUM(E78:G78)</f>
        <v>10.090000000000003</v>
      </c>
      <c r="D78">
        <f>100-SUM(E78:K78)</f>
        <v>2.2999999999999972</v>
      </c>
      <c r="E78">
        <v>41.61</v>
      </c>
      <c r="F78">
        <v>48.3</v>
      </c>
      <c r="I78">
        <v>7.79</v>
      </c>
    </row>
    <row r="79" spans="1:32" x14ac:dyDescent="0.25">
      <c r="A79" t="s">
        <v>105</v>
      </c>
      <c r="B79" s="4">
        <v>1970</v>
      </c>
      <c r="C79">
        <f>100-SUM(E79:G79)</f>
        <v>10.759999999999991</v>
      </c>
      <c r="D79">
        <f>100-SUM(E79:K79)</f>
        <v>-2.5400000000000063</v>
      </c>
      <c r="E79">
        <v>41.42</v>
      </c>
      <c r="F79">
        <v>47.82</v>
      </c>
      <c r="I79">
        <v>13.3</v>
      </c>
    </row>
    <row r="81" spans="1:32" x14ac:dyDescent="0.25">
      <c r="C81" t="s">
        <v>8</v>
      </c>
      <c r="D81" t="s">
        <v>17</v>
      </c>
      <c r="E81" t="s">
        <v>1</v>
      </c>
      <c r="F81" t="s">
        <v>2</v>
      </c>
      <c r="G81" t="s">
        <v>3</v>
      </c>
      <c r="H81" t="s">
        <v>4</v>
      </c>
      <c r="I81" t="s">
        <v>23</v>
      </c>
      <c r="J81" t="s">
        <v>6</v>
      </c>
      <c r="K81" s="11" t="s">
        <v>113</v>
      </c>
      <c r="L81" s="4" t="s">
        <v>110</v>
      </c>
      <c r="M81" t="s">
        <v>8</v>
      </c>
      <c r="N81" t="s">
        <v>17</v>
      </c>
      <c r="O81" t="s">
        <v>1</v>
      </c>
      <c r="P81" t="s">
        <v>2</v>
      </c>
      <c r="Q81" t="s">
        <v>3</v>
      </c>
      <c r="R81" t="s">
        <v>4</v>
      </c>
      <c r="S81" t="s">
        <v>5</v>
      </c>
      <c r="T81" t="s">
        <v>6</v>
      </c>
      <c r="U81" t="s">
        <v>69</v>
      </c>
      <c r="V81" s="4" t="s">
        <v>71</v>
      </c>
      <c r="W81" t="s">
        <v>8</v>
      </c>
      <c r="X81" t="s">
        <v>17</v>
      </c>
      <c r="Y81" t="s">
        <v>1</v>
      </c>
      <c r="Z81" t="s">
        <v>2</v>
      </c>
      <c r="AA81" t="s">
        <v>3</v>
      </c>
      <c r="AB81" t="s">
        <v>4</v>
      </c>
      <c r="AC81" t="s">
        <v>5</v>
      </c>
      <c r="AD81" t="s">
        <v>6</v>
      </c>
      <c r="AE81" t="s">
        <v>69</v>
      </c>
      <c r="AF81" s="4" t="s">
        <v>71</v>
      </c>
    </row>
    <row r="82" spans="1:32" x14ac:dyDescent="0.25">
      <c r="A82" t="s">
        <v>109</v>
      </c>
      <c r="B82" s="4">
        <v>2021</v>
      </c>
      <c r="M82">
        <f t="shared" ref="M82:M91" ca="1" si="166">MAX(0,_xlfn.FORECAST.LINEAR($B82,OFFSET(C83,0,0,$D$1),OFFSET($B83,0,0,$D$1)))</f>
        <v>6.6592825112107903</v>
      </c>
      <c r="N82">
        <f t="shared" ref="N82:N91" ca="1" si="167">MAX(0,_xlfn.FORECAST.LINEAR($B82,OFFSET(D83,0,0,$D$1),OFFSET($B83,0,0,$D$1)))</f>
        <v>6.3071860986547392</v>
      </c>
      <c r="O82">
        <f t="shared" ref="O82:O91" ca="1" si="168">MAX(0,_xlfn.FORECAST.LINEAR($B82,OFFSET(E83,0,0,$D$1),OFFSET($B83,0,0,$D$1)))</f>
        <v>39.168307174887872</v>
      </c>
      <c r="P82">
        <f t="shared" ref="P82:P91" ca="1" si="169">MAX(0,_xlfn.FORECAST.LINEAR($B82,OFFSET(F83,0,0,$D$1),OFFSET($B83,0,0,$D$1)))</f>
        <v>43.301020179372188</v>
      </c>
      <c r="Q82">
        <f t="shared" ref="Q82:Q91" ca="1" si="170">MAX(0,_xlfn.FORECAST.LINEAR($B82,OFFSET(G83,0,0,$D$1),OFFSET($B83,0,0,$D$1)))</f>
        <v>10.871390134529122</v>
      </c>
      <c r="R82">
        <f t="shared" ref="R82:R91" ca="1" si="171">MAX(0,_xlfn.FORECAST.LINEAR($B82,OFFSET(H83,0,0,$D$1),OFFSET($B83,0,0,$D$1)))</f>
        <v>3.2461538461539021</v>
      </c>
      <c r="S82" t="e">
        <f t="shared" ref="S82:S91" ca="1" si="172">MAX(0,_xlfn.FORECAST.LINEAR($B82,OFFSET(I83,0,0,$D$1),OFFSET($B83,0,0,$D$1)))</f>
        <v>#DIV/0!</v>
      </c>
      <c r="T82">
        <f t="shared" ref="T82:T91" ca="1" si="173">MAX(0,_xlfn.FORECAST.LINEAR($B82,OFFSET(J83,0,0,$D$1),OFFSET($B83,0,0,$D$1)))</f>
        <v>0</v>
      </c>
      <c r="U82" t="e">
        <f t="shared" ref="U82:U91" ca="1" si="174">MAX(0,_xlfn.FORECAST.LINEAR($B82,OFFSET(K83,0,0,$D$1),OFFSET($B83,0,0,$D$1)))</f>
        <v>#DIV/0!</v>
      </c>
      <c r="V82" s="4">
        <f t="shared" ref="V82:V91" ca="1" si="175">MAX(0,_xlfn.FORECAST.LINEAR($B82,OFFSET(L83,0,0,$D$1),OFFSET($B83,0,0,$D$1)))</f>
        <v>2.5200995024875619</v>
      </c>
    </row>
    <row r="83" spans="1:32" x14ac:dyDescent="0.25">
      <c r="A83" t="s">
        <v>106</v>
      </c>
      <c r="B83" s="4">
        <v>2017</v>
      </c>
      <c r="C83">
        <f>100-SUM(E83:G83)</f>
        <v>12.259999999999991</v>
      </c>
      <c r="D83">
        <f>100-SUM(E83:K83)</f>
        <v>7.3299999999999841</v>
      </c>
      <c r="E83">
        <v>42.2</v>
      </c>
      <c r="F83">
        <v>36.630000000000003</v>
      </c>
      <c r="G83">
        <v>8.91</v>
      </c>
      <c r="H83">
        <v>4.93</v>
      </c>
      <c r="L83" s="4">
        <v>2.21</v>
      </c>
      <c r="M83">
        <f t="shared" ca="1" si="166"/>
        <v>7.1520023696683666</v>
      </c>
      <c r="N83">
        <f t="shared" ca="1" si="167"/>
        <v>7.3193720379146896</v>
      </c>
      <c r="O83">
        <f t="shared" ca="1" si="168"/>
        <v>35.400201421800972</v>
      </c>
      <c r="P83">
        <f t="shared" ca="1" si="169"/>
        <v>45.873483412322258</v>
      </c>
      <c r="Q83">
        <f t="shared" ca="1" si="170"/>
        <v>11.57431279620846</v>
      </c>
      <c r="R83">
        <f t="shared" ca="1" si="171"/>
        <v>0</v>
      </c>
      <c r="S83" t="e">
        <f t="shared" ca="1" si="172"/>
        <v>#DIV/0!</v>
      </c>
      <c r="T83">
        <f t="shared" ca="1" si="173"/>
        <v>3.0644897959183695</v>
      </c>
      <c r="U83" t="e">
        <f t="shared" ca="1" si="174"/>
        <v>#DIV/0!</v>
      </c>
      <c r="V83" s="4">
        <f t="shared" ca="1" si="175"/>
        <v>2.9997068403908713</v>
      </c>
      <c r="W83" s="9">
        <f ca="1">IF(ISBLANK(C83),NA(),C83-M83)</f>
        <v>5.1079976303316244</v>
      </c>
      <c r="X83" s="8">
        <f t="shared" ref="X83:X91" ca="1" si="176">IF(ISBLANK(D83),NA(),D83-N83)</f>
        <v>1.0627962085294484E-2</v>
      </c>
      <c r="Y83" s="8">
        <f t="shared" ref="Y83:Y91" ca="1" si="177">IF(ISBLANK(E83),NA(),E83-O83)</f>
        <v>6.7997985781990309</v>
      </c>
      <c r="Z83" s="8">
        <f t="shared" ref="Z83:Z91" ca="1" si="178">IF(ISBLANK(F83),NA(),F83-P83)</f>
        <v>-9.2434834123222558</v>
      </c>
      <c r="AA83" s="8">
        <f t="shared" ref="AA83:AA91" ca="1" si="179">IF(ISBLANK(G83),NA(),G83-Q83)</f>
        <v>-2.6643127962084598</v>
      </c>
      <c r="AB83" s="8">
        <f t="shared" ref="AB83:AB91" ca="1" si="180">IF(ISBLANK(H83),NA(),H83-R83)</f>
        <v>4.93</v>
      </c>
      <c r="AC83" s="8" t="e">
        <f t="shared" ref="AC83:AC91" si="181">IF(ISBLANK(I83),NA(),I83-S83)</f>
        <v>#N/A</v>
      </c>
      <c r="AD83" s="8" t="e">
        <f t="shared" ref="AD83:AD91" si="182">IF(ISBLANK(J83),NA(),J83-T83)</f>
        <v>#N/A</v>
      </c>
      <c r="AE83" s="8" t="e">
        <f t="shared" ref="AE83:AE91" si="183">IF(ISBLANK(K83),NA(),K83-U83)</f>
        <v>#N/A</v>
      </c>
      <c r="AF83" s="10">
        <f t="shared" ref="AF83:AF91" ca="1" si="184">IF(ISBLANK(L83),NA(),L83-V83)</f>
        <v>-0.78970684039087136</v>
      </c>
    </row>
    <row r="84" spans="1:32" x14ac:dyDescent="0.25">
      <c r="A84" t="s">
        <v>107</v>
      </c>
      <c r="B84" s="4">
        <v>2013</v>
      </c>
      <c r="C84">
        <f>100-SUM(E84:G84)</f>
        <v>5.3299999999999983</v>
      </c>
      <c r="D84">
        <f>100-SUM(E84:K84)</f>
        <v>5.3299999999999983</v>
      </c>
      <c r="E84">
        <v>33.130000000000003</v>
      </c>
      <c r="F84">
        <v>53.15</v>
      </c>
      <c r="G84">
        <v>8.39</v>
      </c>
      <c r="L84" s="4">
        <v>2.4</v>
      </c>
      <c r="M84">
        <f t="shared" ca="1" si="166"/>
        <v>13.448366834170827</v>
      </c>
      <c r="N84">
        <f t="shared" ca="1" si="167"/>
        <v>9.7540326633165648</v>
      </c>
      <c r="O84">
        <f t="shared" ca="1" si="168"/>
        <v>36.795954773869369</v>
      </c>
      <c r="P84">
        <f t="shared" ca="1" si="169"/>
        <v>36.461984924623152</v>
      </c>
      <c r="Q84">
        <f t="shared" ca="1" si="170"/>
        <v>13.293693467336652</v>
      </c>
      <c r="R84">
        <f t="shared" ca="1" si="171"/>
        <v>0</v>
      </c>
      <c r="S84" t="e">
        <f t="shared" ca="1" si="172"/>
        <v>#DIV/0!</v>
      </c>
      <c r="T84">
        <f t="shared" ca="1" si="173"/>
        <v>5.3802931596091526</v>
      </c>
      <c r="U84" t="e">
        <f t="shared" ca="1" si="174"/>
        <v>#DIV/0!</v>
      </c>
      <c r="V84" s="4">
        <f t="shared" ca="1" si="175"/>
        <v>4.1841891891891692</v>
      </c>
      <c r="W84" s="9">
        <f t="shared" ref="W84:W91" ca="1" si="185">IF(ISBLANK(C84),NA(),C84-M84)</f>
        <v>-8.1183668341708284</v>
      </c>
      <c r="X84" s="8">
        <f t="shared" ca="1" si="176"/>
        <v>-4.4240326633165665</v>
      </c>
      <c r="Y84" s="8">
        <f t="shared" ca="1" si="177"/>
        <v>-3.6659547738693661</v>
      </c>
      <c r="Z84" s="8">
        <f t="shared" ca="1" si="178"/>
        <v>16.688015075376846</v>
      </c>
      <c r="AA84" s="8">
        <f t="shared" ca="1" si="179"/>
        <v>-4.9036934673366517</v>
      </c>
      <c r="AB84" s="8" t="e">
        <f t="shared" si="180"/>
        <v>#N/A</v>
      </c>
      <c r="AC84" s="8" t="e">
        <f t="shared" si="181"/>
        <v>#N/A</v>
      </c>
      <c r="AD84" s="8" t="e">
        <f t="shared" si="182"/>
        <v>#N/A</v>
      </c>
      <c r="AE84" s="8" t="e">
        <f t="shared" si="183"/>
        <v>#N/A</v>
      </c>
      <c r="AF84" s="10">
        <f t="shared" ca="1" si="184"/>
        <v>-1.7841891891891692</v>
      </c>
    </row>
    <row r="85" spans="1:32" x14ac:dyDescent="0.25">
      <c r="A85" t="s">
        <v>108</v>
      </c>
      <c r="B85" s="4">
        <v>2008</v>
      </c>
      <c r="C85">
        <f>100-SUM(E85:G85)</f>
        <v>8.8799999999999955</v>
      </c>
      <c r="D85">
        <f>100-SUM(E85:K85)</f>
        <v>8.8799999999999955</v>
      </c>
      <c r="E85">
        <v>35.840000000000003</v>
      </c>
      <c r="F85">
        <v>43.36</v>
      </c>
      <c r="G85">
        <v>11.92</v>
      </c>
      <c r="L85" s="4">
        <v>1.95</v>
      </c>
      <c r="M85">
        <f t="shared" ca="1" si="166"/>
        <v>19.124651162790542</v>
      </c>
      <c r="N85">
        <f t="shared" ca="1" si="167"/>
        <v>11.421666666666624</v>
      </c>
      <c r="O85">
        <f t="shared" ca="1" si="168"/>
        <v>34.804108527131575</v>
      </c>
      <c r="P85">
        <f t="shared" ca="1" si="169"/>
        <v>36.346899224806066</v>
      </c>
      <c r="Q85">
        <f t="shared" ca="1" si="170"/>
        <v>9.6400497512437369</v>
      </c>
      <c r="R85">
        <f t="shared" ca="1" si="171"/>
        <v>0</v>
      </c>
      <c r="S85" t="e">
        <f t="shared" ca="1" si="172"/>
        <v>#DIV/0!</v>
      </c>
      <c r="T85">
        <f t="shared" ca="1" si="173"/>
        <v>5.2542608695652007</v>
      </c>
      <c r="U85" t="e">
        <f t="shared" ca="1" si="174"/>
        <v>#DIV/0!</v>
      </c>
      <c r="V85" s="4">
        <f t="shared" ca="1" si="175"/>
        <v>7.9424999999998818</v>
      </c>
      <c r="W85" s="9">
        <f t="shared" ca="1" si="185"/>
        <v>-10.244651162790547</v>
      </c>
      <c r="X85" s="8">
        <f t="shared" ca="1" si="176"/>
        <v>-2.5416666666666288</v>
      </c>
      <c r="Y85" s="8">
        <f t="shared" ca="1" si="177"/>
        <v>1.0358914728684283</v>
      </c>
      <c r="Z85" s="8">
        <f t="shared" ca="1" si="178"/>
        <v>7.0131007751939336</v>
      </c>
      <c r="AA85" s="8">
        <f t="shared" ca="1" si="179"/>
        <v>2.2799502487562631</v>
      </c>
      <c r="AB85" s="8" t="e">
        <f t="shared" si="180"/>
        <v>#N/A</v>
      </c>
      <c r="AC85" s="8" t="e">
        <f t="shared" si="181"/>
        <v>#N/A</v>
      </c>
      <c r="AD85" s="8" t="e">
        <f t="shared" si="182"/>
        <v>#N/A</v>
      </c>
      <c r="AE85" s="8" t="e">
        <f t="shared" si="183"/>
        <v>#N/A</v>
      </c>
      <c r="AF85" s="10">
        <f t="shared" ca="1" si="184"/>
        <v>-5.9924999999998816</v>
      </c>
    </row>
    <row r="86" spans="1:32" x14ac:dyDescent="0.25">
      <c r="A86" t="s">
        <v>111</v>
      </c>
      <c r="B86" s="4">
        <v>2005</v>
      </c>
      <c r="C86">
        <f>100-SUM(E86:G86)</f>
        <v>11.219999999999999</v>
      </c>
      <c r="D86">
        <f>100-SUM(E86:K86)</f>
        <v>9.5799999999999983</v>
      </c>
      <c r="E86">
        <v>41.88</v>
      </c>
      <c r="F86">
        <v>39.33</v>
      </c>
      <c r="G86">
        <v>7.57</v>
      </c>
      <c r="H86">
        <v>1.64</v>
      </c>
      <c r="L86" s="4">
        <v>4.95</v>
      </c>
      <c r="M86">
        <f t="shared" ca="1" si="166"/>
        <v>24.059382530120274</v>
      </c>
      <c r="N86">
        <f t="shared" ca="1" si="167"/>
        <v>12.146204819277159</v>
      </c>
      <c r="O86">
        <f t="shared" ca="1" si="168"/>
        <v>28.567138554216399</v>
      </c>
      <c r="P86">
        <f t="shared" ca="1" si="169"/>
        <v>38.497289156626493</v>
      </c>
      <c r="Q86">
        <f t="shared" ca="1" si="170"/>
        <v>9.6535179153095214</v>
      </c>
      <c r="R86" t="e">
        <f t="shared" ca="1" si="171"/>
        <v>#DIV/0!</v>
      </c>
      <c r="S86" t="e">
        <f t="shared" ca="1" si="172"/>
        <v>#DIV/0!</v>
      </c>
      <c r="T86">
        <f t="shared" ca="1" si="173"/>
        <v>4.5983283132529778</v>
      </c>
      <c r="U86" t="e">
        <f t="shared" ca="1" si="174"/>
        <v>#DIV/0!</v>
      </c>
      <c r="V86" s="4" t="e">
        <f t="shared" ca="1" si="175"/>
        <v>#DIV/0!</v>
      </c>
      <c r="W86" s="9">
        <f t="shared" ca="1" si="185"/>
        <v>-12.839382530120275</v>
      </c>
      <c r="X86" s="8">
        <f t="shared" ca="1" si="176"/>
        <v>-2.5662048192771607</v>
      </c>
      <c r="Y86" s="8">
        <f t="shared" ca="1" si="177"/>
        <v>13.312861445783604</v>
      </c>
      <c r="Z86" s="8">
        <f t="shared" ca="1" si="178"/>
        <v>0.83271084337350487</v>
      </c>
      <c r="AA86" s="8">
        <f t="shared" ca="1" si="179"/>
        <v>-2.0835179153095211</v>
      </c>
      <c r="AB86" s="8" t="e">
        <f t="shared" ca="1" si="180"/>
        <v>#DIV/0!</v>
      </c>
      <c r="AC86" s="8" t="e">
        <f t="shared" si="181"/>
        <v>#N/A</v>
      </c>
      <c r="AD86" s="8" t="e">
        <f t="shared" si="182"/>
        <v>#N/A</v>
      </c>
      <c r="AE86" s="8" t="e">
        <f t="shared" si="183"/>
        <v>#N/A</v>
      </c>
      <c r="AF86" s="10" t="e">
        <f t="shared" ca="1" si="184"/>
        <v>#DIV/0!</v>
      </c>
    </row>
    <row r="87" spans="1:32" x14ac:dyDescent="0.25">
      <c r="A87" t="s">
        <v>112</v>
      </c>
      <c r="B87" s="4">
        <v>2001</v>
      </c>
      <c r="C87">
        <f>100-SUM(E87:G87)</f>
        <v>21.070000000000007</v>
      </c>
      <c r="D87">
        <f>100-SUM(E87:K87)</f>
        <v>8.8500000000000085</v>
      </c>
      <c r="E87">
        <v>37.24</v>
      </c>
      <c r="F87">
        <v>34.42</v>
      </c>
      <c r="G87">
        <v>7.27</v>
      </c>
      <c r="H87">
        <v>9.58</v>
      </c>
      <c r="J87">
        <v>2.64</v>
      </c>
      <c r="L87" s="4">
        <v>0.96</v>
      </c>
      <c r="M87">
        <f t="shared" ca="1" si="166"/>
        <v>16.24769371011871</v>
      </c>
      <c r="N87">
        <f t="shared" ca="1" si="167"/>
        <v>11.706280765724841</v>
      </c>
      <c r="O87">
        <f t="shared" ca="1" si="168"/>
        <v>31.586782133090082</v>
      </c>
      <c r="P87">
        <f t="shared" ca="1" si="169"/>
        <v>46.140546946216944</v>
      </c>
      <c r="Q87">
        <f t="shared" ca="1" si="170"/>
        <v>8.3454054054054723</v>
      </c>
      <c r="R87" t="e">
        <f t="shared" ca="1" si="171"/>
        <v>#DIV/0!</v>
      </c>
      <c r="S87" t="e">
        <f t="shared" ca="1" si="172"/>
        <v>#DIV/0!</v>
      </c>
      <c r="T87">
        <f t="shared" ca="1" si="173"/>
        <v>4.5414129443938691</v>
      </c>
      <c r="U87" t="e">
        <f t="shared" ca="1" si="174"/>
        <v>#DIV/0!</v>
      </c>
      <c r="V87" s="4" t="e">
        <f t="shared" ca="1" si="175"/>
        <v>#DIV/0!</v>
      </c>
      <c r="W87" s="9">
        <f t="shared" ca="1" si="185"/>
        <v>4.8223062898812969</v>
      </c>
      <c r="X87" s="8">
        <f t="shared" ca="1" si="176"/>
        <v>-2.8562807657248328</v>
      </c>
      <c r="Y87" s="8">
        <f t="shared" ca="1" si="177"/>
        <v>5.6532178669099196</v>
      </c>
      <c r="Z87" s="8">
        <f t="shared" ca="1" si="178"/>
        <v>-11.720546946216942</v>
      </c>
      <c r="AA87" s="8">
        <f t="shared" ca="1" si="179"/>
        <v>-1.0754054054054727</v>
      </c>
      <c r="AB87" s="8" t="e">
        <f t="shared" ca="1" si="180"/>
        <v>#DIV/0!</v>
      </c>
      <c r="AC87" s="8" t="e">
        <f t="shared" si="181"/>
        <v>#N/A</v>
      </c>
      <c r="AD87" s="8">
        <f t="shared" ca="1" si="182"/>
        <v>-1.901412944393869</v>
      </c>
      <c r="AE87" s="8" t="e">
        <f t="shared" si="183"/>
        <v>#N/A</v>
      </c>
      <c r="AF87" s="10" t="e">
        <f t="shared" ca="1" si="184"/>
        <v>#DIV/0!</v>
      </c>
    </row>
    <row r="88" spans="1:32" x14ac:dyDescent="0.25">
      <c r="A88" t="s">
        <v>114</v>
      </c>
      <c r="B88" s="4">
        <v>1996</v>
      </c>
      <c r="C88">
        <f>100-SUM(E88:G88)</f>
        <v>13.760000000000005</v>
      </c>
      <c r="D88">
        <f>100-SUM(E88:K88)</f>
        <v>8.6800000000000068</v>
      </c>
      <c r="E88">
        <v>35.82</v>
      </c>
      <c r="F88">
        <v>45.69</v>
      </c>
      <c r="G88">
        <v>4.7300000000000004</v>
      </c>
      <c r="J88">
        <v>5.08</v>
      </c>
      <c r="M88">
        <f t="shared" ca="1" si="166"/>
        <v>10.641807692307566</v>
      </c>
      <c r="N88">
        <f t="shared" ca="1" si="167"/>
        <v>8.4052307692307977</v>
      </c>
      <c r="O88">
        <f t="shared" ca="1" si="168"/>
        <v>40.852615384615433</v>
      </c>
      <c r="P88">
        <f t="shared" ca="1" si="169"/>
        <v>45.200346153846226</v>
      </c>
      <c r="Q88">
        <f t="shared" ca="1" si="170"/>
        <v>7.1449999999999818</v>
      </c>
      <c r="R88" t="e">
        <f t="shared" ca="1" si="171"/>
        <v>#DIV/0!</v>
      </c>
      <c r="S88" t="e">
        <f t="shared" ca="1" si="172"/>
        <v>#DIV/0!</v>
      </c>
      <c r="T88">
        <f t="shared" ca="1" si="173"/>
        <v>1.9045525291828795</v>
      </c>
      <c r="U88" t="e">
        <f t="shared" ca="1" si="174"/>
        <v>#DIV/0!</v>
      </c>
      <c r="V88" s="4" t="e">
        <f t="shared" ca="1" si="175"/>
        <v>#DIV/0!</v>
      </c>
      <c r="W88" s="9">
        <f t="shared" ca="1" si="185"/>
        <v>3.1181923076924392</v>
      </c>
      <c r="X88" s="8">
        <f t="shared" ca="1" si="176"/>
        <v>0.27476923076920912</v>
      </c>
      <c r="Y88" s="8">
        <f t="shared" ca="1" si="177"/>
        <v>-5.0326153846154327</v>
      </c>
      <c r="Z88" s="8">
        <f t="shared" ca="1" si="178"/>
        <v>0.48965384615377161</v>
      </c>
      <c r="AA88" s="8">
        <f t="shared" ca="1" si="179"/>
        <v>-2.4149999999999814</v>
      </c>
      <c r="AB88" s="8" t="e">
        <f t="shared" si="180"/>
        <v>#N/A</v>
      </c>
      <c r="AC88" s="8" t="e">
        <f t="shared" si="181"/>
        <v>#N/A</v>
      </c>
      <c r="AD88" s="8">
        <f t="shared" ca="1" si="182"/>
        <v>3.1754474708171205</v>
      </c>
      <c r="AE88" s="8" t="e">
        <f t="shared" si="183"/>
        <v>#N/A</v>
      </c>
      <c r="AF88" s="10" t="e">
        <f t="shared" si="184"/>
        <v>#N/A</v>
      </c>
    </row>
    <row r="89" spans="1:32" x14ac:dyDescent="0.25">
      <c r="A89" t="s">
        <v>115</v>
      </c>
      <c r="B89" s="4">
        <v>1993</v>
      </c>
      <c r="C89">
        <f>100-SUM(E89:G89)</f>
        <v>9.1500000000000057</v>
      </c>
      <c r="D89">
        <f>100-SUM(E89:K89)</f>
        <v>6.8300000000000125</v>
      </c>
      <c r="E89">
        <v>37.08</v>
      </c>
      <c r="F89">
        <v>49.46</v>
      </c>
      <c r="G89">
        <v>4.3099999999999996</v>
      </c>
      <c r="J89">
        <v>2.3199999999999998</v>
      </c>
      <c r="M89">
        <f t="shared" ca="1" si="166"/>
        <v>8.057714285714269</v>
      </c>
      <c r="N89">
        <f t="shared" ca="1" si="167"/>
        <v>6.3764761904761826</v>
      </c>
      <c r="O89">
        <f t="shared" ca="1" si="168"/>
        <v>48.400952380952376</v>
      </c>
      <c r="P89">
        <f t="shared" ca="1" si="169"/>
        <v>43.162761904761851</v>
      </c>
      <c r="Q89" t="e">
        <f t="shared" ca="1" si="170"/>
        <v>#DIV/0!</v>
      </c>
      <c r="R89" t="e">
        <f t="shared" ca="1" si="171"/>
        <v>#DIV/0!</v>
      </c>
      <c r="S89" t="e">
        <f t="shared" ca="1" si="172"/>
        <v>#DIV/0!</v>
      </c>
      <c r="T89">
        <f t="shared" ca="1" si="173"/>
        <v>0.7223333333333386</v>
      </c>
      <c r="U89" t="e">
        <f t="shared" ca="1" si="174"/>
        <v>#DIV/0!</v>
      </c>
      <c r="V89" s="4" t="e">
        <f t="shared" ca="1" si="175"/>
        <v>#DIV/0!</v>
      </c>
      <c r="W89" s="9">
        <f t="shared" ca="1" si="185"/>
        <v>1.0922857142857367</v>
      </c>
      <c r="X89" s="8">
        <f t="shared" ca="1" si="176"/>
        <v>0.45352380952382987</v>
      </c>
      <c r="Y89" s="8">
        <f t="shared" ca="1" si="177"/>
        <v>-11.320952380952377</v>
      </c>
      <c r="Z89" s="8">
        <f t="shared" ca="1" si="178"/>
        <v>6.2972380952381499</v>
      </c>
      <c r="AA89" s="8" t="e">
        <f t="shared" ca="1" si="179"/>
        <v>#DIV/0!</v>
      </c>
      <c r="AB89" s="8" t="e">
        <f t="shared" si="180"/>
        <v>#N/A</v>
      </c>
      <c r="AC89" s="8" t="e">
        <f t="shared" si="181"/>
        <v>#N/A</v>
      </c>
      <c r="AD89" s="8">
        <f t="shared" ca="1" si="182"/>
        <v>1.5976666666666612</v>
      </c>
      <c r="AE89" s="8" t="e">
        <f t="shared" si="183"/>
        <v>#N/A</v>
      </c>
      <c r="AF89" s="10" t="e">
        <f t="shared" si="184"/>
        <v>#N/A</v>
      </c>
    </row>
    <row r="90" spans="1:32" x14ac:dyDescent="0.25">
      <c r="A90" t="s">
        <v>116</v>
      </c>
      <c r="B90" s="4">
        <v>1989</v>
      </c>
      <c r="C90">
        <f>100-SUM(E90:G90)</f>
        <v>9.6200000000000045</v>
      </c>
      <c r="D90">
        <f>100-SUM(E90:K90)</f>
        <v>8.1899999999999977</v>
      </c>
      <c r="E90">
        <v>42.46</v>
      </c>
      <c r="F90">
        <v>47.39</v>
      </c>
      <c r="G90">
        <v>0.53</v>
      </c>
      <c r="J90">
        <v>1.43</v>
      </c>
      <c r="M90">
        <f t="shared" ca="1" si="166"/>
        <v>0</v>
      </c>
      <c r="N90">
        <f t="shared" ca="1" si="167"/>
        <v>0</v>
      </c>
      <c r="O90">
        <f t="shared" ca="1" si="168"/>
        <v>52.625999999999976</v>
      </c>
      <c r="P90">
        <f t="shared" ca="1" si="169"/>
        <v>49.666666666666629</v>
      </c>
      <c r="Q90" t="e">
        <f t="shared" ca="1" si="170"/>
        <v>#DIV/0!</v>
      </c>
      <c r="R90" t="e">
        <f t="shared" ca="1" si="171"/>
        <v>#DIV/0!</v>
      </c>
      <c r="S90" t="e">
        <f t="shared" ca="1" si="172"/>
        <v>#DIV/0!</v>
      </c>
      <c r="T90">
        <f t="shared" ca="1" si="173"/>
        <v>0</v>
      </c>
      <c r="U90" t="e">
        <f t="shared" ca="1" si="174"/>
        <v>#DIV/0!</v>
      </c>
      <c r="V90" s="4" t="e">
        <f t="shared" ca="1" si="175"/>
        <v>#DIV/0!</v>
      </c>
      <c r="W90" s="9">
        <f t="shared" ca="1" si="185"/>
        <v>9.6200000000000045</v>
      </c>
      <c r="X90" s="8">
        <f t="shared" ca="1" si="176"/>
        <v>8.1899999999999977</v>
      </c>
      <c r="Y90" s="8">
        <f t="shared" ca="1" si="177"/>
        <v>-10.165999999999976</v>
      </c>
      <c r="Z90" s="8">
        <f t="shared" ca="1" si="178"/>
        <v>-2.2766666666666282</v>
      </c>
      <c r="AA90" s="8" t="e">
        <f t="shared" ca="1" si="179"/>
        <v>#DIV/0!</v>
      </c>
      <c r="AB90" s="8" t="e">
        <f t="shared" si="180"/>
        <v>#N/A</v>
      </c>
      <c r="AC90" s="8" t="e">
        <f t="shared" si="181"/>
        <v>#N/A</v>
      </c>
      <c r="AD90" s="8">
        <f t="shared" ca="1" si="182"/>
        <v>1.43</v>
      </c>
      <c r="AE90" s="8" t="e">
        <f t="shared" si="183"/>
        <v>#N/A</v>
      </c>
      <c r="AF90" s="10" t="e">
        <f t="shared" si="184"/>
        <v>#N/A</v>
      </c>
    </row>
    <row r="91" spans="1:32" x14ac:dyDescent="0.25">
      <c r="A91" t="s">
        <v>117</v>
      </c>
      <c r="B91" s="4">
        <v>1986</v>
      </c>
      <c r="C91">
        <f>100-SUM(E91:G91)</f>
        <v>1.9699999999999989</v>
      </c>
      <c r="D91">
        <f>100-SUM(E91:K91)</f>
        <v>1.3100000000000023</v>
      </c>
      <c r="E91">
        <v>53</v>
      </c>
      <c r="F91">
        <v>45.03</v>
      </c>
      <c r="J91">
        <v>0.66</v>
      </c>
      <c r="W91" s="9"/>
      <c r="X91" s="8"/>
      <c r="Y91" s="8"/>
      <c r="Z91" s="8"/>
      <c r="AA91" s="8"/>
      <c r="AB91" s="8"/>
      <c r="AC91" s="8"/>
      <c r="AD91" s="8"/>
      <c r="AE91" s="8"/>
      <c r="AF91" s="10"/>
    </row>
    <row r="92" spans="1:32" x14ac:dyDescent="0.25">
      <c r="A92" t="s">
        <v>118</v>
      </c>
      <c r="B92" s="4">
        <v>1983</v>
      </c>
      <c r="C92">
        <f>100-SUM(E92:G92)</f>
        <v>1.8700000000000045</v>
      </c>
      <c r="D92">
        <f>100-SUM(E92:K92)</f>
        <v>1.0700000000000074</v>
      </c>
      <c r="E92">
        <v>53.16</v>
      </c>
      <c r="F92">
        <f>39.86+3.44+1.67</f>
        <v>44.97</v>
      </c>
      <c r="J92">
        <v>0.8</v>
      </c>
    </row>
    <row r="93" spans="1:32" x14ac:dyDescent="0.25">
      <c r="A93" t="s">
        <v>119</v>
      </c>
      <c r="B93" s="4">
        <v>1980</v>
      </c>
      <c r="C93">
        <f>100-SUM(E93:G93)</f>
        <v>3.039999999999992</v>
      </c>
      <c r="D93">
        <f>100-SUM(E93:K93)</f>
        <v>1.0799999999999983</v>
      </c>
      <c r="E93">
        <v>45.95</v>
      </c>
      <c r="F93">
        <f>43.75+4.3+2.96</f>
        <v>51.01</v>
      </c>
      <c r="J93">
        <v>1.96</v>
      </c>
    </row>
    <row r="94" spans="1:32" x14ac:dyDescent="0.25">
      <c r="A94" t="s">
        <v>120</v>
      </c>
      <c r="B94" s="4">
        <v>1977</v>
      </c>
      <c r="C94">
        <f>100-SUM(E94:G94)</f>
        <v>1.1500000000000057</v>
      </c>
      <c r="D94">
        <f>100-SUM(E94:K94)</f>
        <v>1.1500000000000057</v>
      </c>
      <c r="E94">
        <v>44.22</v>
      </c>
      <c r="F94">
        <f>49.35+5.28</f>
        <v>54.63</v>
      </c>
    </row>
    <row r="95" spans="1:32" x14ac:dyDescent="0.25">
      <c r="A95" t="s">
        <v>121</v>
      </c>
      <c r="B95" s="4">
        <v>1974</v>
      </c>
      <c r="C95">
        <f>100-SUM(E95:G95)</f>
        <v>0.76999999999999602</v>
      </c>
      <c r="D95">
        <f>100-SUM(E95:K95)</f>
        <v>0.76999999999999602</v>
      </c>
      <c r="E95">
        <v>48.1</v>
      </c>
      <c r="F95">
        <v>51.13</v>
      </c>
    </row>
    <row r="96" spans="1:32" x14ac:dyDescent="0.25">
      <c r="A96" t="s">
        <v>122</v>
      </c>
      <c r="B96" s="4">
        <v>1971</v>
      </c>
      <c r="C96">
        <f>100-SUM(E96:G96)</f>
        <v>15.790000000000006</v>
      </c>
      <c r="D96">
        <f>100-SUM(E96:K96)</f>
        <v>5.0800000000000125</v>
      </c>
      <c r="E96">
        <v>48.91</v>
      </c>
      <c r="F96">
        <v>35.299999999999997</v>
      </c>
      <c r="I96">
        <v>10.71</v>
      </c>
    </row>
    <row r="98" spans="1:32" x14ac:dyDescent="0.25">
      <c r="C98" t="s">
        <v>8</v>
      </c>
      <c r="D98" t="s">
        <v>17</v>
      </c>
      <c r="E98" t="s">
        <v>1</v>
      </c>
      <c r="F98" t="s">
        <v>2</v>
      </c>
      <c r="G98" t="s">
        <v>3</v>
      </c>
      <c r="H98" t="s">
        <v>4</v>
      </c>
      <c r="I98" t="s">
        <v>138</v>
      </c>
      <c r="J98" t="s">
        <v>6</v>
      </c>
      <c r="K98" s="11" t="s">
        <v>126</v>
      </c>
      <c r="L98" s="4" t="s">
        <v>110</v>
      </c>
      <c r="M98" t="s">
        <v>8</v>
      </c>
      <c r="N98" t="s">
        <v>17</v>
      </c>
      <c r="O98" t="s">
        <v>1</v>
      </c>
      <c r="P98" t="s">
        <v>2</v>
      </c>
      <c r="Q98" t="s">
        <v>3</v>
      </c>
      <c r="R98" t="s">
        <v>4</v>
      </c>
      <c r="S98" t="s">
        <v>5</v>
      </c>
      <c r="T98" t="s">
        <v>6</v>
      </c>
      <c r="U98" t="s">
        <v>69</v>
      </c>
      <c r="V98" s="4" t="s">
        <v>71</v>
      </c>
      <c r="W98" t="s">
        <v>8</v>
      </c>
      <c r="X98" t="s">
        <v>17</v>
      </c>
      <c r="Y98" t="s">
        <v>1</v>
      </c>
      <c r="Z98" t="s">
        <v>2</v>
      </c>
      <c r="AA98" t="s">
        <v>3</v>
      </c>
      <c r="AB98" t="s">
        <v>4</v>
      </c>
      <c r="AC98" t="s">
        <v>5</v>
      </c>
      <c r="AD98" t="s">
        <v>6</v>
      </c>
      <c r="AE98" t="s">
        <v>69</v>
      </c>
      <c r="AF98" s="4" t="s">
        <v>71</v>
      </c>
    </row>
    <row r="99" spans="1:32" x14ac:dyDescent="0.25">
      <c r="A99" t="s">
        <v>123</v>
      </c>
      <c r="B99" s="4">
        <v>2022</v>
      </c>
      <c r="M99">
        <f t="shared" ref="M99:M107" ca="1" si="186">MAX(0,_xlfn.FORECAST.LINEAR($B99,OFFSET(C100,0,0,$D$1),OFFSET($B100,0,0,$D$1)))</f>
        <v>13.549141274238195</v>
      </c>
      <c r="N99">
        <f t="shared" ref="N99:N107" ca="1" si="187">MAX(0,_xlfn.FORECAST.LINEAR($B99,OFFSET(D100,0,0,$D$1),OFFSET($B100,0,0,$D$1)))</f>
        <v>4.321551246537382</v>
      </c>
      <c r="O99">
        <f t="shared" ref="O99:O107" ca="1" si="188">MAX(0,_xlfn.FORECAST.LINEAR($B99,OFFSET(E100,0,0,$D$1),OFFSET($B100,0,0,$D$1)))</f>
        <v>35.230664819944536</v>
      </c>
      <c r="P99">
        <f t="shared" ref="P99:P107" ca="1" si="189">MAX(0,_xlfn.FORECAST.LINEAR($B99,OFFSET(F100,0,0,$D$1),OFFSET($B100,0,0,$D$1)))</f>
        <v>40.47382271468144</v>
      </c>
      <c r="Q99">
        <f t="shared" ref="Q99:Q107" ca="1" si="190">MAX(0,_xlfn.FORECAST.LINEAR($B99,OFFSET(G100,0,0,$D$1),OFFSET($B100,0,0,$D$1)))</f>
        <v>9.7390000000000327</v>
      </c>
      <c r="R99">
        <f t="shared" ref="R99:R107" ca="1" si="191">MAX(0,_xlfn.FORECAST.LINEAR($B99,OFFSET(H100,0,0,$D$1),OFFSET($B100,0,0,$D$1)))</f>
        <v>0</v>
      </c>
      <c r="S99" t="e">
        <f t="shared" ref="S99:S107" ca="1" si="192">MAX(0,_xlfn.FORECAST.LINEAR($B99,OFFSET(I100,0,0,$D$1),OFFSET($B100,0,0,$D$1)))</f>
        <v>#DIV/0!</v>
      </c>
      <c r="T99">
        <f t="shared" ref="T99:T107" ca="1" si="193">MAX(0,_xlfn.FORECAST.LINEAR($B99,OFFSET(J100,0,0,$D$1),OFFSET($B100,0,0,$D$1)))</f>
        <v>0</v>
      </c>
      <c r="U99" t="e">
        <f t="shared" ref="U99:U107" ca="1" si="194">MAX(0,_xlfn.FORECAST.LINEAR($B99,OFFSET(K100,0,0,$D$1),OFFSET($B100,0,0,$D$1)))</f>
        <v>#DIV/0!</v>
      </c>
      <c r="V99" s="4">
        <f t="shared" ref="V99:V107" ca="1" si="195">MAX(0,_xlfn.FORECAST.LINEAR($B99,OFFSET(L100,0,0,$D$1),OFFSET($B100,0,0,$D$1)))</f>
        <v>4.9570000000000007</v>
      </c>
    </row>
    <row r="100" spans="1:32" x14ac:dyDescent="0.25">
      <c r="A100" t="s">
        <v>124</v>
      </c>
      <c r="B100" s="4">
        <v>2018</v>
      </c>
      <c r="C100">
        <f>100-SUM(E100:G100)</f>
        <v>22.5</v>
      </c>
      <c r="D100">
        <f>100-SUM(E100:L100)</f>
        <v>5.2999999999999972</v>
      </c>
      <c r="E100">
        <v>32.799999999999997</v>
      </c>
      <c r="F100">
        <v>38</v>
      </c>
      <c r="G100">
        <v>6.7</v>
      </c>
      <c r="K100">
        <v>14.2</v>
      </c>
      <c r="L100" s="4">
        <v>3</v>
      </c>
      <c r="M100">
        <f t="shared" ca="1" si="186"/>
        <v>9.0712127659575117</v>
      </c>
      <c r="N100">
        <f t="shared" ca="1" si="187"/>
        <v>4.0335957446808663</v>
      </c>
      <c r="O100">
        <f t="shared" ca="1" si="188"/>
        <v>41.019499999999994</v>
      </c>
      <c r="P100">
        <f t="shared" ca="1" si="189"/>
        <v>38.657776595744622</v>
      </c>
      <c r="Q100">
        <f t="shared" ca="1" si="190"/>
        <v>11.575000000000045</v>
      </c>
      <c r="R100">
        <f t="shared" ca="1" si="191"/>
        <v>0</v>
      </c>
      <c r="S100" t="e">
        <f t="shared" ca="1" si="192"/>
        <v>#DIV/0!</v>
      </c>
      <c r="T100">
        <f t="shared" ca="1" si="193"/>
        <v>0</v>
      </c>
      <c r="U100" t="e">
        <f t="shared" ca="1" si="194"/>
        <v>#DIV/0!</v>
      </c>
      <c r="V100" s="4">
        <f t="shared" ca="1" si="195"/>
        <v>7.6200000000001182</v>
      </c>
      <c r="W100" s="9">
        <f ca="1">IF(ISBLANK(C100),NA(),C100-M100)</f>
        <v>13.428787234042488</v>
      </c>
      <c r="X100" s="8">
        <f t="shared" ref="X100:X107" ca="1" si="196">IF(ISBLANK(D100),NA(),D100-N100)</f>
        <v>1.2664042553191308</v>
      </c>
      <c r="Y100" s="8">
        <f t="shared" ref="Y100:Y107" ca="1" si="197">IF(ISBLANK(E100),NA(),E100-O100)</f>
        <v>-8.2194999999999965</v>
      </c>
      <c r="Z100" s="8">
        <f t="shared" ref="Z100:Z107" ca="1" si="198">IF(ISBLANK(F100),NA(),F100-P100)</f>
        <v>-0.65777659574462177</v>
      </c>
      <c r="AA100" s="8">
        <f t="shared" ref="AA100:AA107" ca="1" si="199">IF(ISBLANK(G100),NA(),G100-Q100)</f>
        <v>-4.8750000000000453</v>
      </c>
      <c r="AB100" s="8" t="e">
        <f t="shared" ref="AB100:AB107" si="200">IF(ISBLANK(H100),NA(),H100-R100)</f>
        <v>#N/A</v>
      </c>
      <c r="AC100" s="8" t="e">
        <f t="shared" ref="AC100:AC107" si="201">IF(ISBLANK(I100),NA(),I100-S100)</f>
        <v>#N/A</v>
      </c>
      <c r="AD100" s="8" t="e">
        <f t="shared" ref="AD100:AD107" si="202">IF(ISBLANK(J100),NA(),J100-T100)</f>
        <v>#N/A</v>
      </c>
      <c r="AE100" s="8" t="e">
        <f t="shared" ref="AE100:AE107" ca="1" si="203">IF(ISBLANK(K100),NA(),K100-U100)</f>
        <v>#DIV/0!</v>
      </c>
      <c r="AF100" s="10">
        <f t="shared" ref="AF100:AF107" ca="1" si="204">IF(ISBLANK(L100),NA(),L100-V100)</f>
        <v>-4.6200000000001182</v>
      </c>
    </row>
    <row r="101" spans="1:32" x14ac:dyDescent="0.25">
      <c r="A101" t="s">
        <v>125</v>
      </c>
      <c r="B101" s="4">
        <v>2014</v>
      </c>
      <c r="C101">
        <f>100-SUM(E101:G101)</f>
        <v>10.590000000000003</v>
      </c>
      <c r="D101">
        <f t="shared" ref="D101:D104" si="205">100-SUM(E101:L101)</f>
        <v>4.3400000000000034</v>
      </c>
      <c r="E101">
        <v>35.799999999999997</v>
      </c>
      <c r="F101">
        <v>44.91</v>
      </c>
      <c r="G101">
        <v>8.6999999999999993</v>
      </c>
      <c r="L101" s="4">
        <v>6.25</v>
      </c>
      <c r="M101">
        <f t="shared" ca="1" si="186"/>
        <v>13.427679790026275</v>
      </c>
      <c r="N101">
        <f t="shared" ca="1" si="187"/>
        <v>5.5219737532808484</v>
      </c>
      <c r="O101">
        <f t="shared" ca="1" si="188"/>
        <v>40.728257217847784</v>
      </c>
      <c r="P101">
        <f t="shared" ca="1" si="189"/>
        <v>36.93241994750656</v>
      </c>
      <c r="Q101">
        <f t="shared" ca="1" si="190"/>
        <v>11.403333333333421</v>
      </c>
      <c r="R101">
        <f t="shared" ca="1" si="191"/>
        <v>0</v>
      </c>
      <c r="S101" t="e">
        <f t="shared" ca="1" si="192"/>
        <v>#DIV/0!</v>
      </c>
      <c r="T101">
        <f t="shared" ca="1" si="193"/>
        <v>0.15567454068263942</v>
      </c>
      <c r="U101" t="e">
        <f t="shared" ca="1" si="194"/>
        <v>#DIV/0!</v>
      </c>
      <c r="V101" s="4">
        <f t="shared" ca="1" si="195"/>
        <v>7.3733333333333348</v>
      </c>
      <c r="W101" s="9">
        <f t="shared" ref="W101:W107" ca="1" si="206">IF(ISBLANK(C101),NA(),C101-M101)</f>
        <v>-2.8376797900262716</v>
      </c>
      <c r="X101" s="8">
        <f t="shared" ca="1" si="196"/>
        <v>-1.181973753280845</v>
      </c>
      <c r="Y101" s="8">
        <f t="shared" ca="1" si="197"/>
        <v>-4.9282572178477864</v>
      </c>
      <c r="Z101" s="8">
        <f t="shared" ca="1" si="198"/>
        <v>7.9775800524934368</v>
      </c>
      <c r="AA101" s="8">
        <f t="shared" ca="1" si="199"/>
        <v>-2.703333333333422</v>
      </c>
      <c r="AB101" s="8" t="e">
        <f t="shared" si="200"/>
        <v>#N/A</v>
      </c>
      <c r="AC101" s="8" t="e">
        <f t="shared" si="201"/>
        <v>#N/A</v>
      </c>
      <c r="AD101" s="8" t="e">
        <f t="shared" si="202"/>
        <v>#N/A</v>
      </c>
      <c r="AE101" s="8" t="e">
        <f t="shared" si="203"/>
        <v>#N/A</v>
      </c>
      <c r="AF101" s="10">
        <f t="shared" ca="1" si="204"/>
        <v>-1.1233333333333348</v>
      </c>
    </row>
    <row r="102" spans="1:32" x14ac:dyDescent="0.25">
      <c r="A102" t="s">
        <v>127</v>
      </c>
      <c r="B102" s="4">
        <v>2010</v>
      </c>
      <c r="C102">
        <f>100-SUM(E102:G102)</f>
        <v>11.719999999999999</v>
      </c>
      <c r="D102">
        <f t="shared" si="205"/>
        <v>5.960000000000008</v>
      </c>
      <c r="E102">
        <v>37.47</v>
      </c>
      <c r="F102">
        <v>42.7</v>
      </c>
      <c r="G102">
        <v>8.11</v>
      </c>
      <c r="J102">
        <v>0.38</v>
      </c>
      <c r="L102" s="4">
        <v>5.38</v>
      </c>
      <c r="M102">
        <f t="shared" ca="1" si="186"/>
        <v>19.717340425531916</v>
      </c>
      <c r="N102">
        <f t="shared" ca="1" si="187"/>
        <v>5.8202978723404328</v>
      </c>
      <c r="O102">
        <f t="shared" ca="1" si="188"/>
        <v>37.378617021276625</v>
      </c>
      <c r="P102">
        <f t="shared" ca="1" si="189"/>
        <v>37.452191489361667</v>
      </c>
      <c r="Q102">
        <f t="shared" ca="1" si="190"/>
        <v>10.619999999999891</v>
      </c>
      <c r="R102">
        <f t="shared" ca="1" si="191"/>
        <v>0</v>
      </c>
      <c r="S102" t="e">
        <f t="shared" ca="1" si="192"/>
        <v>#DIV/0!</v>
      </c>
      <c r="T102">
        <f t="shared" ca="1" si="193"/>
        <v>7.3771914893617065</v>
      </c>
      <c r="U102" t="e">
        <f t="shared" ca="1" si="194"/>
        <v>#DIV/0!</v>
      </c>
      <c r="V102" s="4">
        <f t="shared" ca="1" si="195"/>
        <v>9.1200000000001182</v>
      </c>
      <c r="W102" s="9">
        <f t="shared" ca="1" si="206"/>
        <v>-7.9973404255319167</v>
      </c>
      <c r="X102" s="8">
        <f t="shared" ca="1" si="196"/>
        <v>0.13970212765957513</v>
      </c>
      <c r="Y102" s="8">
        <f t="shared" ca="1" si="197"/>
        <v>9.1382978723373753E-2</v>
      </c>
      <c r="Z102" s="8">
        <f t="shared" ca="1" si="198"/>
        <v>5.2478085106383361</v>
      </c>
      <c r="AA102" s="8">
        <f t="shared" ca="1" si="199"/>
        <v>-2.5099999999998914</v>
      </c>
      <c r="AB102" s="8" t="e">
        <f t="shared" si="200"/>
        <v>#N/A</v>
      </c>
      <c r="AC102" s="8" t="e">
        <f t="shared" si="201"/>
        <v>#N/A</v>
      </c>
      <c r="AD102" s="8">
        <f t="shared" ca="1" si="202"/>
        <v>-6.9971914893617067</v>
      </c>
      <c r="AE102" s="8" t="e">
        <f t="shared" si="203"/>
        <v>#N/A</v>
      </c>
      <c r="AF102" s="10">
        <f t="shared" ca="1" si="204"/>
        <v>-3.7400000000001183</v>
      </c>
    </row>
    <row r="103" spans="1:32" x14ac:dyDescent="0.25">
      <c r="A103" t="s">
        <v>128</v>
      </c>
      <c r="B103" s="4">
        <v>2006</v>
      </c>
      <c r="C103">
        <f>100-SUM(E103:G103)</f>
        <v>12.230000000000004</v>
      </c>
      <c r="D103">
        <f t="shared" si="205"/>
        <v>3.1800000000000068</v>
      </c>
      <c r="E103">
        <v>45.22</v>
      </c>
      <c r="F103">
        <v>36.06</v>
      </c>
      <c r="G103">
        <v>6.49</v>
      </c>
      <c r="H103">
        <v>0.28000000000000003</v>
      </c>
      <c r="J103">
        <v>2.89</v>
      </c>
      <c r="L103" s="4">
        <v>5.88</v>
      </c>
      <c r="M103">
        <f t="shared" ca="1" si="186"/>
        <v>25.406184834123223</v>
      </c>
      <c r="N103">
        <f t="shared" ca="1" si="187"/>
        <v>8.9470379146920322</v>
      </c>
      <c r="O103">
        <f t="shared" ca="1" si="188"/>
        <v>29.332440758293842</v>
      </c>
      <c r="P103">
        <f t="shared" ca="1" si="189"/>
        <v>43.555687203791479</v>
      </c>
      <c r="Q103" t="e">
        <f t="shared" ca="1" si="190"/>
        <v>#DIV/0!</v>
      </c>
      <c r="R103" t="e">
        <f t="shared" ca="1" si="191"/>
        <v>#DIV/0!</v>
      </c>
      <c r="S103" t="e">
        <f t="shared" ca="1" si="192"/>
        <v>#DIV/0!</v>
      </c>
      <c r="T103">
        <f t="shared" ca="1" si="193"/>
        <v>12.809265402843664</v>
      </c>
      <c r="U103" t="e">
        <f t="shared" ca="1" si="194"/>
        <v>#DIV/0!</v>
      </c>
      <c r="V103" s="4" t="e">
        <f t="shared" ca="1" si="195"/>
        <v>#DIV/0!</v>
      </c>
      <c r="W103" s="9">
        <f t="shared" ca="1" si="206"/>
        <v>-13.17618483412322</v>
      </c>
      <c r="X103" s="8">
        <f t="shared" ca="1" si="196"/>
        <v>-5.7670379146920254</v>
      </c>
      <c r="Y103" s="8">
        <f t="shared" ca="1" si="197"/>
        <v>15.887559241706157</v>
      </c>
      <c r="Z103" s="8">
        <f t="shared" ca="1" si="198"/>
        <v>-7.4956872037914763</v>
      </c>
      <c r="AA103" s="8" t="e">
        <f t="shared" ca="1" si="199"/>
        <v>#DIV/0!</v>
      </c>
      <c r="AB103" s="8" t="e">
        <f t="shared" ca="1" si="200"/>
        <v>#DIV/0!</v>
      </c>
      <c r="AC103" s="8" t="e">
        <f t="shared" si="201"/>
        <v>#N/A</v>
      </c>
      <c r="AD103" s="8">
        <f t="shared" ca="1" si="202"/>
        <v>-9.9192654028436635</v>
      </c>
      <c r="AE103" s="8" t="e">
        <f t="shared" si="203"/>
        <v>#N/A</v>
      </c>
      <c r="AF103" s="10" t="e">
        <f t="shared" ca="1" si="204"/>
        <v>#DIV/0!</v>
      </c>
    </row>
    <row r="104" spans="1:32" x14ac:dyDescent="0.25">
      <c r="A104" t="s">
        <v>129</v>
      </c>
      <c r="B104" s="4">
        <v>2002</v>
      </c>
      <c r="C104">
        <f>100-SUM(E104:G104)</f>
        <v>19.879999999999995</v>
      </c>
      <c r="D104">
        <f t="shared" si="205"/>
        <v>7.3400000000000034</v>
      </c>
      <c r="E104">
        <v>36.340000000000003</v>
      </c>
      <c r="F104">
        <v>41.42</v>
      </c>
      <c r="G104">
        <v>2.36</v>
      </c>
      <c r="H104">
        <v>2.41</v>
      </c>
      <c r="J104">
        <v>7.49</v>
      </c>
      <c r="L104" s="4">
        <v>2.64</v>
      </c>
      <c r="M104">
        <f t="shared" ca="1" si="186"/>
        <v>24.240151187904985</v>
      </c>
      <c r="N104">
        <f t="shared" ca="1" si="187"/>
        <v>8.6460547156226539</v>
      </c>
      <c r="O104">
        <f t="shared" ca="1" si="188"/>
        <v>30.065644348452224</v>
      </c>
      <c r="P104">
        <f t="shared" ca="1" si="189"/>
        <v>45.694204463642905</v>
      </c>
      <c r="Q104" t="e">
        <f t="shared" ca="1" si="190"/>
        <v>#DIV/0!</v>
      </c>
      <c r="R104" t="e">
        <f t="shared" ca="1" si="191"/>
        <v>#DIV/0!</v>
      </c>
      <c r="S104" t="e">
        <f t="shared" ca="1" si="192"/>
        <v>#DIV/0!</v>
      </c>
      <c r="T104">
        <f t="shared" ca="1" si="193"/>
        <v>15.594096472282217</v>
      </c>
      <c r="U104" t="e">
        <f t="shared" ca="1" si="194"/>
        <v>#DIV/0!</v>
      </c>
      <c r="V104" s="4" t="e">
        <f t="shared" ca="1" si="195"/>
        <v>#DIV/0!</v>
      </c>
      <c r="W104" s="9">
        <f t="shared" ca="1" si="206"/>
        <v>-4.3601511879049895</v>
      </c>
      <c r="X104" s="8">
        <f t="shared" ca="1" si="196"/>
        <v>-1.3060547156226505</v>
      </c>
      <c r="Y104" s="8">
        <f t="shared" ca="1" si="197"/>
        <v>6.2743556515477792</v>
      </c>
      <c r="Z104" s="8">
        <f t="shared" ca="1" si="198"/>
        <v>-4.2742044636429029</v>
      </c>
      <c r="AA104" s="8" t="e">
        <f t="shared" ca="1" si="199"/>
        <v>#DIV/0!</v>
      </c>
      <c r="AB104" s="8" t="e">
        <f t="shared" ca="1" si="200"/>
        <v>#DIV/0!</v>
      </c>
      <c r="AC104" s="8" t="e">
        <f t="shared" si="201"/>
        <v>#N/A</v>
      </c>
      <c r="AD104" s="8">
        <f t="shared" ca="1" si="202"/>
        <v>-8.1040964722822171</v>
      </c>
      <c r="AE104" s="8" t="e">
        <f t="shared" si="203"/>
        <v>#N/A</v>
      </c>
      <c r="AF104" s="10" t="e">
        <f t="shared" ca="1" si="204"/>
        <v>#DIV/0!</v>
      </c>
    </row>
    <row r="105" spans="1:32" x14ac:dyDescent="0.25">
      <c r="A105" t="s">
        <v>130</v>
      </c>
      <c r="B105" s="4">
        <v>1997</v>
      </c>
      <c r="C105">
        <f>100-SUM(E105:G105)</f>
        <v>22.700000000000003</v>
      </c>
      <c r="D105">
        <f t="shared" ref="D105:D113" si="207">100-SUM(E105:L105)</f>
        <v>6.25</v>
      </c>
      <c r="E105">
        <v>35.159999999999997</v>
      </c>
      <c r="F105">
        <v>42.14</v>
      </c>
      <c r="J105">
        <v>16.45</v>
      </c>
      <c r="M105">
        <f t="shared" ca="1" si="186"/>
        <v>17.854238052299252</v>
      </c>
      <c r="N105">
        <f t="shared" ca="1" si="187"/>
        <v>7.2820198376915641</v>
      </c>
      <c r="O105">
        <f t="shared" ca="1" si="188"/>
        <v>30.457592425608709</v>
      </c>
      <c r="P105">
        <f t="shared" ca="1" si="189"/>
        <v>51.688169522091812</v>
      </c>
      <c r="Q105" t="e">
        <f t="shared" ca="1" si="190"/>
        <v>#DIV/0!</v>
      </c>
      <c r="R105" t="e">
        <f t="shared" ca="1" si="191"/>
        <v>#DIV/0!</v>
      </c>
      <c r="S105" t="e">
        <f t="shared" ca="1" si="192"/>
        <v>#DIV/0!</v>
      </c>
      <c r="T105">
        <f t="shared" ca="1" si="193"/>
        <v>10.572218214607801</v>
      </c>
      <c r="U105" t="e">
        <f t="shared" ca="1" si="194"/>
        <v>#DIV/0!</v>
      </c>
      <c r="V105" s="4" t="e">
        <f t="shared" ca="1" si="195"/>
        <v>#DIV/0!</v>
      </c>
      <c r="W105" s="9">
        <f t="shared" ca="1" si="206"/>
        <v>4.8457619477007512</v>
      </c>
      <c r="X105" s="8">
        <f t="shared" ca="1" si="196"/>
        <v>-1.0320198376915641</v>
      </c>
      <c r="Y105" s="8">
        <f t="shared" ca="1" si="197"/>
        <v>4.7024075743912874</v>
      </c>
      <c r="Z105" s="8">
        <f t="shared" ca="1" si="198"/>
        <v>-9.5481695220918112</v>
      </c>
      <c r="AA105" s="8" t="e">
        <f t="shared" si="199"/>
        <v>#N/A</v>
      </c>
      <c r="AB105" s="8" t="e">
        <f t="shared" si="200"/>
        <v>#N/A</v>
      </c>
      <c r="AC105" s="8" t="e">
        <f t="shared" si="201"/>
        <v>#N/A</v>
      </c>
      <c r="AD105" s="8">
        <f t="shared" ca="1" si="202"/>
        <v>5.8777817853921981</v>
      </c>
      <c r="AE105" s="8" t="e">
        <f t="shared" si="203"/>
        <v>#N/A</v>
      </c>
      <c r="AF105" s="10" t="e">
        <f t="shared" si="204"/>
        <v>#N/A</v>
      </c>
    </row>
    <row r="106" spans="1:32" x14ac:dyDescent="0.25">
      <c r="A106" t="s">
        <v>131</v>
      </c>
      <c r="B106" s="4">
        <v>1993</v>
      </c>
      <c r="C106">
        <f>100-SUM(E106:G106)</f>
        <v>15.719999999999999</v>
      </c>
      <c r="D106">
        <f t="shared" si="207"/>
        <v>6.6299999999999955</v>
      </c>
      <c r="E106">
        <v>30.37</v>
      </c>
      <c r="F106">
        <v>53.91</v>
      </c>
      <c r="J106">
        <v>9.09</v>
      </c>
      <c r="M106">
        <f t="shared" ca="1" si="186"/>
        <v>9.9214981729598151</v>
      </c>
      <c r="N106">
        <f t="shared" ca="1" si="187"/>
        <v>4.9797320341047566</v>
      </c>
      <c r="O106">
        <f t="shared" ca="1" si="188"/>
        <v>41.066090133983039</v>
      </c>
      <c r="P106">
        <f t="shared" ca="1" si="189"/>
        <v>49.012411693057174</v>
      </c>
      <c r="Q106" t="e">
        <f t="shared" ca="1" si="190"/>
        <v>#DIV/0!</v>
      </c>
      <c r="R106" t="e">
        <f t="shared" ca="1" si="191"/>
        <v>#DIV/0!</v>
      </c>
      <c r="S106" t="e">
        <f t="shared" ca="1" si="192"/>
        <v>#DIV/0!</v>
      </c>
      <c r="T106">
        <f t="shared" ca="1" si="193"/>
        <v>10.051359649122787</v>
      </c>
      <c r="U106" t="e">
        <f t="shared" ca="1" si="194"/>
        <v>#DIV/0!</v>
      </c>
      <c r="V106" s="4" t="e">
        <f t="shared" ca="1" si="195"/>
        <v>#DIV/0!</v>
      </c>
      <c r="W106" s="9">
        <f t="shared" ca="1" si="206"/>
        <v>5.7985018270401838</v>
      </c>
      <c r="X106" s="8">
        <f t="shared" ca="1" si="196"/>
        <v>1.6502679658952388</v>
      </c>
      <c r="Y106" s="8">
        <f t="shared" ca="1" si="197"/>
        <v>-10.696090133983038</v>
      </c>
      <c r="Z106" s="8">
        <f t="shared" ca="1" si="198"/>
        <v>4.8975883069428221</v>
      </c>
      <c r="AA106" s="8" t="e">
        <f t="shared" si="199"/>
        <v>#N/A</v>
      </c>
      <c r="AB106" s="8" t="e">
        <f t="shared" si="200"/>
        <v>#N/A</v>
      </c>
      <c r="AC106" s="8" t="e">
        <f t="shared" si="201"/>
        <v>#N/A</v>
      </c>
      <c r="AD106" s="8">
        <f t="shared" ca="1" si="202"/>
        <v>-0.96135964912278737</v>
      </c>
      <c r="AE106" s="8" t="e">
        <f t="shared" si="203"/>
        <v>#N/A</v>
      </c>
      <c r="AF106" s="10" t="e">
        <f t="shared" si="204"/>
        <v>#N/A</v>
      </c>
    </row>
    <row r="107" spans="1:32" x14ac:dyDescent="0.25">
      <c r="A107" t="s">
        <v>132</v>
      </c>
      <c r="B107" s="4">
        <v>1989</v>
      </c>
      <c r="C107">
        <f>100-SUM(E107:G107)</f>
        <v>14.519999999999996</v>
      </c>
      <c r="D107">
        <f t="shared" si="207"/>
        <v>4.25</v>
      </c>
      <c r="E107">
        <v>40.090000000000003</v>
      </c>
      <c r="F107">
        <v>45.39</v>
      </c>
      <c r="J107">
        <v>10.27</v>
      </c>
      <c r="M107">
        <f t="shared" ca="1" si="186"/>
        <v>7.6409045226130843</v>
      </c>
      <c r="N107">
        <f t="shared" ca="1" si="187"/>
        <v>2.0535008375209287</v>
      </c>
      <c r="O107">
        <f t="shared" ca="1" si="188"/>
        <v>44.5879564489112</v>
      </c>
      <c r="P107">
        <f t="shared" ca="1" si="189"/>
        <v>47.771139028475659</v>
      </c>
      <c r="Q107" t="e">
        <f t="shared" ca="1" si="190"/>
        <v>#DIV/0!</v>
      </c>
      <c r="R107" t="e">
        <f t="shared" ca="1" si="191"/>
        <v>#DIV/0!</v>
      </c>
      <c r="S107" t="e">
        <f t="shared" ca="1" si="192"/>
        <v>#DIV/0!</v>
      </c>
      <c r="T107">
        <f t="shared" ca="1" si="193"/>
        <v>5.6499999999999986</v>
      </c>
      <c r="U107" t="e">
        <f t="shared" ca="1" si="194"/>
        <v>#DIV/0!</v>
      </c>
      <c r="V107" s="4" t="e">
        <f t="shared" ca="1" si="195"/>
        <v>#DIV/0!</v>
      </c>
      <c r="W107" s="9">
        <f t="shared" ca="1" si="206"/>
        <v>6.8790954773869117</v>
      </c>
      <c r="X107" s="8">
        <f t="shared" ca="1" si="196"/>
        <v>2.1964991624790713</v>
      </c>
      <c r="Y107" s="8">
        <f t="shared" ca="1" si="197"/>
        <v>-4.4979564489111965</v>
      </c>
      <c r="Z107" s="8">
        <f t="shared" ca="1" si="198"/>
        <v>-2.3811390284756584</v>
      </c>
      <c r="AA107" s="8" t="e">
        <f t="shared" si="199"/>
        <v>#N/A</v>
      </c>
      <c r="AB107" s="8" t="e">
        <f t="shared" si="200"/>
        <v>#N/A</v>
      </c>
      <c r="AC107" s="8" t="e">
        <f t="shared" si="201"/>
        <v>#N/A</v>
      </c>
      <c r="AD107" s="8">
        <f t="shared" ca="1" si="202"/>
        <v>4.620000000000001</v>
      </c>
      <c r="AE107" s="8" t="e">
        <f t="shared" si="203"/>
        <v>#N/A</v>
      </c>
      <c r="AF107" s="10" t="e">
        <f t="shared" si="204"/>
        <v>#N/A</v>
      </c>
    </row>
    <row r="108" spans="1:32" x14ac:dyDescent="0.25">
      <c r="A108" t="s">
        <v>133</v>
      </c>
      <c r="B108" s="4">
        <v>1985</v>
      </c>
      <c r="C108">
        <f>100-SUM(E108:G108)</f>
        <v>7.9399999999999977</v>
      </c>
      <c r="D108">
        <f t="shared" si="207"/>
        <v>3.6899999999999977</v>
      </c>
      <c r="E108">
        <v>48.19</v>
      </c>
      <c r="F108">
        <v>43.87</v>
      </c>
      <c r="J108">
        <v>4.25</v>
      </c>
      <c r="M108">
        <f t="shared" ref="M108" ca="1" si="208">MAX(0,_xlfn.FORECAST.LINEAR($B108,OFFSET(C109,0,0,$D$1),OFFSET($B109,0,0,$D$1)))</f>
        <v>11.921449275362306</v>
      </c>
      <c r="N108">
        <f t="shared" ref="N108" ca="1" si="209">MAX(0,_xlfn.FORECAST.LINEAR($B108,OFFSET(D109,0,0,$D$1),OFFSET($B109,0,0,$D$1)))</f>
        <v>0.55829710144928413</v>
      </c>
      <c r="O108">
        <f t="shared" ref="O108" ca="1" si="210">MAX(0,_xlfn.FORECAST.LINEAR($B108,OFFSET(E109,0,0,$D$1),OFFSET($B109,0,0,$D$1)))</f>
        <v>42.289202898550684</v>
      </c>
      <c r="P108">
        <f t="shared" ref="P108" ca="1" si="211">MAX(0,_xlfn.FORECAST.LINEAR($B108,OFFSET(F109,0,0,$D$1),OFFSET($B109,0,0,$D$1)))</f>
        <v>45.789347826086953</v>
      </c>
      <c r="Q108" t="e">
        <f t="shared" ref="Q108" ca="1" si="212">MAX(0,_xlfn.FORECAST.LINEAR($B108,OFFSET(G109,0,0,$D$1),OFFSET($B109,0,0,$D$1)))</f>
        <v>#DIV/0!</v>
      </c>
      <c r="R108" t="e">
        <f t="shared" ref="R108" ca="1" si="213">MAX(0,_xlfn.FORECAST.LINEAR($B108,OFFSET(H109,0,0,$D$1),OFFSET($B109,0,0,$D$1)))</f>
        <v>#DIV/0!</v>
      </c>
      <c r="S108" t="e">
        <f t="shared" ref="S108" ca="1" si="214">MAX(0,_xlfn.FORECAST.LINEAR($B108,OFFSET(I109,0,0,$D$1),OFFSET($B109,0,0,$D$1)))</f>
        <v>#DIV/0!</v>
      </c>
      <c r="T108">
        <f t="shared" ref="T108" ca="1" si="215">MAX(0,_xlfn.FORECAST.LINEAR($B108,OFFSET(J109,0,0,$D$1),OFFSET($B109,0,0,$D$1)))</f>
        <v>9.9236842105262895</v>
      </c>
      <c r="U108" t="e">
        <f t="shared" ref="U108" ca="1" si="216">MAX(0,_xlfn.FORECAST.LINEAR($B108,OFFSET(K109,0,0,$D$1),OFFSET($B109,0,0,$D$1)))</f>
        <v>#DIV/0!</v>
      </c>
      <c r="V108" s="4" t="e">
        <f t="shared" ref="V108" ca="1" si="217">MAX(0,_xlfn.FORECAST.LINEAR($B108,OFFSET(L109,0,0,$D$1),OFFSET($B109,0,0,$D$1)))</f>
        <v>#DIV/0!</v>
      </c>
      <c r="W108" s="9">
        <f t="shared" ref="W108" ca="1" si="218">IF(ISBLANK(C108),NA(),C108-M108)</f>
        <v>-3.9814492753623085</v>
      </c>
      <c r="X108" s="8">
        <f t="shared" ref="X108" ca="1" si="219">IF(ISBLANK(D108),NA(),D108-N108)</f>
        <v>3.1317028985507136</v>
      </c>
      <c r="Y108" s="8">
        <f t="shared" ref="Y108" ca="1" si="220">IF(ISBLANK(E108),NA(),E108-O108)</f>
        <v>5.9007971014493137</v>
      </c>
      <c r="Z108" s="8">
        <f t="shared" ref="Z108" ca="1" si="221">IF(ISBLANK(F108),NA(),F108-P108)</f>
        <v>-1.9193478260869554</v>
      </c>
      <c r="AA108" s="8" t="e">
        <f t="shared" ref="AA108" si="222">IF(ISBLANK(G108),NA(),G108-Q108)</f>
        <v>#N/A</v>
      </c>
      <c r="AB108" s="8" t="e">
        <f t="shared" ref="AB108" si="223">IF(ISBLANK(H108),NA(),H108-R108)</f>
        <v>#N/A</v>
      </c>
      <c r="AC108" s="8" t="e">
        <f t="shared" ref="AC108" si="224">IF(ISBLANK(I108),NA(),I108-S108)</f>
        <v>#N/A</v>
      </c>
      <c r="AD108" s="8">
        <f t="shared" ref="AD108" ca="1" si="225">IF(ISBLANK(J108),NA(),J108-T108)</f>
        <v>-5.6736842105262895</v>
      </c>
      <c r="AE108" s="8" t="e">
        <f t="shared" ref="AE108" si="226">IF(ISBLANK(K108),NA(),K108-U108)</f>
        <v>#N/A</v>
      </c>
      <c r="AF108" s="10" t="e">
        <f t="shared" ref="AF108" si="227">IF(ISBLANK(L108),NA(),L108-V108)</f>
        <v>#N/A</v>
      </c>
    </row>
    <row r="109" spans="1:32" x14ac:dyDescent="0.25">
      <c r="A109" t="s">
        <v>134</v>
      </c>
      <c r="B109" s="4">
        <v>1982</v>
      </c>
      <c r="C109">
        <f>100-SUM(E109:G109)</f>
        <v>8.7299999999999898</v>
      </c>
      <c r="D109">
        <f t="shared" si="207"/>
        <v>1.6099999999999852</v>
      </c>
      <c r="E109">
        <v>46.28</v>
      </c>
      <c r="F109">
        <v>44.99</v>
      </c>
      <c r="J109">
        <v>7.12</v>
      </c>
    </row>
    <row r="110" spans="1:32" x14ac:dyDescent="0.25">
      <c r="A110" t="s">
        <v>135</v>
      </c>
      <c r="B110" s="4">
        <v>1979</v>
      </c>
      <c r="C110">
        <f>100-SUM(E110:G110)</f>
        <v>9.289999999999992</v>
      </c>
      <c r="D110">
        <f t="shared" si="207"/>
        <v>0.98999999999999488</v>
      </c>
      <c r="E110">
        <v>40.86</v>
      </c>
      <c r="F110">
        <v>49.85</v>
      </c>
      <c r="J110">
        <v>8.3000000000000007</v>
      </c>
    </row>
    <row r="111" spans="1:32" x14ac:dyDescent="0.25">
      <c r="A111" t="s">
        <v>136</v>
      </c>
      <c r="B111" s="4">
        <v>1977</v>
      </c>
      <c r="C111">
        <f>100-SUM(E111:G111)</f>
        <v>5.5600000000000023</v>
      </c>
      <c r="D111">
        <f t="shared" si="207"/>
        <v>2.0799999999999983</v>
      </c>
      <c r="E111">
        <v>51.64</v>
      </c>
      <c r="F111">
        <v>42.8</v>
      </c>
      <c r="J111">
        <v>3.48</v>
      </c>
    </row>
    <row r="112" spans="1:32" x14ac:dyDescent="0.25">
      <c r="A112" t="s">
        <v>137</v>
      </c>
      <c r="B112" s="4">
        <v>1975</v>
      </c>
      <c r="C112">
        <f>100-SUM(E112:G112)</f>
        <v>19.379999999999995</v>
      </c>
      <c r="D112">
        <f t="shared" si="207"/>
        <v>1.1099999999999994</v>
      </c>
      <c r="E112">
        <v>46.32</v>
      </c>
      <c r="F112">
        <v>34.299999999999997</v>
      </c>
      <c r="I112">
        <v>18.27</v>
      </c>
    </row>
    <row r="113" spans="1:6" x14ac:dyDescent="0.25">
      <c r="A113" t="s">
        <v>139</v>
      </c>
      <c r="B113" s="4">
        <v>1973</v>
      </c>
      <c r="C113">
        <f>100-SUM(E113:G113)</f>
        <v>4.75</v>
      </c>
      <c r="D113">
        <f t="shared" si="207"/>
        <v>4.75</v>
      </c>
      <c r="E113">
        <v>51.52</v>
      </c>
      <c r="F113">
        <v>43.73</v>
      </c>
    </row>
    <row r="114" spans="1:6" x14ac:dyDescent="0.25">
      <c r="A114" t="s">
        <v>140</v>
      </c>
      <c r="B114" s="4">
        <v>1970</v>
      </c>
      <c r="C114">
        <f>100-SUM(E114:G114)</f>
        <v>2.7000000000000028</v>
      </c>
      <c r="D114">
        <f t="shared" ref="D114" si="228">100-SUM(E114:L114)</f>
        <v>2.7000000000000028</v>
      </c>
      <c r="E114">
        <v>51.64</v>
      </c>
      <c r="F114">
        <v>45.66</v>
      </c>
    </row>
  </sheetData>
  <mergeCells count="17">
    <mergeCell ref="T58:V58"/>
    <mergeCell ref="T59:V59"/>
    <mergeCell ref="T60:V60"/>
    <mergeCell ref="T75:V75"/>
    <mergeCell ref="T76:V76"/>
    <mergeCell ref="T77:V77"/>
    <mergeCell ref="T21:V21"/>
    <mergeCell ref="T39:V39"/>
    <mergeCell ref="T40:V40"/>
    <mergeCell ref="T41:V41"/>
    <mergeCell ref="C2:L2"/>
    <mergeCell ref="M2:V2"/>
    <mergeCell ref="A1:C1"/>
    <mergeCell ref="W2:AF2"/>
    <mergeCell ref="AG2:AP2"/>
    <mergeCell ref="T19:V19"/>
    <mergeCell ref="T20:V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B59D-EBDA-43F7-B410-55E5293E6FC5}">
  <dimension ref="A1:AZ30"/>
  <sheetViews>
    <sheetView tabSelected="1" topLeftCell="AP1" workbookViewId="0">
      <selection activeCell="BI24" sqref="BI24"/>
    </sheetView>
  </sheetViews>
  <sheetFormatPr defaultRowHeight="15" x14ac:dyDescent="0.25"/>
  <cols>
    <col min="2" max="2" width="2.7109375" customWidth="1"/>
    <col min="3" max="3" width="9.140625" style="20"/>
    <col min="4" max="10" width="6.42578125" customWidth="1"/>
    <col min="11" max="11" width="6.42578125" style="20" customWidth="1"/>
    <col min="12" max="12" width="6.42578125" customWidth="1"/>
    <col min="16" max="16" width="6.140625" customWidth="1"/>
    <col min="17" max="17" width="9.28515625" style="20" customWidth="1"/>
    <col min="18" max="21" width="9.28515625" style="11" customWidth="1"/>
    <col min="22" max="22" width="9.28515625" style="4" customWidth="1"/>
    <col min="23" max="23" width="7.140625" style="4" customWidth="1"/>
    <col min="25" max="25" width="9.140625" style="20"/>
    <col min="26" max="32" width="6" customWidth="1"/>
    <col min="33" max="33" width="9.140625" style="20"/>
    <col min="39" max="39" width="9.5703125" style="20" customWidth="1"/>
    <col min="40" max="40" width="9.5703125" style="11" customWidth="1"/>
    <col min="41" max="43" width="9.140625" style="11"/>
    <col min="44" max="44" width="9.140625" style="4"/>
  </cols>
  <sheetData>
    <row r="1" spans="1:52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9"/>
      <c r="R1" s="18"/>
      <c r="S1" s="18"/>
      <c r="T1" s="18"/>
      <c r="U1" s="18"/>
      <c r="V1" s="12"/>
      <c r="W1" s="24"/>
      <c r="X1" s="25"/>
      <c r="Y1" s="3" t="s">
        <v>47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52" x14ac:dyDescent="0.25">
      <c r="A2" s="1"/>
      <c r="B2" s="1"/>
      <c r="C2" s="23" t="s">
        <v>87</v>
      </c>
      <c r="D2" s="2"/>
      <c r="E2" s="2"/>
      <c r="F2" s="2"/>
      <c r="G2" s="2"/>
      <c r="H2" s="2"/>
      <c r="I2" s="2"/>
      <c r="J2" s="13"/>
      <c r="K2" s="19"/>
      <c r="L2" s="1"/>
      <c r="M2" s="1"/>
      <c r="N2" s="1"/>
      <c r="O2" s="1"/>
      <c r="P2" s="1"/>
      <c r="Q2" s="19" t="s">
        <v>141</v>
      </c>
      <c r="R2" s="18"/>
      <c r="S2" s="18"/>
      <c r="T2" s="18"/>
      <c r="U2" s="18"/>
      <c r="V2" s="12"/>
      <c r="W2" s="12"/>
      <c r="Y2" s="26"/>
      <c r="Z2" s="2" t="s">
        <v>87</v>
      </c>
      <c r="AA2" s="2"/>
      <c r="AB2" s="2"/>
      <c r="AC2" s="2"/>
      <c r="AD2" s="2"/>
      <c r="AE2" s="2"/>
      <c r="AF2" s="1"/>
      <c r="AG2" s="26"/>
      <c r="AH2" s="17"/>
      <c r="AI2" s="17"/>
      <c r="AJ2" s="17"/>
      <c r="AK2" s="17"/>
      <c r="AL2" s="17"/>
      <c r="AM2" s="23" t="s">
        <v>141</v>
      </c>
      <c r="AN2" s="27"/>
      <c r="AO2" s="27"/>
      <c r="AP2" s="27"/>
      <c r="AQ2" s="27"/>
      <c r="AR2" s="13"/>
    </row>
    <row r="3" spans="1:52" x14ac:dyDescent="0.25">
      <c r="A3" t="s">
        <v>0</v>
      </c>
      <c r="B3" t="s">
        <v>86</v>
      </c>
      <c r="C3" s="20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20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20" t="s">
        <v>142</v>
      </c>
      <c r="R3" s="11" t="s">
        <v>143</v>
      </c>
      <c r="S3" s="11" t="s">
        <v>144</v>
      </c>
      <c r="T3" s="11" t="s">
        <v>147</v>
      </c>
      <c r="U3" s="11" t="s">
        <v>148</v>
      </c>
      <c r="V3" s="4" t="s">
        <v>149</v>
      </c>
      <c r="W3" s="4" t="s">
        <v>89</v>
      </c>
      <c r="Y3" s="20" t="s">
        <v>40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 s="20" t="s">
        <v>39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s="20" t="s">
        <v>142</v>
      </c>
      <c r="AN3" s="8" t="s">
        <v>145</v>
      </c>
      <c r="AO3" s="11" t="s">
        <v>146</v>
      </c>
      <c r="AP3" s="11" t="s">
        <v>147</v>
      </c>
      <c r="AQ3" s="11" t="s">
        <v>148</v>
      </c>
      <c r="AR3" s="4" t="s">
        <v>149</v>
      </c>
    </row>
    <row r="4" spans="1:52" s="16" customFormat="1" x14ac:dyDescent="0.25">
      <c r="A4" s="16" t="s">
        <v>85</v>
      </c>
      <c r="C4" s="21"/>
      <c r="D4" s="16">
        <v>1</v>
      </c>
      <c r="E4" s="16">
        <v>2</v>
      </c>
      <c r="F4" s="16">
        <v>3</v>
      </c>
      <c r="G4" s="16">
        <v>4</v>
      </c>
      <c r="H4" s="16">
        <v>5</v>
      </c>
      <c r="I4" s="16">
        <v>6</v>
      </c>
      <c r="J4" s="16">
        <v>7</v>
      </c>
      <c r="K4" s="21"/>
      <c r="Q4" s="21">
        <v>0.46500000000000002</v>
      </c>
      <c r="R4" s="16">
        <v>0.63</v>
      </c>
      <c r="S4" s="16">
        <v>0.73</v>
      </c>
      <c r="T4" s="16">
        <v>0.82499999999999996</v>
      </c>
      <c r="U4" s="16">
        <v>0.82</v>
      </c>
      <c r="V4" s="22">
        <v>0.93</v>
      </c>
      <c r="W4" s="22"/>
      <c r="Y4" s="21">
        <f ca="1">STDEV(Y5:Y1001)</f>
        <v>6.9371509753965155</v>
      </c>
      <c r="Z4" s="16">
        <f t="shared" ref="Z4" ca="1" si="0">STDEV(Z5:Z1001)</f>
        <v>6.5414886567320316</v>
      </c>
      <c r="AA4" s="16">
        <f t="shared" ref="AA4" ca="1" si="1">STDEV(AA5:AA1001)</f>
        <v>6.3389615899184575</v>
      </c>
      <c r="AB4" s="16">
        <f t="shared" ref="AB4" ca="1" si="2">STDEV(AB5:AB1001)</f>
        <v>6.0718943776496426</v>
      </c>
      <c r="AC4" s="16">
        <f t="shared" ref="AC4" ca="1" si="3">STDEV(AC5:AC1001)</f>
        <v>5.8590758369781772</v>
      </c>
      <c r="AD4" s="16">
        <f t="shared" ref="AD4:AF4" ca="1" si="4">STDEV(AD5:AD1001)</f>
        <v>5.2910918553299053</v>
      </c>
      <c r="AE4" s="16">
        <f t="shared" ca="1" si="4"/>
        <v>5.0423038677643959</v>
      </c>
      <c r="AF4" s="16">
        <f t="shared" ca="1" si="4"/>
        <v>5.2237259986777778</v>
      </c>
      <c r="AG4" s="21">
        <f t="shared" ref="AG4:AR4" si="5">STDEV(AG5:AG1001)</f>
        <v>5.1222966004247024</v>
      </c>
      <c r="AH4" s="16">
        <f t="shared" si="5"/>
        <v>4.2769482852216658</v>
      </c>
      <c r="AI4" s="16">
        <f t="shared" si="5"/>
        <v>3.5176700837394375</v>
      </c>
      <c r="AJ4" s="16">
        <f t="shared" si="5"/>
        <v>2.9585642076757721</v>
      </c>
      <c r="AK4" s="16">
        <f t="shared" si="5"/>
        <v>2.9003454325657705</v>
      </c>
      <c r="AL4" s="16">
        <f t="shared" si="5"/>
        <v>2.0319732483601456</v>
      </c>
      <c r="AM4" s="21">
        <f t="shared" ca="1" si="5"/>
        <v>4.4273201065868344</v>
      </c>
      <c r="AN4" s="16">
        <f t="shared" ca="1" si="5"/>
        <v>3.9285414836060144</v>
      </c>
      <c r="AO4" s="16">
        <f t="shared" ca="1" si="5"/>
        <v>3.2592318705378176</v>
      </c>
      <c r="AP4" s="16">
        <f t="shared" ca="1" si="5"/>
        <v>2.8182496269833837</v>
      </c>
      <c r="AQ4" s="16">
        <f t="shared" ca="1" si="5"/>
        <v>2.7520354096037374</v>
      </c>
      <c r="AR4" s="22">
        <f t="shared" ca="1" si="5"/>
        <v>2.0007555012989977</v>
      </c>
    </row>
    <row r="5" spans="1:52" x14ac:dyDescent="0.25">
      <c r="A5" t="s">
        <v>7</v>
      </c>
      <c r="B5">
        <v>0</v>
      </c>
      <c r="C5" s="20">
        <f ca="1">'Historical Trends'!O5</f>
        <v>34.122666666666646</v>
      </c>
      <c r="D5">
        <f ca="1">AVERAGE(OFFSET('Historical Trends'!$E$6,$B5,0,'Polling Correlations'!D$4,1))</f>
        <v>34.729999999999997</v>
      </c>
      <c r="E5">
        <f ca="1">AVERAGE(OFFSET('Historical Trends'!$E$6,$B5,0,'Polling Correlations'!E$4,1))</f>
        <v>34.055</v>
      </c>
      <c r="F5">
        <f ca="1">AVERAGE(OFFSET('Historical Trends'!$E$6,$B5,0,'Polling Correlations'!F$4,1))</f>
        <v>35.366666666666667</v>
      </c>
      <c r="G5">
        <f ca="1">AVERAGE(OFFSET('Historical Trends'!$E$6,$B5,0,'Polling Correlations'!G$4,1))</f>
        <v>37.369999999999997</v>
      </c>
      <c r="H5">
        <f ca="1">AVERAGE(OFFSET('Historical Trends'!$E$6,$B5,0,'Polling Correlations'!H$4,1))</f>
        <v>37.421999999999997</v>
      </c>
      <c r="I5">
        <f ca="1">AVERAGE(OFFSET('Historical Trends'!$E$6,$B5,0,'Polling Correlations'!I$4,1))</f>
        <v>37.491666666666667</v>
      </c>
      <c r="J5">
        <f ca="1">AVERAGE(OFFSET('Historical Trends'!$E$6,$B5,0,'Polling Correlations'!J$4,1))</f>
        <v>37.864285714285714</v>
      </c>
      <c r="K5" s="20">
        <f>(36+34.1+37+35+37)/5</f>
        <v>35.82</v>
      </c>
      <c r="L5">
        <f>(36+38+37+35+36)/5</f>
        <v>36.4</v>
      </c>
      <c r="M5">
        <f>(40+39+39+37+38)/5</f>
        <v>38.6</v>
      </c>
      <c r="N5">
        <f>(38+39+36+38+38)/5</f>
        <v>37.799999999999997</v>
      </c>
      <c r="O5">
        <f>(39+35+37+37+36)/5</f>
        <v>36.799999999999997</v>
      </c>
      <c r="P5">
        <f>(37+36.2+37+34+36)/5</f>
        <v>36.04</v>
      </c>
      <c r="Q5" s="20">
        <f ca="1">K5*Q$4+$I5*(1-Q$4)</f>
        <v>36.71434166666667</v>
      </c>
      <c r="R5" s="11">
        <f ca="1">L5*R$4+$I5*(1-R$4)</f>
        <v>36.803916666666666</v>
      </c>
      <c r="S5" s="11">
        <f ca="1">M5*S$4+$I5*(1-S$4)</f>
        <v>38.300750000000001</v>
      </c>
      <c r="T5" s="11">
        <f ca="1">N5*T$4+$I5*(1-T$4)</f>
        <v>37.746041666666663</v>
      </c>
      <c r="U5" s="11">
        <f ca="1">O5*U$4+$I5*(1-U$4)</f>
        <v>36.924499999999995</v>
      </c>
      <c r="V5" s="4">
        <f t="shared" ref="V5" ca="1" si="6">P5*V$4+$I5*(1-V$4)</f>
        <v>36.141616666666664</v>
      </c>
      <c r="W5" s="4">
        <f>'Historical Trends'!E5</f>
        <v>33.44</v>
      </c>
      <c r="Y5" s="20">
        <f ca="1">C5-$W5</f>
        <v>0.68266666666664833</v>
      </c>
      <c r="Z5">
        <f ca="1">D5-$W5</f>
        <v>1.2899999999999991</v>
      </c>
      <c r="AA5">
        <f ca="1">E5-$W5</f>
        <v>0.61500000000000199</v>
      </c>
      <c r="AB5">
        <f ca="1">F5-$W5</f>
        <v>1.9266666666666694</v>
      </c>
      <c r="AC5">
        <f ca="1">G5-$W5</f>
        <v>3.9299999999999997</v>
      </c>
      <c r="AD5">
        <f ca="1">H5-$W5</f>
        <v>3.9819999999999993</v>
      </c>
      <c r="AE5">
        <f ca="1">I5-$W5</f>
        <v>4.0516666666666694</v>
      </c>
      <c r="AF5">
        <f ca="1">J5-$W5</f>
        <v>4.4242857142857162</v>
      </c>
      <c r="AG5" s="20">
        <f>K5-$W5</f>
        <v>2.3800000000000026</v>
      </c>
      <c r="AH5">
        <f>L5-$W5</f>
        <v>2.9600000000000009</v>
      </c>
      <c r="AI5">
        <f>M5-$W5</f>
        <v>5.1600000000000037</v>
      </c>
      <c r="AJ5">
        <f>N5-$W5</f>
        <v>4.3599999999999994</v>
      </c>
      <c r="AK5">
        <f>O5-$W5</f>
        <v>3.3599999999999994</v>
      </c>
      <c r="AL5">
        <f>P5-$W5</f>
        <v>2.6000000000000014</v>
      </c>
      <c r="AM5" s="20">
        <f ca="1">Q5-$W5</f>
        <v>3.2743416666666718</v>
      </c>
      <c r="AN5" s="11">
        <f ca="1">R5-$W5</f>
        <v>3.3639166666666682</v>
      </c>
      <c r="AO5" s="11">
        <f ca="1">S5-$W5</f>
        <v>4.860750000000003</v>
      </c>
      <c r="AP5" s="11">
        <f ca="1">T5-$W5</f>
        <v>4.3060416666666654</v>
      </c>
      <c r="AQ5" s="11">
        <f ca="1">U5-$W5</f>
        <v>3.484499999999997</v>
      </c>
      <c r="AR5" s="4">
        <f ca="1">V5-$W5</f>
        <v>2.7016166666666663</v>
      </c>
    </row>
    <row r="6" spans="1:52" x14ac:dyDescent="0.25">
      <c r="A6" t="s">
        <v>9</v>
      </c>
      <c r="B6">
        <f>B5+1</f>
        <v>1</v>
      </c>
      <c r="C6" s="20">
        <f ca="1">'Historical Trends'!O6</f>
        <v>35.646666666666647</v>
      </c>
      <c r="D6">
        <f ca="1">AVERAGE(OFFSET('Historical Trends'!$E$6,$B6,0,'Polling Correlations'!D$4,1))</f>
        <v>33.380000000000003</v>
      </c>
      <c r="E6">
        <f ca="1">AVERAGE(OFFSET('Historical Trends'!$E$6,$B6,0,'Polling Correlations'!E$4,1))</f>
        <v>35.685000000000002</v>
      </c>
      <c r="F6">
        <f ca="1">AVERAGE(OFFSET('Historical Trends'!$E$6,$B6,0,'Polling Correlations'!F$4,1))</f>
        <v>38.25</v>
      </c>
      <c r="G6">
        <f ca="1">AVERAGE(OFFSET('Historical Trends'!$E$6,$B6,0,'Polling Correlations'!G$4,1))</f>
        <v>38.094999999999999</v>
      </c>
      <c r="H6">
        <f ca="1">AVERAGE(OFFSET('Historical Trends'!$E$6,$B6,0,'Polling Correlations'!H$4,1))</f>
        <v>38.043999999999997</v>
      </c>
      <c r="I6">
        <f ca="1">AVERAGE(OFFSET('Historical Trends'!$E$6,$B6,0,'Polling Correlations'!I$4,1))</f>
        <v>38.386666666666663</v>
      </c>
      <c r="J6">
        <f ca="1">AVERAGE(OFFSET('Historical Trends'!$E$6,$B6,0,'Polling Correlations'!J$4,1))</f>
        <v>38.438571428571429</v>
      </c>
      <c r="K6" s="20">
        <f>(37+39+40+38+40)/5</f>
        <v>38.799999999999997</v>
      </c>
      <c r="L6">
        <f>(34+39+40+40+37)/5</f>
        <v>38</v>
      </c>
      <c r="M6">
        <f>(35+36+33+35+31.1)/5</f>
        <v>34.019999999999996</v>
      </c>
      <c r="N6">
        <f>(34.4+34+38+35+37)/5</f>
        <v>35.68</v>
      </c>
      <c r="O6">
        <f>(34.9+35+36.5+37+36)/5</f>
        <v>35.880000000000003</v>
      </c>
      <c r="P6">
        <f>SUM(35,34.6,34.5,36,37,36)/6</f>
        <v>35.516666666666666</v>
      </c>
      <c r="Q6" s="20">
        <f ca="1">K6*Q$4+$I6*(1-Q$4)</f>
        <v>38.578866666666656</v>
      </c>
      <c r="R6" s="11">
        <f ca="1">L6*R$4+$I6*(1-R$4)</f>
        <v>38.14306666666667</v>
      </c>
      <c r="S6" s="11">
        <f ca="1">M6*S$4+$I6*(1-S$4)</f>
        <v>35.198999999999998</v>
      </c>
      <c r="T6" s="11">
        <f ca="1">N6*T$4+$I6*(1-T$4)</f>
        <v>36.153666666666666</v>
      </c>
      <c r="U6" s="11">
        <f ca="1">O6*U$4+$I6*(1-U$4)</f>
        <v>36.331200000000003</v>
      </c>
      <c r="V6" s="4">
        <f t="shared" ref="V6:V30" ca="1" si="7">P6*V$4+$I6*(1-V$4)</f>
        <v>35.71756666666667</v>
      </c>
      <c r="W6" s="4">
        <f>'Historical Trends'!E6</f>
        <v>34.729999999999997</v>
      </c>
      <c r="Y6" s="20">
        <f ca="1">C6-$W6</f>
        <v>0.91666666666665009</v>
      </c>
      <c r="Z6">
        <f ca="1">D6-$W6</f>
        <v>-1.3499999999999943</v>
      </c>
      <c r="AA6">
        <f ca="1">E6-$W6</f>
        <v>0.9550000000000054</v>
      </c>
      <c r="AB6">
        <f ca="1">F6-$W6</f>
        <v>3.5200000000000031</v>
      </c>
      <c r="AC6">
        <f ca="1">G6-$W6</f>
        <v>3.365000000000002</v>
      </c>
      <c r="AD6">
        <f ca="1">H6-$W6</f>
        <v>3.3140000000000001</v>
      </c>
      <c r="AE6">
        <f ca="1">I6-$W6</f>
        <v>3.6566666666666663</v>
      </c>
      <c r="AF6">
        <f ca="1">J6-$W6</f>
        <v>3.7085714285714317</v>
      </c>
      <c r="AG6" s="20">
        <f>K6-$W6</f>
        <v>4.07</v>
      </c>
      <c r="AH6">
        <f>L6-$W6</f>
        <v>3.2700000000000031</v>
      </c>
      <c r="AI6">
        <f>M6-$W6</f>
        <v>-0.71000000000000085</v>
      </c>
      <c r="AJ6">
        <f>N6-$W6</f>
        <v>0.95000000000000284</v>
      </c>
      <c r="AK6">
        <f>O6-$W6</f>
        <v>1.1500000000000057</v>
      </c>
      <c r="AL6">
        <f>P6-$W6</f>
        <v>0.78666666666666885</v>
      </c>
      <c r="AM6" s="20">
        <f ca="1">Q6-$W6</f>
        <v>3.8488666666666589</v>
      </c>
      <c r="AN6" s="11">
        <f ca="1">R6-$W6</f>
        <v>3.4130666666666727</v>
      </c>
      <c r="AO6" s="11">
        <f ca="1">S6-$W6</f>
        <v>0.46900000000000119</v>
      </c>
      <c r="AP6" s="11">
        <f ca="1">T6-$W6</f>
        <v>1.4236666666666693</v>
      </c>
      <c r="AQ6" s="11">
        <f ca="1">U6-$W6</f>
        <v>1.6012000000000057</v>
      </c>
      <c r="AR6" s="4">
        <f ca="1">V6-$W6</f>
        <v>0.98756666666667314</v>
      </c>
      <c r="AS6" t="s">
        <v>150</v>
      </c>
      <c r="AT6">
        <f>LN(730)</f>
        <v>6.5930445341424369</v>
      </c>
      <c r="AU6">
        <f>LN(365)</f>
        <v>5.8998973535824915</v>
      </c>
      <c r="AV6">
        <f>LN(182)</f>
        <v>5.2040066870767951</v>
      </c>
      <c r="AW6">
        <f>LN(90)</f>
        <v>4.499809670330265</v>
      </c>
      <c r="AX6">
        <f>LN(30)</f>
        <v>3.4011973816621555</v>
      </c>
      <c r="AY6">
        <f>AVERAGE(AX6,AZ6)</f>
        <v>2.0471722811110502</v>
      </c>
      <c r="AZ6">
        <f>LN(2)</f>
        <v>0.69314718055994529</v>
      </c>
    </row>
    <row r="7" spans="1:52" x14ac:dyDescent="0.25">
      <c r="A7" t="s">
        <v>10</v>
      </c>
      <c r="B7">
        <f t="shared" ref="B7:B10" si="8">B6+1</f>
        <v>2</v>
      </c>
      <c r="C7" s="20">
        <f ca="1">'Historical Trends'!O7</f>
        <v>39.873790697674409</v>
      </c>
      <c r="D7">
        <f ca="1">AVERAGE(OFFSET('Historical Trends'!$E$6,$B7,0,'Polling Correlations'!D$4,1))</f>
        <v>37.99</v>
      </c>
      <c r="E7">
        <f ca="1">AVERAGE(OFFSET('Historical Trends'!$E$6,$B7,0,'Polling Correlations'!E$4,1))</f>
        <v>40.685000000000002</v>
      </c>
      <c r="F7">
        <f ca="1">AVERAGE(OFFSET('Historical Trends'!$E$6,$B7,0,'Polling Correlations'!F$4,1))</f>
        <v>39.666666666666664</v>
      </c>
      <c r="G7">
        <f ca="1">AVERAGE(OFFSET('Historical Trends'!$E$6,$B7,0,'Polling Correlations'!G$4,1))</f>
        <v>39.21</v>
      </c>
      <c r="H7">
        <f ca="1">AVERAGE(OFFSET('Historical Trends'!$E$6,$B7,0,'Polling Correlations'!H$4,1))</f>
        <v>39.387999999999998</v>
      </c>
      <c r="I7">
        <f ca="1">AVERAGE(OFFSET('Historical Trends'!$E$6,$B7,0,'Polling Correlations'!I$4,1))</f>
        <v>39.281666666666666</v>
      </c>
      <c r="J7">
        <f ca="1">AVERAGE(OFFSET('Historical Trends'!$E$6,$B7,0,'Polling Correlations'!J$4,1))</f>
        <v>40.087142857142858</v>
      </c>
      <c r="K7" s="20">
        <f>(27+27+28+30+31)/5</f>
        <v>28.6</v>
      </c>
      <c r="L7">
        <f>(33+32+35+33+30)/5</f>
        <v>32.6</v>
      </c>
      <c r="M7">
        <f>(32+31+30+32+35)/5</f>
        <v>32</v>
      </c>
      <c r="N7">
        <f>(30+31+32+34+31)/5</f>
        <v>31.6</v>
      </c>
      <c r="O7">
        <f>(37.5+37+40+37+39.3)/5</f>
        <v>38.160000000000004</v>
      </c>
      <c r="P7">
        <f>(33.7+33+33+32.7+35)/5</f>
        <v>33.480000000000004</v>
      </c>
      <c r="Q7" s="20">
        <f ca="1">K7*Q$4+$I7*(1-Q$4)</f>
        <v>34.314691666666661</v>
      </c>
      <c r="R7" s="11">
        <f ca="1">L7*R$4+$I7*(1-R$4)</f>
        <v>35.072216666666662</v>
      </c>
      <c r="S7" s="11">
        <f ca="1">M7*S$4+$I7*(1-S$4)</f>
        <v>33.966049999999996</v>
      </c>
      <c r="T7" s="11">
        <f ca="1">N7*T$4+$I7*(1-T$4)</f>
        <v>32.944291666666672</v>
      </c>
      <c r="U7" s="11">
        <f ca="1">O7*U$4+$I7*(1-U$4)</f>
        <v>38.361900000000006</v>
      </c>
      <c r="V7" s="4">
        <f t="shared" ca="1" si="7"/>
        <v>33.886116666666673</v>
      </c>
      <c r="W7" s="4">
        <f>'Historical Trends'!E7</f>
        <v>33.380000000000003</v>
      </c>
      <c r="Y7" s="20">
        <f ca="1">C7-$W7</f>
        <v>6.493790697674406</v>
      </c>
      <c r="Z7">
        <f ca="1">D7-$W7</f>
        <v>4.6099999999999994</v>
      </c>
      <c r="AA7">
        <f ca="1">E7-$W7</f>
        <v>7.3049999999999997</v>
      </c>
      <c r="AB7">
        <f ca="1">F7-$W7</f>
        <v>6.2866666666666617</v>
      </c>
      <c r="AC7">
        <f ca="1">G7-$W7</f>
        <v>5.8299999999999983</v>
      </c>
      <c r="AD7">
        <f ca="1">H7-$W7</f>
        <v>6.0079999999999956</v>
      </c>
      <c r="AE7">
        <f ca="1">I7-$W7</f>
        <v>5.9016666666666637</v>
      </c>
      <c r="AF7">
        <f ca="1">J7-$W7</f>
        <v>6.7071428571428555</v>
      </c>
      <c r="AG7" s="20">
        <f>K7-$W7</f>
        <v>-4.7800000000000011</v>
      </c>
      <c r="AH7">
        <f>L7-$W7</f>
        <v>-0.78000000000000114</v>
      </c>
      <c r="AI7">
        <f>M7-$W7</f>
        <v>-1.3800000000000026</v>
      </c>
      <c r="AJ7">
        <f>N7-$W7</f>
        <v>-1.7800000000000011</v>
      </c>
      <c r="AK7">
        <f>O7-$W7</f>
        <v>4.7800000000000011</v>
      </c>
      <c r="AL7">
        <f>P7-$W7</f>
        <v>0.10000000000000142</v>
      </c>
      <c r="AM7" s="20">
        <f ca="1">Q7-$W7</f>
        <v>0.9346916666666587</v>
      </c>
      <c r="AN7" s="11">
        <f ca="1">R7-$W7</f>
        <v>1.6922166666666598</v>
      </c>
      <c r="AO7" s="11">
        <f ca="1">S7-$W7</f>
        <v>0.58604999999999308</v>
      </c>
      <c r="AP7" s="11">
        <f ca="1">T7-$W7</f>
        <v>-0.4357083333333307</v>
      </c>
      <c r="AQ7" s="11">
        <f ca="1">U7-$W7</f>
        <v>4.9819000000000031</v>
      </c>
      <c r="AR7" s="4">
        <f ca="1">V7-$W7</f>
        <v>0.50611666666667077</v>
      </c>
      <c r="AS7" t="s">
        <v>151</v>
      </c>
      <c r="AT7">
        <f>AG4</f>
        <v>5.1222966004247024</v>
      </c>
      <c r="AU7">
        <f t="shared" ref="AU7:AX7" si="9">AH4</f>
        <v>4.2769482852216658</v>
      </c>
      <c r="AV7">
        <f t="shared" si="9"/>
        <v>3.5176700837394375</v>
      </c>
      <c r="AW7">
        <f t="shared" si="9"/>
        <v>2.9585642076757721</v>
      </c>
      <c r="AX7">
        <f t="shared" si="9"/>
        <v>2.9003454325657705</v>
      </c>
      <c r="AY7">
        <f t="shared" ref="AY7:AY11" si="10">AVERAGE(AX7,AZ7)</f>
        <v>2.466159340462958</v>
      </c>
      <c r="AZ7">
        <f>AL4</f>
        <v>2.0319732483601456</v>
      </c>
    </row>
    <row r="8" spans="1:52" x14ac:dyDescent="0.25">
      <c r="A8" t="s">
        <v>11</v>
      </c>
      <c r="B8">
        <f t="shared" si="8"/>
        <v>3</v>
      </c>
      <c r="C8" s="20">
        <f ca="1">'Historical Trends'!O8</f>
        <v>39.14101359703335</v>
      </c>
      <c r="D8">
        <f ca="1">AVERAGE(OFFSET('Historical Trends'!$E$6,$B8,0,'Polling Correlations'!D$4,1))</f>
        <v>43.38</v>
      </c>
      <c r="E8">
        <f ca="1">AVERAGE(OFFSET('Historical Trends'!$E$6,$B8,0,'Polling Correlations'!E$4,1))</f>
        <v>40.505000000000003</v>
      </c>
      <c r="F8">
        <f ca="1">AVERAGE(OFFSET('Historical Trends'!$E$6,$B8,0,'Polling Correlations'!F$4,1))</f>
        <v>39.616666666666667</v>
      </c>
      <c r="G8">
        <f ca="1">AVERAGE(OFFSET('Historical Trends'!$E$6,$B8,0,'Polling Correlations'!G$4,1))</f>
        <v>39.737500000000004</v>
      </c>
      <c r="H8">
        <f ca="1">AVERAGE(OFFSET('Historical Trends'!$E$6,$B8,0,'Polling Correlations'!H$4,1))</f>
        <v>39.540000000000006</v>
      </c>
      <c r="I8">
        <f ca="1">AVERAGE(OFFSET('Historical Trends'!$E$6,$B8,0,'Polling Correlations'!I$4,1))</f>
        <v>40.436666666666667</v>
      </c>
      <c r="J8">
        <f ca="1">AVERAGE(OFFSET('Historical Trends'!$E$6,$B8,0,'Polling Correlations'!J$4,1))</f>
        <v>40.294285714285714</v>
      </c>
      <c r="K8" s="20">
        <f>(47+47+43+44+46)/5</f>
        <v>45.4</v>
      </c>
      <c r="L8">
        <f>(45+46+43+44+41)/5</f>
        <v>43.8</v>
      </c>
      <c r="M8">
        <f>(39+40+40+43+43)/5</f>
        <v>41</v>
      </c>
      <c r="N8">
        <f>(37+35+43+43+39)/5</f>
        <v>39.4</v>
      </c>
      <c r="O8">
        <f>(42+42+35+35+37)/5</f>
        <v>38.200000000000003</v>
      </c>
      <c r="P8">
        <f>(36.2+38+38+37+40)/5</f>
        <v>37.839999999999996</v>
      </c>
      <c r="Q8" s="20">
        <f ca="1">K8*Q$4+$I8*(1-Q$4)</f>
        <v>42.744616666666666</v>
      </c>
      <c r="R8" s="11">
        <f ca="1">L8*R$4+$I8*(1-R$4)</f>
        <v>42.555566666666664</v>
      </c>
      <c r="S8" s="11">
        <f ca="1">M8*S$4+$I8*(1-S$4)</f>
        <v>40.847900000000003</v>
      </c>
      <c r="T8" s="11">
        <f ca="1">N8*T$4+$I8*(1-T$4)</f>
        <v>39.581416666666662</v>
      </c>
      <c r="U8" s="11">
        <f ca="1">O8*U$4+$I8*(1-U$4)</f>
        <v>38.602600000000002</v>
      </c>
      <c r="V8" s="4">
        <f t="shared" ca="1" si="7"/>
        <v>38.021766666666657</v>
      </c>
      <c r="W8" s="4">
        <f>'Historical Trends'!E8</f>
        <v>37.99</v>
      </c>
      <c r="Y8" s="20">
        <f ca="1">C8-$W8</f>
        <v>1.1510135970333479</v>
      </c>
      <c r="Z8">
        <f ca="1">D8-$W8</f>
        <v>5.3900000000000006</v>
      </c>
      <c r="AA8">
        <f ca="1">E8-$W8</f>
        <v>2.5150000000000006</v>
      </c>
      <c r="AB8">
        <f ca="1">F8-$W8</f>
        <v>1.6266666666666652</v>
      </c>
      <c r="AC8">
        <f ca="1">G8-$W8</f>
        <v>1.7475000000000023</v>
      </c>
      <c r="AD8">
        <f ca="1">H8-$W8</f>
        <v>1.5500000000000043</v>
      </c>
      <c r="AE8">
        <f ca="1">I8-$W8</f>
        <v>2.4466666666666654</v>
      </c>
      <c r="AF8">
        <f ca="1">J8-$W8</f>
        <v>2.3042857142857116</v>
      </c>
      <c r="AG8" s="20">
        <f>K8-$W8</f>
        <v>7.4099999999999966</v>
      </c>
      <c r="AH8">
        <f>L8-$W8</f>
        <v>5.8099999999999952</v>
      </c>
      <c r="AI8">
        <f>M8-$W8</f>
        <v>3.009999999999998</v>
      </c>
      <c r="AJ8">
        <f>N8-$W8</f>
        <v>1.4099999999999966</v>
      </c>
      <c r="AK8">
        <f>O8-$W8</f>
        <v>0.21000000000000085</v>
      </c>
      <c r="AL8">
        <f>P8-$W8</f>
        <v>-0.15000000000000568</v>
      </c>
      <c r="AM8" s="20">
        <f ca="1">Q8-$W8</f>
        <v>4.7546166666666636</v>
      </c>
      <c r="AN8" s="11">
        <f ca="1">R8-$W8</f>
        <v>4.5655666666666619</v>
      </c>
      <c r="AO8" s="11">
        <f ca="1">S8-$W8</f>
        <v>2.8579000000000008</v>
      </c>
      <c r="AP8" s="11">
        <f ca="1">T8-$W8</f>
        <v>1.5914166666666603</v>
      </c>
      <c r="AQ8" s="11">
        <f ca="1">U8-$W8</f>
        <v>0.61260000000000048</v>
      </c>
      <c r="AR8" s="4">
        <f ca="1">V8-$W8</f>
        <v>3.1766666666655397E-2</v>
      </c>
      <c r="AT8">
        <f ca="1">AM4</f>
        <v>4.4273201065868344</v>
      </c>
      <c r="AU8">
        <f t="shared" ref="AU8:AX8" ca="1" si="11">AN4</f>
        <v>3.9285414836060144</v>
      </c>
      <c r="AV8">
        <f t="shared" ca="1" si="11"/>
        <v>3.2592318705378176</v>
      </c>
      <c r="AW8">
        <f t="shared" ca="1" si="11"/>
        <v>2.8182496269833837</v>
      </c>
      <c r="AX8">
        <f t="shared" ca="1" si="11"/>
        <v>2.7520354096037374</v>
      </c>
      <c r="AY8">
        <f t="shared" ca="1" si="10"/>
        <v>2.3763954554513678</v>
      </c>
      <c r="AZ8">
        <f ca="1">AR4</f>
        <v>2.0007555012989977</v>
      </c>
    </row>
    <row r="9" spans="1:52" x14ac:dyDescent="0.25">
      <c r="A9" t="s">
        <v>12</v>
      </c>
      <c r="B9">
        <f t="shared" si="8"/>
        <v>4</v>
      </c>
      <c r="C9" s="20">
        <f ca="1">'Historical Trends'!O9</f>
        <v>36.776969696969672</v>
      </c>
      <c r="D9">
        <f ca="1">AVERAGE(OFFSET('Historical Trends'!$E$6,$B9,0,'Polling Correlations'!D$4,1))</f>
        <v>37.630000000000003</v>
      </c>
      <c r="E9">
        <f ca="1">AVERAGE(OFFSET('Historical Trends'!$E$6,$B9,0,'Polling Correlations'!E$4,1))</f>
        <v>37.734999999999999</v>
      </c>
      <c r="F9">
        <f ca="1">AVERAGE(OFFSET('Historical Trends'!$E$6,$B9,0,'Polling Correlations'!F$4,1))</f>
        <v>38.523333333333333</v>
      </c>
      <c r="G9">
        <f ca="1">AVERAGE(OFFSET('Historical Trends'!$E$6,$B9,0,'Polling Correlations'!G$4,1))</f>
        <v>38.58</v>
      </c>
      <c r="H9">
        <f ca="1">AVERAGE(OFFSET('Historical Trends'!$E$6,$B9,0,'Polling Correlations'!H$4,1))</f>
        <v>39.847999999999999</v>
      </c>
      <c r="I9">
        <f ca="1">AVERAGE(OFFSET('Historical Trends'!$E$6,$B9,0,'Polling Correlations'!I$4,1))</f>
        <v>39.78</v>
      </c>
      <c r="J9">
        <f ca="1">AVERAGE(OFFSET('Historical Trends'!$E$6,$B9,0,'Polling Correlations'!J$4,1))</f>
        <v>40.654285714285713</v>
      </c>
      <c r="K9" s="20">
        <f>(42+39+40+37+34)/5</f>
        <v>38.4</v>
      </c>
      <c r="L9">
        <f>(37+41+41+42+41)/5</f>
        <v>40.4</v>
      </c>
      <c r="M9">
        <f>(47+49+48+49+50)/5</f>
        <v>48.6</v>
      </c>
      <c r="N9">
        <f>(46+46+48+44+47)/5</f>
        <v>46.2</v>
      </c>
      <c r="O9">
        <f>(51+48+45+48+47)/5</f>
        <v>47.8</v>
      </c>
      <c r="P9">
        <f>(44+48+42.5+46+47)/5</f>
        <v>45.5</v>
      </c>
      <c r="Q9" s="20">
        <f ca="1">K9*Q$4+$I9*(1-Q$4)</f>
        <v>39.138300000000001</v>
      </c>
      <c r="R9" s="11">
        <f ca="1">L9*R$4+$I9*(1-R$4)</f>
        <v>40.1706</v>
      </c>
      <c r="S9" s="11">
        <f ca="1">M9*S$4+$I9*(1-S$4)</f>
        <v>46.218600000000002</v>
      </c>
      <c r="T9" s="11">
        <f ca="1">N9*T$4+$I9*(1-T$4)</f>
        <v>45.076500000000003</v>
      </c>
      <c r="U9" s="11">
        <f ca="1">O9*U$4+$I9*(1-U$4)</f>
        <v>46.356400000000001</v>
      </c>
      <c r="V9" s="4">
        <f t="shared" ca="1" si="7"/>
        <v>45.099600000000002</v>
      </c>
      <c r="W9" s="4">
        <f>'Historical Trends'!E9</f>
        <v>43.38</v>
      </c>
      <c r="Y9" s="20">
        <f ca="1">C9-$W9</f>
        <v>-6.6030303030303301</v>
      </c>
      <c r="Z9">
        <f ca="1">D9-$W9</f>
        <v>-5.75</v>
      </c>
      <c r="AA9">
        <f ca="1">E9-$W9</f>
        <v>-5.6450000000000031</v>
      </c>
      <c r="AB9">
        <f ca="1">F9-$W9</f>
        <v>-4.8566666666666691</v>
      </c>
      <c r="AC9">
        <f ca="1">G9-$W9</f>
        <v>-4.8000000000000043</v>
      </c>
      <c r="AD9">
        <f ca="1">H9-$W9</f>
        <v>-3.5320000000000036</v>
      </c>
      <c r="AE9">
        <f ca="1">I9-$W9</f>
        <v>-3.6000000000000014</v>
      </c>
      <c r="AF9">
        <f ca="1">J9-$W9</f>
        <v>-2.7257142857142895</v>
      </c>
      <c r="AG9" s="20">
        <f>K9-$W9</f>
        <v>-4.980000000000004</v>
      </c>
      <c r="AH9">
        <f>L9-$W9</f>
        <v>-2.980000000000004</v>
      </c>
      <c r="AI9">
        <f>M9-$W9</f>
        <v>5.2199999999999989</v>
      </c>
      <c r="AJ9">
        <f>N9-$W9</f>
        <v>2.8200000000000003</v>
      </c>
      <c r="AK9">
        <f>O9-$W9</f>
        <v>4.4199999999999946</v>
      </c>
      <c r="AL9">
        <f>P9-$W9</f>
        <v>2.1199999999999974</v>
      </c>
      <c r="AM9" s="20">
        <f ca="1">Q9-$W9</f>
        <v>-4.2417000000000016</v>
      </c>
      <c r="AN9" s="11">
        <f ca="1">R9-$W9</f>
        <v>-3.2094000000000023</v>
      </c>
      <c r="AO9" s="11">
        <f ca="1">S9-$W9</f>
        <v>2.8385999999999996</v>
      </c>
      <c r="AP9" s="11">
        <f ca="1">T9-$W9</f>
        <v>1.6965000000000003</v>
      </c>
      <c r="AQ9" s="11">
        <f ca="1">U9-$W9</f>
        <v>2.9763999999999982</v>
      </c>
      <c r="AR9" s="4">
        <f ca="1">V9-$W9</f>
        <v>1.7195999999999998</v>
      </c>
      <c r="AT9">
        <f ca="1">$AE$4</f>
        <v>5.0423038677643959</v>
      </c>
      <c r="AU9">
        <f t="shared" ref="AU9:AZ9" ca="1" si="12">$AE$4</f>
        <v>5.0423038677643959</v>
      </c>
      <c r="AV9">
        <f t="shared" ca="1" si="12"/>
        <v>5.0423038677643959</v>
      </c>
      <c r="AW9">
        <f t="shared" ca="1" si="12"/>
        <v>5.0423038677643959</v>
      </c>
      <c r="AX9">
        <f t="shared" ca="1" si="12"/>
        <v>5.0423038677643959</v>
      </c>
      <c r="AY9">
        <f t="shared" ca="1" si="10"/>
        <v>5.0423038677643959</v>
      </c>
      <c r="AZ9">
        <f t="shared" ca="1" si="12"/>
        <v>5.0423038677643959</v>
      </c>
    </row>
    <row r="10" spans="1:52" x14ac:dyDescent="0.25">
      <c r="A10" t="s">
        <v>14</v>
      </c>
      <c r="B10">
        <f t="shared" si="8"/>
        <v>5</v>
      </c>
      <c r="C10" s="20">
        <f ca="1">'Historical Trends'!O10</f>
        <v>36.610568603213778</v>
      </c>
      <c r="D10">
        <f ca="1">AVERAGE(OFFSET('Historical Trends'!$E$6,$B10,0,'Polling Correlations'!D$4,1))</f>
        <v>37.840000000000003</v>
      </c>
      <c r="E10">
        <f ca="1">AVERAGE(OFFSET('Historical Trends'!$E$6,$B10,0,'Polling Correlations'!E$4,1))</f>
        <v>38.97</v>
      </c>
      <c r="F10">
        <f ca="1">AVERAGE(OFFSET('Historical Trends'!$E$6,$B10,0,'Polling Correlations'!F$4,1))</f>
        <v>38.896666666666668</v>
      </c>
      <c r="G10">
        <f ca="1">AVERAGE(OFFSET('Historical Trends'!$E$6,$B10,0,'Polling Correlations'!G$4,1))</f>
        <v>40.402500000000003</v>
      </c>
      <c r="H10">
        <f ca="1">AVERAGE(OFFSET('Historical Trends'!$E$6,$B10,0,'Polling Correlations'!H$4,1))</f>
        <v>40.21</v>
      </c>
      <c r="I10">
        <f ca="1">AVERAGE(OFFSET('Historical Trends'!$E$6,$B10,0,'Polling Correlations'!I$4,1))</f>
        <v>41.158333333333339</v>
      </c>
      <c r="J10">
        <f ca="1">AVERAGE(OFFSET('Historical Trends'!$E$6,$B10,0,'Polling Correlations'!J$4,1))</f>
        <v>42.071428571428569</v>
      </c>
      <c r="N10">
        <f>(41+42+43+37+43)/5</f>
        <v>41.2</v>
      </c>
      <c r="O10">
        <f>(40+40+40+39+39)/5</f>
        <v>39.6</v>
      </c>
      <c r="P10">
        <f>(39+39+40+41+40)/5</f>
        <v>39.799999999999997</v>
      </c>
      <c r="Q10" s="20">
        <f ca="1">K10*Q$4+$I10*(1-Q$4)</f>
        <v>22.019708333333334</v>
      </c>
      <c r="R10" s="11">
        <f ca="1">L10*R$4+$I10*(1-R$4)</f>
        <v>15.228583333333335</v>
      </c>
      <c r="S10" s="11">
        <f ca="1">M10*S$4+$I10*(1-S$4)</f>
        <v>11.112750000000002</v>
      </c>
      <c r="T10" s="11">
        <f ca="1">N10*T$4+$I10*(1-T$4)</f>
        <v>41.192708333333336</v>
      </c>
      <c r="U10" s="11">
        <f ca="1">O10*U$4+$I10*(1-U$4)</f>
        <v>39.880500000000005</v>
      </c>
      <c r="V10" s="4">
        <f t="shared" ca="1" si="7"/>
        <v>39.895083333333325</v>
      </c>
      <c r="W10" s="4">
        <f>'Historical Trends'!E10</f>
        <v>37.630000000000003</v>
      </c>
      <c r="Y10" s="20">
        <f ca="1">C10-$W10</f>
        <v>-1.0194313967862243</v>
      </c>
      <c r="Z10">
        <f ca="1">D10-$W10</f>
        <v>0.21000000000000085</v>
      </c>
      <c r="AA10">
        <f ca="1">E10-$W10</f>
        <v>1.3399999999999963</v>
      </c>
      <c r="AB10">
        <f ca="1">F10-$W10</f>
        <v>1.2666666666666657</v>
      </c>
      <c r="AC10">
        <f ca="1">G10-$W10</f>
        <v>2.7725000000000009</v>
      </c>
      <c r="AD10">
        <f ca="1">H10-$W10</f>
        <v>2.5799999999999983</v>
      </c>
      <c r="AE10">
        <f ca="1">I10-$W10</f>
        <v>3.528333333333336</v>
      </c>
      <c r="AF10">
        <f ca="1">J10-$W10</f>
        <v>4.4414285714285668</v>
      </c>
      <c r="AJ10">
        <f>N10-$W10</f>
        <v>3.5700000000000003</v>
      </c>
      <c r="AK10">
        <f>O10-$W10</f>
        <v>1.9699999999999989</v>
      </c>
      <c r="AL10">
        <f>P10-$W10</f>
        <v>2.1699999999999946</v>
      </c>
      <c r="AP10" s="11">
        <f ca="1">T10-$W10</f>
        <v>3.5627083333333331</v>
      </c>
      <c r="AQ10" s="11">
        <f ca="1">U10-$W10</f>
        <v>2.2505000000000024</v>
      </c>
      <c r="AR10" s="4">
        <f ca="1">V10-$W10</f>
        <v>2.2650833333333225</v>
      </c>
      <c r="AT10">
        <f>Q4</f>
        <v>0.46500000000000002</v>
      </c>
      <c r="AU10">
        <f t="shared" ref="AU10:AX10" si="13">R4</f>
        <v>0.63</v>
      </c>
      <c r="AV10">
        <f t="shared" si="13"/>
        <v>0.73</v>
      </c>
      <c r="AW10">
        <f t="shared" si="13"/>
        <v>0.82499999999999996</v>
      </c>
      <c r="AX10">
        <f t="shared" si="13"/>
        <v>0.82</v>
      </c>
      <c r="AY10">
        <f t="shared" si="10"/>
        <v>0.875</v>
      </c>
      <c r="AZ10">
        <f>V4</f>
        <v>0.93</v>
      </c>
    </row>
    <row r="11" spans="1:52" x14ac:dyDescent="0.25">
      <c r="A11" t="s">
        <v>49</v>
      </c>
      <c r="B11">
        <v>0</v>
      </c>
      <c r="C11" s="20">
        <f ca="1">'Historical Trends'!O27</f>
        <v>29.854091470951971</v>
      </c>
      <c r="D11">
        <f ca="1">AVERAGE(OFFSET('Historical Trends'!$E$28,$B5,0,'Polling Correlations'!D$4,1))</f>
        <v>37.47</v>
      </c>
      <c r="E11">
        <f ca="1">AVERAGE(OFFSET('Historical Trends'!$E$28,$B5,0,'Polling Correlations'!E$4,1))</f>
        <v>32.064999999999998</v>
      </c>
      <c r="F11">
        <f ca="1">AVERAGE(OFFSET('Historical Trends'!$E$28,$B5,0,'Polling Correlations'!F$4,1))</f>
        <v>35.46</v>
      </c>
      <c r="G11">
        <f ca="1">AVERAGE(OFFSET('Historical Trends'!$E$28,$B5,0,'Polling Correlations'!G$4,1))</f>
        <v>38.325000000000003</v>
      </c>
      <c r="H11">
        <f ca="1">AVERAGE(OFFSET('Historical Trends'!$E$28,$B5,0,'Polling Correlations'!H$4,1))</f>
        <v>40.061999999999998</v>
      </c>
      <c r="I11">
        <f ca="1">AVERAGE(OFFSET('Historical Trends'!$E$28,$B5,0,'Polling Correlations'!I$4,1))</f>
        <v>41.548333333333332</v>
      </c>
      <c r="J11">
        <f ca="1">AVERAGE(OFFSET('Historical Trends'!$E$28,$B5,0,'Polling Correlations'!J$4,1))</f>
        <v>41.164285714285711</v>
      </c>
      <c r="K11" s="20">
        <f>(42+41+40+37.6+40)/5</f>
        <v>40.119999999999997</v>
      </c>
      <c r="L11">
        <f>(35+38+36+36.9+37)/5</f>
        <v>36.58</v>
      </c>
      <c r="M11">
        <f>(30.9+31+35+38+36)/5</f>
        <v>34.18</v>
      </c>
      <c r="N11">
        <f>(37+35+31.9+36+30.9)/5</f>
        <v>34.160000000000004</v>
      </c>
      <c r="O11">
        <f>(37+32.1+37+35+31.9)/5</f>
        <v>34.6</v>
      </c>
      <c r="P11">
        <f>(36+37+34+30.4+35)/5</f>
        <v>34.480000000000004</v>
      </c>
      <c r="Q11" s="20">
        <f ca="1">K11*Q$4+$I11*(1-Q$4)</f>
        <v>40.884158333333332</v>
      </c>
      <c r="R11" s="11">
        <f ca="1">L11*R$4+$I11*(1-R$4)</f>
        <v>38.418283333333335</v>
      </c>
      <c r="S11" s="11">
        <f ca="1">M11*S$4+$I11*(1-S$4)</f>
        <v>36.169449999999998</v>
      </c>
      <c r="T11" s="11">
        <f ca="1">N11*T$4+$I11*(1-T$4)</f>
        <v>35.452958333333335</v>
      </c>
      <c r="U11" s="11">
        <f ca="1">O11*U$4+$I11*(1-U$4)</f>
        <v>35.850700000000003</v>
      </c>
      <c r="V11" s="4">
        <f t="shared" ca="1" si="7"/>
        <v>34.974783333333342</v>
      </c>
      <c r="W11" s="4">
        <f>'Historical Trends'!E27</f>
        <v>35.43</v>
      </c>
      <c r="Y11" s="20">
        <f ca="1">C11-$W11</f>
        <v>-5.5759085290480286</v>
      </c>
      <c r="Z11">
        <f ca="1">D11-$W11</f>
        <v>2.0399999999999991</v>
      </c>
      <c r="AA11">
        <f ca="1">E11-$W11</f>
        <v>-3.365000000000002</v>
      </c>
      <c r="AB11">
        <f ca="1">F11-$W11</f>
        <v>3.0000000000001137E-2</v>
      </c>
      <c r="AC11">
        <f ca="1">G11-$W11</f>
        <v>2.8950000000000031</v>
      </c>
      <c r="AD11">
        <f ca="1">H11-$W11</f>
        <v>4.6319999999999979</v>
      </c>
      <c r="AE11">
        <f ca="1">I11-$W11</f>
        <v>6.1183333333333323</v>
      </c>
      <c r="AF11">
        <f ca="1">J11-$W11</f>
        <v>5.7342857142857113</v>
      </c>
      <c r="AG11" s="20">
        <f>K11-$W11</f>
        <v>4.6899999999999977</v>
      </c>
      <c r="AH11">
        <f>L11-$W11</f>
        <v>1.1499999999999986</v>
      </c>
      <c r="AI11">
        <f>M11-$W11</f>
        <v>-1.25</v>
      </c>
      <c r="AJ11">
        <f>N11-$W11</f>
        <v>-1.269999999999996</v>
      </c>
      <c r="AK11">
        <f>O11-$W11</f>
        <v>-0.82999999999999829</v>
      </c>
      <c r="AL11">
        <f>P11-$W11</f>
        <v>-0.94999999999999574</v>
      </c>
      <c r="AM11" s="20">
        <f ca="1">Q11-$W11</f>
        <v>5.4541583333333321</v>
      </c>
      <c r="AN11" s="11">
        <f ca="1">R11-$W11</f>
        <v>2.9882833333333352</v>
      </c>
      <c r="AO11" s="11">
        <f ca="1">S11-$W11</f>
        <v>0.73944999999999794</v>
      </c>
      <c r="AP11" s="11">
        <f ca="1">T11-$W11</f>
        <v>2.295833333333519E-2</v>
      </c>
      <c r="AQ11" s="11">
        <f ca="1">U11-$W11</f>
        <v>0.42070000000000363</v>
      </c>
      <c r="AR11" s="4">
        <f ca="1">V11-$W11</f>
        <v>-0.45521666666665794</v>
      </c>
      <c r="AT11">
        <f>AT10</f>
        <v>0.46500000000000002</v>
      </c>
      <c r="AU11">
        <f>AVERAGE(AT10:AV10)</f>
        <v>0.60833333333333328</v>
      </c>
      <c r="AV11">
        <f t="shared" ref="AV11:AW11" si="14">AVERAGE(AU10:AW10)</f>
        <v>0.72833333333333317</v>
      </c>
      <c r="AW11">
        <f t="shared" si="14"/>
        <v>0.79166666666666663</v>
      </c>
      <c r="AX11">
        <f>AVERAGE(AW10:AZ10)</f>
        <v>0.86250000000000004</v>
      </c>
      <c r="AY11">
        <f t="shared" si="10"/>
        <v>0.89624999999999999</v>
      </c>
      <c r="AZ11">
        <f>AZ10</f>
        <v>0.93</v>
      </c>
    </row>
    <row r="12" spans="1:52" x14ac:dyDescent="0.25">
      <c r="A12" t="s">
        <v>51</v>
      </c>
      <c r="B12">
        <f>B11+1</f>
        <v>1</v>
      </c>
      <c r="C12" s="20">
        <f ca="1">'Historical Trends'!O28</f>
        <v>33.264090909090783</v>
      </c>
      <c r="D12">
        <f ca="1">AVERAGE(OFFSET('Historical Trends'!$E$28,$B6,0,'Polling Correlations'!D$4,1))</f>
        <v>26.66</v>
      </c>
      <c r="E12">
        <f ca="1">AVERAGE(OFFSET('Historical Trends'!$E$28,$B6,0,'Polling Correlations'!E$4,1))</f>
        <v>34.454999999999998</v>
      </c>
      <c r="F12">
        <f ca="1">AVERAGE(OFFSET('Historical Trends'!$E$28,$B6,0,'Polling Correlations'!F$4,1))</f>
        <v>38.61</v>
      </c>
      <c r="G12">
        <f ca="1">AVERAGE(OFFSET('Historical Trends'!$E$28,$B6,0,'Polling Correlations'!G$4,1))</f>
        <v>40.71</v>
      </c>
      <c r="H12">
        <f ca="1">AVERAGE(OFFSET('Historical Trends'!$E$28,$B6,0,'Polling Correlations'!H$4,1))</f>
        <v>42.363999999999997</v>
      </c>
      <c r="I12">
        <f ca="1">AVERAGE(OFFSET('Historical Trends'!$E$28,$B6,0,'Polling Correlations'!I$4,1))</f>
        <v>41.78</v>
      </c>
      <c r="J12">
        <f ca="1">AVERAGE(OFFSET('Historical Trends'!$E$28,$B6,0,'Polling Correlations'!J$4,1))</f>
        <v>41.938571428571429</v>
      </c>
      <c r="K12" s="20">
        <f>AVERAGE(34.9,32.1,34.2,31,30.5)</f>
        <v>32.54</v>
      </c>
      <c r="L12">
        <f>AVERAGE(32,37,28.2,29,29.2)</f>
        <v>31.080000000000002</v>
      </c>
      <c r="M12">
        <f>AVERAGE(34.4,34.1,34,34,35.1)</f>
        <v>34.32</v>
      </c>
      <c r="N12">
        <f>AVERAGE(36,36,32,34.4,34.4)</f>
        <v>34.56</v>
      </c>
      <c r="O12">
        <f>AVERAGE(37.3,38,36,36.6,36)</f>
        <v>36.78</v>
      </c>
      <c r="P12">
        <f>(38+37+39+36.7+37)/5</f>
        <v>37.54</v>
      </c>
      <c r="Q12" s="20">
        <f ca="1">K12*Q$4+$I12*(1-Q$4)</f>
        <v>37.483399999999996</v>
      </c>
      <c r="R12" s="11">
        <f ca="1">L12*R$4+$I12*(1-R$4)</f>
        <v>35.039000000000001</v>
      </c>
      <c r="S12" s="11">
        <f ca="1">M12*S$4+$I12*(1-S$4)</f>
        <v>36.334200000000003</v>
      </c>
      <c r="T12" s="11">
        <f ca="1">N12*T$4+$I12*(1-T$4)</f>
        <v>35.823500000000003</v>
      </c>
      <c r="U12" s="11">
        <f ca="1">O12*U$4+$I12*(1-U$4)</f>
        <v>37.68</v>
      </c>
      <c r="V12" s="4">
        <f t="shared" ca="1" si="7"/>
        <v>37.836799999999997</v>
      </c>
      <c r="W12" s="4">
        <f>'Historical Trends'!E28</f>
        <v>37.47</v>
      </c>
      <c r="Y12" s="20">
        <f ca="1">C12-$W12</f>
        <v>-4.2059090909092163</v>
      </c>
      <c r="Z12">
        <f ca="1">D12-$W12</f>
        <v>-10.809999999999999</v>
      </c>
      <c r="AA12">
        <f ca="1">E12-$W12</f>
        <v>-3.0150000000000006</v>
      </c>
      <c r="AB12">
        <f ca="1">F12-$W12</f>
        <v>1.1400000000000006</v>
      </c>
      <c r="AC12" s="11">
        <f ca="1">G12-$W12</f>
        <v>3.240000000000002</v>
      </c>
      <c r="AD12">
        <f ca="1">H12-$W12</f>
        <v>4.8939999999999984</v>
      </c>
      <c r="AE12">
        <f ca="1">I12-$W12</f>
        <v>4.3100000000000023</v>
      </c>
      <c r="AF12">
        <f ca="1">J12-$W12</f>
        <v>4.4685714285714297</v>
      </c>
      <c r="AG12" s="20">
        <f>K12-$W12</f>
        <v>-4.93</v>
      </c>
      <c r="AH12">
        <f>L12-$W12</f>
        <v>-6.389999999999997</v>
      </c>
      <c r="AI12">
        <f>M12-$W12</f>
        <v>-3.1499999999999986</v>
      </c>
      <c r="AJ12">
        <f>N12-$W12</f>
        <v>-2.9099999999999966</v>
      </c>
      <c r="AK12">
        <f>O12-$W12</f>
        <v>-0.68999999999999773</v>
      </c>
      <c r="AL12">
        <f>P12-$W12</f>
        <v>7.0000000000000284E-2</v>
      </c>
      <c r="AM12" s="20">
        <f ca="1">Q12-$W12</f>
        <v>1.3399999999997192E-2</v>
      </c>
      <c r="AN12" s="11">
        <f ca="1">R12-$W12</f>
        <v>-2.4309999999999974</v>
      </c>
      <c r="AO12" s="11">
        <f ca="1">S12-$W12</f>
        <v>-1.1357999999999961</v>
      </c>
      <c r="AP12" s="11">
        <f ca="1">T12-$W12</f>
        <v>-1.6464999999999961</v>
      </c>
      <c r="AQ12" s="11">
        <f ca="1">U12-$W12</f>
        <v>0.21000000000000085</v>
      </c>
      <c r="AR12" s="4">
        <f ca="1">V12-$W12</f>
        <v>0.36679999999999779</v>
      </c>
    </row>
    <row r="13" spans="1:52" x14ac:dyDescent="0.25">
      <c r="A13" t="s">
        <v>52</v>
      </c>
      <c r="B13">
        <f t="shared" ref="B13:B15" si="15">B12+1</f>
        <v>2</v>
      </c>
      <c r="C13" s="20">
        <f ca="1">'Historical Trends'!O29</f>
        <v>46.550000000000011</v>
      </c>
      <c r="D13">
        <f ca="1">AVERAGE(OFFSET('Historical Trends'!$E$28,$B7,0,'Polling Correlations'!D$4,1))</f>
        <v>42.25</v>
      </c>
      <c r="E13">
        <f ca="1">AVERAGE(OFFSET('Historical Trends'!$E$28,$B7,0,'Polling Correlations'!E$4,1))</f>
        <v>44.585000000000001</v>
      </c>
      <c r="F13">
        <f ca="1">AVERAGE(OFFSET('Historical Trends'!$E$28,$B7,0,'Polling Correlations'!F$4,1))</f>
        <v>45.393333333333338</v>
      </c>
      <c r="G13">
        <f ca="1">AVERAGE(OFFSET('Historical Trends'!$E$28,$B7,0,'Polling Correlations'!G$4,1))</f>
        <v>46.29</v>
      </c>
      <c r="H13">
        <f ca="1">AVERAGE(OFFSET('Historical Trends'!$E$28,$B7,0,'Polling Correlations'!H$4,1))</f>
        <v>44.803999999999995</v>
      </c>
      <c r="I13">
        <f ca="1">AVERAGE(OFFSET('Historical Trends'!$E$28,$B7,0,'Polling Correlations'!I$4,1))</f>
        <v>44.484999999999992</v>
      </c>
      <c r="J13">
        <f ca="1">AVERAGE(OFFSET('Historical Trends'!$E$28,$B7,0,'Polling Correlations'!J$4,1))</f>
        <v>45.091428571428573</v>
      </c>
      <c r="K13" s="20">
        <f>AVERAGE(31,34,35,30,36)</f>
        <v>33.200000000000003</v>
      </c>
      <c r="L13">
        <f>AVERAGE(35,38,28,26,29)</f>
        <v>31.2</v>
      </c>
      <c r="M13">
        <f>AVERAGE(28,27,30,31,36)</f>
        <v>30.4</v>
      </c>
      <c r="N13">
        <f>AVERAGE(28,31,28,27,30)</f>
        <v>28.8</v>
      </c>
      <c r="O13">
        <f>AVERAGE(30,30,32,28,31)</f>
        <v>30.2</v>
      </c>
      <c r="P13">
        <f>AVERAGE(28,30,30,30,32)</f>
        <v>30</v>
      </c>
      <c r="Q13" s="20">
        <f ca="1">K13*Q$4+$I13*(1-Q$4)</f>
        <v>39.237474999999996</v>
      </c>
      <c r="R13" s="11">
        <f ca="1">L13*R$4+$I13*(1-R$4)</f>
        <v>36.115449999999996</v>
      </c>
      <c r="S13" s="11">
        <f ca="1">M13*S$4+$I13*(1-S$4)</f>
        <v>34.202950000000001</v>
      </c>
      <c r="T13" s="11">
        <f ca="1">N13*T$4+$I13*(1-T$4)</f>
        <v>31.544874999999998</v>
      </c>
      <c r="U13" s="11">
        <f ca="1">O13*U$4+$I13*(1-U$4)</f>
        <v>32.771299999999997</v>
      </c>
      <c r="V13" s="4">
        <f t="shared" ca="1" si="7"/>
        <v>31.013950000000001</v>
      </c>
      <c r="W13" s="4">
        <f>'Historical Trends'!E29</f>
        <v>26.66</v>
      </c>
      <c r="Y13" s="20">
        <f ca="1">C13-$W13</f>
        <v>19.890000000000011</v>
      </c>
      <c r="Z13">
        <f ca="1">D13-$W13</f>
        <v>15.59</v>
      </c>
      <c r="AA13">
        <f ca="1">E13-$W13</f>
        <v>17.925000000000001</v>
      </c>
      <c r="AB13">
        <f ca="1">F13-$W13</f>
        <v>18.733333333333338</v>
      </c>
      <c r="AC13">
        <f ca="1">G13-$W13</f>
        <v>19.63</v>
      </c>
      <c r="AD13">
        <f ca="1">H13-$W13</f>
        <v>18.143999999999995</v>
      </c>
      <c r="AE13">
        <f ca="1">I13-$W13</f>
        <v>17.824999999999992</v>
      </c>
      <c r="AF13">
        <f ca="1">J13-$W13</f>
        <v>18.431428571428572</v>
      </c>
      <c r="AG13" s="20">
        <f>K13-$W13</f>
        <v>6.5400000000000027</v>
      </c>
      <c r="AH13">
        <f>L13-$W13</f>
        <v>4.5399999999999991</v>
      </c>
      <c r="AI13">
        <f>M13-$W13</f>
        <v>3.7399999999999984</v>
      </c>
      <c r="AJ13">
        <f>N13-$W13</f>
        <v>2.1400000000000006</v>
      </c>
      <c r="AK13">
        <f>O13-$W13</f>
        <v>3.5399999999999991</v>
      </c>
      <c r="AL13">
        <f>P13-$W13</f>
        <v>3.34</v>
      </c>
      <c r="AM13" s="20">
        <f ca="1">Q13-$W13</f>
        <v>12.577474999999996</v>
      </c>
      <c r="AN13" s="11">
        <f ca="1">R13-$W13</f>
        <v>9.4554499999999955</v>
      </c>
      <c r="AO13" s="11">
        <f ca="1">S13-$W13</f>
        <v>7.5429500000000012</v>
      </c>
      <c r="AP13" s="11">
        <f ca="1">T13-$W13</f>
        <v>4.8848749999999974</v>
      </c>
      <c r="AQ13" s="11">
        <f ca="1">U13-$W13</f>
        <v>6.1112999999999964</v>
      </c>
      <c r="AR13" s="4">
        <f ca="1">V13-$W13</f>
        <v>4.3539500000000011</v>
      </c>
    </row>
    <row r="14" spans="1:52" x14ac:dyDescent="0.25">
      <c r="A14" t="s">
        <v>53</v>
      </c>
      <c r="B14">
        <f t="shared" si="15"/>
        <v>3</v>
      </c>
      <c r="C14" s="20">
        <f ca="1">'Historical Trends'!O30</f>
        <v>46.832232558139538</v>
      </c>
      <c r="D14">
        <f ca="1">AVERAGE(OFFSET('Historical Trends'!$E$28,$B8,0,'Polling Correlations'!D$4,1))</f>
        <v>46.92</v>
      </c>
      <c r="E14">
        <f ca="1">AVERAGE(OFFSET('Historical Trends'!$E$28,$B8,0,'Polling Correlations'!E$4,1))</f>
        <v>46.965000000000003</v>
      </c>
      <c r="F14">
        <f ca="1">AVERAGE(OFFSET('Historical Trends'!$E$28,$B8,0,'Polling Correlations'!F$4,1))</f>
        <v>47.636666666666663</v>
      </c>
      <c r="G14">
        <f ca="1">AVERAGE(OFFSET('Historical Trends'!$E$28,$B8,0,'Polling Correlations'!G$4,1))</f>
        <v>45.442499999999995</v>
      </c>
      <c r="H14">
        <f ca="1">AVERAGE(OFFSET('Historical Trends'!$E$28,$B8,0,'Polling Correlations'!H$4,1))</f>
        <v>44.931999999999995</v>
      </c>
      <c r="I14">
        <f ca="1">AVERAGE(OFFSET('Historical Trends'!$E$28,$B8,0,'Polling Correlations'!I$4,1))</f>
        <v>45.564999999999998</v>
      </c>
      <c r="J14">
        <f ca="1">AVERAGE(OFFSET('Historical Trends'!$E$28,$B8,0,'Polling Correlations'!J$4,1))</f>
        <v>46.244285714285709</v>
      </c>
      <c r="K14" s="20">
        <f>AVERAGE(42,48,48)</f>
        <v>46</v>
      </c>
      <c r="L14">
        <f>AVERAGE(52,50,46)</f>
        <v>49.333333333333336</v>
      </c>
      <c r="M14">
        <f>AVERAGE(43,44,43)</f>
        <v>43.333333333333336</v>
      </c>
      <c r="N14">
        <f>AVERAGE(45,43,43)</f>
        <v>43.666666666666664</v>
      </c>
      <c r="O14">
        <f>AVERAGE(41,45,43)</f>
        <v>43</v>
      </c>
      <c r="P14">
        <f>AVERAGE(42,41,41)</f>
        <v>41.333333333333336</v>
      </c>
      <c r="Q14" s="20">
        <f ca="1">K14*Q$4+$I14*(1-Q$4)</f>
        <v>45.767274999999998</v>
      </c>
      <c r="R14" s="11">
        <f ca="1">L14*R$4+$I14*(1-R$4)</f>
        <v>47.939050000000002</v>
      </c>
      <c r="S14" s="11">
        <f ca="1">M14*S$4+$I14*(1-S$4)</f>
        <v>43.935883333333337</v>
      </c>
      <c r="T14" s="11">
        <f ca="1">N14*T$4+$I14*(1-T$4)</f>
        <v>43.998874999999998</v>
      </c>
      <c r="U14" s="11">
        <f ca="1">O14*U$4+$I14*(1-U$4)</f>
        <v>43.4617</v>
      </c>
      <c r="V14" s="4">
        <f t="shared" ca="1" si="7"/>
        <v>41.629550000000002</v>
      </c>
      <c r="W14" s="4">
        <f>'Historical Trends'!E30</f>
        <v>42.25</v>
      </c>
      <c r="Y14" s="20">
        <f ca="1">C14-$W14</f>
        <v>4.5822325581395376</v>
      </c>
      <c r="Z14">
        <f ca="1">D14-$W14</f>
        <v>4.6700000000000017</v>
      </c>
      <c r="AA14">
        <f ca="1">E14-$W14</f>
        <v>4.7150000000000034</v>
      </c>
      <c r="AB14">
        <f ca="1">F14-$W14</f>
        <v>5.3866666666666632</v>
      </c>
      <c r="AC14">
        <f ca="1">G14-$W14</f>
        <v>3.1924999999999955</v>
      </c>
      <c r="AD14">
        <f ca="1">H14-$W14</f>
        <v>2.6819999999999951</v>
      </c>
      <c r="AE14">
        <f ca="1">I14-$W14</f>
        <v>3.3149999999999977</v>
      </c>
      <c r="AF14">
        <f ca="1">J14-$W14</f>
        <v>3.9942857142857093</v>
      </c>
      <c r="AG14" s="20">
        <f>K14-$W14</f>
        <v>3.75</v>
      </c>
      <c r="AH14">
        <f>L14-$W14</f>
        <v>7.0833333333333357</v>
      </c>
      <c r="AI14">
        <f>M14-$W14</f>
        <v>1.0833333333333357</v>
      </c>
      <c r="AJ14">
        <f>N14-$W14</f>
        <v>1.4166666666666643</v>
      </c>
      <c r="AK14">
        <f>O14-$W14</f>
        <v>0.75</v>
      </c>
      <c r="AL14">
        <f>P14-$W14</f>
        <v>-0.9166666666666643</v>
      </c>
      <c r="AM14" s="20">
        <f ca="1">Q14-$W14</f>
        <v>3.5172749999999979</v>
      </c>
      <c r="AN14" s="11">
        <f ca="1">R14-$W14</f>
        <v>5.6890500000000017</v>
      </c>
      <c r="AO14" s="11">
        <f ca="1">S14-$W14</f>
        <v>1.6858833333333365</v>
      </c>
      <c r="AP14" s="11">
        <f ca="1">T14-$W14</f>
        <v>1.7488749999999982</v>
      </c>
      <c r="AQ14" s="11">
        <f ca="1">U14-$W14</f>
        <v>1.2117000000000004</v>
      </c>
      <c r="AR14" s="4">
        <f ca="1">V14-$W14</f>
        <v>-0.62044999999999817</v>
      </c>
    </row>
    <row r="15" spans="1:52" x14ac:dyDescent="0.25">
      <c r="A15" t="s">
        <v>54</v>
      </c>
      <c r="B15">
        <f t="shared" si="15"/>
        <v>4</v>
      </c>
      <c r="C15" s="20">
        <f ca="1">'Historical Trends'!O31</f>
        <v>44.337523809523816</v>
      </c>
      <c r="D15">
        <f ca="1">AVERAGE(OFFSET('Historical Trends'!$E$28,$B9,0,'Polling Correlations'!D$4,1))</f>
        <v>47.01</v>
      </c>
      <c r="E15">
        <f ca="1">AVERAGE(OFFSET('Historical Trends'!$E$28,$B9,0,'Polling Correlations'!E$4,1))</f>
        <v>47.994999999999997</v>
      </c>
      <c r="F15">
        <f ca="1">AVERAGE(OFFSET('Historical Trends'!$E$28,$B9,0,'Polling Correlations'!F$4,1))</f>
        <v>44.949999999999996</v>
      </c>
      <c r="G15">
        <f ca="1">AVERAGE(OFFSET('Historical Trends'!$E$28,$B9,0,'Polling Correlations'!G$4,1))</f>
        <v>44.435000000000002</v>
      </c>
      <c r="H15">
        <f ca="1">AVERAGE(OFFSET('Historical Trends'!$E$28,$B9,0,'Polling Correlations'!H$4,1))</f>
        <v>45.293999999999997</v>
      </c>
      <c r="I15">
        <f ca="1">AVERAGE(OFFSET('Historical Trends'!$E$28,$B9,0,'Polling Correlations'!I$4,1))</f>
        <v>46.131666666666668</v>
      </c>
      <c r="J15">
        <f ca="1">AVERAGE(OFFSET('Historical Trends'!$E$28,$B9,0,'Polling Correlations'!J$4,1))</f>
        <v>45.444285714285719</v>
      </c>
      <c r="L15">
        <f>AVERAGE(41,40,47)</f>
        <v>42.666666666666664</v>
      </c>
      <c r="M15">
        <f>AVERAGE(40,40,41)</f>
        <v>40.333333333333336</v>
      </c>
      <c r="N15">
        <f>AVERAGE(41,40,40)</f>
        <v>40.333333333333336</v>
      </c>
      <c r="O15">
        <f>AVERAGE(45,41,40)</f>
        <v>42</v>
      </c>
      <c r="P15">
        <f>AVERAGE(48,48,45)</f>
        <v>47</v>
      </c>
      <c r="Q15" s="20">
        <f ca="1">K15*Q$4+$I15*(1-Q$4)</f>
        <v>24.680441666666663</v>
      </c>
      <c r="R15" s="11">
        <f ca="1">L15*R$4+$I15*(1-R$4)</f>
        <v>43.94871666666667</v>
      </c>
      <c r="S15" s="11">
        <f ca="1">M15*S$4+$I15*(1-S$4)</f>
        <v>41.898883333333337</v>
      </c>
      <c r="T15" s="11">
        <f ca="1">N15*T$4+$I15*(1-T$4)</f>
        <v>41.348041666666667</v>
      </c>
      <c r="U15" s="11">
        <f ca="1">O15*U$4+$I15*(1-U$4)</f>
        <v>42.743700000000004</v>
      </c>
      <c r="V15" s="4">
        <f t="shared" ca="1" si="7"/>
        <v>46.939216666666667</v>
      </c>
      <c r="W15" s="4">
        <f>'Historical Trends'!E31</f>
        <v>46.92</v>
      </c>
      <c r="Y15" s="20">
        <f ca="1">C15-$W15</f>
        <v>-2.5824761904761857</v>
      </c>
      <c r="Z15">
        <f ca="1">D15-$W15</f>
        <v>8.9999999999996305E-2</v>
      </c>
      <c r="AA15">
        <f ca="1">E15-$W15</f>
        <v>1.0749999999999957</v>
      </c>
      <c r="AB15">
        <f ca="1">F15-$W15</f>
        <v>-1.970000000000006</v>
      </c>
      <c r="AC15">
        <f ca="1">G15-$W15</f>
        <v>-2.4849999999999994</v>
      </c>
      <c r="AD15">
        <f ca="1">H15-$W15</f>
        <v>-1.6260000000000048</v>
      </c>
      <c r="AE15">
        <f ca="1">I15-$W15</f>
        <v>-0.788333333333334</v>
      </c>
      <c r="AF15">
        <f ca="1">J15-$W15</f>
        <v>-1.4757142857142824</v>
      </c>
      <c r="AH15">
        <f>L15-$W15</f>
        <v>-4.2533333333333374</v>
      </c>
      <c r="AI15">
        <f>M15-$W15</f>
        <v>-6.586666666666666</v>
      </c>
      <c r="AJ15">
        <f>N15-$W15</f>
        <v>-6.586666666666666</v>
      </c>
      <c r="AK15">
        <f>O15-$W15</f>
        <v>-4.9200000000000017</v>
      </c>
      <c r="AL15">
        <f>P15-$W15</f>
        <v>7.9999999999998295E-2</v>
      </c>
      <c r="AN15" s="11">
        <f ca="1">R15-$W15</f>
        <v>-2.9712833333333322</v>
      </c>
      <c r="AO15" s="11">
        <f ca="1">S15-$W15</f>
        <v>-5.0211166666666642</v>
      </c>
      <c r="AP15" s="11">
        <f ca="1">T15-$W15</f>
        <v>-5.5719583333333347</v>
      </c>
      <c r="AQ15" s="11">
        <f ca="1">U15-$W15</f>
        <v>-4.1762999999999977</v>
      </c>
      <c r="AR15" s="4">
        <f ca="1">V15-$W15</f>
        <v>1.9216666666665105E-2</v>
      </c>
    </row>
    <row r="16" spans="1:52" x14ac:dyDescent="0.25">
      <c r="A16" t="s">
        <v>48</v>
      </c>
      <c r="B16">
        <v>0</v>
      </c>
      <c r="C16" s="20">
        <f ca="1">'Historical Trends'!O46</f>
        <v>27.761999999999944</v>
      </c>
      <c r="D16">
        <f ca="1">AVERAGE(OFFSET('Historical Trends'!$E$48,$B5,0,'Polling Correlations'!D$4,1))</f>
        <v>34.08</v>
      </c>
      <c r="E16">
        <f ca="1">AVERAGE(OFFSET('Historical Trends'!$E$48,$B5,0,'Polling Correlations'!E$4,1))</f>
        <v>29.814999999999998</v>
      </c>
      <c r="F16">
        <f ca="1">AVERAGE(OFFSET('Historical Trends'!$E$48,$B5,0,'Polling Correlations'!F$4,1))</f>
        <v>32.869999999999997</v>
      </c>
      <c r="G16">
        <f ca="1">AVERAGE(OFFSET('Historical Trends'!$E$48,$B5,0,'Polling Correlations'!G$4,1))</f>
        <v>35.322499999999998</v>
      </c>
      <c r="H16">
        <f ca="1">AVERAGE(OFFSET('Historical Trends'!$E$48,$B5,0,'Polling Correlations'!H$4,1))</f>
        <v>36.700000000000003</v>
      </c>
      <c r="I16">
        <f ca="1">AVERAGE(OFFSET('Historical Trends'!$E$48,$B5,0,'Polling Correlations'!I$4,1))</f>
        <v>37.46</v>
      </c>
      <c r="J16">
        <f ca="1">AVERAGE(OFFSET('Historical Trends'!$E$48,$B5,0,'Polling Correlations'!J$4,1))</f>
        <v>37.687142857142859</v>
      </c>
      <c r="K16" s="20">
        <f>AVERAGE(34,36,28)</f>
        <v>32.666666666666664</v>
      </c>
      <c r="L16">
        <f>AVERAGE(34.6,34,39)</f>
        <v>35.866666666666667</v>
      </c>
      <c r="M16">
        <f>AVERAGE(33.5,34.6,34)</f>
        <v>34.033333333333331</v>
      </c>
      <c r="N16">
        <f>AVERAGE(35.5,39,33.5,34.6,34)</f>
        <v>35.32</v>
      </c>
      <c r="O16">
        <f>AVERAGE(36,36,35.5,39,33.5)</f>
        <v>36</v>
      </c>
      <c r="P16">
        <f>AVERAGE(35,38,36,35.8,36)</f>
        <v>36.160000000000004</v>
      </c>
      <c r="Q16" s="20">
        <f ca="1">K16*Q$4+$I16*(1-Q$4)</f>
        <v>35.231099999999998</v>
      </c>
      <c r="R16" s="11">
        <f ca="1">L16*R$4+$I16*(1-R$4)</f>
        <v>36.456200000000003</v>
      </c>
      <c r="S16" s="11">
        <f ca="1">M16*S$4+$I16*(1-S$4)</f>
        <v>34.958533333333335</v>
      </c>
      <c r="T16" s="11">
        <f ca="1">N16*T$4+$I16*(1-T$4)</f>
        <v>35.694500000000005</v>
      </c>
      <c r="U16" s="11">
        <f ca="1">O16*U$4+$I16*(1-U$4)</f>
        <v>36.262799999999999</v>
      </c>
      <c r="V16" s="4">
        <f t="shared" ca="1" si="7"/>
        <v>36.251000000000005</v>
      </c>
      <c r="W16" s="4">
        <f>'Historical Trends'!E47</f>
        <v>33.31</v>
      </c>
      <c r="Y16" s="20">
        <f ca="1">C16-$W16</f>
        <v>-5.5480000000000587</v>
      </c>
      <c r="Z16">
        <f ca="1">D16-$W16</f>
        <v>0.76999999999999602</v>
      </c>
      <c r="AA16">
        <f ca="1">E16-$W16</f>
        <v>-3.4950000000000045</v>
      </c>
      <c r="AB16">
        <f ca="1">F16-$W16</f>
        <v>-0.44000000000000483</v>
      </c>
      <c r="AC16">
        <f ca="1">G16-$W16</f>
        <v>2.0124999999999957</v>
      </c>
      <c r="AD16">
        <f ca="1">H16-$W16</f>
        <v>3.3900000000000006</v>
      </c>
      <c r="AE16">
        <f ca="1">I16-$W16</f>
        <v>4.1499999999999986</v>
      </c>
      <c r="AF16">
        <f ca="1">J16-$W16</f>
        <v>4.3771428571428572</v>
      </c>
      <c r="AG16" s="20">
        <f>K16-$W16</f>
        <v>-0.64333333333333798</v>
      </c>
      <c r="AH16">
        <f>L16-$W16</f>
        <v>2.5566666666666649</v>
      </c>
      <c r="AI16">
        <f>M16-$W16</f>
        <v>0.72333333333332916</v>
      </c>
      <c r="AJ16">
        <f>N16-$W16</f>
        <v>2.009999999999998</v>
      </c>
      <c r="AK16">
        <f>O16-$W16</f>
        <v>2.6899999999999977</v>
      </c>
      <c r="AL16">
        <f>P16-$W16</f>
        <v>2.8500000000000014</v>
      </c>
      <c r="AM16" s="20">
        <f ca="1">Q16-$W16</f>
        <v>1.9210999999999956</v>
      </c>
      <c r="AN16" s="11">
        <f ca="1">R16-$W16</f>
        <v>3.1462000000000003</v>
      </c>
      <c r="AO16" s="11">
        <f ca="1">S16-$W16</f>
        <v>1.648533333333333</v>
      </c>
      <c r="AP16" s="11">
        <f ca="1">T16-$W16</f>
        <v>2.3845000000000027</v>
      </c>
      <c r="AQ16" s="11">
        <f ca="1">U16-$W16</f>
        <v>2.9527999999999963</v>
      </c>
      <c r="AR16" s="4">
        <f ca="1">V16-$W16</f>
        <v>2.9410000000000025</v>
      </c>
    </row>
    <row r="17" spans="1:44" x14ac:dyDescent="0.25">
      <c r="A17" t="s">
        <v>70</v>
      </c>
      <c r="B17">
        <f>B16+1</f>
        <v>1</v>
      </c>
      <c r="C17" s="20">
        <f ca="1">'Historical Trends'!O47</f>
        <v>28.501999999999953</v>
      </c>
      <c r="D17">
        <f ca="1">AVERAGE(OFFSET('Historical Trends'!$E$48,$B6,0,'Polling Correlations'!D$4,1))</f>
        <v>25.55</v>
      </c>
      <c r="E17">
        <f ca="1">AVERAGE(OFFSET('Historical Trends'!$E$48,$B6,0,'Polling Correlations'!E$4,1))</f>
        <v>32.265000000000001</v>
      </c>
      <c r="F17">
        <f ca="1">AVERAGE(OFFSET('Historical Trends'!$E$48,$B6,0,'Polling Correlations'!F$4,1))</f>
        <v>35.736666666666672</v>
      </c>
      <c r="G17">
        <f ca="1">AVERAGE(OFFSET('Historical Trends'!$E$48,$B6,0,'Polling Correlations'!G$4,1))</f>
        <v>37.355000000000004</v>
      </c>
      <c r="H17">
        <f ca="1">AVERAGE(OFFSET('Historical Trends'!$E$48,$B6,0,'Polling Correlations'!H$4,1))</f>
        <v>38.136000000000003</v>
      </c>
      <c r="I17">
        <f ca="1">AVERAGE(OFFSET('Historical Trends'!$E$48,$B6,0,'Polling Correlations'!I$4,1))</f>
        <v>38.288333333333334</v>
      </c>
      <c r="J17">
        <f ca="1">AVERAGE(OFFSET('Historical Trends'!$E$48,$B6,0,'Polling Correlations'!J$4,1))</f>
        <v>38.315714285714293</v>
      </c>
      <c r="K17" s="20">
        <f>AVERAGE(23,27,29,31,28)</f>
        <v>27.6</v>
      </c>
      <c r="L17">
        <f>AVERAGE(35,31,32,28,28)</f>
        <v>30.8</v>
      </c>
      <c r="M17">
        <f>AVERAGE(35,33,31,37,37)</f>
        <v>34.6</v>
      </c>
      <c r="N17">
        <f>AVERAGE(38,33,34,33,35)</f>
        <v>34.6</v>
      </c>
      <c r="O17">
        <f>AVERAGE(35,36,36,36,36)</f>
        <v>35.799999999999997</v>
      </c>
      <c r="P17">
        <f>AVERAGE(33.8,34,34,36,36)</f>
        <v>34.760000000000005</v>
      </c>
      <c r="Q17" s="20">
        <f ca="1">K17*Q$4+$I17*(1-Q$4)</f>
        <v>33.318258333333333</v>
      </c>
      <c r="R17" s="11">
        <f ca="1">L17*R$4+$I17*(1-R$4)</f>
        <v>33.570683333333335</v>
      </c>
      <c r="S17" s="11">
        <f ca="1">M17*S$4+$I17*(1-S$4)</f>
        <v>35.595849999999999</v>
      </c>
      <c r="T17" s="11">
        <f ca="1">N17*T$4+$I17*(1-T$4)</f>
        <v>35.245458333333332</v>
      </c>
      <c r="U17" s="11">
        <f ca="1">O17*U$4+$I17*(1-U$4)</f>
        <v>36.247899999999994</v>
      </c>
      <c r="V17" s="4">
        <f t="shared" ca="1" si="7"/>
        <v>35.006983333333338</v>
      </c>
      <c r="W17" s="4">
        <f>'Historical Trends'!E48</f>
        <v>34.08</v>
      </c>
      <c r="Y17" s="20">
        <f ca="1">C17-$W17</f>
        <v>-5.5780000000000456</v>
      </c>
      <c r="Z17">
        <f ca="1">D17-$W17</f>
        <v>-8.5299999999999976</v>
      </c>
      <c r="AA17">
        <f ca="1">E17-$W17</f>
        <v>-1.8149999999999977</v>
      </c>
      <c r="AB17">
        <f ca="1">F17-$W17</f>
        <v>1.6566666666666734</v>
      </c>
      <c r="AC17">
        <f ca="1">G17-$W17</f>
        <v>3.2750000000000057</v>
      </c>
      <c r="AD17">
        <f ca="1">H17-$W17</f>
        <v>4.0560000000000045</v>
      </c>
      <c r="AE17">
        <f ca="1">I17-$W17</f>
        <v>4.2083333333333357</v>
      </c>
      <c r="AF17">
        <f ca="1">J17-$W17</f>
        <v>4.2357142857142946</v>
      </c>
      <c r="AG17" s="20">
        <f>K17-$W17</f>
        <v>-6.4799999999999969</v>
      </c>
      <c r="AH17">
        <f>L17-$W17</f>
        <v>-3.2799999999999976</v>
      </c>
      <c r="AI17">
        <f>M17-$W17</f>
        <v>0.52000000000000313</v>
      </c>
      <c r="AJ17">
        <f>N17-$W17</f>
        <v>0.52000000000000313</v>
      </c>
      <c r="AK17">
        <f>O17-$W17</f>
        <v>1.7199999999999989</v>
      </c>
      <c r="AL17">
        <f>P17-$W17</f>
        <v>0.68000000000000682</v>
      </c>
      <c r="AM17" s="20">
        <f ca="1">Q17-$W17</f>
        <v>-0.76174166666666565</v>
      </c>
      <c r="AN17" s="11">
        <f ca="1">R17-$W17</f>
        <v>-0.50931666666666331</v>
      </c>
      <c r="AO17" s="11">
        <f ca="1">S17-$W17</f>
        <v>1.5158500000000004</v>
      </c>
      <c r="AP17" s="11">
        <f ca="1">T17-$W17</f>
        <v>1.1654583333333335</v>
      </c>
      <c r="AQ17" s="11">
        <f ca="1">U17-$W17</f>
        <v>2.1678999999999959</v>
      </c>
      <c r="AR17" s="4">
        <f ca="1">V17-$W17</f>
        <v>0.92698333333333949</v>
      </c>
    </row>
    <row r="18" spans="1:44" x14ac:dyDescent="0.25">
      <c r="A18" t="s">
        <v>72</v>
      </c>
      <c r="B18">
        <f t="shared" ref="B18:B19" si="16">B17+1</f>
        <v>2</v>
      </c>
      <c r="C18" s="20">
        <f ca="1">'Historical Trends'!O48</f>
        <v>30.901333333333469</v>
      </c>
      <c r="D18">
        <f ca="1">AVERAGE(OFFSET('Historical Trends'!$E$48,$B7,0,'Polling Correlations'!D$4,1))</f>
        <v>38.979999999999997</v>
      </c>
      <c r="E18">
        <f ca="1">AVERAGE(OFFSET('Historical Trends'!$E$48,$B7,0,'Polling Correlations'!E$4,1))</f>
        <v>40.83</v>
      </c>
      <c r="F18">
        <f ca="1">AVERAGE(OFFSET('Historical Trends'!$E$48,$B7,0,'Polling Correlations'!F$4,1))</f>
        <v>41.29</v>
      </c>
      <c r="G18">
        <f ca="1">AVERAGE(OFFSET('Historical Trends'!$E$48,$B7,0,'Polling Correlations'!G$4,1))</f>
        <v>41.282499999999999</v>
      </c>
      <c r="H18">
        <f ca="1">AVERAGE(OFFSET('Historical Trends'!$E$48,$B7,0,'Polling Correlations'!H$4,1))</f>
        <v>40.835999999999999</v>
      </c>
      <c r="I18">
        <f ca="1">AVERAGE(OFFSET('Historical Trends'!$E$48,$B7,0,'Polling Correlations'!I$4,1))</f>
        <v>40.443333333333335</v>
      </c>
      <c r="J18">
        <f ca="1">AVERAGE(OFFSET('Historical Trends'!$E$48,$B7,0,'Polling Correlations'!J$4,1))</f>
        <v>41.632857142857141</v>
      </c>
      <c r="K18" s="20">
        <f>AVERAGE(30,26,29,33,32)</f>
        <v>30</v>
      </c>
      <c r="L18">
        <f>AVERAGE(29,30,29,29,26)</f>
        <v>28.6</v>
      </c>
      <c r="M18">
        <f>AVERAGE(25,25,31,29,30)</f>
        <v>28</v>
      </c>
      <c r="N18">
        <f>AVERAGE(24,23,25,25,31)</f>
        <v>25.6</v>
      </c>
      <c r="O18">
        <f>AVERAGE(22,24,23,27,20)</f>
        <v>23.2</v>
      </c>
      <c r="P18">
        <f>AVERAGE(22,22,23,23,26)</f>
        <v>23.2</v>
      </c>
      <c r="Q18" s="20">
        <f ca="1">K18*Q$4+$I18*(1-Q$4)</f>
        <v>35.587183333333336</v>
      </c>
      <c r="R18" s="11">
        <f ca="1">L18*R$4+$I18*(1-R$4)</f>
        <v>32.982033333333334</v>
      </c>
      <c r="S18" s="11">
        <f ca="1">M18*S$4+$I18*(1-S$4)</f>
        <v>31.359699999999997</v>
      </c>
      <c r="T18" s="11">
        <f ca="1">N18*T$4+$I18*(1-T$4)</f>
        <v>28.197583333333338</v>
      </c>
      <c r="U18" s="11">
        <f ca="1">O18*U$4+$I18*(1-U$4)</f>
        <v>26.303799999999999</v>
      </c>
      <c r="V18" s="4">
        <f t="shared" ca="1" si="7"/>
        <v>24.407033333333331</v>
      </c>
      <c r="W18" s="4">
        <f>'Historical Trends'!E49</f>
        <v>25.55</v>
      </c>
      <c r="Y18" s="20">
        <f ca="1">C18-$W18</f>
        <v>5.3513333333334678</v>
      </c>
      <c r="Z18">
        <f ca="1">D18-$W18</f>
        <v>13.429999999999996</v>
      </c>
      <c r="AA18">
        <f ca="1">E18-$W18</f>
        <v>15.279999999999998</v>
      </c>
      <c r="AB18">
        <f ca="1">F18-$W18</f>
        <v>15.739999999999998</v>
      </c>
      <c r="AC18">
        <f ca="1">G18-$W18</f>
        <v>15.732499999999998</v>
      </c>
      <c r="AD18">
        <f ca="1">H18-$W18</f>
        <v>15.285999999999998</v>
      </c>
      <c r="AE18">
        <f ca="1">I18-$W18</f>
        <v>14.893333333333334</v>
      </c>
      <c r="AF18">
        <f ca="1">J18-$W18</f>
        <v>16.08285714285714</v>
      </c>
      <c r="AG18" s="20">
        <f>K18-$W18</f>
        <v>4.4499999999999993</v>
      </c>
      <c r="AH18">
        <f>L18-$W18</f>
        <v>3.0500000000000007</v>
      </c>
      <c r="AI18">
        <f>M18-$W18</f>
        <v>2.4499999999999993</v>
      </c>
      <c r="AJ18">
        <f>N18-$W18</f>
        <v>5.0000000000000711E-2</v>
      </c>
      <c r="AK18">
        <f>O18-$W18</f>
        <v>-2.3500000000000014</v>
      </c>
      <c r="AL18">
        <f>P18-$W18</f>
        <v>-2.3500000000000014</v>
      </c>
      <c r="AM18" s="20">
        <f ca="1">Q18-$W18</f>
        <v>10.037183333333335</v>
      </c>
      <c r="AN18" s="11">
        <f ca="1">R18-$W18</f>
        <v>7.432033333333333</v>
      </c>
      <c r="AO18" s="11">
        <f ca="1">S18-$W18</f>
        <v>5.8096999999999959</v>
      </c>
      <c r="AP18" s="11">
        <f ca="1">T18-$W18</f>
        <v>2.647583333333337</v>
      </c>
      <c r="AQ18" s="11">
        <f ca="1">U18-$W18</f>
        <v>0.75379999999999825</v>
      </c>
      <c r="AR18" s="4">
        <f ca="1">V18-$W18</f>
        <v>-1.1429666666666698</v>
      </c>
    </row>
    <row r="19" spans="1:44" x14ac:dyDescent="0.25">
      <c r="A19" t="s">
        <v>73</v>
      </c>
      <c r="B19">
        <f t="shared" si="16"/>
        <v>3</v>
      </c>
      <c r="C19" s="20">
        <f ca="1">'Historical Trends'!O49</f>
        <v>41.860255591054312</v>
      </c>
      <c r="D19">
        <f ca="1">AVERAGE(OFFSET('Historical Trends'!$E$48,$B8,0,'Polling Correlations'!D$4,1))</f>
        <v>42.68</v>
      </c>
      <c r="E19">
        <f ca="1">AVERAGE(OFFSET('Historical Trends'!$E$48,$B8,0,'Polling Correlations'!E$4,1))</f>
        <v>42.445</v>
      </c>
      <c r="F19">
        <f ca="1">AVERAGE(OFFSET('Historical Trends'!$E$48,$B8,0,'Polling Correlations'!F$4,1))</f>
        <v>42.050000000000004</v>
      </c>
      <c r="G19">
        <f ca="1">AVERAGE(OFFSET('Historical Trends'!$E$48,$B8,0,'Polling Correlations'!G$4,1))</f>
        <v>41.3</v>
      </c>
      <c r="H19">
        <f ca="1">AVERAGE(OFFSET('Historical Trends'!$E$48,$B8,0,'Polling Correlations'!H$4,1))</f>
        <v>40.735999999999997</v>
      </c>
      <c r="I19">
        <f ca="1">AVERAGE(OFFSET('Historical Trends'!$E$48,$B8,0,'Polling Correlations'!I$4,1))</f>
        <v>42.074999999999996</v>
      </c>
      <c r="J19">
        <f ca="1">AVERAGE(OFFSET('Historical Trends'!$E$48,$B8,0,'Polling Correlations'!J$4,1))</f>
        <v>44.025714285714287</v>
      </c>
      <c r="K19" s="20">
        <f>AVERAGE(35,35,34,38,39)</f>
        <v>36.200000000000003</v>
      </c>
      <c r="L19">
        <f>AVERAGE(34,34,38,39,37)</f>
        <v>36.4</v>
      </c>
      <c r="M19">
        <f>AVERAGE(41,49,38,36,34)</f>
        <v>39.6</v>
      </c>
      <c r="N19">
        <f>AVERAGE(39,26,41,41,40)</f>
        <v>37.4</v>
      </c>
      <c r="O19">
        <f>AVERAGE(45,46,45,39,36)</f>
        <v>42.2</v>
      </c>
      <c r="P19">
        <f>AVERAGE(42,41,42,45,46)</f>
        <v>43.2</v>
      </c>
      <c r="Q19" s="20">
        <f ca="1">K19*Q$4+$I19*(1-Q$4)</f>
        <v>39.343125000000001</v>
      </c>
      <c r="R19" s="11">
        <f ca="1">L19*R$4+$I19*(1-R$4)</f>
        <v>38.499749999999999</v>
      </c>
      <c r="S19" s="11">
        <f ca="1">M19*S$4+$I19*(1-S$4)</f>
        <v>40.268250000000002</v>
      </c>
      <c r="T19" s="11">
        <f ca="1">N19*T$4+$I19*(1-T$4)</f>
        <v>38.218125000000001</v>
      </c>
      <c r="U19" s="11">
        <f ca="1">O19*U$4+$I19*(1-U$4)</f>
        <v>42.177500000000002</v>
      </c>
      <c r="V19" s="4">
        <f t="shared" ca="1" si="7"/>
        <v>43.121249999999996</v>
      </c>
      <c r="W19" s="4">
        <f>'Historical Trends'!E50</f>
        <v>38.979999999999997</v>
      </c>
      <c r="Y19" s="20">
        <f ca="1">C19-$W19</f>
        <v>2.8802555910543148</v>
      </c>
      <c r="Z19">
        <f ca="1">D19-$W19</f>
        <v>3.7000000000000028</v>
      </c>
      <c r="AA19">
        <f ca="1">E19-$W19</f>
        <v>3.4650000000000034</v>
      </c>
      <c r="AB19">
        <f ca="1">F19-$W19</f>
        <v>3.0700000000000074</v>
      </c>
      <c r="AC19">
        <f ca="1">G19-$W19</f>
        <v>2.3200000000000003</v>
      </c>
      <c r="AD19">
        <f ca="1">H19-$W19</f>
        <v>1.7560000000000002</v>
      </c>
      <c r="AE19">
        <f ca="1">I19-$W19</f>
        <v>3.0949999999999989</v>
      </c>
      <c r="AF19">
        <f ca="1">J19-$W19</f>
        <v>5.0457142857142898</v>
      </c>
      <c r="AG19" s="20">
        <f>K19-$W19</f>
        <v>-2.779999999999994</v>
      </c>
      <c r="AH19">
        <f>L19-$W19</f>
        <v>-2.5799999999999983</v>
      </c>
      <c r="AI19">
        <f>M19-$W19</f>
        <v>0.62000000000000455</v>
      </c>
      <c r="AJ19">
        <f>N19-$W19</f>
        <v>-1.5799999999999983</v>
      </c>
      <c r="AK19">
        <f>O19-$W19</f>
        <v>3.220000000000006</v>
      </c>
      <c r="AL19">
        <f>P19-$W19</f>
        <v>4.220000000000006</v>
      </c>
      <c r="AM19" s="20">
        <f ca="1">Q19-$W19</f>
        <v>0.36312500000000369</v>
      </c>
      <c r="AN19" s="11">
        <f ca="1">R19-$W19</f>
        <v>-0.48024999999999807</v>
      </c>
      <c r="AO19" s="11">
        <f ca="1">S19-$W19</f>
        <v>1.288250000000005</v>
      </c>
      <c r="AP19" s="11">
        <f ca="1">T19-$W19</f>
        <v>-0.76187499999999631</v>
      </c>
      <c r="AQ19" s="11">
        <f ca="1">U19-$W19</f>
        <v>3.1975000000000051</v>
      </c>
      <c r="AR19" s="4">
        <f ca="1">V19-$W19</f>
        <v>4.1412499999999994</v>
      </c>
    </row>
    <row r="20" spans="1:44" x14ac:dyDescent="0.25">
      <c r="A20" t="s">
        <v>91</v>
      </c>
      <c r="B20">
        <v>0</v>
      </c>
      <c r="C20" s="20">
        <f ca="1">'Historical Trends'!O65</f>
        <v>35.85866810655159</v>
      </c>
      <c r="D20">
        <f ca="1">AVERAGE(OFFSET('Historical Trends'!$E$66,$B5,0,'Polling Correlations'!D$4,1))</f>
        <v>38.1</v>
      </c>
      <c r="E20">
        <f ca="1">AVERAGE(OFFSET('Historical Trends'!$E$66,$B5,0,'Polling Correlations'!E$4,1))</f>
        <v>37.174999999999997</v>
      </c>
      <c r="F20">
        <f ca="1">AVERAGE(OFFSET('Historical Trends'!$E$66,$B5,0,'Polling Correlations'!F$4,1))</f>
        <v>39.136666666666663</v>
      </c>
      <c r="G20">
        <f ca="1">AVERAGE(OFFSET('Historical Trends'!$E$66,$B5,0,'Polling Correlations'!G$4,1))</f>
        <v>41.34</v>
      </c>
      <c r="H20">
        <f ca="1">AVERAGE(OFFSET('Historical Trends'!$E$66,$B5,0,'Polling Correlations'!H$4,1))</f>
        <v>42.186</v>
      </c>
      <c r="I20">
        <f ca="1">AVERAGE(OFFSET('Historical Trends'!$E$66,$B5,0,'Polling Correlations'!I$4,1))</f>
        <v>42.343333333333334</v>
      </c>
      <c r="J20">
        <f ca="1">AVERAGE(OFFSET('Historical Trends'!$E$66,$B5,0,'Polling Correlations'!J$4,1))</f>
        <v>41.781428571428577</v>
      </c>
      <c r="K20" s="20">
        <f>AVERAGE(37,40,34.6,38,39)</f>
        <v>37.72</v>
      </c>
      <c r="L20">
        <f>AVERAGE(38,39,33,30.3,37)</f>
        <v>35.46</v>
      </c>
      <c r="M20">
        <f>AVERAGE(38,37,36,38,39)</f>
        <v>37.6</v>
      </c>
      <c r="N20">
        <f>AVERAGE(38,36.7,38,37,36)</f>
        <v>37.14</v>
      </c>
      <c r="O20">
        <f>AVERAGE(37.7,42.38,36.7,38)</f>
        <v>38.695000000000007</v>
      </c>
      <c r="P20">
        <f>AVERAGE(41,40.8,40,40.4,41)</f>
        <v>40.64</v>
      </c>
      <c r="Q20" s="20">
        <f ca="1">K20*Q$4+$I20*(1-Q$4)</f>
        <v>40.193483333333333</v>
      </c>
      <c r="R20" s="11">
        <f ca="1">L20*R$4+$I20*(1-R$4)</f>
        <v>38.006833333333333</v>
      </c>
      <c r="S20" s="11">
        <f ca="1">M20*S$4+$I20*(1-S$4)</f>
        <v>38.880700000000004</v>
      </c>
      <c r="T20" s="11">
        <f ca="1">N20*T$4+$I20*(1-T$4)</f>
        <v>38.050583333333336</v>
      </c>
      <c r="U20" s="11">
        <f ca="1">O20*U$4+$I20*(1-U$4)</f>
        <v>39.351700000000008</v>
      </c>
      <c r="V20" s="4">
        <f t="shared" ca="1" si="7"/>
        <v>40.759233333333334</v>
      </c>
      <c r="W20" s="4">
        <f>'Historical Trends'!E65</f>
        <v>42.86</v>
      </c>
      <c r="Y20" s="20">
        <f ca="1">C20-$W20</f>
        <v>-7.001331893448409</v>
      </c>
      <c r="Z20">
        <f ca="1">D20-$W20</f>
        <v>-4.759999999999998</v>
      </c>
      <c r="AA20">
        <f ca="1">E20-$W20</f>
        <v>-5.6850000000000023</v>
      </c>
      <c r="AB20">
        <f ca="1">F20-$W20</f>
        <v>-3.7233333333333363</v>
      </c>
      <c r="AC20">
        <f ca="1">G20-$W20</f>
        <v>-1.519999999999996</v>
      </c>
      <c r="AD20">
        <f ca="1">H20-$W20</f>
        <v>-0.67399999999999949</v>
      </c>
      <c r="AE20">
        <f ca="1">I20-$W20</f>
        <v>-0.51666666666666572</v>
      </c>
      <c r="AF20">
        <f ca="1">J20-$W20</f>
        <v>-1.0785714285714221</v>
      </c>
      <c r="AG20" s="20">
        <f>K20-$W20</f>
        <v>-5.1400000000000006</v>
      </c>
      <c r="AH20">
        <f>L20-$W20</f>
        <v>-7.3999999999999986</v>
      </c>
      <c r="AI20">
        <f>M20-$W20</f>
        <v>-5.259999999999998</v>
      </c>
      <c r="AJ20">
        <f>N20-$W20</f>
        <v>-5.7199999999999989</v>
      </c>
      <c r="AK20">
        <f>O20-$W20</f>
        <v>-4.164999999999992</v>
      </c>
      <c r="AL20">
        <f>P20-$W20</f>
        <v>-2.2199999999999989</v>
      </c>
      <c r="AM20" s="20">
        <f ca="1">Q20-$W20</f>
        <v>-2.6665166666666664</v>
      </c>
      <c r="AN20" s="11">
        <f ca="1">R20-$W20</f>
        <v>-4.8531666666666666</v>
      </c>
      <c r="AO20" s="11">
        <f ca="1">S20-$W20</f>
        <v>-3.979299999999995</v>
      </c>
      <c r="AP20" s="11">
        <f ca="1">T20-$W20</f>
        <v>-4.8094166666666638</v>
      </c>
      <c r="AQ20" s="11">
        <f ca="1">U20-$W20</f>
        <v>-3.5082999999999913</v>
      </c>
      <c r="AR20" s="4">
        <f ca="1">V20-$W20</f>
        <v>-2.1007666666666651</v>
      </c>
    </row>
    <row r="21" spans="1:44" x14ac:dyDescent="0.25">
      <c r="A21" t="s">
        <v>92</v>
      </c>
      <c r="B21">
        <f>B20+1</f>
        <v>1</v>
      </c>
      <c r="C21" s="20">
        <f ca="1">'Historical Trends'!O66</f>
        <v>41.145026902382796</v>
      </c>
      <c r="D21">
        <f ca="1">AVERAGE(OFFSET('Historical Trends'!$E$66,$B6,0,'Polling Correlations'!D$4,1))</f>
        <v>36.25</v>
      </c>
      <c r="E21">
        <f ca="1">AVERAGE(OFFSET('Historical Trends'!$E$66,$B6,0,'Polling Correlations'!E$4,1))</f>
        <v>39.655000000000001</v>
      </c>
      <c r="F21">
        <f ca="1">AVERAGE(OFFSET('Historical Trends'!$E$66,$B6,0,'Polling Correlations'!F$4,1))</f>
        <v>42.42</v>
      </c>
      <c r="G21">
        <f ca="1">AVERAGE(OFFSET('Historical Trends'!$E$66,$B6,0,'Polling Correlations'!G$4,1))</f>
        <v>43.207500000000003</v>
      </c>
      <c r="H21">
        <f ca="1">AVERAGE(OFFSET('Historical Trends'!$E$66,$B6,0,'Polling Correlations'!H$4,1))</f>
        <v>43.192</v>
      </c>
      <c r="I21">
        <f ca="1">AVERAGE(OFFSET('Historical Trends'!$E$66,$B6,0,'Polling Correlations'!I$4,1))</f>
        <v>42.395000000000003</v>
      </c>
      <c r="J21">
        <f ca="1">AVERAGE(OFFSET('Historical Trends'!$E$66,$B6,0,'Polling Correlations'!J$4,1))</f>
        <v>42.988571428571433</v>
      </c>
      <c r="K21" s="20">
        <f>AVERAGE(39,41,35,32,33)</f>
        <v>36</v>
      </c>
      <c r="L21">
        <f>AVERAGE(38,35.8,38,38,38)</f>
        <v>37.56</v>
      </c>
      <c r="M21">
        <f>AVERAGE(39,39,37,38,35.8)</f>
        <v>37.760000000000005</v>
      </c>
      <c r="N21">
        <f>AVERAGE(38,37,35,42,38)</f>
        <v>38</v>
      </c>
      <c r="O21">
        <f>AVERAGE(37.5,38,39,38,37)</f>
        <v>37.9</v>
      </c>
      <c r="P21">
        <f>AVERAGE(38.3,39,39,39,39)</f>
        <v>38.86</v>
      </c>
      <c r="Q21" s="20">
        <f ca="1">K21*Q$4+$I21*(1-Q$4)</f>
        <v>39.421324999999996</v>
      </c>
      <c r="R21" s="11">
        <f ca="1">L21*R$4+$I21*(1-R$4)</f>
        <v>39.348950000000002</v>
      </c>
      <c r="S21" s="11">
        <f ca="1">M21*S$4+$I21*(1-S$4)</f>
        <v>39.011450000000004</v>
      </c>
      <c r="T21" s="11">
        <f ca="1">N21*T$4+$I21*(1-T$4)</f>
        <v>38.769125000000003</v>
      </c>
      <c r="U21" s="11">
        <f ca="1">O21*U$4+$I21*(1-U$4)</f>
        <v>38.709099999999999</v>
      </c>
      <c r="V21" s="4">
        <f t="shared" ca="1" si="7"/>
        <v>39.10745</v>
      </c>
      <c r="W21" s="4">
        <f>'Historical Trends'!E66</f>
        <v>38.1</v>
      </c>
      <c r="Y21" s="20">
        <f ca="1">C21-$W21</f>
        <v>3.0450269023827943</v>
      </c>
      <c r="Z21">
        <f ca="1">D21-$W21</f>
        <v>-1.8500000000000014</v>
      </c>
      <c r="AA21">
        <f ca="1">E21-$W21</f>
        <v>1.5549999999999997</v>
      </c>
      <c r="AB21">
        <f ca="1">F21-$W21</f>
        <v>4.32</v>
      </c>
      <c r="AC21">
        <f ca="1">G21-$W21</f>
        <v>5.1075000000000017</v>
      </c>
      <c r="AD21">
        <f ca="1">H21-$W21</f>
        <v>5.0919999999999987</v>
      </c>
      <c r="AE21">
        <f ca="1">I21-$W21</f>
        <v>4.2950000000000017</v>
      </c>
      <c r="AF21">
        <f ca="1">J21-$W21</f>
        <v>4.8885714285714315</v>
      </c>
      <c r="AG21" s="20">
        <f>K21-$W21</f>
        <v>-2.1000000000000014</v>
      </c>
      <c r="AH21">
        <f>L21-$W21</f>
        <v>-0.53999999999999915</v>
      </c>
      <c r="AI21">
        <f>M21-$W21</f>
        <v>-0.33999999999999631</v>
      </c>
      <c r="AJ21">
        <f>N21-$W21</f>
        <v>-0.10000000000000142</v>
      </c>
      <c r="AK21">
        <f>O21-$W21</f>
        <v>-0.20000000000000284</v>
      </c>
      <c r="AL21">
        <f>P21-$W21</f>
        <v>0.75999999999999801</v>
      </c>
      <c r="AM21" s="20">
        <f ca="1">Q21-$W21</f>
        <v>1.3213249999999945</v>
      </c>
      <c r="AN21" s="11">
        <f ca="1">R21-$W21</f>
        <v>1.2489500000000007</v>
      </c>
      <c r="AO21" s="11">
        <f ca="1">S21-$W21</f>
        <v>0.91145000000000209</v>
      </c>
      <c r="AP21" s="11">
        <f ca="1">T21-$W21</f>
        <v>0.66912500000000108</v>
      </c>
      <c r="AQ21" s="11">
        <f ca="1">U21-$W21</f>
        <v>0.60909999999999798</v>
      </c>
      <c r="AR21" s="4">
        <f ca="1">V21-$W21</f>
        <v>1.0074499999999986</v>
      </c>
    </row>
    <row r="22" spans="1:44" x14ac:dyDescent="0.25">
      <c r="A22" t="s">
        <v>93</v>
      </c>
      <c r="B22">
        <f t="shared" ref="B22:B23" si="17">B21+1</f>
        <v>2</v>
      </c>
      <c r="C22" s="20">
        <f ca="1">'Historical Trends'!O67</f>
        <v>45.306518063028449</v>
      </c>
      <c r="D22">
        <f ca="1">AVERAGE(OFFSET('Historical Trends'!$E$66,$B7,0,'Polling Correlations'!D$4,1))</f>
        <v>43.06</v>
      </c>
      <c r="E22">
        <f ca="1">AVERAGE(OFFSET('Historical Trends'!$E$66,$B7,0,'Polling Correlations'!E$4,1))</f>
        <v>45.505000000000003</v>
      </c>
      <c r="F22">
        <f ca="1">AVERAGE(OFFSET('Historical Trends'!$E$66,$B7,0,'Polling Correlations'!F$4,1))</f>
        <v>45.526666666666671</v>
      </c>
      <c r="G22">
        <f ca="1">AVERAGE(OFFSET('Historical Trends'!$E$66,$B7,0,'Polling Correlations'!G$4,1))</f>
        <v>44.927500000000002</v>
      </c>
      <c r="H22">
        <f ca="1">AVERAGE(OFFSET('Historical Trends'!$E$66,$B7,0,'Polling Correlations'!H$4,1))</f>
        <v>43.624000000000002</v>
      </c>
      <c r="I22">
        <f ca="1">AVERAGE(OFFSET('Historical Trends'!$E$66,$B7,0,'Polling Correlations'!I$4,1))</f>
        <v>44.111666666666672</v>
      </c>
      <c r="J22">
        <f ca="1">AVERAGE(OFFSET('Historical Trends'!$E$66,$B7,0,'Polling Correlations'!J$4,1))</f>
        <v>44.954285714285717</v>
      </c>
      <c r="K22" s="20">
        <f>AVERAGE(44,37,41,41,44)</f>
        <v>41.4</v>
      </c>
      <c r="L22">
        <f>AVERAGE(43,43,42,46,45)</f>
        <v>43.8</v>
      </c>
      <c r="M22">
        <f>AVERAGE(37,39,40,41,43)</f>
        <v>40</v>
      </c>
      <c r="N22">
        <f>AVERAGE(38,34,37,39,40)</f>
        <v>37.6</v>
      </c>
      <c r="O22">
        <f>AVERAGE(38,35,38,38,38)</f>
        <v>37.4</v>
      </c>
      <c r="P22">
        <f>AVERAGE(33,34,36,37,38)</f>
        <v>35.6</v>
      </c>
      <c r="Q22" s="20">
        <f ca="1">K22*Q$4+$I22*(1-Q$4)</f>
        <v>42.850741666666664</v>
      </c>
      <c r="R22" s="11">
        <f ca="1">L22*R$4+$I22*(1-R$4)</f>
        <v>43.915316666666669</v>
      </c>
      <c r="S22" s="11">
        <f ca="1">M22*S$4+$I22*(1-S$4)</f>
        <v>41.110150000000004</v>
      </c>
      <c r="T22" s="11">
        <f ca="1">N22*T$4+$I22*(1-T$4)</f>
        <v>38.739541666666668</v>
      </c>
      <c r="U22" s="11">
        <f ca="1">O22*U$4+$I22*(1-U$4)</f>
        <v>38.6081</v>
      </c>
      <c r="V22" s="4">
        <f t="shared" ca="1" si="7"/>
        <v>36.195816666666666</v>
      </c>
      <c r="W22" s="4">
        <f>'Historical Trends'!E67</f>
        <v>36.25</v>
      </c>
      <c r="Y22" s="20">
        <f ca="1">C22-$W22</f>
        <v>9.0565180630284488</v>
      </c>
      <c r="Z22">
        <f ca="1">D22-$W22</f>
        <v>6.8100000000000023</v>
      </c>
      <c r="AA22">
        <f ca="1">E22-$W22</f>
        <v>9.2550000000000026</v>
      </c>
      <c r="AB22">
        <f ca="1">F22-$W22</f>
        <v>9.2766666666666708</v>
      </c>
      <c r="AC22">
        <f ca="1">G22-$W22</f>
        <v>8.677500000000002</v>
      </c>
      <c r="AD22">
        <f ca="1">H22-$W22</f>
        <v>7.3740000000000023</v>
      </c>
      <c r="AE22">
        <f ca="1">I22-$W22</f>
        <v>7.8616666666666717</v>
      </c>
      <c r="AF22">
        <f ca="1">J22-$W22</f>
        <v>8.7042857142857173</v>
      </c>
      <c r="AG22" s="20">
        <f>K22-$W22</f>
        <v>5.1499999999999986</v>
      </c>
      <c r="AH22">
        <f>L22-$W22</f>
        <v>7.5499999999999972</v>
      </c>
      <c r="AI22">
        <f>M22-$W22</f>
        <v>3.75</v>
      </c>
      <c r="AJ22">
        <f>N22-$W22</f>
        <v>1.3500000000000014</v>
      </c>
      <c r="AK22">
        <f>O22-$W22</f>
        <v>1.1499999999999986</v>
      </c>
      <c r="AL22">
        <f>P22-$W22</f>
        <v>-0.64999999999999858</v>
      </c>
      <c r="AM22" s="20">
        <f ca="1">Q22-$W22</f>
        <v>6.6007416666666643</v>
      </c>
      <c r="AN22" s="11">
        <f ca="1">R22-$W22</f>
        <v>7.6653166666666692</v>
      </c>
      <c r="AO22" s="11">
        <f ca="1">S22-$W22</f>
        <v>4.8601500000000044</v>
      </c>
      <c r="AP22" s="11">
        <f ca="1">T22-$W22</f>
        <v>2.4895416666666677</v>
      </c>
      <c r="AQ22" s="11">
        <f ca="1">U22-$W22</f>
        <v>2.3581000000000003</v>
      </c>
      <c r="AR22" s="4">
        <f ca="1">V22-$W22</f>
        <v>-5.418333333333436E-2</v>
      </c>
    </row>
    <row r="23" spans="1:44" x14ac:dyDescent="0.25">
      <c r="A23" t="s">
        <v>94</v>
      </c>
      <c r="B23">
        <f t="shared" si="17"/>
        <v>3</v>
      </c>
      <c r="C23" s="20">
        <f ca="1">'Historical Trends'!O68</f>
        <v>44.231687500000021</v>
      </c>
      <c r="D23">
        <f ca="1">AVERAGE(OFFSET('Historical Trends'!$E$66,$B8,0,'Polling Correlations'!D$4,1))</f>
        <v>47.95</v>
      </c>
      <c r="E23">
        <f ca="1">AVERAGE(OFFSET('Historical Trends'!$E$66,$B8,0,'Polling Correlations'!E$4,1))</f>
        <v>46.760000000000005</v>
      </c>
      <c r="F23">
        <f ca="1">AVERAGE(OFFSET('Historical Trends'!$E$66,$B8,0,'Polling Correlations'!F$4,1))</f>
        <v>45.550000000000004</v>
      </c>
      <c r="G23">
        <f ca="1">AVERAGE(OFFSET('Historical Trends'!$E$66,$B8,0,'Polling Correlations'!G$4,1))</f>
        <v>43.765000000000001</v>
      </c>
      <c r="H23">
        <f ca="1">AVERAGE(OFFSET('Historical Trends'!$E$66,$B8,0,'Polling Correlations'!H$4,1))</f>
        <v>44.322000000000003</v>
      </c>
      <c r="I23">
        <f ca="1">AVERAGE(OFFSET('Historical Trends'!$E$66,$B8,0,'Polling Correlations'!I$4,1))</f>
        <v>45.27</v>
      </c>
      <c r="J23">
        <f ca="1">AVERAGE(OFFSET('Historical Trends'!$E$66,$B8,0,'Polling Correlations'!J$4,1))</f>
        <v>45.947142857142858</v>
      </c>
      <c r="L23">
        <f>AVERAGE(43,43,42,44)</f>
        <v>43</v>
      </c>
      <c r="M23">
        <f>AVERAGE(43,44,44,41,43)</f>
        <v>43</v>
      </c>
      <c r="N23">
        <f>AVERAGE(46,45,43,44,44)</f>
        <v>44.4</v>
      </c>
      <c r="O23">
        <f>AVERAGE(42,43,43,46,45)</f>
        <v>43.8</v>
      </c>
      <c r="P23">
        <f>AVERAGE(45,42,41,44,42)</f>
        <v>42.8</v>
      </c>
      <c r="Q23" s="20">
        <f ca="1">K23*Q$4+$I23*(1-Q$4)</f>
        <v>24.219449999999998</v>
      </c>
      <c r="R23" s="11">
        <f ca="1">L23*R$4+$I23*(1-R$4)</f>
        <v>43.8399</v>
      </c>
      <c r="S23" s="11">
        <f ca="1">M23*S$4+$I23*(1-S$4)</f>
        <v>43.612900000000003</v>
      </c>
      <c r="T23" s="11">
        <f ca="1">N23*T$4+$I23*(1-T$4)</f>
        <v>44.552250000000001</v>
      </c>
      <c r="U23" s="11">
        <f ca="1">O23*U$4+$I23*(1-U$4)</f>
        <v>44.064599999999999</v>
      </c>
      <c r="V23" s="4">
        <f t="shared" ca="1" si="7"/>
        <v>42.972900000000003</v>
      </c>
      <c r="W23" s="4">
        <f>'Historical Trends'!E68</f>
        <v>43.06</v>
      </c>
      <c r="Y23" s="20">
        <f ca="1">C23-$W23</f>
        <v>1.1716875000000186</v>
      </c>
      <c r="Z23">
        <f ca="1">D23-$W23</f>
        <v>4.8900000000000006</v>
      </c>
      <c r="AA23">
        <f ca="1">E23-$W23</f>
        <v>3.7000000000000028</v>
      </c>
      <c r="AB23">
        <f ca="1">F23-$W23</f>
        <v>2.490000000000002</v>
      </c>
      <c r="AC23">
        <f ca="1">G23-$W23</f>
        <v>0.70499999999999829</v>
      </c>
      <c r="AD23">
        <f ca="1">H23-$W23</f>
        <v>1.2620000000000005</v>
      </c>
      <c r="AE23">
        <f ca="1">I23-$W23</f>
        <v>2.2100000000000009</v>
      </c>
      <c r="AF23">
        <f ca="1">J23-$W23</f>
        <v>2.8871428571428552</v>
      </c>
      <c r="AH23">
        <f>L23-$W23</f>
        <v>-6.0000000000002274E-2</v>
      </c>
      <c r="AI23">
        <f>M23-$W23</f>
        <v>-6.0000000000002274E-2</v>
      </c>
      <c r="AJ23">
        <f>N23-$W23</f>
        <v>1.3399999999999963</v>
      </c>
      <c r="AK23">
        <f>O23-$W23</f>
        <v>0.73999999999999488</v>
      </c>
      <c r="AL23">
        <f>P23-$W23</f>
        <v>-0.26000000000000512</v>
      </c>
      <c r="AN23" s="11">
        <f ca="1">R23-$W23</f>
        <v>0.77989999999999782</v>
      </c>
      <c r="AO23" s="11">
        <f ca="1">S23-$W23</f>
        <v>0.55290000000000106</v>
      </c>
      <c r="AP23" s="11">
        <f ca="1">T23-$W23</f>
        <v>1.4922499999999985</v>
      </c>
      <c r="AQ23" s="11">
        <f ca="1">U23-$W23</f>
        <v>1.0045999999999964</v>
      </c>
      <c r="AR23" s="4">
        <f ca="1">V23-$W23</f>
        <v>-8.7099999999999511E-2</v>
      </c>
    </row>
    <row r="24" spans="1:44" x14ac:dyDescent="0.25">
      <c r="A24" t="s">
        <v>106</v>
      </c>
      <c r="B24">
        <v>0</v>
      </c>
      <c r="C24" s="20">
        <f ca="1">'Historical Trends'!O83</f>
        <v>35.400201421800972</v>
      </c>
      <c r="D24">
        <f ca="1">AVERAGE(OFFSET('Historical Trends'!$E$84,$B5,0,'Polling Correlations'!D$4,1))</f>
        <v>33.130000000000003</v>
      </c>
      <c r="E24">
        <f ca="1">AVERAGE(OFFSET('Historical Trends'!$E$84,$B5,0,'Polling Correlations'!E$4,1))</f>
        <v>34.484999999999999</v>
      </c>
      <c r="F24">
        <f ca="1">AVERAGE(OFFSET('Historical Trends'!$E$84,$B5,0,'Polling Correlations'!F$4,1))</f>
        <v>36.949999999999996</v>
      </c>
      <c r="G24">
        <f ca="1">AVERAGE(OFFSET('Historical Trends'!$E$84,$B5,0,'Polling Correlations'!G$4,1))</f>
        <v>37.022500000000001</v>
      </c>
      <c r="H24">
        <f ca="1">AVERAGE(OFFSET('Historical Trends'!$E$84,$B5,0,'Polling Correlations'!H$4,1))</f>
        <v>36.781999999999996</v>
      </c>
      <c r="I24">
        <f ca="1">AVERAGE(OFFSET('Historical Trends'!$E$84,$B5,0,'Polling Correlations'!I$4,1))</f>
        <v>36.831666666666671</v>
      </c>
      <c r="J24">
        <f ca="1">AVERAGE(OFFSET('Historical Trends'!$E$84,$B5,0,'Polling Correlations'!J$4,1))</f>
        <v>37.635714285714286</v>
      </c>
      <c r="K24" s="20">
        <f>AVERAGE(35,33,31,27,33)</f>
        <v>31.8</v>
      </c>
      <c r="L24">
        <f>AVERAGE(34,41,42,33,35)</f>
        <v>37</v>
      </c>
      <c r="M24">
        <f>AVERAGE(39,39,42,39.4,34)</f>
        <v>38.68</v>
      </c>
      <c r="N24">
        <f>AVERAGE(36,36.7,36.5,39,39)</f>
        <v>37.44</v>
      </c>
      <c r="O24">
        <f>AVERAGE(38,35,36,36.7,36.5)</f>
        <v>36.44</v>
      </c>
      <c r="P24">
        <f>AVERAGE(41.8,41,40,35.2,35)</f>
        <v>38.6</v>
      </c>
      <c r="Q24" s="20">
        <f ca="1">K24*Q$4+$I24*(1-Q$4)</f>
        <v>34.491941666666669</v>
      </c>
      <c r="R24" s="11">
        <f ca="1">L24*R$4+$I24*(1-R$4)</f>
        <v>36.937716666666667</v>
      </c>
      <c r="S24" s="11">
        <f ca="1">M24*S$4+$I24*(1-S$4)</f>
        <v>38.180950000000003</v>
      </c>
      <c r="T24" s="11">
        <f ca="1">N24*T$4+$I24*(1-T$4)</f>
        <v>37.333541666666669</v>
      </c>
      <c r="U24" s="11">
        <f ca="1">O24*U$4+$I24*(1-U$4)</f>
        <v>36.5105</v>
      </c>
      <c r="V24" s="4">
        <f t="shared" ca="1" si="7"/>
        <v>38.476216666666666</v>
      </c>
      <c r="W24" s="4">
        <f>'Historical Trends'!E83</f>
        <v>42.2</v>
      </c>
      <c r="Y24" s="20">
        <f ca="1">C24-$W24</f>
        <v>-6.7997985781990309</v>
      </c>
      <c r="Z24">
        <f ca="1">D24-$W24</f>
        <v>-9.07</v>
      </c>
      <c r="AA24">
        <f ca="1">E24-$W24</f>
        <v>-7.7150000000000034</v>
      </c>
      <c r="AB24">
        <f ca="1">F24-$W24</f>
        <v>-5.2500000000000071</v>
      </c>
      <c r="AC24">
        <f ca="1">G24-$W24</f>
        <v>-5.177500000000002</v>
      </c>
      <c r="AD24">
        <f ca="1">H24-$W24</f>
        <v>-5.4180000000000064</v>
      </c>
      <c r="AE24">
        <f ca="1">I24-$W24</f>
        <v>-5.3683333333333323</v>
      </c>
      <c r="AF24">
        <f ca="1">J24-$W24</f>
        <v>-4.5642857142857167</v>
      </c>
      <c r="AG24" s="20">
        <f>K24-$W24</f>
        <v>-10.400000000000002</v>
      </c>
      <c r="AH24">
        <f>L24-$W24</f>
        <v>-5.2000000000000028</v>
      </c>
      <c r="AI24">
        <f>M24-$W24</f>
        <v>-3.5200000000000031</v>
      </c>
      <c r="AJ24">
        <f>N24-$W24</f>
        <v>-4.7600000000000051</v>
      </c>
      <c r="AK24">
        <f>O24-$W24</f>
        <v>-5.7600000000000051</v>
      </c>
      <c r="AL24">
        <f>P24-$W24</f>
        <v>-3.6000000000000014</v>
      </c>
      <c r="AM24" s="20">
        <f ca="1">Q24-$W24</f>
        <v>-7.7080583333333337</v>
      </c>
      <c r="AN24" s="11">
        <f ca="1">R24-$W24</f>
        <v>-5.2622833333333361</v>
      </c>
      <c r="AO24" s="11">
        <f ca="1">S24-$W24</f>
        <v>-4.01905</v>
      </c>
      <c r="AP24" s="11">
        <f ca="1">T24-$W24</f>
        <v>-4.866458333333334</v>
      </c>
      <c r="AQ24" s="11">
        <f ca="1">U24-$W24</f>
        <v>-5.6895000000000024</v>
      </c>
      <c r="AR24" s="4">
        <f ca="1">V24-$W24</f>
        <v>-3.723783333333337</v>
      </c>
    </row>
    <row r="25" spans="1:44" x14ac:dyDescent="0.25">
      <c r="A25" t="s">
        <v>107</v>
      </c>
      <c r="B25">
        <f>B24+1</f>
        <v>1</v>
      </c>
      <c r="C25" s="20">
        <f ca="1">'Historical Trends'!O84</f>
        <v>36.795954773869369</v>
      </c>
      <c r="D25">
        <f ca="1">AVERAGE(OFFSET('Historical Trends'!$E$84,$B6,0,'Polling Correlations'!D$4,1))</f>
        <v>35.840000000000003</v>
      </c>
      <c r="E25">
        <f ca="1">AVERAGE(OFFSET('Historical Trends'!$E$84,$B6,0,'Polling Correlations'!E$4,1))</f>
        <v>38.86</v>
      </c>
      <c r="F25">
        <f ca="1">AVERAGE(OFFSET('Historical Trends'!$E$84,$B6,0,'Polling Correlations'!F$4,1))</f>
        <v>38.32</v>
      </c>
      <c r="G25">
        <f ca="1">AVERAGE(OFFSET('Historical Trends'!$E$84,$B6,0,'Polling Correlations'!G$4,1))</f>
        <v>37.695</v>
      </c>
      <c r="H25">
        <f ca="1">AVERAGE(OFFSET('Historical Trends'!$E$84,$B6,0,'Polling Correlations'!H$4,1))</f>
        <v>37.572000000000003</v>
      </c>
      <c r="I25">
        <f ca="1">AVERAGE(OFFSET('Historical Trends'!$E$84,$B6,0,'Polling Correlations'!I$4,1))</f>
        <v>38.38666666666667</v>
      </c>
      <c r="J25">
        <f ca="1">AVERAGE(OFFSET('Historical Trends'!$E$84,$B6,0,'Polling Correlations'!J$4,1))</f>
        <v>40.47428571428572</v>
      </c>
      <c r="K25" s="20">
        <f>AVERAGE(30,29,30)</f>
        <v>29.666666666666668</v>
      </c>
      <c r="L25">
        <f>AVERAGE(35,29,29)</f>
        <v>31</v>
      </c>
      <c r="M25">
        <f>AVERAGE(30,35,35)</f>
        <v>33.333333333333336</v>
      </c>
      <c r="N25">
        <f>AVERAGE(30,30,35)</f>
        <v>31.666666666666668</v>
      </c>
      <c r="O25">
        <f>AVERAGE(35,30,30,30,35)</f>
        <v>32</v>
      </c>
      <c r="P25">
        <f>AVERAGE(32,35,35,30,30)</f>
        <v>32.4</v>
      </c>
      <c r="Q25" s="20">
        <f ca="1">K25*Q$4+$I25*(1-Q$4)</f>
        <v>34.33186666666667</v>
      </c>
      <c r="R25" s="11">
        <f ca="1">L25*R$4+$I25*(1-R$4)</f>
        <v>33.733066666666673</v>
      </c>
      <c r="S25" s="11">
        <f ca="1">M25*S$4+$I25*(1-S$4)</f>
        <v>34.697733333333339</v>
      </c>
      <c r="T25" s="11">
        <f ca="1">N25*T$4+$I25*(1-T$4)</f>
        <v>32.842666666666666</v>
      </c>
      <c r="U25" s="11">
        <f ca="1">O25*U$4+$I25*(1-U$4)</f>
        <v>33.1496</v>
      </c>
      <c r="V25" s="4">
        <f t="shared" ca="1" si="7"/>
        <v>32.819066666666664</v>
      </c>
      <c r="W25" s="4">
        <f>'Historical Trends'!E84</f>
        <v>33.130000000000003</v>
      </c>
      <c r="Y25" s="20">
        <f ca="1">C25-$W25</f>
        <v>3.6659547738693661</v>
      </c>
      <c r="Z25">
        <f ca="1">D25-$W25</f>
        <v>2.7100000000000009</v>
      </c>
      <c r="AA25">
        <f ca="1">E25-$W25</f>
        <v>5.7299999999999969</v>
      </c>
      <c r="AB25">
        <f ca="1">F25-$W25</f>
        <v>5.1899999999999977</v>
      </c>
      <c r="AC25">
        <f ca="1">G25-$W25</f>
        <v>4.5649999999999977</v>
      </c>
      <c r="AD25">
        <f ca="1">H25-$W25</f>
        <v>4.4420000000000002</v>
      </c>
      <c r="AE25">
        <f ca="1">I25-$W25</f>
        <v>5.2566666666666677</v>
      </c>
      <c r="AF25">
        <f ca="1">J25-$W25</f>
        <v>7.3442857142857179</v>
      </c>
      <c r="AG25" s="20">
        <f>K25-$W25</f>
        <v>-3.4633333333333347</v>
      </c>
      <c r="AH25">
        <f>L25-$W25</f>
        <v>-2.1300000000000026</v>
      </c>
      <c r="AI25">
        <f>M25-$W25</f>
        <v>0.20333333333333314</v>
      </c>
      <c r="AJ25">
        <f>N25-$W25</f>
        <v>-1.4633333333333347</v>
      </c>
      <c r="AK25">
        <f>O25-$W25</f>
        <v>-1.1300000000000026</v>
      </c>
      <c r="AL25">
        <f>P25-$W25</f>
        <v>-0.73000000000000398</v>
      </c>
      <c r="AM25" s="20">
        <f ca="1">Q25-$W25</f>
        <v>1.2018666666666675</v>
      </c>
      <c r="AN25" s="11">
        <f ca="1">R25-$W25</f>
        <v>0.60306666666667041</v>
      </c>
      <c r="AO25" s="11">
        <f ca="1">S25-$W25</f>
        <v>1.5677333333333365</v>
      </c>
      <c r="AP25" s="11">
        <f ca="1">T25-$W25</f>
        <v>-0.28733333333333633</v>
      </c>
      <c r="AQ25" s="11">
        <f ca="1">U25-$W25</f>
        <v>1.9599999999996953E-2</v>
      </c>
      <c r="AR25" s="4">
        <f ca="1">V25-$W25</f>
        <v>-0.31093333333333817</v>
      </c>
    </row>
    <row r="26" spans="1:44" x14ac:dyDescent="0.25">
      <c r="A26" t="s">
        <v>108</v>
      </c>
      <c r="B26">
        <f>B25+1</f>
        <v>2</v>
      </c>
      <c r="C26" s="20">
        <f ca="1">'Historical Trends'!O85</f>
        <v>34.804108527131575</v>
      </c>
      <c r="D26">
        <f ca="1">AVERAGE(OFFSET('Historical Trends'!$E$84,$B7,0,'Polling Correlations'!D$4,1))</f>
        <v>41.88</v>
      </c>
      <c r="E26">
        <f ca="1">AVERAGE(OFFSET('Historical Trends'!$E$84,$B7,0,'Polling Correlations'!E$4,1))</f>
        <v>39.56</v>
      </c>
      <c r="F26">
        <f ca="1">AVERAGE(OFFSET('Historical Trends'!$E$84,$B7,0,'Polling Correlations'!F$4,1))</f>
        <v>38.313333333333333</v>
      </c>
      <c r="G26">
        <f ca="1">AVERAGE(OFFSET('Historical Trends'!$E$84,$B7,0,'Polling Correlations'!G$4,1))</f>
        <v>38.004999999999995</v>
      </c>
      <c r="H26">
        <f ca="1">AVERAGE(OFFSET('Historical Trends'!$E$84,$B7,0,'Polling Correlations'!H$4,1))</f>
        <v>38.896000000000001</v>
      </c>
      <c r="I26">
        <f ca="1">AVERAGE(OFFSET('Historical Trends'!$E$84,$B7,0,'Polling Correlations'!I$4,1))</f>
        <v>41.246666666666663</v>
      </c>
      <c r="J26">
        <f ca="1">AVERAGE(OFFSET('Historical Trends'!$E$84,$B7,0,'Polling Correlations'!J$4,1))</f>
        <v>42.948571428571427</v>
      </c>
      <c r="K26" s="20">
        <f>AVERAGE(42,42,42)</f>
        <v>42</v>
      </c>
      <c r="L26">
        <f>AVERAGE(44,44,39)</f>
        <v>42.333333333333336</v>
      </c>
      <c r="M26">
        <f>AVERAGE(42,40,44)</f>
        <v>42</v>
      </c>
      <c r="N26">
        <f>AVERAGE(41,42,40)</f>
        <v>41</v>
      </c>
      <c r="O26">
        <f>AVERAGE(41,42,40)</f>
        <v>41</v>
      </c>
      <c r="P26">
        <f>AVERAGE(35,42,42)</f>
        <v>39.666666666666664</v>
      </c>
      <c r="Q26" s="20">
        <f ca="1">K26*Q$4+$I26*(1-Q$4)</f>
        <v>41.59696666666666</v>
      </c>
      <c r="R26" s="11">
        <f ca="1">L26*R$4+$I26*(1-R$4)</f>
        <v>41.931266666666666</v>
      </c>
      <c r="S26" s="11">
        <f ca="1">M26*S$4+$I26*(1-S$4)</f>
        <v>41.796599999999998</v>
      </c>
      <c r="T26" s="11">
        <f ca="1">N26*T$4+$I26*(1-T$4)</f>
        <v>41.043166666666664</v>
      </c>
      <c r="U26" s="11">
        <f ca="1">O26*U$4+$I26*(1-U$4)</f>
        <v>41.044399999999996</v>
      </c>
      <c r="V26" s="4">
        <f t="shared" ca="1" si="7"/>
        <v>39.777266666666662</v>
      </c>
      <c r="W26" s="4">
        <f>'Historical Trends'!E85</f>
        <v>35.840000000000003</v>
      </c>
      <c r="Y26" s="20">
        <f ca="1">C26-$W26</f>
        <v>-1.0358914728684283</v>
      </c>
      <c r="Z26">
        <f ca="1">D26-$W26</f>
        <v>6.0399999999999991</v>
      </c>
      <c r="AA26">
        <f ca="1">E26-$W26</f>
        <v>3.7199999999999989</v>
      </c>
      <c r="AB26">
        <f ca="1">F26-$W26</f>
        <v>2.4733333333333292</v>
      </c>
      <c r="AC26">
        <f ca="1">G26-$W26</f>
        <v>2.164999999999992</v>
      </c>
      <c r="AD26">
        <f ca="1">H26-$W26</f>
        <v>3.0559999999999974</v>
      </c>
      <c r="AE26">
        <f ca="1">I26-$W26</f>
        <v>5.4066666666666592</v>
      </c>
      <c r="AF26">
        <f ca="1">J26-$W26</f>
        <v>7.1085714285714232</v>
      </c>
      <c r="AG26" s="20">
        <f>K26-$W26</f>
        <v>6.1599999999999966</v>
      </c>
      <c r="AH26">
        <f>L26-$W26</f>
        <v>6.4933333333333323</v>
      </c>
      <c r="AI26">
        <f>M26-$W26</f>
        <v>6.1599999999999966</v>
      </c>
      <c r="AJ26">
        <f>N26-$W26</f>
        <v>5.1599999999999966</v>
      </c>
      <c r="AK26">
        <f>O26-$W26</f>
        <v>5.1599999999999966</v>
      </c>
      <c r="AL26">
        <f>P26-$W26</f>
        <v>3.8266666666666609</v>
      </c>
      <c r="AM26" s="20">
        <f ca="1">Q26-$W26</f>
        <v>5.7569666666666564</v>
      </c>
      <c r="AN26" s="11">
        <f ca="1">R26-$W26</f>
        <v>6.0912666666666624</v>
      </c>
      <c r="AO26" s="11">
        <f ca="1">S26-$W26</f>
        <v>5.9565999999999946</v>
      </c>
      <c r="AP26" s="11">
        <f ca="1">T26-$W26</f>
        <v>5.2031666666666609</v>
      </c>
      <c r="AQ26" s="11">
        <f ca="1">U26-$W26</f>
        <v>5.2043999999999926</v>
      </c>
      <c r="AR26" s="4">
        <f ca="1">V26-$W26</f>
        <v>3.9372666666666589</v>
      </c>
    </row>
    <row r="27" spans="1:44" x14ac:dyDescent="0.25">
      <c r="A27" t="s">
        <v>124</v>
      </c>
      <c r="B27" s="4">
        <v>0</v>
      </c>
      <c r="C27" s="20">
        <f ca="1">'Historical Trends'!O100</f>
        <v>41.019499999999994</v>
      </c>
      <c r="D27">
        <f ca="1">AVERAGE(OFFSET('Historical Trends'!$E$101,$B5,0,'Polling Correlations'!D$4,1))</f>
        <v>35.799999999999997</v>
      </c>
      <c r="E27">
        <f ca="1">AVERAGE(OFFSET('Historical Trends'!$E$101,$B5,0,'Polling Correlations'!E$4,1))</f>
        <v>36.634999999999998</v>
      </c>
      <c r="F27">
        <f ca="1">AVERAGE(OFFSET('Historical Trends'!$E$101,$B5,0,'Polling Correlations'!F$4,1))</f>
        <v>39.496666666666663</v>
      </c>
      <c r="G27">
        <f ca="1">AVERAGE(OFFSET('Historical Trends'!$E$101,$B5,0,'Polling Correlations'!G$4,1))</f>
        <v>38.707499999999996</v>
      </c>
      <c r="H27">
        <f ca="1">AVERAGE(OFFSET('Historical Trends'!$E$101,$B5,0,'Polling Correlations'!H$4,1))</f>
        <v>37.997999999999998</v>
      </c>
      <c r="I27">
        <f ca="1">AVERAGE(OFFSET('Historical Trends'!$E$101,$B5,0,'Polling Correlations'!I$4,1))</f>
        <v>36.726666666666667</v>
      </c>
      <c r="J27">
        <f ca="1">AVERAGE(OFFSET('Historical Trends'!$E$101,$B5,0,'Polling Correlations'!J$4,1))</f>
        <v>37.207142857142856</v>
      </c>
      <c r="K27" s="20">
        <f>AVERAGE(35,37,28)</f>
        <v>33.333333333333336</v>
      </c>
      <c r="L27">
        <f>AVERAGE(35,36,27)</f>
        <v>32.666666666666664</v>
      </c>
      <c r="M27">
        <f>AVERAGE(37,28,36,35,36)</f>
        <v>34.4</v>
      </c>
      <c r="N27">
        <f>AVERAGE(36,27,38,34,35)</f>
        <v>34</v>
      </c>
      <c r="O27">
        <f>AVERAGE(26.1,34,27,37,28)</f>
        <v>30.419999999999998</v>
      </c>
      <c r="P27">
        <f>AVERAGE(31,31,30,26.1,34)</f>
        <v>30.419999999999998</v>
      </c>
      <c r="Q27" s="20">
        <f ca="1">K27*Q$4+$I27*(1-Q$4)</f>
        <v>35.148766666666667</v>
      </c>
      <c r="R27" s="11">
        <f ca="1">L27*R$4+$I27*(1-R$4)</f>
        <v>34.168866666666666</v>
      </c>
      <c r="S27" s="11">
        <f ca="1">M27*S$4+$I27*(1-S$4)</f>
        <v>35.028199999999998</v>
      </c>
      <c r="T27" s="11">
        <f ca="1">N27*T$4+$I27*(1-T$4)</f>
        <v>34.477166666666662</v>
      </c>
      <c r="U27" s="11">
        <f ca="1">O27*U$4+$I27*(1-U$4)</f>
        <v>31.555199999999999</v>
      </c>
      <c r="V27" s="4">
        <f t="shared" ca="1" si="7"/>
        <v>30.861466666666665</v>
      </c>
      <c r="W27" s="4">
        <f>'Historical Trends'!E100</f>
        <v>32.799999999999997</v>
      </c>
      <c r="Y27" s="20">
        <f ca="1">C27-$W27</f>
        <v>8.2194999999999965</v>
      </c>
      <c r="Z27">
        <f ca="1">D27-$W27</f>
        <v>3</v>
      </c>
      <c r="AA27">
        <f ca="1">E27-$W27</f>
        <v>3.8350000000000009</v>
      </c>
      <c r="AB27">
        <f ca="1">F27-$W27</f>
        <v>6.6966666666666654</v>
      </c>
      <c r="AC27">
        <f ca="1">G27-$W27</f>
        <v>5.9074999999999989</v>
      </c>
      <c r="AD27">
        <f ca="1">H27-$W27</f>
        <v>5.1980000000000004</v>
      </c>
      <c r="AE27">
        <f ca="1">I27-$W27</f>
        <v>3.9266666666666694</v>
      </c>
      <c r="AF27">
        <f ca="1">J27-$W27</f>
        <v>4.4071428571428584</v>
      </c>
      <c r="AG27" s="20">
        <f>K27-$W27</f>
        <v>0.53333333333333854</v>
      </c>
      <c r="AH27">
        <f>L27-$W27</f>
        <v>-0.13333333333333286</v>
      </c>
      <c r="AI27">
        <f>M27-$W27</f>
        <v>1.6000000000000014</v>
      </c>
      <c r="AJ27">
        <f>N27-$W27</f>
        <v>1.2000000000000028</v>
      </c>
      <c r="AK27">
        <f>O27-$W27</f>
        <v>-2.379999999999999</v>
      </c>
      <c r="AL27">
        <f>P27-$W27</f>
        <v>-2.379999999999999</v>
      </c>
      <c r="AM27" s="20">
        <f ca="1">Q27-$W27</f>
        <v>2.3487666666666698</v>
      </c>
      <c r="AN27" s="11">
        <f ca="1">R27-$W27</f>
        <v>1.3688666666666691</v>
      </c>
      <c r="AO27" s="11">
        <f ca="1">S27-$W27</f>
        <v>2.2282000000000011</v>
      </c>
      <c r="AP27" s="11">
        <f ca="1">T27-$W27</f>
        <v>1.6771666666666647</v>
      </c>
      <c r="AQ27" s="11">
        <f ca="1">U27-$W27</f>
        <v>-1.2447999999999979</v>
      </c>
      <c r="AR27" s="4">
        <f ca="1">V27-$W27</f>
        <v>-1.9385333333333321</v>
      </c>
    </row>
    <row r="28" spans="1:44" x14ac:dyDescent="0.25">
      <c r="A28" t="s">
        <v>125</v>
      </c>
      <c r="B28" s="4">
        <f>B27+1</f>
        <v>1</v>
      </c>
      <c r="C28" s="20">
        <f ca="1">'Historical Trends'!O101</f>
        <v>40.728257217847784</v>
      </c>
      <c r="D28">
        <f ca="1">AVERAGE(OFFSET('Historical Trends'!$E$101,$B6,0,'Polling Correlations'!D$4,1))</f>
        <v>37.47</v>
      </c>
      <c r="E28">
        <f ca="1">AVERAGE(OFFSET('Historical Trends'!$E$101,$B6,0,'Polling Correlations'!E$4,1))</f>
        <v>41.344999999999999</v>
      </c>
      <c r="F28">
        <f ca="1">AVERAGE(OFFSET('Historical Trends'!$E$101,$B6,0,'Polling Correlations'!F$4,1))</f>
        <v>39.676666666666669</v>
      </c>
      <c r="G28">
        <f ca="1">AVERAGE(OFFSET('Historical Trends'!$E$101,$B6,0,'Polling Correlations'!G$4,1))</f>
        <v>38.547499999999999</v>
      </c>
      <c r="H28">
        <f ca="1">AVERAGE(OFFSET('Historical Trends'!$E$101,$B6,0,'Polling Correlations'!H$4,1))</f>
        <v>36.911999999999999</v>
      </c>
      <c r="I28">
        <f ca="1">AVERAGE(OFFSET('Historical Trends'!$E$101,$B6,0,'Polling Correlations'!I$4,1))</f>
        <v>37.44166666666667</v>
      </c>
      <c r="J28">
        <f ca="1">AVERAGE(OFFSET('Historical Trends'!$E$101,$B6,0,'Polling Correlations'!J$4,1))</f>
        <v>38.977142857142859</v>
      </c>
      <c r="K28" s="20">
        <f>AVERAGE(34,34,38)</f>
        <v>35.333333333333336</v>
      </c>
      <c r="L28">
        <f>AVERAGE(33,30,37)</f>
        <v>33.333333333333336</v>
      </c>
      <c r="M28">
        <f>AVERAGE(32,33,30)</f>
        <v>31.666666666666668</v>
      </c>
      <c r="N28">
        <f>AVERAGE(33,36,32)</f>
        <v>33.666666666666664</v>
      </c>
      <c r="O28">
        <f>AVERAGE(34,35,33)</f>
        <v>34</v>
      </c>
      <c r="P28">
        <f>AVERAGE(34,34,35)</f>
        <v>34.333333333333336</v>
      </c>
      <c r="Q28" s="20">
        <f ca="1">K28*Q$4+$I28*(1-Q$4)</f>
        <v>36.461291666666668</v>
      </c>
      <c r="R28" s="11">
        <f ca="1">L28*R$4+$I28*(1-R$4)</f>
        <v>34.853416666666668</v>
      </c>
      <c r="S28" s="11">
        <f ca="1">M28*S$4+$I28*(1-S$4)</f>
        <v>33.22591666666667</v>
      </c>
      <c r="T28" s="11">
        <f ca="1">N28*T$4+$I28*(1-T$4)</f>
        <v>34.327291666666667</v>
      </c>
      <c r="U28" s="11">
        <f ca="1">O28*U$4+$I28*(1-U$4)</f>
        <v>34.619500000000002</v>
      </c>
      <c r="V28" s="4">
        <f t="shared" ca="1" si="7"/>
        <v>34.550916666666666</v>
      </c>
      <c r="W28" s="4">
        <f>'Historical Trends'!E101</f>
        <v>35.799999999999997</v>
      </c>
      <c r="Y28" s="20">
        <f ca="1">C28-$W28</f>
        <v>4.9282572178477864</v>
      </c>
      <c r="Z28">
        <f ca="1">D28-$W28</f>
        <v>1.6700000000000017</v>
      </c>
      <c r="AA28">
        <f ca="1">E28-$W28</f>
        <v>5.5450000000000017</v>
      </c>
      <c r="AB28">
        <f ca="1">F28-$W28</f>
        <v>3.8766666666666723</v>
      </c>
      <c r="AC28">
        <f ca="1">G28-$W28</f>
        <v>2.7475000000000023</v>
      </c>
      <c r="AD28">
        <f ca="1">H28-$W28</f>
        <v>1.1120000000000019</v>
      </c>
      <c r="AE28">
        <f ca="1">I28-$W28</f>
        <v>1.6416666666666728</v>
      </c>
      <c r="AF28">
        <f ca="1">J28-$W28</f>
        <v>3.1771428571428615</v>
      </c>
      <c r="AG28" s="20">
        <f>K28-$W28</f>
        <v>-0.46666666666666146</v>
      </c>
      <c r="AH28">
        <f>L28-$W28</f>
        <v>-2.4666666666666615</v>
      </c>
      <c r="AI28">
        <f>M28-$W28</f>
        <v>-4.1333333333333293</v>
      </c>
      <c r="AJ28">
        <f>N28-$W28</f>
        <v>-2.1333333333333329</v>
      </c>
      <c r="AK28">
        <f>O28-$W28</f>
        <v>-1.7999999999999972</v>
      </c>
      <c r="AL28">
        <f>P28-$W28</f>
        <v>-1.4666666666666615</v>
      </c>
      <c r="AM28" s="20">
        <f ca="1">Q28-$W28</f>
        <v>0.66129166666667061</v>
      </c>
      <c r="AN28" s="11">
        <f ca="1">R28-$W28</f>
        <v>-0.94658333333332934</v>
      </c>
      <c r="AO28" s="11">
        <f ca="1">S28-$W28</f>
        <v>-2.5740833333333271</v>
      </c>
      <c r="AP28" s="11">
        <f ca="1">T28-$W28</f>
        <v>-1.4727083333333297</v>
      </c>
      <c r="AQ28" s="11">
        <f ca="1">U28-$W28</f>
        <v>-1.180499999999995</v>
      </c>
      <c r="AR28" s="4">
        <f ca="1">V28-$W28</f>
        <v>-1.2490833333333313</v>
      </c>
    </row>
    <row r="29" spans="1:44" x14ac:dyDescent="0.25">
      <c r="A29" t="s">
        <v>127</v>
      </c>
      <c r="B29" s="4">
        <f t="shared" ref="B29:B30" si="18">B28+1</f>
        <v>2</v>
      </c>
      <c r="C29" s="20">
        <f ca="1">'Historical Trends'!O102</f>
        <v>37.378617021276625</v>
      </c>
      <c r="D29">
        <f ca="1">AVERAGE(OFFSET('Historical Trends'!$E$101,$B7,0,'Polling Correlations'!D$4,1))</f>
        <v>45.22</v>
      </c>
      <c r="E29">
        <f ca="1">AVERAGE(OFFSET('Historical Trends'!$E$101,$B7,0,'Polling Correlations'!E$4,1))</f>
        <v>40.78</v>
      </c>
      <c r="F29">
        <f ca="1">AVERAGE(OFFSET('Historical Trends'!$E$101,$B7,0,'Polling Correlations'!F$4,1))</f>
        <v>38.906666666666666</v>
      </c>
      <c r="G29">
        <f ca="1">AVERAGE(OFFSET('Historical Trends'!$E$101,$B7,0,'Polling Correlations'!G$4,1))</f>
        <v>36.772500000000001</v>
      </c>
      <c r="H29">
        <f ca="1">AVERAGE(OFFSET('Historical Trends'!$E$101,$B7,0,'Polling Correlations'!H$4,1))</f>
        <v>37.436</v>
      </c>
      <c r="I29">
        <f ca="1">AVERAGE(OFFSET('Historical Trends'!$E$101,$B7,0,'Polling Correlations'!I$4,1))</f>
        <v>39.228333333333332</v>
      </c>
      <c r="J29">
        <f ca="1">AVERAGE(OFFSET('Historical Trends'!$E$101,$B7,0,'Polling Correlations'!J$4,1))</f>
        <v>40.23571428571428</v>
      </c>
      <c r="K29" s="20">
        <f>AVERAGE(41,42,48)</f>
        <v>43.666666666666664</v>
      </c>
      <c r="L29">
        <f>AVERAGE(42,39,38)</f>
        <v>39.666666666666664</v>
      </c>
      <c r="M29">
        <f>AVERAGE(46,43,42)</f>
        <v>43.666666666666664</v>
      </c>
      <c r="N29">
        <f>AVERAGE(43,37,43.2)</f>
        <v>41.06666666666667</v>
      </c>
      <c r="O29">
        <f>AVERAGE(38,43,37)</f>
        <v>39.333333333333336</v>
      </c>
      <c r="P29">
        <f>AVERAGE(35.3,36,38)</f>
        <v>36.43333333333333</v>
      </c>
      <c r="Q29" s="20">
        <f ca="1">K29*Q$4+$I29*(1-Q$4)</f>
        <v>41.292158333333333</v>
      </c>
      <c r="R29" s="11">
        <f ca="1">L29*R$4+$I29*(1-R$4)</f>
        <v>39.504483333333333</v>
      </c>
      <c r="S29" s="11">
        <f ca="1">M29*S$4+$I29*(1-S$4)</f>
        <v>42.468316666666666</v>
      </c>
      <c r="T29" s="11">
        <f ca="1">N29*T$4+$I29*(1-T$4)</f>
        <v>40.744958333333336</v>
      </c>
      <c r="U29" s="11">
        <f ca="1">O29*U$4+$I29*(1-U$4)</f>
        <v>39.314433333333334</v>
      </c>
      <c r="V29" s="4">
        <f t="shared" ca="1" si="7"/>
        <v>36.628983333333323</v>
      </c>
      <c r="W29" s="4">
        <f>'Historical Trends'!E102</f>
        <v>37.47</v>
      </c>
      <c r="Y29" s="20">
        <f ca="1">C29-$W29</f>
        <v>-9.1382978723373753E-2</v>
      </c>
      <c r="Z29">
        <f ca="1">D29-$W29</f>
        <v>7.75</v>
      </c>
      <c r="AA29">
        <f ca="1">E29-$W29</f>
        <v>3.3100000000000023</v>
      </c>
      <c r="AB29">
        <f ca="1">F29-$W29</f>
        <v>1.4366666666666674</v>
      </c>
      <c r="AC29">
        <f ca="1">G29-$W29</f>
        <v>-0.69749999999999801</v>
      </c>
      <c r="AD29">
        <f ca="1">H29-$W29</f>
        <v>-3.399999999999892E-2</v>
      </c>
      <c r="AE29">
        <f ca="1">I29-$W29</f>
        <v>1.7583333333333329</v>
      </c>
      <c r="AF29">
        <f ca="1">J29-$W29</f>
        <v>2.7657142857142816</v>
      </c>
      <c r="AG29" s="20">
        <f>K29-$W29</f>
        <v>6.1966666666666654</v>
      </c>
      <c r="AH29">
        <f>L29-$W29</f>
        <v>2.1966666666666654</v>
      </c>
      <c r="AI29">
        <f>M29-$W29</f>
        <v>6.1966666666666654</v>
      </c>
      <c r="AJ29">
        <f>N29-$W29</f>
        <v>3.5966666666666711</v>
      </c>
      <c r="AK29">
        <f>O29-$W29</f>
        <v>1.8633333333333368</v>
      </c>
      <c r="AL29">
        <f>P29-$W29</f>
        <v>-1.0366666666666688</v>
      </c>
      <c r="AM29" s="20">
        <f ca="1">Q29-$W29</f>
        <v>3.8221583333333342</v>
      </c>
      <c r="AN29" s="11">
        <f ca="1">R29-$W29</f>
        <v>2.0344833333333341</v>
      </c>
      <c r="AO29" s="11">
        <f ca="1">S29-$W29</f>
        <v>4.9983166666666676</v>
      </c>
      <c r="AP29" s="11">
        <f ca="1">T29-$W29</f>
        <v>3.2749583333333376</v>
      </c>
      <c r="AQ29" s="11">
        <f ca="1">U29-$W29</f>
        <v>1.8444333333333347</v>
      </c>
      <c r="AR29" s="4">
        <f ca="1">V29-$W29</f>
        <v>-0.84101666666667541</v>
      </c>
    </row>
    <row r="30" spans="1:44" x14ac:dyDescent="0.25">
      <c r="A30" t="s">
        <v>128</v>
      </c>
      <c r="B30" s="4">
        <f t="shared" si="18"/>
        <v>3</v>
      </c>
      <c r="C30" s="20">
        <f ca="1">'Historical Trends'!O103</f>
        <v>29.332440758293842</v>
      </c>
      <c r="D30">
        <f ca="1">AVERAGE(OFFSET('Historical Trends'!$E$101,$B8,0,'Polling Correlations'!D$4,1))</f>
        <v>36.340000000000003</v>
      </c>
      <c r="E30">
        <f ca="1">AVERAGE(OFFSET('Historical Trends'!$E$101,$B8,0,'Polling Correlations'!E$4,1))</f>
        <v>35.75</v>
      </c>
      <c r="F30">
        <f ca="1">AVERAGE(OFFSET('Historical Trends'!$E$101,$B8,0,'Polling Correlations'!F$4,1))</f>
        <v>33.956666666666671</v>
      </c>
      <c r="G30">
        <f ca="1">AVERAGE(OFFSET('Historical Trends'!$E$101,$B8,0,'Polling Correlations'!G$4,1))</f>
        <v>35.49</v>
      </c>
      <c r="H30">
        <f ca="1">AVERAGE(OFFSET('Historical Trends'!$E$101,$B8,0,'Polling Correlations'!H$4,1))</f>
        <v>38.03</v>
      </c>
      <c r="I30">
        <f ca="1">AVERAGE(OFFSET('Historical Trends'!$E$101,$B8,0,'Polling Correlations'!I$4,1))</f>
        <v>39.405000000000001</v>
      </c>
      <c r="J30">
        <f ca="1">AVERAGE(OFFSET('Historical Trends'!$E$101,$B8,0,'Polling Correlations'!J$4,1))</f>
        <v>39.612857142857145</v>
      </c>
      <c r="N30">
        <f>AVERAGE(46,45)</f>
        <v>45.5</v>
      </c>
      <c r="O30">
        <f>AVERAGE(44,49,46)</f>
        <v>46.333333333333336</v>
      </c>
      <c r="P30">
        <f>AVERAGE(46,44,44)</f>
        <v>44.666666666666664</v>
      </c>
      <c r="Q30" s="20">
        <f ca="1">K30*Q$4+$I30*(1-Q$4)</f>
        <v>21.081674999999997</v>
      </c>
      <c r="R30" s="11">
        <f ca="1">L30*R$4+$I30*(1-R$4)</f>
        <v>14.57985</v>
      </c>
      <c r="S30" s="11">
        <f ca="1">M30*S$4+$I30*(1-S$4)</f>
        <v>10.63935</v>
      </c>
      <c r="T30" s="11">
        <f ca="1">N30*T$4+$I30*(1-T$4)</f>
        <v>44.433375000000005</v>
      </c>
      <c r="U30" s="11">
        <f ca="1">O30*U$4+$I30*(1-U$4)</f>
        <v>45.086233333333332</v>
      </c>
      <c r="V30" s="4">
        <f t="shared" ca="1" si="7"/>
        <v>44.298349999999999</v>
      </c>
      <c r="W30" s="4">
        <f>'Historical Trends'!E103</f>
        <v>45.22</v>
      </c>
      <c r="Y30" s="20">
        <f ca="1">C30-$W30</f>
        <v>-15.887559241706157</v>
      </c>
      <c r="Z30">
        <f ca="1">D30-$W30</f>
        <v>-8.8799999999999955</v>
      </c>
      <c r="AA30">
        <f ca="1">E30-$W30</f>
        <v>-9.4699999999999989</v>
      </c>
      <c r="AB30">
        <f ca="1">F30-$W30</f>
        <v>-11.263333333333328</v>
      </c>
      <c r="AC30">
        <f ca="1">G30-$W30</f>
        <v>-9.7299999999999969</v>
      </c>
      <c r="AD30">
        <f ca="1">H30-$W30</f>
        <v>-7.1899999999999977</v>
      </c>
      <c r="AE30">
        <f ca="1">I30-$W30</f>
        <v>-5.8149999999999977</v>
      </c>
      <c r="AF30">
        <f ca="1">J30-$W30</f>
        <v>-5.6071428571428541</v>
      </c>
      <c r="AJ30">
        <f>N30-$W30</f>
        <v>0.28000000000000114</v>
      </c>
      <c r="AK30">
        <f>O30-$W30</f>
        <v>1.1133333333333368</v>
      </c>
      <c r="AL30">
        <f>P30-$W30</f>
        <v>-0.55333333333333456</v>
      </c>
      <c r="AP30" s="11">
        <f ca="1">T30-$W30</f>
        <v>-0.78662499999999369</v>
      </c>
      <c r="AQ30" s="11">
        <f ca="1">U30-$W30</f>
        <v>-0.13376666666666637</v>
      </c>
      <c r="AR30" s="4">
        <f ca="1">V30-$W30</f>
        <v>-0.92164999999999964</v>
      </c>
    </row>
  </sheetData>
  <mergeCells count="4">
    <mergeCell ref="AM2:AR2"/>
    <mergeCell ref="Y1:AL1"/>
    <mergeCell ref="Z2:AE2"/>
    <mergeCell ref="C2:J2"/>
  </mergeCells>
  <phoneticPr fontId="2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B8E-E34F-43DF-8A98-96096E5DFC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 Trends</vt:lpstr>
      <vt:lpstr>Polling Correlations</vt:lpstr>
      <vt:lpstr>Simulated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2020-10-29T08:40:12Z</dcterms:modified>
</cp:coreProperties>
</file>