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6.xml" ContentType="application/vnd.openxmlformats-officedocument.drawing+xml"/>
  <Override PartName="/xl/comments6.xml" ContentType="application/vnd.openxmlformats-officedocument.spreadsheetml.comments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7.xml" ContentType="application/vnd.openxmlformats-officedocument.drawing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danny\source\repos\Polling Analyser\"/>
    </mc:Choice>
  </mc:AlternateContent>
  <xr:revisionPtr revIDLastSave="0" documentId="13_ncr:1_{2B88B010-93E5-44F6-817C-9DCA762310D1}" xr6:coauthVersionLast="45" xr6:coauthVersionMax="45" xr10:uidLastSave="{00000000-0000-0000-0000-000000000000}"/>
  <bookViews>
    <workbookView xWindow="525" yWindow="3510" windowWidth="31245" windowHeight="17535" activeTab="1" xr2:uid="{00000000-000D-0000-FFFF-FFFF00000000}"/>
  </bookViews>
  <sheets>
    <sheet name="Historical Trends" sheetId="1" r:id="rId1"/>
    <sheet name="Polling Correlations - ALP" sheetId="5" r:id="rId2"/>
    <sheet name="Polling Correlations - LNP" sheetId="3" r:id="rId3"/>
    <sheet name="Polling Correlations - GRN" sheetId="6" r:id="rId4"/>
    <sheet name="Polling Correlations - xOTH" sheetId="7" r:id="rId5"/>
    <sheet name="Polling Correlations - OTH" sheetId="8" r:id="rId6"/>
    <sheet name="Polling Correlations - Misc" sheetId="9" r:id="rId7"/>
    <sheet name="Results Distribution Analysis" sheetId="4" r:id="rId8"/>
    <sheet name="Simulated Lines" sheetId="2" r:id="rId9"/>
  </sheets>
  <definedNames>
    <definedName name="solver_adj" localSheetId="1" hidden="1">'Polling Correlations - ALP'!$BG$16:$BG$18</definedName>
    <definedName name="solver_adj" localSheetId="3" hidden="1">'Polling Correlations - GRN'!$BG$16:$BG$18</definedName>
    <definedName name="solver_adj" localSheetId="2" hidden="1">'Polling Correlations - LNP'!$BG$16:$BG$18</definedName>
    <definedName name="solver_adj" localSheetId="6" hidden="1">'Polling Correlations - Misc'!$BG$16:$BG$18</definedName>
    <definedName name="solver_adj" localSheetId="5" hidden="1">'Polling Correlations - OTH'!$BG$16:$BG$18</definedName>
    <definedName name="solver_adj" localSheetId="4" hidden="1">'Polling Correlations - xOTH'!$BG$16:$BG$18</definedName>
    <definedName name="solver_cvg" localSheetId="1" hidden="1">0.0001</definedName>
    <definedName name="solver_cvg" localSheetId="3" hidden="1">0.0001</definedName>
    <definedName name="solver_cvg" localSheetId="2" hidden="1">0.0001</definedName>
    <definedName name="solver_cvg" localSheetId="6" hidden="1">0.0001</definedName>
    <definedName name="solver_cvg" localSheetId="5" hidden="1">0.0001</definedName>
    <definedName name="solver_cvg" localSheetId="4" hidden="1">0.0001</definedName>
    <definedName name="solver_drv" localSheetId="1" hidden="1">1</definedName>
    <definedName name="solver_drv" localSheetId="3" hidden="1">2</definedName>
    <definedName name="solver_drv" localSheetId="2" hidden="1">1</definedName>
    <definedName name="solver_drv" localSheetId="6" hidden="1">1</definedName>
    <definedName name="solver_drv" localSheetId="5" hidden="1">1</definedName>
    <definedName name="solver_drv" localSheetId="4" hidden="1">1</definedName>
    <definedName name="solver_eng" localSheetId="1" hidden="1">1</definedName>
    <definedName name="solver_eng" localSheetId="3" hidden="1">1</definedName>
    <definedName name="solver_eng" localSheetId="2" hidden="1">1</definedName>
    <definedName name="solver_eng" localSheetId="6" hidden="1">1</definedName>
    <definedName name="solver_eng" localSheetId="5" hidden="1">1</definedName>
    <definedName name="solver_eng" localSheetId="4" hidden="1">1</definedName>
    <definedName name="solver_est" localSheetId="1" hidden="1">1</definedName>
    <definedName name="solver_est" localSheetId="3" hidden="1">1</definedName>
    <definedName name="solver_est" localSheetId="2" hidden="1">1</definedName>
    <definedName name="solver_est" localSheetId="6" hidden="1">1</definedName>
    <definedName name="solver_est" localSheetId="5" hidden="1">1</definedName>
    <definedName name="solver_est" localSheetId="4" hidden="1">1</definedName>
    <definedName name="solver_itr" localSheetId="1" hidden="1">2147483647</definedName>
    <definedName name="solver_itr" localSheetId="3" hidden="1">2147483647</definedName>
    <definedName name="solver_itr" localSheetId="2" hidden="1">2147483647</definedName>
    <definedName name="solver_itr" localSheetId="6" hidden="1">2147483647</definedName>
    <definedName name="solver_itr" localSheetId="5" hidden="1">2147483647</definedName>
    <definedName name="solver_itr" localSheetId="4" hidden="1">2147483647</definedName>
    <definedName name="solver_lhs1" localSheetId="2" hidden="1">'Polling Correlations - LNP'!$Y$4</definedName>
    <definedName name="solver_lhs2" localSheetId="2" hidden="1">'Polling Correlations - LNP'!$Y$4</definedName>
    <definedName name="solver_mip" localSheetId="1" hidden="1">2147483647</definedName>
    <definedName name="solver_mip" localSheetId="3" hidden="1">2147483647</definedName>
    <definedName name="solver_mip" localSheetId="2" hidden="1">2147483647</definedName>
    <definedName name="solver_mip" localSheetId="6" hidden="1">2147483647</definedName>
    <definedName name="solver_mip" localSheetId="5" hidden="1">2147483647</definedName>
    <definedName name="solver_mip" localSheetId="4" hidden="1">2147483647</definedName>
    <definedName name="solver_mni" localSheetId="1" hidden="1">30</definedName>
    <definedName name="solver_mni" localSheetId="3" hidden="1">30</definedName>
    <definedName name="solver_mni" localSheetId="2" hidden="1">30</definedName>
    <definedName name="solver_mni" localSheetId="6" hidden="1">30</definedName>
    <definedName name="solver_mni" localSheetId="5" hidden="1">30</definedName>
    <definedName name="solver_mni" localSheetId="4" hidden="1">30</definedName>
    <definedName name="solver_mrt" localSheetId="1" hidden="1">0.075</definedName>
    <definedName name="solver_mrt" localSheetId="3" hidden="1">0.075</definedName>
    <definedName name="solver_mrt" localSheetId="2" hidden="1">0.075</definedName>
    <definedName name="solver_mrt" localSheetId="6" hidden="1">0.075</definedName>
    <definedName name="solver_mrt" localSheetId="5" hidden="1">0.075</definedName>
    <definedName name="solver_mrt" localSheetId="4" hidden="1">0.075</definedName>
    <definedName name="solver_msl" localSheetId="1" hidden="1">2</definedName>
    <definedName name="solver_msl" localSheetId="3" hidden="1">2</definedName>
    <definedName name="solver_msl" localSheetId="2" hidden="1">2</definedName>
    <definedName name="solver_msl" localSheetId="6" hidden="1">2</definedName>
    <definedName name="solver_msl" localSheetId="5" hidden="1">2</definedName>
    <definedName name="solver_msl" localSheetId="4" hidden="1">2</definedName>
    <definedName name="solver_neg" localSheetId="1" hidden="1">1</definedName>
    <definedName name="solver_neg" localSheetId="3" hidden="1">1</definedName>
    <definedName name="solver_neg" localSheetId="2" hidden="1">1</definedName>
    <definedName name="solver_neg" localSheetId="6" hidden="1">1</definedName>
    <definedName name="solver_neg" localSheetId="5" hidden="1">1</definedName>
    <definedName name="solver_neg" localSheetId="4" hidden="1">1</definedName>
    <definedName name="solver_nod" localSheetId="1" hidden="1">2147483647</definedName>
    <definedName name="solver_nod" localSheetId="3" hidden="1">2147483647</definedName>
    <definedName name="solver_nod" localSheetId="2" hidden="1">2147483647</definedName>
    <definedName name="solver_nod" localSheetId="6" hidden="1">2147483647</definedName>
    <definedName name="solver_nod" localSheetId="5" hidden="1">2147483647</definedName>
    <definedName name="solver_nod" localSheetId="4" hidden="1">2147483647</definedName>
    <definedName name="solver_num" localSheetId="1" hidden="1">0</definedName>
    <definedName name="solver_num" localSheetId="3" hidden="1">0</definedName>
    <definedName name="solver_num" localSheetId="2" hidden="1">0</definedName>
    <definedName name="solver_num" localSheetId="6" hidden="1">0</definedName>
    <definedName name="solver_num" localSheetId="5" hidden="1">0</definedName>
    <definedName name="solver_num" localSheetId="4" hidden="1">0</definedName>
    <definedName name="solver_nwt" localSheetId="1" hidden="1">1</definedName>
    <definedName name="solver_nwt" localSheetId="3" hidden="1">1</definedName>
    <definedName name="solver_nwt" localSheetId="2" hidden="1">1</definedName>
    <definedName name="solver_nwt" localSheetId="6" hidden="1">1</definedName>
    <definedName name="solver_nwt" localSheetId="5" hidden="1">1</definedName>
    <definedName name="solver_nwt" localSheetId="4" hidden="1">1</definedName>
    <definedName name="solver_opt" localSheetId="1" hidden="1">'Polling Correlations - ALP'!$BN$13</definedName>
    <definedName name="solver_opt" localSheetId="3" hidden="1">'Polling Correlations - GRN'!$BN$13</definedName>
    <definedName name="solver_opt" localSheetId="2" hidden="1">'Polling Correlations - LNP'!$BN$13</definedName>
    <definedName name="solver_opt" localSheetId="6" hidden="1">'Polling Correlations - Misc'!$BN$13</definedName>
    <definedName name="solver_opt" localSheetId="5" hidden="1">'Polling Correlations - OTH'!$BN$13</definedName>
    <definedName name="solver_opt" localSheetId="4" hidden="1">'Polling Correlations - xOTH'!$BK$20</definedName>
    <definedName name="solver_pre" localSheetId="1" hidden="1">0.000001</definedName>
    <definedName name="solver_pre" localSheetId="3" hidden="1">0.000001</definedName>
    <definedName name="solver_pre" localSheetId="2" hidden="1">0.000001</definedName>
    <definedName name="solver_pre" localSheetId="6" hidden="1">0.000001</definedName>
    <definedName name="solver_pre" localSheetId="5" hidden="1">0.000001</definedName>
    <definedName name="solver_pre" localSheetId="4" hidden="1">0.000001</definedName>
    <definedName name="solver_rbv" localSheetId="1" hidden="1">1</definedName>
    <definedName name="solver_rbv" localSheetId="3" hidden="1">2</definedName>
    <definedName name="solver_rbv" localSheetId="2" hidden="1">1</definedName>
    <definedName name="solver_rbv" localSheetId="6" hidden="1">1</definedName>
    <definedName name="solver_rbv" localSheetId="5" hidden="1">1</definedName>
    <definedName name="solver_rbv" localSheetId="4" hidden="1">1</definedName>
    <definedName name="solver_rel1" localSheetId="2" hidden="1">3</definedName>
    <definedName name="solver_rel2" localSheetId="2" hidden="1">3</definedName>
    <definedName name="solver_rhs1" localSheetId="2" hidden="1">0</definedName>
    <definedName name="solver_rhs2" localSheetId="2" hidden="1">0</definedName>
    <definedName name="solver_rlx" localSheetId="1" hidden="1">2</definedName>
    <definedName name="solver_rlx" localSheetId="3" hidden="1">2</definedName>
    <definedName name="solver_rlx" localSheetId="2" hidden="1">2</definedName>
    <definedName name="solver_rlx" localSheetId="6" hidden="1">2</definedName>
    <definedName name="solver_rlx" localSheetId="5" hidden="1">2</definedName>
    <definedName name="solver_rlx" localSheetId="4" hidden="1">2</definedName>
    <definedName name="solver_rsd" localSheetId="1" hidden="1">0</definedName>
    <definedName name="solver_rsd" localSheetId="3" hidden="1">0</definedName>
    <definedName name="solver_rsd" localSheetId="2" hidden="1">0</definedName>
    <definedName name="solver_rsd" localSheetId="6" hidden="1">0</definedName>
    <definedName name="solver_rsd" localSheetId="5" hidden="1">0</definedName>
    <definedName name="solver_rsd" localSheetId="4" hidden="1">0</definedName>
    <definedName name="solver_scl" localSheetId="1" hidden="1">1</definedName>
    <definedName name="solver_scl" localSheetId="3" hidden="1">2</definedName>
    <definedName name="solver_scl" localSheetId="2" hidden="1">1</definedName>
    <definedName name="solver_scl" localSheetId="6" hidden="1">1</definedName>
    <definedName name="solver_scl" localSheetId="5" hidden="1">1</definedName>
    <definedName name="solver_scl" localSheetId="4" hidden="1">1</definedName>
    <definedName name="solver_sho" localSheetId="1" hidden="1">2</definedName>
    <definedName name="solver_sho" localSheetId="3" hidden="1">2</definedName>
    <definedName name="solver_sho" localSheetId="2" hidden="1">2</definedName>
    <definedName name="solver_sho" localSheetId="6" hidden="1">2</definedName>
    <definedName name="solver_sho" localSheetId="5" hidden="1">2</definedName>
    <definedName name="solver_sho" localSheetId="4" hidden="1">2</definedName>
    <definedName name="solver_ssz" localSheetId="1" hidden="1">100</definedName>
    <definedName name="solver_ssz" localSheetId="3" hidden="1">100</definedName>
    <definedName name="solver_ssz" localSheetId="2" hidden="1">100</definedName>
    <definedName name="solver_ssz" localSheetId="6" hidden="1">100</definedName>
    <definedName name="solver_ssz" localSheetId="5" hidden="1">100</definedName>
    <definedName name="solver_ssz" localSheetId="4" hidden="1">100</definedName>
    <definedName name="solver_tim" localSheetId="1" hidden="1">2147483647</definedName>
    <definedName name="solver_tim" localSheetId="3" hidden="1">2147483647</definedName>
    <definedName name="solver_tim" localSheetId="2" hidden="1">2147483647</definedName>
    <definedName name="solver_tim" localSheetId="6" hidden="1">2147483647</definedName>
    <definedName name="solver_tim" localSheetId="5" hidden="1">2147483647</definedName>
    <definedName name="solver_tim" localSheetId="4" hidden="1">2147483647</definedName>
    <definedName name="solver_tol" localSheetId="1" hidden="1">0.01</definedName>
    <definedName name="solver_tol" localSheetId="3" hidden="1">0.01</definedName>
    <definedName name="solver_tol" localSheetId="2" hidden="1">0.01</definedName>
    <definedName name="solver_tol" localSheetId="6" hidden="1">0.01</definedName>
    <definedName name="solver_tol" localSheetId="5" hidden="1">0.01</definedName>
    <definedName name="solver_tol" localSheetId="4" hidden="1">0.01</definedName>
    <definedName name="solver_typ" localSheetId="1" hidden="1">2</definedName>
    <definedName name="solver_typ" localSheetId="3" hidden="1">2</definedName>
    <definedName name="solver_typ" localSheetId="2" hidden="1">2</definedName>
    <definedName name="solver_typ" localSheetId="6" hidden="1">2</definedName>
    <definedName name="solver_typ" localSheetId="5" hidden="1">2</definedName>
    <definedName name="solver_typ" localSheetId="4" hidden="1">2</definedName>
    <definedName name="solver_val" localSheetId="1" hidden="1">0</definedName>
    <definedName name="solver_val" localSheetId="3" hidden="1">0</definedName>
    <definedName name="solver_val" localSheetId="2" hidden="1">0</definedName>
    <definedName name="solver_val" localSheetId="6" hidden="1">0</definedName>
    <definedName name="solver_val" localSheetId="5" hidden="1">0</definedName>
    <definedName name="solver_val" localSheetId="4" hidden="1">0</definedName>
    <definedName name="solver_ver" localSheetId="1" hidden="1">3</definedName>
    <definedName name="solver_ver" localSheetId="3" hidden="1">3</definedName>
    <definedName name="solver_ver" localSheetId="2" hidden="1">3</definedName>
    <definedName name="solver_ver" localSheetId="6" hidden="1">3</definedName>
    <definedName name="solver_ver" localSheetId="5" hidden="1">3</definedName>
    <definedName name="solver_ver" localSheetId="4" hidden="1">3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M38" i="5" l="1"/>
  <c r="V4" i="9"/>
  <c r="BM38" i="9" s="1"/>
  <c r="U4" i="9"/>
  <c r="BK38" i="9" s="1"/>
  <c r="BL38" i="9" s="1"/>
  <c r="T4" i="9"/>
  <c r="BJ38" i="9" s="1"/>
  <c r="S4" i="9"/>
  <c r="BI38" i="9" s="1"/>
  <c r="R4" i="9"/>
  <c r="BH38" i="9" s="1"/>
  <c r="Q4" i="9"/>
  <c r="BG38" i="9" s="1"/>
  <c r="V4" i="8"/>
  <c r="BM38" i="8" s="1"/>
  <c r="U4" i="8"/>
  <c r="BK38" i="8" s="1"/>
  <c r="BL38" i="8" s="1"/>
  <c r="T4" i="8"/>
  <c r="BJ38" i="8" s="1"/>
  <c r="S4" i="8"/>
  <c r="BI38" i="8" s="1"/>
  <c r="R4" i="8"/>
  <c r="BH38" i="8" s="1"/>
  <c r="Q4" i="8"/>
  <c r="BG38" i="8" s="1"/>
  <c r="V4" i="7"/>
  <c r="BM38" i="7" s="1"/>
  <c r="U4" i="7"/>
  <c r="BK38" i="7" s="1"/>
  <c r="T4" i="7"/>
  <c r="BJ38" i="7" s="1"/>
  <c r="S4" i="7"/>
  <c r="BI38" i="7" s="1"/>
  <c r="R4" i="7"/>
  <c r="BH38" i="7" s="1"/>
  <c r="Q4" i="7"/>
  <c r="BG38" i="7" s="1"/>
  <c r="V4" i="6"/>
  <c r="BM38" i="6" s="1"/>
  <c r="U4" i="6"/>
  <c r="BK38" i="6" s="1"/>
  <c r="BL38" i="6" s="1"/>
  <c r="T4" i="6"/>
  <c r="BJ38" i="6" s="1"/>
  <c r="S4" i="6"/>
  <c r="BI38" i="6" s="1"/>
  <c r="R4" i="6"/>
  <c r="BH38" i="6" s="1"/>
  <c r="Q4" i="6"/>
  <c r="BG38" i="6" s="1"/>
  <c r="BL38" i="7" l="1"/>
  <c r="CE8" i="9"/>
  <c r="CF8" i="9"/>
  <c r="CG8" i="9"/>
  <c r="CH8" i="9"/>
  <c r="CI8" i="9"/>
  <c r="CD8" i="9"/>
  <c r="CE7" i="9"/>
  <c r="CF7" i="9"/>
  <c r="CG7" i="9"/>
  <c r="CH7" i="9"/>
  <c r="CI7" i="9"/>
  <c r="CD7" i="9"/>
  <c r="CD6" i="9"/>
  <c r="CE6" i="9"/>
  <c r="CF6" i="9"/>
  <c r="CG6" i="9"/>
  <c r="CH6" i="9"/>
  <c r="CI6" i="9"/>
  <c r="AC5" i="9"/>
  <c r="M19" i="9"/>
  <c r="N19" i="9"/>
  <c r="K18" i="9" l="1"/>
  <c r="L18" i="9"/>
  <c r="M18" i="9"/>
  <c r="N18" i="9"/>
  <c r="O18" i="9"/>
  <c r="P18" i="9"/>
  <c r="K17" i="9" l="1"/>
  <c r="L17" i="9"/>
  <c r="M17" i="9"/>
  <c r="N17" i="9"/>
  <c r="O16" i="9"/>
  <c r="P16" i="9"/>
  <c r="AQ15" i="9" l="1"/>
  <c r="AR15" i="9"/>
  <c r="AC15" i="9"/>
  <c r="O15" i="9"/>
  <c r="P15" i="9"/>
  <c r="AR14" i="9"/>
  <c r="AQ14" i="9"/>
  <c r="AP14" i="9"/>
  <c r="AO14" i="9"/>
  <c r="AN14" i="9"/>
  <c r="AM14" i="9"/>
  <c r="K14" i="9"/>
  <c r="L14" i="9"/>
  <c r="M14" i="9"/>
  <c r="N14" i="9"/>
  <c r="O14" i="9"/>
  <c r="P14" i="9"/>
  <c r="AC14" i="9"/>
  <c r="AP13" i="9"/>
  <c r="AQ13" i="9"/>
  <c r="AR13" i="9"/>
  <c r="N13" i="9"/>
  <c r="O13" i="9"/>
  <c r="P13" i="9"/>
  <c r="AC13" i="9"/>
  <c r="AN12" i="9"/>
  <c r="AO12" i="9"/>
  <c r="AP12" i="9"/>
  <c r="AQ12" i="9"/>
  <c r="AR12" i="9"/>
  <c r="AO11" i="9"/>
  <c r="AP11" i="9"/>
  <c r="AQ11" i="9"/>
  <c r="AR11" i="9"/>
  <c r="L12" i="9"/>
  <c r="M12" i="9"/>
  <c r="N12" i="9"/>
  <c r="O12" i="9"/>
  <c r="P12" i="9"/>
  <c r="AC12" i="9"/>
  <c r="M11" i="9"/>
  <c r="N11" i="9"/>
  <c r="O11" i="9"/>
  <c r="P11" i="9"/>
  <c r="AC11" i="9"/>
  <c r="AQ10" i="9"/>
  <c r="AR10" i="9"/>
  <c r="O10" i="9"/>
  <c r="P10" i="9"/>
  <c r="AC10" i="9"/>
  <c r="AN9" i="9"/>
  <c r="AO9" i="9"/>
  <c r="AP9" i="9"/>
  <c r="AQ9" i="9"/>
  <c r="AR9" i="9"/>
  <c r="L9" i="9"/>
  <c r="M9" i="9"/>
  <c r="N9" i="9"/>
  <c r="O9" i="9"/>
  <c r="P9" i="9"/>
  <c r="AC9" i="9"/>
  <c r="AN8" i="9"/>
  <c r="AO8" i="9"/>
  <c r="AP8" i="9"/>
  <c r="AQ8" i="9"/>
  <c r="AR8" i="9"/>
  <c r="L8" i="9"/>
  <c r="M8" i="9"/>
  <c r="N8" i="9"/>
  <c r="O8" i="9"/>
  <c r="P8" i="9"/>
  <c r="AC8" i="9"/>
  <c r="AQ7" i="9"/>
  <c r="AR7" i="9"/>
  <c r="O7" i="9"/>
  <c r="P7" i="9"/>
  <c r="AR6" i="9"/>
  <c r="AC7" i="9"/>
  <c r="P6" i="9"/>
  <c r="AC6" i="9"/>
  <c r="K5" i="9"/>
  <c r="L5" i="9"/>
  <c r="M5" i="9"/>
  <c r="N5" i="9"/>
  <c r="O5" i="9"/>
  <c r="P5" i="9"/>
  <c r="BV97" i="9" l="1"/>
  <c r="BU23" i="9"/>
  <c r="BV23" i="9" s="1"/>
  <c r="BP23" i="9"/>
  <c r="BP24" i="9" s="1"/>
  <c r="BV22" i="9"/>
  <c r="BU22" i="9"/>
  <c r="BR22" i="9"/>
  <c r="BS22" i="9" s="1"/>
  <c r="BQ22" i="9"/>
  <c r="B19" i="9"/>
  <c r="B18" i="9"/>
  <c r="B17" i="9"/>
  <c r="J16" i="9"/>
  <c r="AL16" i="9" s="1"/>
  <c r="I16" i="9"/>
  <c r="AK16" i="9" s="1"/>
  <c r="H16" i="9"/>
  <c r="AJ16" i="9" s="1"/>
  <c r="G16" i="9"/>
  <c r="AI16" i="9" s="1"/>
  <c r="F16" i="9"/>
  <c r="AH16" i="9" s="1"/>
  <c r="E16" i="9"/>
  <c r="AG16" i="9" s="1"/>
  <c r="D16" i="9"/>
  <c r="AF16" i="9" s="1"/>
  <c r="BG13" i="9"/>
  <c r="BI12" i="9"/>
  <c r="BI13" i="9" s="1"/>
  <c r="J12" i="9"/>
  <c r="AL12" i="9" s="1"/>
  <c r="I12" i="9"/>
  <c r="AK12" i="9" s="1"/>
  <c r="B12" i="9"/>
  <c r="B13" i="9" s="1"/>
  <c r="B14" i="9" s="1"/>
  <c r="B15" i="9" s="1"/>
  <c r="BG11" i="9"/>
  <c r="J11" i="9"/>
  <c r="AL11" i="9" s="1"/>
  <c r="I11" i="9"/>
  <c r="AK11" i="9" s="1"/>
  <c r="H11" i="9"/>
  <c r="AJ11" i="9" s="1"/>
  <c r="G11" i="9"/>
  <c r="AI11" i="9" s="1"/>
  <c r="F11" i="9"/>
  <c r="AH11" i="9" s="1"/>
  <c r="E11" i="9"/>
  <c r="AG11" i="9" s="1"/>
  <c r="D11" i="9"/>
  <c r="AF11" i="9" s="1"/>
  <c r="BM10" i="9"/>
  <c r="BM11" i="9" s="1"/>
  <c r="BK10" i="9"/>
  <c r="BJ10" i="9"/>
  <c r="BI10" i="9"/>
  <c r="BJ11" i="9" s="1"/>
  <c r="BH10" i="9"/>
  <c r="BH11" i="9" s="1"/>
  <c r="BG10" i="9"/>
  <c r="G7" i="9"/>
  <c r="AI7" i="9" s="1"/>
  <c r="E7" i="9"/>
  <c r="AG7" i="9" s="1"/>
  <c r="B7" i="9"/>
  <c r="H13" i="9" s="1"/>
  <c r="AJ13" i="9" s="1"/>
  <c r="BM6" i="9"/>
  <c r="BM12" i="9" s="1"/>
  <c r="BK6" i="9"/>
  <c r="BJ6" i="9"/>
  <c r="BJ12" i="9" s="1"/>
  <c r="BJ13" i="9" s="1"/>
  <c r="BI6" i="9"/>
  <c r="BH6" i="9"/>
  <c r="BH12" i="9" s="1"/>
  <c r="BH13" i="9" s="1"/>
  <c r="BG6" i="9"/>
  <c r="BG12" i="9" s="1"/>
  <c r="H6" i="9"/>
  <c r="AJ6" i="9" s="1"/>
  <c r="B6" i="9"/>
  <c r="E12" i="9" s="1"/>
  <c r="AG12" i="9" s="1"/>
  <c r="BM5" i="9"/>
  <c r="BK5" i="9"/>
  <c r="BJ5" i="9"/>
  <c r="BI5" i="9"/>
  <c r="BH5" i="9"/>
  <c r="BG5" i="9"/>
  <c r="AO5" i="9"/>
  <c r="S17" i="9" s="1"/>
  <c r="AM5" i="9"/>
  <c r="Q17" i="9" s="1"/>
  <c r="AR5" i="9"/>
  <c r="AQ5" i="9"/>
  <c r="AP5" i="9"/>
  <c r="T17" i="9" s="1"/>
  <c r="J5" i="9"/>
  <c r="AL5" i="9" s="1"/>
  <c r="I5" i="9"/>
  <c r="H5" i="9"/>
  <c r="AJ5" i="9" s="1"/>
  <c r="G5" i="9"/>
  <c r="AI5" i="9" s="1"/>
  <c r="F5" i="9"/>
  <c r="AH5" i="9" s="1"/>
  <c r="E5" i="9"/>
  <c r="AG5" i="9" s="1"/>
  <c r="D5" i="9"/>
  <c r="AF5" i="9" s="1"/>
  <c r="R15" i="8"/>
  <c r="S15" i="8"/>
  <c r="R16" i="8"/>
  <c r="S16" i="8"/>
  <c r="AN15" i="8"/>
  <c r="AO15" i="8"/>
  <c r="AN16" i="8"/>
  <c r="AO16" i="8"/>
  <c r="L15" i="8"/>
  <c r="M15" i="8"/>
  <c r="BV97" i="8"/>
  <c r="BV96" i="8"/>
  <c r="BV95" i="8"/>
  <c r="BV94" i="8"/>
  <c r="BV93" i="8"/>
  <c r="BV92" i="8"/>
  <c r="BV91" i="8"/>
  <c r="BV90" i="8"/>
  <c r="BV89" i="8"/>
  <c r="BV88" i="8"/>
  <c r="BV87" i="8"/>
  <c r="BV86" i="8"/>
  <c r="BV85" i="8"/>
  <c r="BV84" i="8"/>
  <c r="BV83" i="8"/>
  <c r="BV82" i="8"/>
  <c r="BV81" i="8"/>
  <c r="BV80" i="8"/>
  <c r="BV79" i="8"/>
  <c r="BV78" i="8"/>
  <c r="BV77" i="8"/>
  <c r="BV76" i="8"/>
  <c r="BV75" i="8"/>
  <c r="BV74" i="8"/>
  <c r="BV73" i="8"/>
  <c r="BV72" i="8"/>
  <c r="BV71" i="8"/>
  <c r="BV70" i="8"/>
  <c r="BV69" i="8"/>
  <c r="BV68" i="8"/>
  <c r="BV67" i="8"/>
  <c r="BV66" i="8"/>
  <c r="BV65" i="8"/>
  <c r="BV64" i="8"/>
  <c r="BV63" i="8"/>
  <c r="BV62" i="8"/>
  <c r="BV61" i="8"/>
  <c r="BV60" i="8"/>
  <c r="BV59" i="8"/>
  <c r="BV58" i="8"/>
  <c r="BV57" i="8"/>
  <c r="BV56" i="8"/>
  <c r="BV55" i="8"/>
  <c r="BV54" i="8"/>
  <c r="BV53" i="8"/>
  <c r="BV52" i="8"/>
  <c r="BV51" i="8"/>
  <c r="BV50" i="8"/>
  <c r="BV49" i="8"/>
  <c r="BV48" i="8"/>
  <c r="BV47" i="8"/>
  <c r="BV46" i="8"/>
  <c r="BV45" i="8"/>
  <c r="BV44" i="8"/>
  <c r="BV43" i="8"/>
  <c r="BV42" i="8"/>
  <c r="BV41" i="8"/>
  <c r="BV40" i="8"/>
  <c r="BV39" i="8"/>
  <c r="BV38" i="8"/>
  <c r="BV37" i="8"/>
  <c r="BV36" i="8"/>
  <c r="BV35" i="8"/>
  <c r="BV34" i="8"/>
  <c r="BV33" i="8"/>
  <c r="BV32" i="8"/>
  <c r="BV31" i="8"/>
  <c r="BV30" i="8"/>
  <c r="BV29" i="8"/>
  <c r="BV28" i="8"/>
  <c r="BV27" i="8"/>
  <c r="BV26" i="8"/>
  <c r="BV25" i="8"/>
  <c r="BV24" i="8"/>
  <c r="BV23" i="8"/>
  <c r="BV22" i="8"/>
  <c r="BH12" i="8"/>
  <c r="BH13" i="8" s="1"/>
  <c r="BG12" i="8"/>
  <c r="BG13" i="8" s="1"/>
  <c r="BM10" i="8"/>
  <c r="BM11" i="8" s="1"/>
  <c r="BK10" i="8"/>
  <c r="BL10" i="8" s="1"/>
  <c r="BJ10" i="8"/>
  <c r="BK11" i="8" s="1"/>
  <c r="BI10" i="8"/>
  <c r="BJ11" i="8" s="1"/>
  <c r="BH10" i="8"/>
  <c r="BG10" i="8"/>
  <c r="BM7" i="8"/>
  <c r="BK7" i="8"/>
  <c r="BL7" i="8" s="1"/>
  <c r="BJ7" i="8"/>
  <c r="BG7" i="8"/>
  <c r="BM6" i="8"/>
  <c r="BM12" i="8" s="1"/>
  <c r="BM13" i="8" s="1"/>
  <c r="BK6" i="8"/>
  <c r="BK12" i="8" s="1"/>
  <c r="BK13" i="8" s="1"/>
  <c r="BJ6" i="8"/>
  <c r="BJ12" i="8" s="1"/>
  <c r="BJ13" i="8" s="1"/>
  <c r="BI6" i="8"/>
  <c r="BI12" i="8" s="1"/>
  <c r="BH6" i="8"/>
  <c r="BG6" i="8"/>
  <c r="BM5" i="8"/>
  <c r="BK5" i="8"/>
  <c r="BJ5" i="8"/>
  <c r="BI5" i="8"/>
  <c r="BH5" i="8"/>
  <c r="BG5" i="8"/>
  <c r="BV97" i="7"/>
  <c r="BV96" i="7"/>
  <c r="BV95" i="7"/>
  <c r="BV94" i="7"/>
  <c r="BV93" i="7"/>
  <c r="BV92" i="7"/>
  <c r="BV91" i="7"/>
  <c r="BV90" i="7"/>
  <c r="BV89" i="7"/>
  <c r="BV88" i="7"/>
  <c r="BV87" i="7"/>
  <c r="BV86" i="7"/>
  <c r="BV85" i="7"/>
  <c r="BV84" i="7"/>
  <c r="BV83" i="7"/>
  <c r="BV82" i="7"/>
  <c r="BV81" i="7"/>
  <c r="BV80" i="7"/>
  <c r="BV79" i="7"/>
  <c r="BV78" i="7"/>
  <c r="BV77" i="7"/>
  <c r="BV76" i="7"/>
  <c r="BV75" i="7"/>
  <c r="BV74" i="7"/>
  <c r="BV73" i="7"/>
  <c r="BV72" i="7"/>
  <c r="BV71" i="7"/>
  <c r="BV70" i="7"/>
  <c r="BV69" i="7"/>
  <c r="BV68" i="7"/>
  <c r="BV67" i="7"/>
  <c r="BV66" i="7"/>
  <c r="BV65" i="7"/>
  <c r="BV64" i="7"/>
  <c r="BV63" i="7"/>
  <c r="BV62" i="7"/>
  <c r="BV61" i="7"/>
  <c r="BV60" i="7"/>
  <c r="BV59" i="7"/>
  <c r="BV58" i="7"/>
  <c r="BV57" i="7"/>
  <c r="BV56" i="7"/>
  <c r="BV55" i="7"/>
  <c r="BV54" i="7"/>
  <c r="BV53" i="7"/>
  <c r="BV52" i="7"/>
  <c r="BV51" i="7"/>
  <c r="BV50" i="7"/>
  <c r="BV49" i="7"/>
  <c r="BV48" i="7"/>
  <c r="BV47" i="7"/>
  <c r="BV46" i="7"/>
  <c r="BV45" i="7"/>
  <c r="BV44" i="7"/>
  <c r="BV43" i="7"/>
  <c r="BV42" i="7"/>
  <c r="BV41" i="7"/>
  <c r="BV40" i="7"/>
  <c r="BV39" i="7"/>
  <c r="BV38" i="7"/>
  <c r="BV37" i="7"/>
  <c r="BV36" i="7"/>
  <c r="BV35" i="7"/>
  <c r="BV34" i="7"/>
  <c r="BV33" i="7"/>
  <c r="BV32" i="7"/>
  <c r="BV31" i="7"/>
  <c r="BV30" i="7"/>
  <c r="BV29" i="7"/>
  <c r="BV28" i="7"/>
  <c r="BV27" i="7"/>
  <c r="BV26" i="7"/>
  <c r="BV25" i="7"/>
  <c r="BV24" i="7"/>
  <c r="BV23" i="7"/>
  <c r="BV22" i="7"/>
  <c r="BG12" i="7"/>
  <c r="BG13" i="7" s="1"/>
  <c r="BM11" i="7"/>
  <c r="BH11" i="7"/>
  <c r="BG11" i="7"/>
  <c r="BM10" i="7"/>
  <c r="BL10" i="7"/>
  <c r="BK10" i="7"/>
  <c r="BJ10" i="7"/>
  <c r="BK11" i="7" s="1"/>
  <c r="BL11" i="7" s="1"/>
  <c r="BI10" i="7"/>
  <c r="BJ11" i="7" s="1"/>
  <c r="BH10" i="7"/>
  <c r="BI11" i="7" s="1"/>
  <c r="BG10" i="7"/>
  <c r="BM7" i="7"/>
  <c r="BK7" i="7"/>
  <c r="BL7" i="7" s="1"/>
  <c r="BJ7" i="7"/>
  <c r="BI7" i="7"/>
  <c r="BH7" i="7"/>
  <c r="BG7" i="7"/>
  <c r="BM6" i="7"/>
  <c r="BM12" i="7" s="1"/>
  <c r="BM13" i="7" s="1"/>
  <c r="BK6" i="7"/>
  <c r="BK12" i="7" s="1"/>
  <c r="BK13" i="7" s="1"/>
  <c r="BJ6" i="7"/>
  <c r="BJ12" i="7" s="1"/>
  <c r="BJ13" i="7" s="1"/>
  <c r="BI6" i="7"/>
  <c r="BI12" i="7" s="1"/>
  <c r="BI13" i="7" s="1"/>
  <c r="BH6" i="7"/>
  <c r="BH12" i="7" s="1"/>
  <c r="BH13" i="7" s="1"/>
  <c r="BG6" i="7"/>
  <c r="BM5" i="7"/>
  <c r="BK5" i="7"/>
  <c r="BJ5" i="7"/>
  <c r="BI5" i="7"/>
  <c r="BH5" i="7"/>
  <c r="BG5" i="7"/>
  <c r="BV97" i="6"/>
  <c r="BV96" i="6"/>
  <c r="BV95" i="6"/>
  <c r="BV94" i="6"/>
  <c r="BV93" i="6"/>
  <c r="BV92" i="6"/>
  <c r="BV91" i="6"/>
  <c r="BV90" i="6"/>
  <c r="BV89" i="6"/>
  <c r="BV88" i="6"/>
  <c r="BV87" i="6"/>
  <c r="BV86" i="6"/>
  <c r="BV85" i="6"/>
  <c r="BV84" i="6"/>
  <c r="BV83" i="6"/>
  <c r="BV82" i="6"/>
  <c r="BV81" i="6"/>
  <c r="BV80" i="6"/>
  <c r="BV79" i="6"/>
  <c r="BV78" i="6"/>
  <c r="BV77" i="6"/>
  <c r="BV76" i="6"/>
  <c r="BV75" i="6"/>
  <c r="BV74" i="6"/>
  <c r="BV73" i="6"/>
  <c r="BV72" i="6"/>
  <c r="BV71" i="6"/>
  <c r="BV70" i="6"/>
  <c r="BV69" i="6"/>
  <c r="BV68" i="6"/>
  <c r="BV67" i="6"/>
  <c r="BV66" i="6"/>
  <c r="BV65" i="6"/>
  <c r="BV64" i="6"/>
  <c r="BV63" i="6"/>
  <c r="BV62" i="6"/>
  <c r="BV61" i="6"/>
  <c r="BV60" i="6"/>
  <c r="BV59" i="6"/>
  <c r="BV58" i="6"/>
  <c r="BV57" i="6"/>
  <c r="BV56" i="6"/>
  <c r="BV55" i="6"/>
  <c r="BV54" i="6"/>
  <c r="BV53" i="6"/>
  <c r="BV52" i="6"/>
  <c r="BV51" i="6"/>
  <c r="BV50" i="6"/>
  <c r="BV49" i="6"/>
  <c r="BV48" i="6"/>
  <c r="BV47" i="6"/>
  <c r="BV46" i="6"/>
  <c r="BV45" i="6"/>
  <c r="BV44" i="6"/>
  <c r="BV43" i="6"/>
  <c r="BV42" i="6"/>
  <c r="BV41" i="6"/>
  <c r="BV40" i="6"/>
  <c r="BV39" i="6"/>
  <c r="BV38" i="6"/>
  <c r="BV37" i="6"/>
  <c r="BV36" i="6"/>
  <c r="BV35" i="6"/>
  <c r="BV34" i="6"/>
  <c r="BV33" i="6"/>
  <c r="BV32" i="6"/>
  <c r="BV31" i="6"/>
  <c r="BV30" i="6"/>
  <c r="BV29" i="6"/>
  <c r="BV28" i="6"/>
  <c r="BV27" i="6"/>
  <c r="BV26" i="6"/>
  <c r="BV25" i="6"/>
  <c r="BV24" i="6"/>
  <c r="BV23" i="6"/>
  <c r="BV22" i="6"/>
  <c r="BV97" i="3"/>
  <c r="BH12" i="6"/>
  <c r="BH13" i="6" s="1"/>
  <c r="BG12" i="6"/>
  <c r="BG13" i="6" s="1"/>
  <c r="BG11" i="6"/>
  <c r="BM10" i="6"/>
  <c r="BM11" i="6" s="1"/>
  <c r="BK10" i="6"/>
  <c r="BL10" i="6" s="1"/>
  <c r="BJ10" i="6"/>
  <c r="BK11" i="6" s="1"/>
  <c r="BI10" i="6"/>
  <c r="BJ11" i="6" s="1"/>
  <c r="BH10" i="6"/>
  <c r="BI11" i="6" s="1"/>
  <c r="BG10" i="6"/>
  <c r="BH11" i="6" s="1"/>
  <c r="BM7" i="6"/>
  <c r="BK7" i="6"/>
  <c r="BL7" i="6" s="1"/>
  <c r="BJ7" i="6"/>
  <c r="BI7" i="6"/>
  <c r="BH7" i="6"/>
  <c r="BG7" i="6"/>
  <c r="BM6" i="6"/>
  <c r="BM12" i="6" s="1"/>
  <c r="BM13" i="6" s="1"/>
  <c r="BK6" i="6"/>
  <c r="BK12" i="6" s="1"/>
  <c r="BK13" i="6" s="1"/>
  <c r="BJ6" i="6"/>
  <c r="BJ12" i="6" s="1"/>
  <c r="BJ13" i="6" s="1"/>
  <c r="BI6" i="6"/>
  <c r="BI12" i="6" s="1"/>
  <c r="BI13" i="6" s="1"/>
  <c r="BH6" i="6"/>
  <c r="BG6" i="6"/>
  <c r="BM5" i="6"/>
  <c r="BK5" i="6"/>
  <c r="BJ5" i="6"/>
  <c r="BI5" i="6"/>
  <c r="BH5" i="6"/>
  <c r="BG5" i="6"/>
  <c r="BM10" i="3"/>
  <c r="BM11" i="3" s="1"/>
  <c r="BK10" i="3"/>
  <c r="BL10" i="3" s="1"/>
  <c r="BJ10" i="3"/>
  <c r="BI10" i="3"/>
  <c r="BH10" i="3"/>
  <c r="BG10" i="3"/>
  <c r="BH11" i="3" s="1"/>
  <c r="BM6" i="3"/>
  <c r="BM12" i="3" s="1"/>
  <c r="BM13" i="3" s="1"/>
  <c r="BK6" i="3"/>
  <c r="BK12" i="3" s="1"/>
  <c r="BK13" i="3" s="1"/>
  <c r="BJ6" i="3"/>
  <c r="BJ12" i="3" s="1"/>
  <c r="BJ13" i="3" s="1"/>
  <c r="BI6" i="3"/>
  <c r="BI12" i="3" s="1"/>
  <c r="BH6" i="3"/>
  <c r="BH12" i="3" s="1"/>
  <c r="BH13" i="3" s="1"/>
  <c r="BG6" i="3"/>
  <c r="BG12" i="3" s="1"/>
  <c r="BM5" i="3"/>
  <c r="BK5" i="3"/>
  <c r="BJ5" i="3"/>
  <c r="BI5" i="3"/>
  <c r="BH5" i="3"/>
  <c r="BG5" i="3"/>
  <c r="BV97" i="5"/>
  <c r="BM5" i="5"/>
  <c r="BH5" i="5"/>
  <c r="BI5" i="5"/>
  <c r="BJ5" i="5"/>
  <c r="BK5" i="5"/>
  <c r="BG5" i="5"/>
  <c r="BJ11" i="3" l="1"/>
  <c r="BI13" i="3"/>
  <c r="BG11" i="3"/>
  <c r="BI11" i="3"/>
  <c r="BK11" i="3"/>
  <c r="BL11" i="3" s="1"/>
  <c r="BG13" i="3"/>
  <c r="U16" i="9"/>
  <c r="U15" i="9"/>
  <c r="AW15" i="9" s="1"/>
  <c r="V16" i="9"/>
  <c r="V15" i="9"/>
  <c r="AX15" i="9" s="1"/>
  <c r="AK5" i="9"/>
  <c r="I6" i="9"/>
  <c r="AK6" i="9" s="1"/>
  <c r="J6" i="9"/>
  <c r="AL6" i="9" s="1"/>
  <c r="D7" i="9"/>
  <c r="AF7" i="9" s="1"/>
  <c r="D13" i="9"/>
  <c r="AF13" i="9" s="1"/>
  <c r="E17" i="9"/>
  <c r="AG17" i="9" s="1"/>
  <c r="D17" i="9"/>
  <c r="AF17" i="9" s="1"/>
  <c r="J17" i="9"/>
  <c r="AL17" i="9" s="1"/>
  <c r="I17" i="9"/>
  <c r="AK17" i="9" s="1"/>
  <c r="G17" i="9"/>
  <c r="AI17" i="9" s="1"/>
  <c r="H12" i="9"/>
  <c r="AJ12" i="9" s="1"/>
  <c r="G12" i="9"/>
  <c r="AI12" i="9" s="1"/>
  <c r="F6" i="9"/>
  <c r="AH6" i="9" s="1"/>
  <c r="F12" i="9"/>
  <c r="AH12" i="9" s="1"/>
  <c r="E6" i="9"/>
  <c r="AG6" i="9" s="1"/>
  <c r="D12" i="9"/>
  <c r="AF12" i="9" s="1"/>
  <c r="J7" i="9"/>
  <c r="AL7" i="9" s="1"/>
  <c r="F17" i="9"/>
  <c r="AH17" i="9" s="1"/>
  <c r="D6" i="9"/>
  <c r="AF6" i="9" s="1"/>
  <c r="E13" i="9"/>
  <c r="AG13" i="9" s="1"/>
  <c r="H17" i="9"/>
  <c r="AJ17" i="9" s="1"/>
  <c r="BL6" i="9"/>
  <c r="BL12" i="9" s="1"/>
  <c r="BK12" i="9"/>
  <c r="BK13" i="9" s="1"/>
  <c r="G6" i="9"/>
  <c r="AI6" i="9" s="1"/>
  <c r="BM13" i="9"/>
  <c r="BL10" i="9"/>
  <c r="BK11" i="9" s="1"/>
  <c r="BL11" i="9" s="1"/>
  <c r="BI11" i="9"/>
  <c r="G18" i="9"/>
  <c r="AI18" i="9" s="1"/>
  <c r="F18" i="9"/>
  <c r="AH18" i="9" s="1"/>
  <c r="E18" i="9"/>
  <c r="AG18" i="9" s="1"/>
  <c r="D18" i="9"/>
  <c r="AF18" i="9" s="1"/>
  <c r="J18" i="9"/>
  <c r="AL18" i="9" s="1"/>
  <c r="I18" i="9"/>
  <c r="AK18" i="9" s="1"/>
  <c r="F13" i="9"/>
  <c r="AH13" i="9" s="1"/>
  <c r="H18" i="9"/>
  <c r="AJ18" i="9" s="1"/>
  <c r="J13" i="9"/>
  <c r="AL13" i="9" s="1"/>
  <c r="I7" i="9"/>
  <c r="AK7" i="9" s="1"/>
  <c r="I13" i="9"/>
  <c r="AK13" i="9" s="1"/>
  <c r="H7" i="9"/>
  <c r="AJ7" i="9" s="1"/>
  <c r="G13" i="9"/>
  <c r="AI13" i="9" s="1"/>
  <c r="F7" i="9"/>
  <c r="AH7" i="9" s="1"/>
  <c r="AN5" i="9"/>
  <c r="R17" i="9" s="1"/>
  <c r="B8" i="9"/>
  <c r="BQ24" i="9"/>
  <c r="BR24" i="9" s="1"/>
  <c r="BS24" i="9" s="1"/>
  <c r="BP25" i="9"/>
  <c r="BU24" i="9"/>
  <c r="BQ23" i="9"/>
  <c r="BR23" i="9" s="1"/>
  <c r="BS23" i="9" s="1"/>
  <c r="BI13" i="8"/>
  <c r="BI11" i="8"/>
  <c r="BH11" i="8"/>
  <c r="BG11" i="8"/>
  <c r="BL11" i="8"/>
  <c r="BL6" i="8"/>
  <c r="BL12" i="8" s="1"/>
  <c r="BL13" i="8" s="1"/>
  <c r="BN13" i="8" s="1"/>
  <c r="BL6" i="7"/>
  <c r="BL12" i="7" s="1"/>
  <c r="BL13" i="7" s="1"/>
  <c r="BN13" i="7" s="1"/>
  <c r="BL11" i="6"/>
  <c r="BL6" i="6"/>
  <c r="BL12" i="6" s="1"/>
  <c r="BL13" i="6" s="1"/>
  <c r="BN13" i="6" s="1"/>
  <c r="BL6" i="3"/>
  <c r="BL12" i="3" s="1"/>
  <c r="BL13" i="3" s="1"/>
  <c r="BN13" i="3" s="1"/>
  <c r="V7" i="9" l="1"/>
  <c r="AX7" i="9" s="1"/>
  <c r="Q5" i="9"/>
  <c r="W5" i="9" s="1"/>
  <c r="AY5" i="9" s="1"/>
  <c r="AB18" i="9"/>
  <c r="AM4" i="9"/>
  <c r="BG7" i="9" s="1"/>
  <c r="U10" i="9"/>
  <c r="AW10" i="9" s="1"/>
  <c r="V10" i="9"/>
  <c r="AX10" i="9" s="1"/>
  <c r="W13" i="9"/>
  <c r="V6" i="9"/>
  <c r="AB6" i="9" s="1"/>
  <c r="BD6" i="9" s="1"/>
  <c r="R5" i="9"/>
  <c r="AT5" i="9" s="1"/>
  <c r="T8" i="9"/>
  <c r="AV8" i="9" s="1"/>
  <c r="X13" i="9"/>
  <c r="S14" i="9"/>
  <c r="AO4" i="9"/>
  <c r="BI7" i="9" s="1"/>
  <c r="Q14" i="9"/>
  <c r="T11" i="9"/>
  <c r="S10" i="9"/>
  <c r="S8" i="9"/>
  <c r="BP26" i="9"/>
  <c r="BQ25" i="9"/>
  <c r="BR25" i="9" s="1"/>
  <c r="BS25" i="9" s="1"/>
  <c r="U14" i="9"/>
  <c r="AA17" i="9"/>
  <c r="V12" i="9"/>
  <c r="U13" i="9"/>
  <c r="BL13" i="9"/>
  <c r="BN13" i="9" s="1"/>
  <c r="V13" i="9"/>
  <c r="T9" i="9"/>
  <c r="V14" i="9"/>
  <c r="S11" i="9"/>
  <c r="I19" i="9"/>
  <c r="AK19" i="9" s="1"/>
  <c r="H19" i="9"/>
  <c r="AJ19" i="9" s="1"/>
  <c r="G19" i="9"/>
  <c r="AI19" i="9" s="1"/>
  <c r="F19" i="9"/>
  <c r="AH19" i="9" s="1"/>
  <c r="E19" i="9"/>
  <c r="AG19" i="9" s="1"/>
  <c r="D19" i="9"/>
  <c r="J19" i="9"/>
  <c r="AL19" i="9" s="1"/>
  <c r="H14" i="9"/>
  <c r="AJ14" i="9" s="1"/>
  <c r="E14" i="9"/>
  <c r="AG14" i="9" s="1"/>
  <c r="D14" i="9"/>
  <c r="AF14" i="9" s="1"/>
  <c r="D8" i="9"/>
  <c r="AF8" i="9" s="1"/>
  <c r="I14" i="9"/>
  <c r="AK14" i="9" s="1"/>
  <c r="I8" i="9"/>
  <c r="AK8" i="9" s="1"/>
  <c r="G14" i="9"/>
  <c r="AI14" i="9" s="1"/>
  <c r="F14" i="9"/>
  <c r="AH14" i="9" s="1"/>
  <c r="F8" i="9"/>
  <c r="AH8" i="9" s="1"/>
  <c r="B9" i="9"/>
  <c r="J8" i="9"/>
  <c r="AL8" i="9" s="1"/>
  <c r="H8" i="9"/>
  <c r="AJ8" i="9" s="1"/>
  <c r="G8" i="9"/>
  <c r="AI8" i="9" s="1"/>
  <c r="J14" i="9"/>
  <c r="AL14" i="9" s="1"/>
  <c r="E8" i="9"/>
  <c r="AG8" i="9" s="1"/>
  <c r="T5" i="9"/>
  <c r="AQ4" i="9"/>
  <c r="BK7" i="9" s="1"/>
  <c r="T12" i="9"/>
  <c r="V8" i="9"/>
  <c r="U8" i="9"/>
  <c r="V9" i="9"/>
  <c r="S12" i="9"/>
  <c r="U12" i="9"/>
  <c r="V5" i="9"/>
  <c r="T10" i="9"/>
  <c r="AN4" i="9"/>
  <c r="BH7" i="9" s="1"/>
  <c r="R8" i="9"/>
  <c r="R12" i="9"/>
  <c r="R9" i="9"/>
  <c r="R14" i="9"/>
  <c r="T14" i="9"/>
  <c r="AP4" i="9"/>
  <c r="BJ7" i="9" s="1"/>
  <c r="S9" i="9"/>
  <c r="AR4" i="9"/>
  <c r="BM7" i="9" s="1"/>
  <c r="T13" i="9"/>
  <c r="U11" i="9"/>
  <c r="U5" i="9"/>
  <c r="U7" i="9"/>
  <c r="V11" i="9"/>
  <c r="U9" i="9"/>
  <c r="BU25" i="9"/>
  <c r="BV24" i="9"/>
  <c r="S5" i="9"/>
  <c r="Z17" i="9" l="1"/>
  <c r="X5" i="9"/>
  <c r="AZ5" i="9" s="1"/>
  <c r="AB7" i="9"/>
  <c r="BD7" i="9" s="1"/>
  <c r="W7" i="9"/>
  <c r="AS5" i="9"/>
  <c r="AX6" i="9"/>
  <c r="Y13" i="9"/>
  <c r="Y19" i="9"/>
  <c r="AU9" i="9"/>
  <c r="X12" i="9"/>
  <c r="AZ12" i="9" s="1"/>
  <c r="AT12" i="9"/>
  <c r="AB16" i="9"/>
  <c r="AV9" i="9"/>
  <c r="AV11" i="9"/>
  <c r="Z11" i="9"/>
  <c r="BB11" i="9" s="1"/>
  <c r="AW11" i="9"/>
  <c r="AA11" i="9"/>
  <c r="BC11" i="9" s="1"/>
  <c r="AB12" i="9"/>
  <c r="BD12" i="9" s="1"/>
  <c r="AX12" i="9"/>
  <c r="AB11" i="9"/>
  <c r="BD11" i="9" s="1"/>
  <c r="AX11" i="9"/>
  <c r="Z13" i="9"/>
  <c r="BB13" i="9" s="1"/>
  <c r="AV13" i="9"/>
  <c r="AV14" i="9"/>
  <c r="Z14" i="9"/>
  <c r="BB14" i="9" s="1"/>
  <c r="X11" i="9"/>
  <c r="AX5" i="9"/>
  <c r="AB5" i="9"/>
  <c r="BD5" i="9" s="1"/>
  <c r="W6" i="9"/>
  <c r="AW8" i="9"/>
  <c r="AA8" i="9"/>
  <c r="BC8" i="9" s="1"/>
  <c r="AV12" i="9"/>
  <c r="Z12" i="9"/>
  <c r="BB12" i="9" s="1"/>
  <c r="AF19" i="9"/>
  <c r="W19" i="9"/>
  <c r="AA18" i="9"/>
  <c r="AX13" i="9"/>
  <c r="AB13" i="9"/>
  <c r="BD13" i="9" s="1"/>
  <c r="BV25" i="9"/>
  <c r="BU26" i="9"/>
  <c r="AW7" i="9"/>
  <c r="AA7" i="9"/>
  <c r="BC7" i="9" s="1"/>
  <c r="X19" i="9"/>
  <c r="X17" i="9"/>
  <c r="AB19" i="9"/>
  <c r="AS14" i="9"/>
  <c r="W14" i="9"/>
  <c r="AY14" i="9" s="1"/>
  <c r="AA6" i="9"/>
  <c r="Y7" i="9"/>
  <c r="W8" i="9"/>
  <c r="X6" i="9"/>
  <c r="Z16" i="9"/>
  <c r="AX9" i="9"/>
  <c r="BL7" i="9"/>
  <c r="Y18" i="9"/>
  <c r="AB14" i="9"/>
  <c r="BD14" i="9" s="1"/>
  <c r="AX14" i="9"/>
  <c r="AA13" i="9"/>
  <c r="BC13" i="9" s="1"/>
  <c r="AW13" i="9"/>
  <c r="Y8" i="9"/>
  <c r="BA8" i="9" s="1"/>
  <c r="AU8" i="9"/>
  <c r="AW9" i="9"/>
  <c r="Z7" i="9"/>
  <c r="Y6" i="9"/>
  <c r="W11" i="9"/>
  <c r="AA5" i="9"/>
  <c r="BC5" i="9" s="1"/>
  <c r="AW5" i="9"/>
  <c r="X14" i="9"/>
  <c r="AZ14" i="9" s="1"/>
  <c r="AT14" i="9"/>
  <c r="Y16" i="9"/>
  <c r="Z5" i="9"/>
  <c r="BB5" i="9" s="1"/>
  <c r="AV5" i="9"/>
  <c r="J15" i="9"/>
  <c r="AL15" i="9" s="1"/>
  <c r="G15" i="9"/>
  <c r="AI15" i="9" s="1"/>
  <c r="H9" i="9"/>
  <c r="AJ9" i="9" s="1"/>
  <c r="F15" i="9"/>
  <c r="AH15" i="9" s="1"/>
  <c r="B10" i="9"/>
  <c r="G9" i="9"/>
  <c r="AI9" i="9" s="1"/>
  <c r="D15" i="9"/>
  <c r="AA15" i="9" s="1"/>
  <c r="BC15" i="9" s="1"/>
  <c r="E15" i="9"/>
  <c r="AG15" i="9" s="1"/>
  <c r="F9" i="9"/>
  <c r="AH9" i="9" s="1"/>
  <c r="D9" i="9"/>
  <c r="AF9" i="9" s="1"/>
  <c r="I15" i="9"/>
  <c r="AK15" i="9" s="1"/>
  <c r="H15" i="9"/>
  <c r="AJ15" i="9" s="1"/>
  <c r="J9" i="9"/>
  <c r="AL9" i="9" s="1"/>
  <c r="I9" i="9"/>
  <c r="AK9" i="9" s="1"/>
  <c r="E9" i="9"/>
  <c r="AG9" i="9" s="1"/>
  <c r="Y11" i="9"/>
  <c r="BA11" i="9" s="1"/>
  <c r="AU11" i="9"/>
  <c r="W16" i="9"/>
  <c r="AW14" i="9"/>
  <c r="AA14" i="9"/>
  <c r="BC14" i="9" s="1"/>
  <c r="Z18" i="9"/>
  <c r="X8" i="9"/>
  <c r="AZ8" i="9" s="1"/>
  <c r="AT8" i="9"/>
  <c r="X16" i="9"/>
  <c r="AT9" i="9"/>
  <c r="X18" i="9"/>
  <c r="AA12" i="9"/>
  <c r="BC12" i="9" s="1"/>
  <c r="AW12" i="9"/>
  <c r="AB8" i="9"/>
  <c r="BD8" i="9" s="1"/>
  <c r="AX8" i="9"/>
  <c r="W18" i="9"/>
  <c r="AA19" i="9"/>
  <c r="Z6" i="9"/>
  <c r="Y17" i="9"/>
  <c r="Y14" i="9"/>
  <c r="BA14" i="9" s="1"/>
  <c r="AU14" i="9"/>
  <c r="AB17" i="9"/>
  <c r="Y5" i="9"/>
  <c r="BA5" i="9" s="1"/>
  <c r="AU5" i="9"/>
  <c r="Z19" i="9"/>
  <c r="AA16" i="9"/>
  <c r="X7" i="9"/>
  <c r="AU12" i="9"/>
  <c r="Y12" i="9"/>
  <c r="BA12" i="9" s="1"/>
  <c r="W17" i="9"/>
  <c r="W12" i="9"/>
  <c r="BP27" i="9"/>
  <c r="BQ26" i="9"/>
  <c r="BR26" i="9" s="1"/>
  <c r="BS26" i="9" s="1"/>
  <c r="Z8" i="9"/>
  <c r="BB8" i="9" s="1"/>
  <c r="L23" i="8"/>
  <c r="M23" i="8"/>
  <c r="N23" i="8"/>
  <c r="O23" i="8"/>
  <c r="P23" i="8"/>
  <c r="K22" i="8"/>
  <c r="L22" i="8"/>
  <c r="M22" i="8"/>
  <c r="N22" i="8"/>
  <c r="O22" i="8"/>
  <c r="P22" i="8"/>
  <c r="K21" i="8"/>
  <c r="L21" i="8"/>
  <c r="M21" i="8"/>
  <c r="N21" i="8"/>
  <c r="O21" i="8"/>
  <c r="P21" i="8"/>
  <c r="K20" i="8"/>
  <c r="L20" i="8"/>
  <c r="M20" i="8"/>
  <c r="N20" i="8"/>
  <c r="O20" i="8"/>
  <c r="P20" i="8"/>
  <c r="K25" i="8"/>
  <c r="K26" i="8"/>
  <c r="L26" i="8"/>
  <c r="M26" i="8"/>
  <c r="N26" i="8"/>
  <c r="O26" i="8"/>
  <c r="P26" i="8"/>
  <c r="L25" i="8"/>
  <c r="M25" i="8"/>
  <c r="N25" i="8"/>
  <c r="O25" i="8"/>
  <c r="P25" i="8"/>
  <c r="K24" i="8"/>
  <c r="L24" i="8"/>
  <c r="M24" i="8"/>
  <c r="N24" i="8"/>
  <c r="O24" i="8"/>
  <c r="P24" i="8"/>
  <c r="X9" i="9" l="1"/>
  <c r="AZ9" i="9" s="1"/>
  <c r="AT4" i="9"/>
  <c r="AS4" i="9"/>
  <c r="Y15" i="9"/>
  <c r="W9" i="9"/>
  <c r="AY4" i="9" s="1"/>
  <c r="BG8" i="9" s="1"/>
  <c r="BQ27" i="9"/>
  <c r="BR27" i="9" s="1"/>
  <c r="BS27" i="9" s="1"/>
  <c r="BP28" i="9"/>
  <c r="BU27" i="9"/>
  <c r="BV26" i="9"/>
  <c r="AB15" i="9"/>
  <c r="BD15" i="9" s="1"/>
  <c r="AV4" i="9"/>
  <c r="AF15" i="9"/>
  <c r="W15" i="9"/>
  <c r="Z9" i="9"/>
  <c r="BB9" i="9" s="1"/>
  <c r="AW4" i="9"/>
  <c r="AX4" i="9"/>
  <c r="Y9" i="9"/>
  <c r="BA9" i="9" s="1"/>
  <c r="AU4" i="9"/>
  <c r="Z15" i="9"/>
  <c r="F10" i="9"/>
  <c r="AH10" i="9" s="1"/>
  <c r="AH4" i="9" s="1"/>
  <c r="J10" i="9"/>
  <c r="AL10" i="9" s="1"/>
  <c r="AL4" i="9" s="1"/>
  <c r="I10" i="9"/>
  <c r="AK10" i="9" s="1"/>
  <c r="AK4" i="9" s="1"/>
  <c r="G10" i="9"/>
  <c r="AI10" i="9" s="1"/>
  <c r="AI4" i="9" s="1"/>
  <c r="D10" i="9"/>
  <c r="H10" i="9"/>
  <c r="AJ10" i="9" s="1"/>
  <c r="AJ4" i="9" s="1"/>
  <c r="E10" i="9"/>
  <c r="AG10" i="9" s="1"/>
  <c r="AG4" i="9" s="1"/>
  <c r="AA9" i="9"/>
  <c r="BC9" i="9" s="1"/>
  <c r="AB9" i="9"/>
  <c r="BD9" i="9" s="1"/>
  <c r="X15" i="9"/>
  <c r="AO19" i="8"/>
  <c r="AQ19" i="8"/>
  <c r="AQ17" i="8"/>
  <c r="AM12" i="8"/>
  <c r="AP12" i="8"/>
  <c r="AR12" i="8"/>
  <c r="AN13" i="8"/>
  <c r="AO11" i="8"/>
  <c r="N15" i="8"/>
  <c r="O15" i="8"/>
  <c r="P15" i="8"/>
  <c r="K14" i="8"/>
  <c r="L14" i="8"/>
  <c r="M14" i="8"/>
  <c r="N14" i="8"/>
  <c r="O14" i="8"/>
  <c r="P14" i="8"/>
  <c r="K13" i="8"/>
  <c r="L13" i="8"/>
  <c r="M13" i="8"/>
  <c r="N13" i="8"/>
  <c r="O13" i="8"/>
  <c r="P13" i="8"/>
  <c r="K12" i="8"/>
  <c r="L12" i="8"/>
  <c r="M12" i="8"/>
  <c r="N12" i="8"/>
  <c r="O12" i="8"/>
  <c r="P12" i="8"/>
  <c r="K11" i="8"/>
  <c r="L11" i="8"/>
  <c r="M11" i="8"/>
  <c r="N11" i="8"/>
  <c r="O11" i="8"/>
  <c r="P11" i="8"/>
  <c r="L19" i="8"/>
  <c r="M19" i="8"/>
  <c r="N19" i="8"/>
  <c r="O19" i="8"/>
  <c r="P19" i="8"/>
  <c r="K18" i="8"/>
  <c r="L18" i="8"/>
  <c r="M18" i="8"/>
  <c r="N18" i="8"/>
  <c r="O18" i="8"/>
  <c r="P18" i="8"/>
  <c r="K17" i="8"/>
  <c r="L17" i="8"/>
  <c r="M17" i="8"/>
  <c r="N17" i="8"/>
  <c r="O17" i="8"/>
  <c r="P17" i="8"/>
  <c r="K16" i="8"/>
  <c r="L16" i="8"/>
  <c r="M16" i="8"/>
  <c r="N16" i="8"/>
  <c r="O16" i="8"/>
  <c r="P16" i="8"/>
  <c r="AQ7" i="8"/>
  <c r="AQ8" i="8"/>
  <c r="AN9" i="8"/>
  <c r="AQ9" i="8"/>
  <c r="N10" i="8"/>
  <c r="O10" i="8"/>
  <c r="P10" i="8"/>
  <c r="K9" i="8"/>
  <c r="L9" i="8"/>
  <c r="M9" i="8"/>
  <c r="N9" i="8"/>
  <c r="O9" i="8"/>
  <c r="P9" i="8"/>
  <c r="K8" i="8"/>
  <c r="L8" i="8"/>
  <c r="M8" i="8"/>
  <c r="N8" i="8"/>
  <c r="O8" i="8"/>
  <c r="P8" i="8"/>
  <c r="K7" i="8"/>
  <c r="L7" i="8"/>
  <c r="M7" i="8"/>
  <c r="N7" i="8"/>
  <c r="O7" i="8"/>
  <c r="P7" i="8"/>
  <c r="K6" i="8"/>
  <c r="L6" i="8"/>
  <c r="M6" i="8"/>
  <c r="N6" i="8"/>
  <c r="O6" i="8"/>
  <c r="P6" i="8"/>
  <c r="K5" i="8"/>
  <c r="L5" i="8"/>
  <c r="M5" i="8"/>
  <c r="N5" i="8"/>
  <c r="O5" i="8"/>
  <c r="P5" i="8"/>
  <c r="N30" i="8"/>
  <c r="O30" i="8"/>
  <c r="P30" i="8"/>
  <c r="O30" i="5"/>
  <c r="P30" i="5"/>
  <c r="K29" i="8"/>
  <c r="L29" i="8"/>
  <c r="M29" i="8"/>
  <c r="N29" i="8"/>
  <c r="O29" i="8"/>
  <c r="P29" i="8"/>
  <c r="K28" i="8"/>
  <c r="L28" i="8"/>
  <c r="M28" i="8"/>
  <c r="N28" i="8"/>
  <c r="O28" i="8"/>
  <c r="P28" i="8"/>
  <c r="K27" i="8"/>
  <c r="L27" i="8"/>
  <c r="M27" i="8"/>
  <c r="N27" i="8"/>
  <c r="O27" i="8"/>
  <c r="P27" i="8"/>
  <c r="AC28" i="8"/>
  <c r="AP28" i="8" s="1"/>
  <c r="AC29" i="8"/>
  <c r="AN29" i="8" s="1"/>
  <c r="AC30" i="8"/>
  <c r="AQ30" i="8" s="1"/>
  <c r="AC27" i="8"/>
  <c r="AR27" i="8" s="1"/>
  <c r="AC25" i="8"/>
  <c r="AC26" i="8"/>
  <c r="AC24" i="8"/>
  <c r="AC21" i="8"/>
  <c r="AC22" i="8"/>
  <c r="AC23" i="8"/>
  <c r="AC20" i="8"/>
  <c r="AC17" i="8"/>
  <c r="AR17" i="8" s="1"/>
  <c r="AC18" i="8"/>
  <c r="AR18" i="8" s="1"/>
  <c r="AC19" i="8"/>
  <c r="AN19" i="8" s="1"/>
  <c r="AC16" i="8"/>
  <c r="AQ16" i="8" s="1"/>
  <c r="AC12" i="8"/>
  <c r="AN12" i="8" s="1"/>
  <c r="AC13" i="8"/>
  <c r="AM13" i="8" s="1"/>
  <c r="AC14" i="8"/>
  <c r="AM14" i="8" s="1"/>
  <c r="AC15" i="8"/>
  <c r="AC11" i="8"/>
  <c r="AN11" i="8" s="1"/>
  <c r="AC6" i="8"/>
  <c r="AM6" i="8" s="1"/>
  <c r="AC7" i="8"/>
  <c r="AN7" i="8" s="1"/>
  <c r="AC8" i="8"/>
  <c r="AR8" i="8" s="1"/>
  <c r="AC9" i="8"/>
  <c r="AO9" i="8" s="1"/>
  <c r="AC10" i="8"/>
  <c r="AR10" i="8" s="1"/>
  <c r="AC5" i="8"/>
  <c r="AQ5" i="8" s="1"/>
  <c r="B30" i="8"/>
  <c r="AR29" i="8"/>
  <c r="B29" i="8"/>
  <c r="AO28" i="8"/>
  <c r="AM28" i="8"/>
  <c r="I28" i="8"/>
  <c r="B28" i="8"/>
  <c r="AN27" i="8"/>
  <c r="J27" i="8"/>
  <c r="I27" i="8"/>
  <c r="H27" i="8"/>
  <c r="AJ27" i="8" s="1"/>
  <c r="G27" i="8"/>
  <c r="F27" i="8"/>
  <c r="E27" i="8"/>
  <c r="AG27" i="8" s="1"/>
  <c r="D27" i="8"/>
  <c r="H25" i="8"/>
  <c r="B25" i="8"/>
  <c r="B26" i="8" s="1"/>
  <c r="J24" i="8"/>
  <c r="I24" i="8"/>
  <c r="AK24" i="8" s="1"/>
  <c r="H24" i="8"/>
  <c r="G24" i="8"/>
  <c r="F24" i="8"/>
  <c r="AH24" i="8" s="1"/>
  <c r="E24" i="8"/>
  <c r="AG24" i="8" s="1"/>
  <c r="D24" i="8"/>
  <c r="BQ23" i="8"/>
  <c r="BR23" i="8" s="1"/>
  <c r="BS23" i="8" s="1"/>
  <c r="BP23" i="8"/>
  <c r="BP24" i="8" s="1"/>
  <c r="BQ24" i="8" s="1"/>
  <c r="BR24" i="8" s="1"/>
  <c r="BS24" i="8" s="1"/>
  <c r="BU22" i="8"/>
  <c r="BQ22" i="8"/>
  <c r="BR22" i="8" s="1"/>
  <c r="BS22" i="8" s="1"/>
  <c r="B22" i="8"/>
  <c r="B23" i="8" s="1"/>
  <c r="D21" i="8"/>
  <c r="B21" i="8"/>
  <c r="J20" i="8"/>
  <c r="I20" i="8"/>
  <c r="H20" i="8"/>
  <c r="G20" i="8"/>
  <c r="F20" i="8"/>
  <c r="E20" i="8"/>
  <c r="AG20" i="8" s="1"/>
  <c r="D20" i="8"/>
  <c r="I17" i="8"/>
  <c r="AK17" i="8" s="1"/>
  <c r="B17" i="8"/>
  <c r="B18" i="8" s="1"/>
  <c r="B19" i="8" s="1"/>
  <c r="J16" i="8"/>
  <c r="AL16" i="8" s="1"/>
  <c r="I16" i="8"/>
  <c r="H16" i="8"/>
  <c r="G16" i="8"/>
  <c r="AI16" i="8" s="1"/>
  <c r="F16" i="8"/>
  <c r="E16" i="8"/>
  <c r="D16" i="8"/>
  <c r="B14" i="8"/>
  <c r="B15" i="8" s="1"/>
  <c r="D12" i="8"/>
  <c r="B12" i="8"/>
  <c r="B13" i="8" s="1"/>
  <c r="J11" i="8"/>
  <c r="AL11" i="8" s="1"/>
  <c r="I11" i="8"/>
  <c r="AK11" i="8" s="1"/>
  <c r="H11" i="8"/>
  <c r="G11" i="8"/>
  <c r="AI11" i="8" s="1"/>
  <c r="F11" i="8"/>
  <c r="AH11" i="8" s="1"/>
  <c r="E11" i="8"/>
  <c r="D11" i="8"/>
  <c r="I6" i="8"/>
  <c r="B6" i="8"/>
  <c r="J5" i="8"/>
  <c r="AL5" i="8" s="1"/>
  <c r="I5" i="8"/>
  <c r="H5" i="8"/>
  <c r="G5" i="8"/>
  <c r="AI5" i="8" s="1"/>
  <c r="F5" i="8"/>
  <c r="E5" i="8"/>
  <c r="D5" i="8"/>
  <c r="N30" i="7"/>
  <c r="O30" i="7"/>
  <c r="P30" i="7"/>
  <c r="D103" i="1"/>
  <c r="K29" i="7"/>
  <c r="L29" i="7"/>
  <c r="M29" i="7"/>
  <c r="N29" i="7"/>
  <c r="O29" i="7"/>
  <c r="P29" i="7"/>
  <c r="K28" i="7"/>
  <c r="L28" i="7"/>
  <c r="M28" i="7"/>
  <c r="D102" i="1"/>
  <c r="N28" i="7"/>
  <c r="O28" i="7"/>
  <c r="P28" i="7"/>
  <c r="D100" i="1"/>
  <c r="D101" i="1"/>
  <c r="K27" i="7"/>
  <c r="L27" i="7"/>
  <c r="M27" i="7"/>
  <c r="N27" i="7"/>
  <c r="O27" i="7"/>
  <c r="P27" i="7"/>
  <c r="K26" i="7"/>
  <c r="L26" i="7"/>
  <c r="M26" i="7"/>
  <c r="N26" i="7"/>
  <c r="O26" i="7"/>
  <c r="P26" i="7"/>
  <c r="K25" i="7"/>
  <c r="L25" i="7"/>
  <c r="M25" i="7"/>
  <c r="N25" i="7"/>
  <c r="O25" i="7"/>
  <c r="P25" i="7"/>
  <c r="K24" i="7"/>
  <c r="L24" i="7"/>
  <c r="M24" i="7"/>
  <c r="N24" i="7"/>
  <c r="O24" i="7"/>
  <c r="P24" i="7"/>
  <c r="L23" i="7"/>
  <c r="M23" i="7"/>
  <c r="N23" i="7"/>
  <c r="O23" i="7"/>
  <c r="P23" i="7"/>
  <c r="K22" i="7"/>
  <c r="L22" i="7"/>
  <c r="M22" i="7"/>
  <c r="N22" i="7"/>
  <c r="O22" i="7"/>
  <c r="P22" i="7"/>
  <c r="K21" i="7"/>
  <c r="L21" i="7"/>
  <c r="M21" i="7"/>
  <c r="N21" i="7"/>
  <c r="O21" i="7"/>
  <c r="P21" i="7"/>
  <c r="K20" i="7"/>
  <c r="L20" i="7"/>
  <c r="M20" i="7"/>
  <c r="N20" i="7"/>
  <c r="O20" i="7"/>
  <c r="P20" i="7"/>
  <c r="L19" i="7"/>
  <c r="M19" i="7"/>
  <c r="N19" i="7"/>
  <c r="O19" i="7"/>
  <c r="P19" i="7"/>
  <c r="K18" i="7"/>
  <c r="L18" i="7"/>
  <c r="M18" i="7"/>
  <c r="N18" i="7"/>
  <c r="O18" i="7"/>
  <c r="P18" i="7"/>
  <c r="K17" i="7"/>
  <c r="L17" i="7"/>
  <c r="M17" i="7"/>
  <c r="N17" i="7"/>
  <c r="O17" i="7"/>
  <c r="P17" i="7"/>
  <c r="AZ4" i="9" l="1"/>
  <c r="BH8" i="9" s="1"/>
  <c r="BA4" i="9"/>
  <c r="BI8" i="9" s="1"/>
  <c r="BJ9" i="9"/>
  <c r="BG9" i="9"/>
  <c r="BM9" i="9"/>
  <c r="BK9" i="9"/>
  <c r="BI9" i="9"/>
  <c r="BH9" i="9"/>
  <c r="X10" i="9"/>
  <c r="AF10" i="9"/>
  <c r="AF4" i="9" s="1"/>
  <c r="W10" i="9"/>
  <c r="AA10" i="9"/>
  <c r="BC10" i="9" s="1"/>
  <c r="BC4" i="9" s="1"/>
  <c r="BK8" i="9" s="1"/>
  <c r="AB10" i="9"/>
  <c r="BD10" i="9" s="1"/>
  <c r="BD4" i="9" s="1"/>
  <c r="BM8" i="9" s="1"/>
  <c r="Y10" i="9"/>
  <c r="Z10" i="9"/>
  <c r="BB4" i="9" s="1"/>
  <c r="BJ8" i="9" s="1"/>
  <c r="BU28" i="9"/>
  <c r="BV27" i="9"/>
  <c r="BP29" i="9"/>
  <c r="BQ28" i="9"/>
  <c r="BR28" i="9" s="1"/>
  <c r="BS28" i="9" s="1"/>
  <c r="Z27" i="8"/>
  <c r="BB27" i="8" s="1"/>
  <c r="AA27" i="8"/>
  <c r="BC27" i="8" s="1"/>
  <c r="AB27" i="8"/>
  <c r="BD27" i="8" s="1"/>
  <c r="W27" i="8"/>
  <c r="AY27" i="8" s="1"/>
  <c r="AA20" i="8"/>
  <c r="BC20" i="8" s="1"/>
  <c r="AB20" i="8"/>
  <c r="BD20" i="8" s="1"/>
  <c r="W20" i="8"/>
  <c r="AY20" i="8" s="1"/>
  <c r="Z20" i="8"/>
  <c r="BB20" i="8" s="1"/>
  <c r="AF21" i="8"/>
  <c r="AB21" i="8"/>
  <c r="BD21" i="8" s="1"/>
  <c r="W21" i="8"/>
  <c r="AY21" i="8" s="1"/>
  <c r="Z21" i="8"/>
  <c r="BB21" i="8" s="1"/>
  <c r="AA21" i="8"/>
  <c r="BC21" i="8" s="1"/>
  <c r="AF16" i="8"/>
  <c r="AA16" i="8"/>
  <c r="BC16" i="8" s="1"/>
  <c r="AB16" i="8"/>
  <c r="BD16" i="8" s="1"/>
  <c r="W16" i="8"/>
  <c r="AY16" i="8" s="1"/>
  <c r="Z16" i="8"/>
  <c r="BB16" i="8" s="1"/>
  <c r="AA12" i="8"/>
  <c r="BC12" i="8" s="1"/>
  <c r="Z12" i="8"/>
  <c r="BB12" i="8" s="1"/>
  <c r="AB12" i="8"/>
  <c r="BD12" i="8" s="1"/>
  <c r="W12" i="8"/>
  <c r="AY12" i="8" s="1"/>
  <c r="AF11" i="8"/>
  <c r="Z11" i="8"/>
  <c r="BB11" i="8" s="1"/>
  <c r="AA11" i="8"/>
  <c r="BC11" i="8" s="1"/>
  <c r="AB11" i="8"/>
  <c r="BD11" i="8" s="1"/>
  <c r="W11" i="8"/>
  <c r="AY11" i="8" s="1"/>
  <c r="AA24" i="8"/>
  <c r="BC24" i="8" s="1"/>
  <c r="AB24" i="8"/>
  <c r="BD24" i="8" s="1"/>
  <c r="Z24" i="8"/>
  <c r="BB24" i="8" s="1"/>
  <c r="W24" i="8"/>
  <c r="AY24" i="8" s="1"/>
  <c r="W5" i="8"/>
  <c r="AY5" i="8" s="1"/>
  <c r="Z5" i="8"/>
  <c r="BB5" i="8" s="1"/>
  <c r="AA5" i="8"/>
  <c r="BC5" i="8" s="1"/>
  <c r="AB5" i="8"/>
  <c r="BD5" i="8" s="1"/>
  <c r="AJ5" i="8"/>
  <c r="AK5" i="8"/>
  <c r="AK16" i="8"/>
  <c r="AK27" i="8"/>
  <c r="AP5" i="8"/>
  <c r="AO8" i="8"/>
  <c r="AQ11" i="8"/>
  <c r="AP29" i="8"/>
  <c r="AR5" i="8"/>
  <c r="AP14" i="8"/>
  <c r="AP16" i="8"/>
  <c r="AG11" i="8"/>
  <c r="AM27" i="8"/>
  <c r="AQ29" i="8"/>
  <c r="AR9" i="8"/>
  <c r="AO7" i="8"/>
  <c r="AN14" i="8"/>
  <c r="AR16" i="8"/>
  <c r="AP17" i="8"/>
  <c r="AH5" i="8"/>
  <c r="AJ11" i="8"/>
  <c r="AI24" i="8"/>
  <c r="AK28" i="8"/>
  <c r="AM9" i="8"/>
  <c r="AM11" i="8"/>
  <c r="AQ12" i="8"/>
  <c r="AO17" i="8"/>
  <c r="AP8" i="8"/>
  <c r="AP11" i="8"/>
  <c r="AR20" i="8"/>
  <c r="AQ20" i="8"/>
  <c r="AP20" i="8"/>
  <c r="AO20" i="8"/>
  <c r="AN20" i="8"/>
  <c r="AM20" i="8"/>
  <c r="AN22" i="8"/>
  <c r="AM22" i="8"/>
  <c r="AP22" i="8"/>
  <c r="AO22" i="8"/>
  <c r="AQ22" i="8"/>
  <c r="AR22" i="8"/>
  <c r="AQ10" i="8"/>
  <c r="AR13" i="8"/>
  <c r="AF5" i="8"/>
  <c r="AK6" i="8"/>
  <c r="AM29" i="8"/>
  <c r="AR21" i="8"/>
  <c r="AQ21" i="8"/>
  <c r="AN21" i="8"/>
  <c r="AP21" i="8"/>
  <c r="AO21" i="8"/>
  <c r="AM21" i="8"/>
  <c r="AM5" i="8"/>
  <c r="AP9" i="8"/>
  <c r="AN8" i="8"/>
  <c r="AR6" i="8"/>
  <c r="V23" i="8" s="1"/>
  <c r="AX23" i="8" s="1"/>
  <c r="AP10" i="8"/>
  <c r="AR11" i="8"/>
  <c r="AQ13" i="8"/>
  <c r="AO12" i="8"/>
  <c r="AM16" i="8"/>
  <c r="AP18" i="8"/>
  <c r="AN17" i="8"/>
  <c r="AM7" i="8"/>
  <c r="AQ18" i="8"/>
  <c r="AG5" i="8"/>
  <c r="AR24" i="8"/>
  <c r="AQ24" i="8"/>
  <c r="AO24" i="8"/>
  <c r="AP24" i="8"/>
  <c r="AM24" i="8"/>
  <c r="AN24" i="8"/>
  <c r="AN5" i="8"/>
  <c r="AM8" i="8"/>
  <c r="AQ6" i="8"/>
  <c r="AR14" i="8"/>
  <c r="AP13" i="8"/>
  <c r="AO18" i="8"/>
  <c r="AM17" i="8"/>
  <c r="AR26" i="8"/>
  <c r="AM26" i="8"/>
  <c r="AO26" i="8"/>
  <c r="AQ26" i="8"/>
  <c r="AN26" i="8"/>
  <c r="AP26" i="8"/>
  <c r="AO5" i="8"/>
  <c r="AR7" i="8"/>
  <c r="AP6" i="8"/>
  <c r="AQ14" i="8"/>
  <c r="AO13" i="8"/>
  <c r="AN18" i="8"/>
  <c r="AR19" i="8"/>
  <c r="AP25" i="8"/>
  <c r="AQ25" i="8"/>
  <c r="AR25" i="8"/>
  <c r="AN25" i="8"/>
  <c r="AM25" i="8"/>
  <c r="AO25" i="8"/>
  <c r="AO6" i="8"/>
  <c r="AR15" i="8"/>
  <c r="AM18" i="8"/>
  <c r="AI20" i="8"/>
  <c r="AN28" i="8"/>
  <c r="AP7" i="8"/>
  <c r="AN6" i="8"/>
  <c r="AO14" i="8"/>
  <c r="AQ15" i="8"/>
  <c r="AP19" i="8"/>
  <c r="T6" i="8" s="1"/>
  <c r="AV6" i="8" s="1"/>
  <c r="AP15" i="8"/>
  <c r="AQ23" i="8"/>
  <c r="AP23" i="8"/>
  <c r="AO23" i="8"/>
  <c r="AN23" i="8"/>
  <c r="AR23" i="8"/>
  <c r="AQ28" i="8"/>
  <c r="AR28" i="8"/>
  <c r="AP30" i="8"/>
  <c r="AL27" i="8"/>
  <c r="AP27" i="8"/>
  <c r="AH27" i="8"/>
  <c r="AQ27" i="8"/>
  <c r="AI27" i="8"/>
  <c r="AJ25" i="8"/>
  <c r="AL24" i="8"/>
  <c r="AJ24" i="8"/>
  <c r="AH20" i="8"/>
  <c r="AJ20" i="8"/>
  <c r="AK20" i="8"/>
  <c r="AL20" i="8"/>
  <c r="G28" i="8"/>
  <c r="AI28" i="8" s="1"/>
  <c r="F28" i="8"/>
  <c r="AH28" i="8" s="1"/>
  <c r="J25" i="8"/>
  <c r="AL25" i="8" s="1"/>
  <c r="E28" i="8"/>
  <c r="AG28" i="8" s="1"/>
  <c r="E25" i="8"/>
  <c r="AG25" i="8" s="1"/>
  <c r="G17" i="8"/>
  <c r="AI17" i="8" s="1"/>
  <c r="D28" i="8"/>
  <c r="D25" i="8"/>
  <c r="J21" i="8"/>
  <c r="AL21" i="8" s="1"/>
  <c r="F17" i="8"/>
  <c r="AH17" i="8" s="1"/>
  <c r="H21" i="8"/>
  <c r="AJ21" i="8" s="1"/>
  <c r="D17" i="8"/>
  <c r="I25" i="8"/>
  <c r="AK25" i="8" s="1"/>
  <c r="G21" i="8"/>
  <c r="AI21" i="8" s="1"/>
  <c r="J6" i="8"/>
  <c r="AL6" i="8" s="1"/>
  <c r="E12" i="8"/>
  <c r="AG12" i="8" s="1"/>
  <c r="J17" i="8"/>
  <c r="AL17" i="8" s="1"/>
  <c r="E21" i="8"/>
  <c r="AG21" i="8" s="1"/>
  <c r="J28" i="8"/>
  <c r="AL28" i="8" s="1"/>
  <c r="B7" i="8"/>
  <c r="F12" i="8"/>
  <c r="AH12" i="8" s="1"/>
  <c r="F21" i="8"/>
  <c r="AH21" i="8" s="1"/>
  <c r="D6" i="8"/>
  <c r="G12" i="8"/>
  <c r="AI12" i="8" s="1"/>
  <c r="AG16" i="8"/>
  <c r="I21" i="8"/>
  <c r="AK21" i="8" s="1"/>
  <c r="BU23" i="8"/>
  <c r="BP25" i="8"/>
  <c r="E6" i="8"/>
  <c r="AG6" i="8" s="1"/>
  <c r="H12" i="8"/>
  <c r="AJ12" i="8" s="1"/>
  <c r="AF12" i="8"/>
  <c r="AH16" i="8"/>
  <c r="AF20" i="8"/>
  <c r="AF27" i="8"/>
  <c r="F6" i="8"/>
  <c r="AH6" i="8" s="1"/>
  <c r="I12" i="8"/>
  <c r="AK12" i="8" s="1"/>
  <c r="AF24" i="8"/>
  <c r="G6" i="8"/>
  <c r="AI6" i="8" s="1"/>
  <c r="J12" i="8"/>
  <c r="AL12" i="8" s="1"/>
  <c r="AJ16" i="8"/>
  <c r="E17" i="8"/>
  <c r="AG17" i="8" s="1"/>
  <c r="F25" i="8"/>
  <c r="AH25" i="8" s="1"/>
  <c r="H6" i="8"/>
  <c r="AJ6" i="8" s="1"/>
  <c r="H17" i="8"/>
  <c r="AJ17" i="8" s="1"/>
  <c r="G25" i="8"/>
  <c r="AI25" i="8" s="1"/>
  <c r="H28" i="8"/>
  <c r="AJ28" i="8" s="1"/>
  <c r="AO27" i="8"/>
  <c r="AO29" i="8"/>
  <c r="AR30" i="8"/>
  <c r="BL9" i="9" l="1"/>
  <c r="BL8" i="9"/>
  <c r="BG20" i="9" s="1"/>
  <c r="BQ29" i="9"/>
  <c r="BR29" i="9" s="1"/>
  <c r="BS29" i="9" s="1"/>
  <c r="BP30" i="9"/>
  <c r="BU29" i="9"/>
  <c r="BV28" i="9"/>
  <c r="W6" i="8"/>
  <c r="AY6" i="8" s="1"/>
  <c r="Z6" i="8"/>
  <c r="BB6" i="8" s="1"/>
  <c r="AA6" i="8"/>
  <c r="BC6" i="8" s="1"/>
  <c r="AB6" i="8"/>
  <c r="BD6" i="8" s="1"/>
  <c r="W25" i="8"/>
  <c r="AY25" i="8" s="1"/>
  <c r="AB25" i="8"/>
  <c r="BD25" i="8" s="1"/>
  <c r="Z25" i="8"/>
  <c r="BB25" i="8" s="1"/>
  <c r="AA25" i="8"/>
  <c r="BC25" i="8" s="1"/>
  <c r="AA28" i="8"/>
  <c r="BC28" i="8" s="1"/>
  <c r="AB28" i="8"/>
  <c r="BD28" i="8" s="1"/>
  <c r="Z28" i="8"/>
  <c r="BB28" i="8" s="1"/>
  <c r="W28" i="8"/>
  <c r="AY28" i="8" s="1"/>
  <c r="W17" i="8"/>
  <c r="AY17" i="8" s="1"/>
  <c r="AB17" i="8"/>
  <c r="BD17" i="8" s="1"/>
  <c r="Z17" i="8"/>
  <c r="BB17" i="8" s="1"/>
  <c r="AA17" i="8"/>
  <c r="BC17" i="8" s="1"/>
  <c r="V6" i="8"/>
  <c r="AX6" i="8" s="1"/>
  <c r="T19" i="8"/>
  <c r="AV19" i="8" s="1"/>
  <c r="U6" i="8"/>
  <c r="AW6" i="8" s="1"/>
  <c r="U8" i="8"/>
  <c r="AW8" i="8" s="1"/>
  <c r="T7" i="8"/>
  <c r="AV7" i="8" s="1"/>
  <c r="Q5" i="8"/>
  <c r="AS5" i="8" s="1"/>
  <c r="V28" i="8"/>
  <c r="AX28" i="8" s="1"/>
  <c r="V14" i="8"/>
  <c r="AX14" i="8" s="1"/>
  <c r="T25" i="8"/>
  <c r="AV25" i="8" s="1"/>
  <c r="U5" i="8"/>
  <c r="AW5" i="8" s="1"/>
  <c r="U18" i="8"/>
  <c r="AW18" i="8" s="1"/>
  <c r="U29" i="8"/>
  <c r="AW29" i="8" s="1"/>
  <c r="V25" i="8"/>
  <c r="AX25" i="8" s="1"/>
  <c r="T13" i="8"/>
  <c r="AV13" i="8" s="1"/>
  <c r="U23" i="8"/>
  <c r="AW23" i="8" s="1"/>
  <c r="U30" i="8"/>
  <c r="AW30" i="8" s="1"/>
  <c r="V8" i="8"/>
  <c r="AX8" i="8" s="1"/>
  <c r="V29" i="8"/>
  <c r="AX29" i="8" s="1"/>
  <c r="V24" i="8"/>
  <c r="AX24" i="8" s="1"/>
  <c r="T8" i="8"/>
  <c r="AV8" i="8" s="1"/>
  <c r="T17" i="8"/>
  <c r="AV17" i="8" s="1"/>
  <c r="T24" i="8"/>
  <c r="AV24" i="8" s="1"/>
  <c r="T5" i="8"/>
  <c r="AV5" i="8" s="1"/>
  <c r="R26" i="8"/>
  <c r="AT26" i="8" s="1"/>
  <c r="R11" i="8"/>
  <c r="R8" i="8"/>
  <c r="AT8" i="8" s="1"/>
  <c r="R27" i="8"/>
  <c r="R19" i="8"/>
  <c r="AT19" i="8" s="1"/>
  <c r="AT15" i="8"/>
  <c r="R23" i="8"/>
  <c r="AT23" i="8" s="1"/>
  <c r="R12" i="8"/>
  <c r="R9" i="8"/>
  <c r="AT9" i="8" s="1"/>
  <c r="R22" i="8"/>
  <c r="AT22" i="8" s="1"/>
  <c r="R20" i="8"/>
  <c r="R18" i="8"/>
  <c r="AT18" i="8" s="1"/>
  <c r="R28" i="8"/>
  <c r="AT28" i="8" s="1"/>
  <c r="R24" i="8"/>
  <c r="R13" i="8"/>
  <c r="AT13" i="8" s="1"/>
  <c r="R6" i="8"/>
  <c r="AT6" i="8" s="1"/>
  <c r="R14" i="8"/>
  <c r="AT14" i="8" s="1"/>
  <c r="R21" i="8"/>
  <c r="R17" i="8"/>
  <c r="AT17" i="8" s="1"/>
  <c r="R29" i="8"/>
  <c r="AT29" i="8" s="1"/>
  <c r="R25" i="8"/>
  <c r="AT25" i="8" s="1"/>
  <c r="R7" i="8"/>
  <c r="AT7" i="8" s="1"/>
  <c r="AN4" i="8"/>
  <c r="BH7" i="8" s="1"/>
  <c r="U15" i="8"/>
  <c r="AW15" i="8" s="1"/>
  <c r="U9" i="8"/>
  <c r="AW9" i="8" s="1"/>
  <c r="T15" i="8"/>
  <c r="AV15" i="8" s="1"/>
  <c r="U20" i="8"/>
  <c r="AW20" i="8" s="1"/>
  <c r="V13" i="8"/>
  <c r="AX13" i="8" s="1"/>
  <c r="T29" i="8"/>
  <c r="AV29" i="8" s="1"/>
  <c r="U22" i="8"/>
  <c r="AW22" i="8" s="1"/>
  <c r="V30" i="8"/>
  <c r="AX30" i="8" s="1"/>
  <c r="V11" i="8"/>
  <c r="AX11" i="8" s="1"/>
  <c r="V17" i="8"/>
  <c r="AX17" i="8" s="1"/>
  <c r="T11" i="8"/>
  <c r="AV11" i="8" s="1"/>
  <c r="T21" i="8"/>
  <c r="AV21" i="8" s="1"/>
  <c r="T28" i="8"/>
  <c r="AV28" i="8" s="1"/>
  <c r="U19" i="8"/>
  <c r="AW19" i="8" s="1"/>
  <c r="U27" i="8"/>
  <c r="AW27" i="8" s="1"/>
  <c r="U13" i="8"/>
  <c r="AW13" i="8" s="1"/>
  <c r="V26" i="8"/>
  <c r="AX26" i="8" s="1"/>
  <c r="T26" i="8"/>
  <c r="AV26" i="8" s="1"/>
  <c r="S5" i="8"/>
  <c r="U28" i="8"/>
  <c r="AW28" i="8" s="1"/>
  <c r="V21" i="8"/>
  <c r="AX21" i="8" s="1"/>
  <c r="V5" i="8"/>
  <c r="AX5" i="8" s="1"/>
  <c r="U24" i="8"/>
  <c r="AW24" i="8" s="1"/>
  <c r="V18" i="8"/>
  <c r="AX18" i="8" s="1"/>
  <c r="T16" i="8"/>
  <c r="AV16" i="8" s="1"/>
  <c r="U11" i="8"/>
  <c r="AW11" i="8" s="1"/>
  <c r="U10" i="8"/>
  <c r="AW10" i="8" s="1"/>
  <c r="V15" i="8"/>
  <c r="AX15" i="8" s="1"/>
  <c r="V22" i="8"/>
  <c r="AX22" i="8" s="1"/>
  <c r="V7" i="8"/>
  <c r="AX7" i="8" s="1"/>
  <c r="AP4" i="8"/>
  <c r="T10" i="8"/>
  <c r="AV10" i="8" s="1"/>
  <c r="T20" i="8"/>
  <c r="AV20" i="8" s="1"/>
  <c r="T23" i="8"/>
  <c r="AV23" i="8" s="1"/>
  <c r="U26" i="8"/>
  <c r="AW26" i="8" s="1"/>
  <c r="U14" i="8"/>
  <c r="AW14" i="8" s="1"/>
  <c r="U21" i="8"/>
  <c r="AW21" i="8" s="1"/>
  <c r="V9" i="8"/>
  <c r="AX9" i="8" s="1"/>
  <c r="T9" i="8"/>
  <c r="AV9" i="8" s="1"/>
  <c r="S19" i="8"/>
  <c r="AU19" i="8" s="1"/>
  <c r="AU15" i="8"/>
  <c r="S8" i="8"/>
  <c r="AU8" i="8" s="1"/>
  <c r="S27" i="8"/>
  <c r="S23" i="8"/>
  <c r="AU23" i="8" s="1"/>
  <c r="S12" i="8"/>
  <c r="S9" i="8"/>
  <c r="AU9" i="8" s="1"/>
  <c r="S20" i="8"/>
  <c r="S26" i="8"/>
  <c r="AU26" i="8" s="1"/>
  <c r="S11" i="8"/>
  <c r="S28" i="8"/>
  <c r="AU28" i="8" s="1"/>
  <c r="S24" i="8"/>
  <c r="S13" i="8"/>
  <c r="AU13" i="8" s="1"/>
  <c r="S6" i="8"/>
  <c r="AU6" i="8" s="1"/>
  <c r="S21" i="8"/>
  <c r="S17" i="8"/>
  <c r="AU17" i="8" s="1"/>
  <c r="S29" i="8"/>
  <c r="AU29" i="8" s="1"/>
  <c r="S25" i="8"/>
  <c r="AU25" i="8" s="1"/>
  <c r="S14" i="8"/>
  <c r="AU14" i="8" s="1"/>
  <c r="S10" i="8"/>
  <c r="S7" i="8"/>
  <c r="AU7" i="8" s="1"/>
  <c r="S22" i="8"/>
  <c r="AU22" i="8" s="1"/>
  <c r="S18" i="8"/>
  <c r="AU18" i="8" s="1"/>
  <c r="U7" i="8"/>
  <c r="AW7" i="8" s="1"/>
  <c r="V12" i="8"/>
  <c r="AX12" i="8" s="1"/>
  <c r="V20" i="8"/>
  <c r="AX20" i="8" s="1"/>
  <c r="T12" i="8"/>
  <c r="AV12" i="8" s="1"/>
  <c r="V19" i="8"/>
  <c r="AX19" i="8" s="1"/>
  <c r="V16" i="8"/>
  <c r="AX16" i="8" s="1"/>
  <c r="V10" i="8"/>
  <c r="AX10" i="8" s="1"/>
  <c r="R5" i="8"/>
  <c r="T18" i="8"/>
  <c r="AV18" i="8" s="1"/>
  <c r="T14" i="8"/>
  <c r="AV14" i="8" s="1"/>
  <c r="T30" i="8"/>
  <c r="AV30" i="8" s="1"/>
  <c r="T27" i="8"/>
  <c r="AV27" i="8" s="1"/>
  <c r="Q22" i="8"/>
  <c r="AS22" i="8" s="1"/>
  <c r="Q18" i="8"/>
  <c r="AS18" i="8" s="1"/>
  <c r="Q25" i="8"/>
  <c r="AS25" i="8" s="1"/>
  <c r="Q26" i="8"/>
  <c r="AS26" i="8" s="1"/>
  <c r="Q11" i="8"/>
  <c r="AS11" i="8" s="1"/>
  <c r="Q8" i="8"/>
  <c r="AS8" i="8" s="1"/>
  <c r="Q27" i="8"/>
  <c r="AS27" i="8" s="1"/>
  <c r="Q12" i="8"/>
  <c r="AS12" i="8" s="1"/>
  <c r="Q9" i="8"/>
  <c r="AS9" i="8" s="1"/>
  <c r="Q20" i="8"/>
  <c r="AS20" i="8" s="1"/>
  <c r="Q16" i="8"/>
  <c r="AS16" i="8" s="1"/>
  <c r="Q21" i="8"/>
  <c r="AS21" i="8" s="1"/>
  <c r="Q17" i="8"/>
  <c r="AS17" i="8" s="1"/>
  <c r="Q29" i="8"/>
  <c r="AS29" i="8" s="1"/>
  <c r="Q28" i="8"/>
  <c r="AS28" i="8" s="1"/>
  <c r="Q24" i="8"/>
  <c r="AS24" i="8" s="1"/>
  <c r="Q13" i="8"/>
  <c r="AS13" i="8" s="1"/>
  <c r="Q6" i="8"/>
  <c r="AS6" i="8" s="1"/>
  <c r="Q14" i="8"/>
  <c r="AS14" i="8" s="1"/>
  <c r="Q7" i="8"/>
  <c r="AS7" i="8" s="1"/>
  <c r="AM4" i="8"/>
  <c r="U12" i="8"/>
  <c r="AW12" i="8" s="1"/>
  <c r="U25" i="8"/>
  <c r="AW25" i="8" s="1"/>
  <c r="U16" i="8"/>
  <c r="AW16" i="8" s="1"/>
  <c r="T22" i="8"/>
  <c r="AV22" i="8" s="1"/>
  <c r="V27" i="8"/>
  <c r="AX27" i="8" s="1"/>
  <c r="U17" i="8"/>
  <c r="AW17" i="8" s="1"/>
  <c r="AO4" i="8"/>
  <c r="BI7" i="8" s="1"/>
  <c r="AR4" i="8"/>
  <c r="AQ4" i="8"/>
  <c r="BP26" i="8"/>
  <c r="BQ25" i="8"/>
  <c r="BR25" i="8" s="1"/>
  <c r="BS25" i="8" s="1"/>
  <c r="AF25" i="8"/>
  <c r="BU24" i="8"/>
  <c r="AF28" i="8"/>
  <c r="AF6" i="8"/>
  <c r="G29" i="8"/>
  <c r="AI29" i="8" s="1"/>
  <c r="F29" i="8"/>
  <c r="AH29" i="8" s="1"/>
  <c r="J26" i="8"/>
  <c r="AL26" i="8" s="1"/>
  <c r="E29" i="8"/>
  <c r="AG29" i="8" s="1"/>
  <c r="D29" i="8"/>
  <c r="I22" i="8"/>
  <c r="AK22" i="8" s="1"/>
  <c r="E18" i="8"/>
  <c r="AG18" i="8" s="1"/>
  <c r="H22" i="8"/>
  <c r="AJ22" i="8" s="1"/>
  <c r="D18" i="8"/>
  <c r="J13" i="8"/>
  <c r="AL13" i="8" s="1"/>
  <c r="J29" i="8"/>
  <c r="AL29" i="8" s="1"/>
  <c r="H26" i="8"/>
  <c r="AJ26" i="8" s="1"/>
  <c r="F22" i="8"/>
  <c r="AH22" i="8" s="1"/>
  <c r="J18" i="8"/>
  <c r="AL18" i="8" s="1"/>
  <c r="I29" i="8"/>
  <c r="AK29" i="8" s="1"/>
  <c r="G26" i="8"/>
  <c r="AI26" i="8" s="1"/>
  <c r="E22" i="8"/>
  <c r="AG22" i="8" s="1"/>
  <c r="I18" i="8"/>
  <c r="AK18" i="8" s="1"/>
  <c r="G13" i="8"/>
  <c r="AI13" i="8" s="1"/>
  <c r="E26" i="8"/>
  <c r="AG26" i="8" s="1"/>
  <c r="H13" i="8"/>
  <c r="AJ13" i="8" s="1"/>
  <c r="G7" i="8"/>
  <c r="AI7" i="8" s="1"/>
  <c r="F26" i="8"/>
  <c r="AH26" i="8" s="1"/>
  <c r="H29" i="8"/>
  <c r="AJ29" i="8" s="1"/>
  <c r="D26" i="8"/>
  <c r="F13" i="8"/>
  <c r="AH13" i="8" s="1"/>
  <c r="F7" i="8"/>
  <c r="AH7" i="8" s="1"/>
  <c r="I13" i="8"/>
  <c r="AK13" i="8" s="1"/>
  <c r="E13" i="8"/>
  <c r="AG13" i="8" s="1"/>
  <c r="E7" i="8"/>
  <c r="AG7" i="8" s="1"/>
  <c r="J22" i="8"/>
  <c r="AL22" i="8" s="1"/>
  <c r="D13" i="8"/>
  <c r="D7" i="8"/>
  <c r="H7" i="8"/>
  <c r="AJ7" i="8" s="1"/>
  <c r="G22" i="8"/>
  <c r="AI22" i="8" s="1"/>
  <c r="H18" i="8"/>
  <c r="AJ18" i="8" s="1"/>
  <c r="B8" i="8"/>
  <c r="D22" i="8"/>
  <c r="G18" i="8"/>
  <c r="AI18" i="8" s="1"/>
  <c r="J7" i="8"/>
  <c r="AL7" i="8" s="1"/>
  <c r="I26" i="8"/>
  <c r="AK26" i="8" s="1"/>
  <c r="F18" i="8"/>
  <c r="AH18" i="8" s="1"/>
  <c r="I7" i="8"/>
  <c r="AK7" i="8" s="1"/>
  <c r="AF17" i="8"/>
  <c r="BG21" i="9" l="1"/>
  <c r="BU30" i="9"/>
  <c r="BV29" i="9"/>
  <c r="BQ30" i="9"/>
  <c r="BR30" i="9" s="1"/>
  <c r="BS30" i="9" s="1"/>
  <c r="BP31" i="9"/>
  <c r="X25" i="8"/>
  <c r="AZ25" i="8" s="1"/>
  <c r="AU20" i="8"/>
  <c r="Y20" i="8"/>
  <c r="BA20" i="8" s="1"/>
  <c r="AT12" i="8"/>
  <c r="X12" i="8"/>
  <c r="AZ12" i="8" s="1"/>
  <c r="AT5" i="8"/>
  <c r="X5" i="8"/>
  <c r="AZ5" i="8" s="1"/>
  <c r="AU21" i="8"/>
  <c r="Y21" i="8"/>
  <c r="BA21" i="8" s="1"/>
  <c r="AT24" i="8"/>
  <c r="X24" i="8"/>
  <c r="AZ24" i="8" s="1"/>
  <c r="Y17" i="8"/>
  <c r="BA17" i="8" s="1"/>
  <c r="AU12" i="8"/>
  <c r="Y12" i="8"/>
  <c r="BA12" i="8" s="1"/>
  <c r="X17" i="8"/>
  <c r="AZ17" i="8" s="1"/>
  <c r="AU24" i="8"/>
  <c r="Y24" i="8"/>
  <c r="BA24" i="8" s="1"/>
  <c r="AU27" i="8"/>
  <c r="Y27" i="8"/>
  <c r="BA27" i="8" s="1"/>
  <c r="AT16" i="8"/>
  <c r="X16" i="8"/>
  <c r="AZ16" i="8" s="1"/>
  <c r="AT27" i="8"/>
  <c r="X27" i="8"/>
  <c r="AZ27" i="8" s="1"/>
  <c r="Y6" i="8"/>
  <c r="BA6" i="8" s="1"/>
  <c r="AU5" i="8"/>
  <c r="Y5" i="8"/>
  <c r="BA5" i="8" s="1"/>
  <c r="AT21" i="8"/>
  <c r="X21" i="8"/>
  <c r="AZ21" i="8" s="1"/>
  <c r="AT20" i="8"/>
  <c r="X20" i="8"/>
  <c r="AZ20" i="8" s="1"/>
  <c r="X28" i="8"/>
  <c r="AZ28" i="8" s="1"/>
  <c r="Y25" i="8"/>
  <c r="BA25" i="8" s="1"/>
  <c r="X6" i="8"/>
  <c r="AZ6" i="8" s="1"/>
  <c r="AU11" i="8"/>
  <c r="Y11" i="8"/>
  <c r="BA11" i="8" s="1"/>
  <c r="AU16" i="8"/>
  <c r="Y16" i="8"/>
  <c r="BA16" i="8" s="1"/>
  <c r="AT11" i="8"/>
  <c r="X11" i="8"/>
  <c r="AZ11" i="8" s="1"/>
  <c r="Y28" i="8"/>
  <c r="BA28" i="8" s="1"/>
  <c r="Y7" i="8"/>
  <c r="BA7" i="8" s="1"/>
  <c r="Z7" i="8"/>
  <c r="BB7" i="8" s="1"/>
  <c r="X7" i="8"/>
  <c r="AZ7" i="8" s="1"/>
  <c r="AA7" i="8"/>
  <c r="BC7" i="8" s="1"/>
  <c r="AB7" i="8"/>
  <c r="BD7" i="8" s="1"/>
  <c r="W7" i="8"/>
  <c r="AY7" i="8" s="1"/>
  <c r="W18" i="8"/>
  <c r="AY18" i="8" s="1"/>
  <c r="X18" i="8"/>
  <c r="AZ18" i="8" s="1"/>
  <c r="Y18" i="8"/>
  <c r="BA18" i="8" s="1"/>
  <c r="Z18" i="8"/>
  <c r="BB18" i="8" s="1"/>
  <c r="AA18" i="8"/>
  <c r="BC18" i="8" s="1"/>
  <c r="AB18" i="8"/>
  <c r="BD18" i="8" s="1"/>
  <c r="W13" i="8"/>
  <c r="AY13" i="8" s="1"/>
  <c r="X13" i="8"/>
  <c r="AZ13" i="8" s="1"/>
  <c r="Y13" i="8"/>
  <c r="BA13" i="8" s="1"/>
  <c r="AB13" i="8"/>
  <c r="BD13" i="8" s="1"/>
  <c r="Z13" i="8"/>
  <c r="BB13" i="8" s="1"/>
  <c r="AA13" i="8"/>
  <c r="BC13" i="8" s="1"/>
  <c r="W22" i="8"/>
  <c r="AY22" i="8" s="1"/>
  <c r="X22" i="8"/>
  <c r="AZ22" i="8" s="1"/>
  <c r="Y22" i="8"/>
  <c r="BA22" i="8" s="1"/>
  <c r="Z22" i="8"/>
  <c r="BB22" i="8" s="1"/>
  <c r="AA22" i="8"/>
  <c r="BC22" i="8" s="1"/>
  <c r="AB22" i="8"/>
  <c r="BD22" i="8" s="1"/>
  <c r="W26" i="8"/>
  <c r="AY26" i="8" s="1"/>
  <c r="X26" i="8"/>
  <c r="AZ26" i="8" s="1"/>
  <c r="Y26" i="8"/>
  <c r="BA26" i="8" s="1"/>
  <c r="Z26" i="8"/>
  <c r="BB26" i="8" s="1"/>
  <c r="AA26" i="8"/>
  <c r="BC26" i="8" s="1"/>
  <c r="AB26" i="8"/>
  <c r="BD26" i="8" s="1"/>
  <c r="W29" i="8"/>
  <c r="AY29" i="8" s="1"/>
  <c r="AB29" i="8"/>
  <c r="BD29" i="8" s="1"/>
  <c r="X29" i="8"/>
  <c r="AZ29" i="8" s="1"/>
  <c r="Y29" i="8"/>
  <c r="BA29" i="8" s="1"/>
  <c r="Z29" i="8"/>
  <c r="BB29" i="8" s="1"/>
  <c r="AA29" i="8"/>
  <c r="BC29" i="8" s="1"/>
  <c r="AV4" i="8"/>
  <c r="AS4" i="8"/>
  <c r="AX4" i="8"/>
  <c r="AW4" i="8"/>
  <c r="AF22" i="8"/>
  <c r="G30" i="8"/>
  <c r="AI30" i="8" s="1"/>
  <c r="F30" i="8"/>
  <c r="AH30" i="8" s="1"/>
  <c r="D30" i="8"/>
  <c r="J23" i="8"/>
  <c r="AL23" i="8" s="1"/>
  <c r="I14" i="8"/>
  <c r="AK14" i="8" s="1"/>
  <c r="I23" i="8"/>
  <c r="AK23" i="8" s="1"/>
  <c r="J19" i="8"/>
  <c r="AL19" i="8" s="1"/>
  <c r="H14" i="8"/>
  <c r="AJ14" i="8" s="1"/>
  <c r="I30" i="8"/>
  <c r="AK30" i="8" s="1"/>
  <c r="G23" i="8"/>
  <c r="AI23" i="8" s="1"/>
  <c r="H19" i="8"/>
  <c r="AJ19" i="8" s="1"/>
  <c r="F14" i="8"/>
  <c r="AH14" i="8" s="1"/>
  <c r="H30" i="8"/>
  <c r="AJ30" i="8" s="1"/>
  <c r="F23" i="8"/>
  <c r="AH23" i="8" s="1"/>
  <c r="G19" i="8"/>
  <c r="AI19" i="8" s="1"/>
  <c r="E14" i="8"/>
  <c r="AG14" i="8" s="1"/>
  <c r="E30" i="8"/>
  <c r="AG30" i="8" s="1"/>
  <c r="D19" i="8"/>
  <c r="F8" i="8"/>
  <c r="AH8" i="8" s="1"/>
  <c r="H23" i="8"/>
  <c r="AJ23" i="8" s="1"/>
  <c r="E8" i="8"/>
  <c r="AG8" i="8" s="1"/>
  <c r="J30" i="8"/>
  <c r="AL30" i="8" s="1"/>
  <c r="G8" i="8"/>
  <c r="AI8" i="8" s="1"/>
  <c r="E23" i="8"/>
  <c r="AG23" i="8" s="1"/>
  <c r="D8" i="8"/>
  <c r="D23" i="8"/>
  <c r="J14" i="8"/>
  <c r="AL14" i="8" s="1"/>
  <c r="B9" i="8"/>
  <c r="G14" i="8"/>
  <c r="AI14" i="8" s="1"/>
  <c r="J8" i="8"/>
  <c r="AL8" i="8" s="1"/>
  <c r="I19" i="8"/>
  <c r="AK19" i="8" s="1"/>
  <c r="D14" i="8"/>
  <c r="I8" i="8"/>
  <c r="AK8" i="8" s="1"/>
  <c r="F19" i="8"/>
  <c r="AH19" i="8" s="1"/>
  <c r="H8" i="8"/>
  <c r="AJ8" i="8" s="1"/>
  <c r="E19" i="8"/>
  <c r="AG19" i="8" s="1"/>
  <c r="AF29" i="8"/>
  <c r="BU25" i="8"/>
  <c r="BQ26" i="8"/>
  <c r="BR26" i="8" s="1"/>
  <c r="BS26" i="8" s="1"/>
  <c r="BP27" i="8"/>
  <c r="AF7" i="8"/>
  <c r="AF26" i="8"/>
  <c r="AF18" i="8"/>
  <c r="AF13" i="8"/>
  <c r="BP32" i="9" l="1"/>
  <c r="BQ31" i="9"/>
  <c r="BR31" i="9" s="1"/>
  <c r="BS31" i="9" s="1"/>
  <c r="BV30" i="9"/>
  <c r="BU31" i="9"/>
  <c r="AT4" i="8"/>
  <c r="AU4" i="8"/>
  <c r="W14" i="8"/>
  <c r="AY14" i="8" s="1"/>
  <c r="X14" i="8"/>
  <c r="AZ14" i="8" s="1"/>
  <c r="Y14" i="8"/>
  <c r="BA14" i="8" s="1"/>
  <c r="Z14" i="8"/>
  <c r="BB14" i="8" s="1"/>
  <c r="AA14" i="8"/>
  <c r="BC14" i="8" s="1"/>
  <c r="AB14" i="8"/>
  <c r="BD14" i="8" s="1"/>
  <c r="W30" i="8"/>
  <c r="X30" i="8"/>
  <c r="Y30" i="8"/>
  <c r="Z30" i="8"/>
  <c r="BB30" i="8" s="1"/>
  <c r="AA30" i="8"/>
  <c r="BC30" i="8" s="1"/>
  <c r="AB30" i="8"/>
  <c r="BD30" i="8" s="1"/>
  <c r="Y23" i="8"/>
  <c r="BA23" i="8" s="1"/>
  <c r="Z23" i="8"/>
  <c r="BB23" i="8" s="1"/>
  <c r="AA23" i="8"/>
  <c r="BC23" i="8" s="1"/>
  <c r="AB23" i="8"/>
  <c r="BD23" i="8" s="1"/>
  <c r="X23" i="8"/>
  <c r="AZ23" i="8" s="1"/>
  <c r="W23" i="8"/>
  <c r="Y19" i="8"/>
  <c r="BA19" i="8" s="1"/>
  <c r="Z19" i="8"/>
  <c r="BB19" i="8" s="1"/>
  <c r="AA19" i="8"/>
  <c r="BC19" i="8" s="1"/>
  <c r="AB19" i="8"/>
  <c r="BD19" i="8" s="1"/>
  <c r="W19" i="8"/>
  <c r="X19" i="8"/>
  <c r="AZ19" i="8" s="1"/>
  <c r="AA8" i="8"/>
  <c r="BC8" i="8" s="1"/>
  <c r="AB8" i="8"/>
  <c r="BD8" i="8" s="1"/>
  <c r="Z8" i="8"/>
  <c r="BB8" i="8" s="1"/>
  <c r="W8" i="8"/>
  <c r="AY8" i="8" s="1"/>
  <c r="X8" i="8"/>
  <c r="AZ8" i="8" s="1"/>
  <c r="Y8" i="8"/>
  <c r="BA8" i="8" s="1"/>
  <c r="AF30" i="8"/>
  <c r="AF23" i="8"/>
  <c r="AF19" i="8"/>
  <c r="AF8" i="8"/>
  <c r="BP28" i="8"/>
  <c r="BQ27" i="8"/>
  <c r="BR27" i="8" s="1"/>
  <c r="BS27" i="8" s="1"/>
  <c r="AF14" i="8"/>
  <c r="BU26" i="8"/>
  <c r="G15" i="8"/>
  <c r="AI15" i="8" s="1"/>
  <c r="F15" i="8"/>
  <c r="AH15" i="8" s="1"/>
  <c r="D15" i="8"/>
  <c r="E9" i="8"/>
  <c r="AG9" i="8" s="1"/>
  <c r="B10" i="8"/>
  <c r="D9" i="8"/>
  <c r="J15" i="8"/>
  <c r="AL15" i="8" s="1"/>
  <c r="F9" i="8"/>
  <c r="AH9" i="8" s="1"/>
  <c r="I15" i="8"/>
  <c r="AK15" i="8" s="1"/>
  <c r="J9" i="8"/>
  <c r="AL9" i="8" s="1"/>
  <c r="H15" i="8"/>
  <c r="AJ15" i="8" s="1"/>
  <c r="I9" i="8"/>
  <c r="AK9" i="8" s="1"/>
  <c r="E15" i="8"/>
  <c r="AG15" i="8" s="1"/>
  <c r="H9" i="8"/>
  <c r="AJ9" i="8" s="1"/>
  <c r="G9" i="8"/>
  <c r="AI9" i="8" s="1"/>
  <c r="BV31" i="9" l="1"/>
  <c r="BU32" i="9"/>
  <c r="BQ32" i="9"/>
  <c r="BR32" i="9" s="1"/>
  <c r="BS32" i="9" s="1"/>
  <c r="BP33" i="9"/>
  <c r="W9" i="8"/>
  <c r="AY9" i="8" s="1"/>
  <c r="AY4" i="8" s="1"/>
  <c r="BG8" i="8" s="1"/>
  <c r="X9" i="8"/>
  <c r="AZ9" i="8" s="1"/>
  <c r="AB9" i="8"/>
  <c r="BD9" i="8" s="1"/>
  <c r="Y9" i="8"/>
  <c r="BA9" i="8" s="1"/>
  <c r="Z9" i="8"/>
  <c r="BB9" i="8" s="1"/>
  <c r="AA9" i="8"/>
  <c r="BC9" i="8" s="1"/>
  <c r="Y15" i="8"/>
  <c r="BA15" i="8" s="1"/>
  <c r="Z15" i="8"/>
  <c r="BB15" i="8" s="1"/>
  <c r="AA15" i="8"/>
  <c r="BC15" i="8" s="1"/>
  <c r="AB15" i="8"/>
  <c r="BD15" i="8" s="1"/>
  <c r="W15" i="8"/>
  <c r="X15" i="8"/>
  <c r="AZ15" i="8" s="1"/>
  <c r="BU27" i="8"/>
  <c r="AF9" i="8"/>
  <c r="D10" i="8"/>
  <c r="J10" i="8"/>
  <c r="AL10" i="8" s="1"/>
  <c r="AL4" i="8" s="1"/>
  <c r="I10" i="8"/>
  <c r="AK10" i="8" s="1"/>
  <c r="AK4" i="8" s="1"/>
  <c r="H10" i="8"/>
  <c r="AJ10" i="8" s="1"/>
  <c r="AJ4" i="8" s="1"/>
  <c r="G10" i="8"/>
  <c r="AI10" i="8" s="1"/>
  <c r="AI4" i="8" s="1"/>
  <c r="F10" i="8"/>
  <c r="AH10" i="8" s="1"/>
  <c r="AH4" i="8" s="1"/>
  <c r="E10" i="8"/>
  <c r="AG10" i="8" s="1"/>
  <c r="AG4" i="8" s="1"/>
  <c r="BQ28" i="8"/>
  <c r="BR28" i="8" s="1"/>
  <c r="BS28" i="8" s="1"/>
  <c r="BP29" i="8"/>
  <c r="AF15" i="8"/>
  <c r="BQ33" i="9" l="1"/>
  <c r="BR33" i="9" s="1"/>
  <c r="BS33" i="9" s="1"/>
  <c r="BP34" i="9"/>
  <c r="BV32" i="9"/>
  <c r="BU33" i="9"/>
  <c r="BK9" i="8"/>
  <c r="BI9" i="8"/>
  <c r="BJ9" i="8"/>
  <c r="BM9" i="8"/>
  <c r="BH9" i="8"/>
  <c r="BG9" i="8"/>
  <c r="W10" i="8"/>
  <c r="X10" i="8"/>
  <c r="Y10" i="8"/>
  <c r="Z10" i="8"/>
  <c r="BB10" i="8" s="1"/>
  <c r="BB4" i="8" s="1"/>
  <c r="BJ8" i="8" s="1"/>
  <c r="AA10" i="8"/>
  <c r="BC10" i="8" s="1"/>
  <c r="BC4" i="8" s="1"/>
  <c r="BK8" i="8" s="1"/>
  <c r="AB10" i="8"/>
  <c r="BD10" i="8" s="1"/>
  <c r="BD4" i="8" s="1"/>
  <c r="BM8" i="8" s="1"/>
  <c r="AZ4" i="8"/>
  <c r="BH8" i="8" s="1"/>
  <c r="BA4" i="8"/>
  <c r="BI8" i="8" s="1"/>
  <c r="BU28" i="8"/>
  <c r="BQ29" i="8"/>
  <c r="BR29" i="8" s="1"/>
  <c r="BS29" i="8" s="1"/>
  <c r="BP30" i="8"/>
  <c r="AF10" i="8"/>
  <c r="AF4" i="8" s="1"/>
  <c r="BU34" i="9" l="1"/>
  <c r="BV33" i="9"/>
  <c r="BQ34" i="9"/>
  <c r="BR34" i="9" s="1"/>
  <c r="BS34" i="9" s="1"/>
  <c r="BP35" i="9"/>
  <c r="BL8" i="8"/>
  <c r="BG20" i="8" s="1"/>
  <c r="BL9" i="8"/>
  <c r="BQ30" i="8"/>
  <c r="BR30" i="8" s="1"/>
  <c r="BS30" i="8" s="1"/>
  <c r="BP31" i="8"/>
  <c r="BU29" i="8"/>
  <c r="BP36" i="9" l="1"/>
  <c r="BQ35" i="9"/>
  <c r="BR35" i="9" s="1"/>
  <c r="BS35" i="9" s="1"/>
  <c r="BV34" i="9"/>
  <c r="BU35" i="9"/>
  <c r="BG21" i="8"/>
  <c r="BU30" i="8"/>
  <c r="BP32" i="8"/>
  <c r="BQ31" i="8"/>
  <c r="BR31" i="8" s="1"/>
  <c r="BS31" i="8" s="1"/>
  <c r="BV35" i="9" l="1"/>
  <c r="BU36" i="9"/>
  <c r="BQ36" i="9"/>
  <c r="BR36" i="9" s="1"/>
  <c r="BS36" i="9" s="1"/>
  <c r="BP37" i="9"/>
  <c r="BU31" i="8"/>
  <c r="BQ32" i="8"/>
  <c r="BR32" i="8" s="1"/>
  <c r="BS32" i="8" s="1"/>
  <c r="BP33" i="8"/>
  <c r="BQ37" i="9" l="1"/>
  <c r="BR37" i="9" s="1"/>
  <c r="BS37" i="9" s="1"/>
  <c r="BP38" i="9"/>
  <c r="BU37" i="9"/>
  <c r="BV36" i="9"/>
  <c r="BQ33" i="8"/>
  <c r="BR33" i="8" s="1"/>
  <c r="BS33" i="8" s="1"/>
  <c r="BP34" i="8"/>
  <c r="BU32" i="8"/>
  <c r="BU38" i="9" l="1"/>
  <c r="BV37" i="9"/>
  <c r="BP39" i="9"/>
  <c r="BQ38" i="9"/>
  <c r="BR38" i="9" s="1"/>
  <c r="BS38" i="9" s="1"/>
  <c r="BU33" i="8"/>
  <c r="BQ34" i="8"/>
  <c r="BR34" i="8" s="1"/>
  <c r="BS34" i="8" s="1"/>
  <c r="BP35" i="8"/>
  <c r="BP40" i="9" l="1"/>
  <c r="BQ39" i="9"/>
  <c r="BR39" i="9" s="1"/>
  <c r="BS39" i="9" s="1"/>
  <c r="BV38" i="9"/>
  <c r="BU39" i="9"/>
  <c r="BP36" i="8"/>
  <c r="BQ35" i="8"/>
  <c r="BR35" i="8" s="1"/>
  <c r="BS35" i="8" s="1"/>
  <c r="BU34" i="8"/>
  <c r="BV39" i="9" l="1"/>
  <c r="BU40" i="9"/>
  <c r="BQ40" i="9"/>
  <c r="BR40" i="9" s="1"/>
  <c r="BS40" i="9" s="1"/>
  <c r="BP41" i="9"/>
  <c r="BU35" i="8"/>
  <c r="BQ36" i="8"/>
  <c r="BR36" i="8" s="1"/>
  <c r="BS36" i="8" s="1"/>
  <c r="BP37" i="8"/>
  <c r="BU41" i="9" l="1"/>
  <c r="BV40" i="9"/>
  <c r="BQ41" i="9"/>
  <c r="BR41" i="9" s="1"/>
  <c r="BS41" i="9" s="1"/>
  <c r="BP42" i="9"/>
  <c r="BQ37" i="8"/>
  <c r="BR37" i="8" s="1"/>
  <c r="BS37" i="8" s="1"/>
  <c r="BP38" i="8"/>
  <c r="BU36" i="8"/>
  <c r="BP43" i="9" l="1"/>
  <c r="BQ42" i="9"/>
  <c r="BR42" i="9" s="1"/>
  <c r="BS42" i="9" s="1"/>
  <c r="BU42" i="9"/>
  <c r="BV41" i="9"/>
  <c r="BU37" i="8"/>
  <c r="BQ38" i="8"/>
  <c r="BR38" i="8" s="1"/>
  <c r="BS38" i="8" s="1"/>
  <c r="BP39" i="8"/>
  <c r="BV42" i="9" l="1"/>
  <c r="BU43" i="9"/>
  <c r="BP44" i="9"/>
  <c r="BQ43" i="9"/>
  <c r="BR43" i="9" s="1"/>
  <c r="BS43" i="9" s="1"/>
  <c r="BP40" i="8"/>
  <c r="BQ39" i="8"/>
  <c r="BR39" i="8" s="1"/>
  <c r="BS39" i="8" s="1"/>
  <c r="BU38" i="8"/>
  <c r="BQ44" i="9" l="1"/>
  <c r="BR44" i="9" s="1"/>
  <c r="BS44" i="9" s="1"/>
  <c r="BP45" i="9"/>
  <c r="BV43" i="9"/>
  <c r="BU44" i="9"/>
  <c r="BU39" i="8"/>
  <c r="BQ40" i="8"/>
  <c r="BR40" i="8" s="1"/>
  <c r="BS40" i="8" s="1"/>
  <c r="BP41" i="8"/>
  <c r="BU45" i="9" l="1"/>
  <c r="BV44" i="9"/>
  <c r="BQ45" i="9"/>
  <c r="BR45" i="9" s="1"/>
  <c r="BS45" i="9" s="1"/>
  <c r="BP46" i="9"/>
  <c r="BQ41" i="8"/>
  <c r="BR41" i="8" s="1"/>
  <c r="BS41" i="8" s="1"/>
  <c r="BP42" i="8"/>
  <c r="BU40" i="8"/>
  <c r="BP47" i="9" l="1"/>
  <c r="BQ46" i="9"/>
  <c r="BR46" i="9" s="1"/>
  <c r="BS46" i="9" s="1"/>
  <c r="BU46" i="9"/>
  <c r="BV45" i="9"/>
  <c r="BU41" i="8"/>
  <c r="BP43" i="8"/>
  <c r="BQ42" i="8"/>
  <c r="BR42" i="8" s="1"/>
  <c r="BS42" i="8" s="1"/>
  <c r="BV46" i="9" l="1"/>
  <c r="BU47" i="9"/>
  <c r="BP48" i="9"/>
  <c r="BQ47" i="9"/>
  <c r="BR47" i="9" s="1"/>
  <c r="BS47" i="9" s="1"/>
  <c r="BP44" i="8"/>
  <c r="BQ43" i="8"/>
  <c r="BR43" i="8" s="1"/>
  <c r="BS43" i="8" s="1"/>
  <c r="BU42" i="8"/>
  <c r="BQ48" i="9" l="1"/>
  <c r="BR48" i="9" s="1"/>
  <c r="BS48" i="9" s="1"/>
  <c r="BP49" i="9"/>
  <c r="BV47" i="9"/>
  <c r="BU48" i="9"/>
  <c r="BU43" i="8"/>
  <c r="BQ44" i="8"/>
  <c r="BR44" i="8" s="1"/>
  <c r="BS44" i="8" s="1"/>
  <c r="BP45" i="8"/>
  <c r="BU49" i="9" l="1"/>
  <c r="BV48" i="9"/>
  <c r="BQ49" i="9"/>
  <c r="BR49" i="9" s="1"/>
  <c r="BS49" i="9" s="1"/>
  <c r="BP50" i="9"/>
  <c r="BQ45" i="8"/>
  <c r="BR45" i="8" s="1"/>
  <c r="BS45" i="8" s="1"/>
  <c r="BP46" i="8"/>
  <c r="BU44" i="8"/>
  <c r="BP51" i="9" l="1"/>
  <c r="BQ50" i="9"/>
  <c r="BR50" i="9" s="1"/>
  <c r="BS50" i="9" s="1"/>
  <c r="BU50" i="9"/>
  <c r="BV49" i="9"/>
  <c r="BU45" i="8"/>
  <c r="BP47" i="8"/>
  <c r="BQ46" i="8"/>
  <c r="BR46" i="8" s="1"/>
  <c r="BS46" i="8" s="1"/>
  <c r="BV50" i="9" l="1"/>
  <c r="BU51" i="9"/>
  <c r="BP52" i="9"/>
  <c r="BQ51" i="9"/>
  <c r="BR51" i="9" s="1"/>
  <c r="BS51" i="9" s="1"/>
  <c r="BP48" i="8"/>
  <c r="BQ47" i="8"/>
  <c r="BR47" i="8" s="1"/>
  <c r="BS47" i="8" s="1"/>
  <c r="BU46" i="8"/>
  <c r="BQ52" i="9" l="1"/>
  <c r="BR52" i="9" s="1"/>
  <c r="BS52" i="9" s="1"/>
  <c r="BP53" i="9"/>
  <c r="BV51" i="9"/>
  <c r="BU52" i="9"/>
  <c r="BU47" i="8"/>
  <c r="BQ48" i="8"/>
  <c r="BR48" i="8" s="1"/>
  <c r="BS48" i="8" s="1"/>
  <c r="BP49" i="8"/>
  <c r="BU53" i="9" l="1"/>
  <c r="BV52" i="9"/>
  <c r="BQ53" i="9"/>
  <c r="BR53" i="9" s="1"/>
  <c r="BS53" i="9" s="1"/>
  <c r="BP54" i="9"/>
  <c r="BQ49" i="8"/>
  <c r="BR49" i="8" s="1"/>
  <c r="BS49" i="8" s="1"/>
  <c r="BP50" i="8"/>
  <c r="BU48" i="8"/>
  <c r="BU54" i="9" l="1"/>
  <c r="BV53" i="9"/>
  <c r="BP55" i="9"/>
  <c r="BQ54" i="9"/>
  <c r="BR54" i="9" s="1"/>
  <c r="BS54" i="9" s="1"/>
  <c r="BU49" i="8"/>
  <c r="BP51" i="8"/>
  <c r="BQ50" i="8"/>
  <c r="BR50" i="8" s="1"/>
  <c r="BS50" i="8" s="1"/>
  <c r="BP56" i="9" l="1"/>
  <c r="BQ55" i="9"/>
  <c r="BR55" i="9" s="1"/>
  <c r="BS55" i="9" s="1"/>
  <c r="BV54" i="9"/>
  <c r="BU55" i="9"/>
  <c r="BP52" i="8"/>
  <c r="BQ51" i="8"/>
  <c r="BR51" i="8" s="1"/>
  <c r="BS51" i="8" s="1"/>
  <c r="BU50" i="8"/>
  <c r="BV55" i="9" l="1"/>
  <c r="BU56" i="9"/>
  <c r="BQ56" i="9"/>
  <c r="BR56" i="9" s="1"/>
  <c r="BS56" i="9" s="1"/>
  <c r="BP57" i="9"/>
  <c r="BU51" i="8"/>
  <c r="BQ52" i="8"/>
  <c r="BR52" i="8" s="1"/>
  <c r="BS52" i="8" s="1"/>
  <c r="BP53" i="8"/>
  <c r="BQ57" i="9" l="1"/>
  <c r="BR57" i="9" s="1"/>
  <c r="BS57" i="9" s="1"/>
  <c r="BP58" i="9"/>
  <c r="BU57" i="9"/>
  <c r="BV56" i="9"/>
  <c r="BQ53" i="8"/>
  <c r="BR53" i="8" s="1"/>
  <c r="BS53" i="8" s="1"/>
  <c r="BP54" i="8"/>
  <c r="BU52" i="8"/>
  <c r="BP59" i="9" l="1"/>
  <c r="BQ58" i="9"/>
  <c r="BR58" i="9" s="1"/>
  <c r="BS58" i="9" s="1"/>
  <c r="BU58" i="9"/>
  <c r="BV57" i="9"/>
  <c r="BU53" i="8"/>
  <c r="BP55" i="8"/>
  <c r="BQ54" i="8"/>
  <c r="BR54" i="8" s="1"/>
  <c r="BS54" i="8" s="1"/>
  <c r="BP60" i="9" l="1"/>
  <c r="BQ59" i="9"/>
  <c r="BR59" i="9" s="1"/>
  <c r="BS59" i="9" s="1"/>
  <c r="BV58" i="9"/>
  <c r="BU59" i="9"/>
  <c r="BP56" i="8"/>
  <c r="BQ55" i="8"/>
  <c r="BR55" i="8" s="1"/>
  <c r="BS55" i="8" s="1"/>
  <c r="BU54" i="8"/>
  <c r="BQ60" i="9" l="1"/>
  <c r="BR60" i="9" s="1"/>
  <c r="BS60" i="9" s="1"/>
  <c r="BP61" i="9"/>
  <c r="BV59" i="9"/>
  <c r="BU60" i="9"/>
  <c r="BU55" i="8"/>
  <c r="BQ56" i="8"/>
  <c r="BR56" i="8" s="1"/>
  <c r="BS56" i="8" s="1"/>
  <c r="BP57" i="8"/>
  <c r="BU61" i="9" l="1"/>
  <c r="BV60" i="9"/>
  <c r="BQ61" i="9"/>
  <c r="BR61" i="9" s="1"/>
  <c r="BS61" i="9" s="1"/>
  <c r="BP62" i="9"/>
  <c r="BQ57" i="8"/>
  <c r="BR57" i="8" s="1"/>
  <c r="BS57" i="8" s="1"/>
  <c r="BP58" i="8"/>
  <c r="BU56" i="8"/>
  <c r="BP63" i="9" l="1"/>
  <c r="BQ62" i="9"/>
  <c r="BR62" i="9" s="1"/>
  <c r="BS62" i="9" s="1"/>
  <c r="BU62" i="9"/>
  <c r="BV61" i="9"/>
  <c r="BU57" i="8"/>
  <c r="BP59" i="8"/>
  <c r="BQ58" i="8"/>
  <c r="BR58" i="8" s="1"/>
  <c r="BS58" i="8" s="1"/>
  <c r="BV62" i="9" l="1"/>
  <c r="BU63" i="9"/>
  <c r="BP64" i="9"/>
  <c r="BQ63" i="9"/>
  <c r="BR63" i="9" s="1"/>
  <c r="BS63" i="9" s="1"/>
  <c r="BP60" i="8"/>
  <c r="BQ59" i="8"/>
  <c r="BR59" i="8" s="1"/>
  <c r="BS59" i="8" s="1"/>
  <c r="BU58" i="8"/>
  <c r="BQ64" i="9" l="1"/>
  <c r="BR64" i="9" s="1"/>
  <c r="BS64" i="9" s="1"/>
  <c r="BP65" i="9"/>
  <c r="BV63" i="9"/>
  <c r="BU64" i="9"/>
  <c r="BU59" i="8"/>
  <c r="BQ60" i="8"/>
  <c r="BR60" i="8" s="1"/>
  <c r="BS60" i="8" s="1"/>
  <c r="BP61" i="8"/>
  <c r="BU65" i="9" l="1"/>
  <c r="BV64" i="9"/>
  <c r="BQ65" i="9"/>
  <c r="BR65" i="9" s="1"/>
  <c r="BS65" i="9" s="1"/>
  <c r="BP66" i="9"/>
  <c r="BQ61" i="8"/>
  <c r="BR61" i="8" s="1"/>
  <c r="BS61" i="8" s="1"/>
  <c r="BP62" i="8"/>
  <c r="BU60" i="8"/>
  <c r="BU66" i="9" l="1"/>
  <c r="BV65" i="9"/>
  <c r="BP67" i="9"/>
  <c r="BQ66" i="9"/>
  <c r="BR66" i="9" s="1"/>
  <c r="BS66" i="9" s="1"/>
  <c r="BU61" i="8"/>
  <c r="BP63" i="8"/>
  <c r="BQ62" i="8"/>
  <c r="BR62" i="8" s="1"/>
  <c r="BS62" i="8" s="1"/>
  <c r="BP68" i="9" l="1"/>
  <c r="BQ67" i="9"/>
  <c r="BR67" i="9" s="1"/>
  <c r="BS67" i="9" s="1"/>
  <c r="BV66" i="9"/>
  <c r="BU67" i="9"/>
  <c r="BP64" i="8"/>
  <c r="BQ63" i="8"/>
  <c r="BR63" i="8" s="1"/>
  <c r="BS63" i="8" s="1"/>
  <c r="BU62" i="8"/>
  <c r="BV67" i="9" l="1"/>
  <c r="BU68" i="9"/>
  <c r="BQ68" i="9"/>
  <c r="BR68" i="9" s="1"/>
  <c r="BS68" i="9" s="1"/>
  <c r="BP69" i="9"/>
  <c r="BU63" i="8"/>
  <c r="BQ64" i="8"/>
  <c r="BR64" i="8" s="1"/>
  <c r="BS64" i="8" s="1"/>
  <c r="BP65" i="8"/>
  <c r="BQ69" i="9" l="1"/>
  <c r="BR69" i="9" s="1"/>
  <c r="BS69" i="9" s="1"/>
  <c r="BP70" i="9"/>
  <c r="BU69" i="9"/>
  <c r="BV68" i="9"/>
  <c r="BQ65" i="8"/>
  <c r="BR65" i="8" s="1"/>
  <c r="BS65" i="8" s="1"/>
  <c r="BP66" i="8"/>
  <c r="BU64" i="8"/>
  <c r="BU70" i="9" l="1"/>
  <c r="BV69" i="9"/>
  <c r="BP71" i="9"/>
  <c r="BQ70" i="9"/>
  <c r="BR70" i="9" s="1"/>
  <c r="BS70" i="9" s="1"/>
  <c r="BU65" i="8"/>
  <c r="BP67" i="8"/>
  <c r="BQ66" i="8"/>
  <c r="BR66" i="8" s="1"/>
  <c r="BS66" i="8" s="1"/>
  <c r="BP72" i="9" l="1"/>
  <c r="BQ71" i="9"/>
  <c r="BR71" i="9" s="1"/>
  <c r="BS71" i="9" s="1"/>
  <c r="BV70" i="9"/>
  <c r="BU71" i="9"/>
  <c r="BP68" i="8"/>
  <c r="BQ67" i="8"/>
  <c r="BR67" i="8" s="1"/>
  <c r="BS67" i="8" s="1"/>
  <c r="BU66" i="8"/>
  <c r="BV71" i="9" l="1"/>
  <c r="BU72" i="9"/>
  <c r="BQ72" i="9"/>
  <c r="BR72" i="9" s="1"/>
  <c r="BS72" i="9" s="1"/>
  <c r="BP73" i="9"/>
  <c r="BU67" i="8"/>
  <c r="BQ68" i="8"/>
  <c r="BR68" i="8" s="1"/>
  <c r="BS68" i="8" s="1"/>
  <c r="BP69" i="8"/>
  <c r="BQ73" i="9" l="1"/>
  <c r="BR73" i="9" s="1"/>
  <c r="BS73" i="9" s="1"/>
  <c r="BP74" i="9"/>
  <c r="BU73" i="9"/>
  <c r="BV72" i="9"/>
  <c r="BQ69" i="8"/>
  <c r="BR69" i="8" s="1"/>
  <c r="BS69" i="8" s="1"/>
  <c r="BP70" i="8"/>
  <c r="BU68" i="8"/>
  <c r="BU74" i="9" l="1"/>
  <c r="BV73" i="9"/>
  <c r="BP75" i="9"/>
  <c r="BQ74" i="9"/>
  <c r="BR74" i="9" s="1"/>
  <c r="BS74" i="9" s="1"/>
  <c r="BU69" i="8"/>
  <c r="BP71" i="8"/>
  <c r="BQ70" i="8"/>
  <c r="BR70" i="8" s="1"/>
  <c r="BS70" i="8" s="1"/>
  <c r="BV74" i="9" l="1"/>
  <c r="BU75" i="9"/>
  <c r="BP76" i="9"/>
  <c r="BQ75" i="9"/>
  <c r="BR75" i="9" s="1"/>
  <c r="BS75" i="9" s="1"/>
  <c r="BP72" i="8"/>
  <c r="BQ71" i="8"/>
  <c r="BR71" i="8" s="1"/>
  <c r="BS71" i="8" s="1"/>
  <c r="BU70" i="8"/>
  <c r="BQ76" i="9" l="1"/>
  <c r="BR76" i="9" s="1"/>
  <c r="BS76" i="9" s="1"/>
  <c r="BP77" i="9"/>
  <c r="BV75" i="9"/>
  <c r="BU76" i="9"/>
  <c r="BU71" i="8"/>
  <c r="BQ72" i="8"/>
  <c r="BR72" i="8" s="1"/>
  <c r="BS72" i="8" s="1"/>
  <c r="BP73" i="8"/>
  <c r="BU77" i="9" l="1"/>
  <c r="BV76" i="9"/>
  <c r="BQ77" i="9"/>
  <c r="BR77" i="9" s="1"/>
  <c r="BS77" i="9" s="1"/>
  <c r="BP78" i="9"/>
  <c r="BQ73" i="8"/>
  <c r="BR73" i="8" s="1"/>
  <c r="BS73" i="8" s="1"/>
  <c r="BP74" i="8"/>
  <c r="BU72" i="8"/>
  <c r="BU78" i="9" l="1"/>
  <c r="BV77" i="9"/>
  <c r="BP79" i="9"/>
  <c r="BQ78" i="9"/>
  <c r="BR78" i="9" s="1"/>
  <c r="BS78" i="9" s="1"/>
  <c r="BU73" i="8"/>
  <c r="BP75" i="8"/>
  <c r="BQ74" i="8"/>
  <c r="BR74" i="8" s="1"/>
  <c r="BS74" i="8" s="1"/>
  <c r="BV78" i="9" l="1"/>
  <c r="BU79" i="9"/>
  <c r="BP80" i="9"/>
  <c r="BQ79" i="9"/>
  <c r="BR79" i="9" s="1"/>
  <c r="BS79" i="9" s="1"/>
  <c r="BP76" i="8"/>
  <c r="BQ75" i="8"/>
  <c r="BR75" i="8" s="1"/>
  <c r="BS75" i="8" s="1"/>
  <c r="BU74" i="8"/>
  <c r="BQ80" i="9" l="1"/>
  <c r="BR80" i="9" s="1"/>
  <c r="BS80" i="9" s="1"/>
  <c r="BP81" i="9"/>
  <c r="BV79" i="9"/>
  <c r="BU80" i="9"/>
  <c r="BU75" i="8"/>
  <c r="BQ76" i="8"/>
  <c r="BR76" i="8" s="1"/>
  <c r="BS76" i="8" s="1"/>
  <c r="BP77" i="8"/>
  <c r="BU81" i="9" l="1"/>
  <c r="BV80" i="9"/>
  <c r="BQ81" i="9"/>
  <c r="BR81" i="9" s="1"/>
  <c r="BS81" i="9" s="1"/>
  <c r="BP82" i="9"/>
  <c r="BQ77" i="8"/>
  <c r="BR77" i="8" s="1"/>
  <c r="BS77" i="8" s="1"/>
  <c r="BP78" i="8"/>
  <c r="BU76" i="8"/>
  <c r="BP83" i="9" l="1"/>
  <c r="BQ82" i="9"/>
  <c r="BR82" i="9" s="1"/>
  <c r="BS82" i="9" s="1"/>
  <c r="BU82" i="9"/>
  <c r="BV81" i="9"/>
  <c r="BU77" i="8"/>
  <c r="BP79" i="8"/>
  <c r="BQ78" i="8"/>
  <c r="BR78" i="8" s="1"/>
  <c r="BS78" i="8" s="1"/>
  <c r="BV82" i="9" l="1"/>
  <c r="BU83" i="9"/>
  <c r="BP84" i="9"/>
  <c r="BQ83" i="9"/>
  <c r="BR83" i="9" s="1"/>
  <c r="BS83" i="9" s="1"/>
  <c r="BP80" i="8"/>
  <c r="BQ79" i="8"/>
  <c r="BR79" i="8" s="1"/>
  <c r="BS79" i="8" s="1"/>
  <c r="BU78" i="8"/>
  <c r="BQ84" i="9" l="1"/>
  <c r="BR84" i="9" s="1"/>
  <c r="BS84" i="9" s="1"/>
  <c r="BP85" i="9"/>
  <c r="BV83" i="9"/>
  <c r="BU84" i="9"/>
  <c r="BU79" i="8"/>
  <c r="BQ80" i="8"/>
  <c r="BR80" i="8" s="1"/>
  <c r="BS80" i="8" s="1"/>
  <c r="BP81" i="8"/>
  <c r="BU85" i="9" l="1"/>
  <c r="BV84" i="9"/>
  <c r="BQ85" i="9"/>
  <c r="BR85" i="9" s="1"/>
  <c r="BS85" i="9" s="1"/>
  <c r="BP86" i="9"/>
  <c r="BQ81" i="8"/>
  <c r="BR81" i="8" s="1"/>
  <c r="BS81" i="8" s="1"/>
  <c r="BP82" i="8"/>
  <c r="BU80" i="8"/>
  <c r="BP87" i="9" l="1"/>
  <c r="BQ86" i="9"/>
  <c r="BR86" i="9" s="1"/>
  <c r="BS86" i="9" s="1"/>
  <c r="BU86" i="9"/>
  <c r="BV85" i="9"/>
  <c r="BU81" i="8"/>
  <c r="BP83" i="8"/>
  <c r="BQ82" i="8"/>
  <c r="BR82" i="8" s="1"/>
  <c r="BS82" i="8" s="1"/>
  <c r="BV86" i="9" l="1"/>
  <c r="BU87" i="9"/>
  <c r="BP88" i="9"/>
  <c r="BQ87" i="9"/>
  <c r="BR87" i="9" s="1"/>
  <c r="BS87" i="9" s="1"/>
  <c r="BP84" i="8"/>
  <c r="BQ83" i="8"/>
  <c r="BR83" i="8" s="1"/>
  <c r="BS83" i="8" s="1"/>
  <c r="BU82" i="8"/>
  <c r="BQ88" i="9" l="1"/>
  <c r="BR88" i="9" s="1"/>
  <c r="BS88" i="9" s="1"/>
  <c r="BP89" i="9"/>
  <c r="BV87" i="9"/>
  <c r="BU88" i="9"/>
  <c r="BQ84" i="8"/>
  <c r="BR84" i="8" s="1"/>
  <c r="BS84" i="8" s="1"/>
  <c r="BP85" i="8"/>
  <c r="BU83" i="8"/>
  <c r="BU89" i="9" l="1"/>
  <c r="BV88" i="9"/>
  <c r="BQ89" i="9"/>
  <c r="BR89" i="9" s="1"/>
  <c r="BS89" i="9" s="1"/>
  <c r="BP90" i="9"/>
  <c r="BU84" i="8"/>
  <c r="BQ85" i="8"/>
  <c r="BR85" i="8" s="1"/>
  <c r="BS85" i="8" s="1"/>
  <c r="BP86" i="8"/>
  <c r="BP91" i="9" l="1"/>
  <c r="BQ90" i="9"/>
  <c r="BR90" i="9" s="1"/>
  <c r="BS90" i="9" s="1"/>
  <c r="BU90" i="9"/>
  <c r="BV89" i="9"/>
  <c r="BP87" i="8"/>
  <c r="BQ86" i="8"/>
  <c r="BR86" i="8" s="1"/>
  <c r="BS86" i="8" s="1"/>
  <c r="BU85" i="8"/>
  <c r="BV90" i="9" l="1"/>
  <c r="BU91" i="9"/>
  <c r="BP92" i="9"/>
  <c r="BQ91" i="9"/>
  <c r="BR91" i="9" s="1"/>
  <c r="BS91" i="9" s="1"/>
  <c r="BU86" i="8"/>
  <c r="BP88" i="8"/>
  <c r="BQ87" i="8"/>
  <c r="BR87" i="8" s="1"/>
  <c r="BS87" i="8" s="1"/>
  <c r="BQ92" i="9" l="1"/>
  <c r="BR92" i="9" s="1"/>
  <c r="BS92" i="9" s="1"/>
  <c r="BP93" i="9"/>
  <c r="BV91" i="9"/>
  <c r="BU92" i="9"/>
  <c r="BQ88" i="8"/>
  <c r="BR88" i="8" s="1"/>
  <c r="BS88" i="8" s="1"/>
  <c r="BP89" i="8"/>
  <c r="BU87" i="8"/>
  <c r="BU93" i="9" l="1"/>
  <c r="BV92" i="9"/>
  <c r="BQ93" i="9"/>
  <c r="BR93" i="9" s="1"/>
  <c r="BS93" i="9" s="1"/>
  <c r="BP94" i="9"/>
  <c r="BU88" i="8"/>
  <c r="BQ89" i="8"/>
  <c r="BR89" i="8" s="1"/>
  <c r="BS89" i="8" s="1"/>
  <c r="BP90" i="8"/>
  <c r="BP95" i="9" l="1"/>
  <c r="BQ94" i="9"/>
  <c r="BR94" i="9" s="1"/>
  <c r="BS94" i="9" s="1"/>
  <c r="BU94" i="9"/>
  <c r="BV93" i="9"/>
  <c r="BP91" i="8"/>
  <c r="BQ90" i="8"/>
  <c r="BR90" i="8" s="1"/>
  <c r="BS90" i="8" s="1"/>
  <c r="BU89" i="8"/>
  <c r="BV94" i="9" l="1"/>
  <c r="BU95" i="9"/>
  <c r="BP96" i="9"/>
  <c r="BQ95" i="9"/>
  <c r="BR95" i="9" s="1"/>
  <c r="BS95" i="9" s="1"/>
  <c r="BU90" i="8"/>
  <c r="BP92" i="8"/>
  <c r="BQ91" i="8"/>
  <c r="BR91" i="8" s="1"/>
  <c r="BS91" i="8" s="1"/>
  <c r="BQ96" i="9" l="1"/>
  <c r="BR96" i="9" s="1"/>
  <c r="BS96" i="9" s="1"/>
  <c r="BP97" i="9"/>
  <c r="BV95" i="9"/>
  <c r="BU96" i="9"/>
  <c r="BV96" i="9" s="1"/>
  <c r="BQ92" i="8"/>
  <c r="BR92" i="8" s="1"/>
  <c r="BS92" i="8" s="1"/>
  <c r="BP93" i="8"/>
  <c r="BU91" i="8"/>
  <c r="BQ97" i="9" l="1"/>
  <c r="BR97" i="9" s="1"/>
  <c r="BS97" i="9" s="1"/>
  <c r="BP98" i="9"/>
  <c r="BU92" i="8"/>
  <c r="BQ93" i="8"/>
  <c r="BR93" i="8" s="1"/>
  <c r="BS93" i="8" s="1"/>
  <c r="BP94" i="8"/>
  <c r="BP99" i="9" l="1"/>
  <c r="BQ98" i="9"/>
  <c r="BR98" i="9" s="1"/>
  <c r="BS98" i="9" s="1"/>
  <c r="BP95" i="8"/>
  <c r="BQ94" i="8"/>
  <c r="BR94" i="8" s="1"/>
  <c r="BS94" i="8" s="1"/>
  <c r="BU93" i="8"/>
  <c r="BQ99" i="9" l="1"/>
  <c r="BR99" i="9" s="1"/>
  <c r="BS99" i="9" s="1"/>
  <c r="BP100" i="9"/>
  <c r="BU94" i="8"/>
  <c r="BP96" i="8"/>
  <c r="BQ95" i="8"/>
  <c r="BR95" i="8" s="1"/>
  <c r="BS95" i="8" s="1"/>
  <c r="BP101" i="9" l="1"/>
  <c r="BQ100" i="9"/>
  <c r="BR100" i="9" s="1"/>
  <c r="BS100" i="9" s="1"/>
  <c r="BQ96" i="8"/>
  <c r="BR96" i="8" s="1"/>
  <c r="BS96" i="8" s="1"/>
  <c r="BP97" i="8"/>
  <c r="BU95" i="8"/>
  <c r="BQ101" i="9" l="1"/>
  <c r="BR101" i="9" s="1"/>
  <c r="BS101" i="9" s="1"/>
  <c r="BP102" i="9"/>
  <c r="BU96" i="8"/>
  <c r="BQ97" i="8"/>
  <c r="BR97" i="8" s="1"/>
  <c r="BS97" i="8" s="1"/>
  <c r="BP98" i="8"/>
  <c r="BP103" i="9" l="1"/>
  <c r="BQ102" i="9"/>
  <c r="BR102" i="9" s="1"/>
  <c r="BS102" i="9" s="1"/>
  <c r="BP99" i="8"/>
  <c r="BQ98" i="8"/>
  <c r="BR98" i="8" s="1"/>
  <c r="BS98" i="8" s="1"/>
  <c r="BQ103" i="9" l="1"/>
  <c r="BR103" i="9" s="1"/>
  <c r="BS103" i="9" s="1"/>
  <c r="BP104" i="9"/>
  <c r="BQ99" i="8"/>
  <c r="BR99" i="8" s="1"/>
  <c r="BS99" i="8" s="1"/>
  <c r="BP100" i="8"/>
  <c r="BP105" i="9" l="1"/>
  <c r="BQ104" i="9"/>
  <c r="BR104" i="9" s="1"/>
  <c r="BS104" i="9" s="1"/>
  <c r="BP101" i="8"/>
  <c r="BQ100" i="8"/>
  <c r="BR100" i="8" s="1"/>
  <c r="BS100" i="8" s="1"/>
  <c r="BQ105" i="9" l="1"/>
  <c r="BR105" i="9" s="1"/>
  <c r="BS105" i="9" s="1"/>
  <c r="BP106" i="9"/>
  <c r="BQ101" i="8"/>
  <c r="BR101" i="8" s="1"/>
  <c r="BS101" i="8" s="1"/>
  <c r="BP102" i="8"/>
  <c r="BP107" i="9" l="1"/>
  <c r="BQ106" i="9"/>
  <c r="BR106" i="9" s="1"/>
  <c r="BS106" i="9" s="1"/>
  <c r="BP103" i="8"/>
  <c r="BQ102" i="8"/>
  <c r="BR102" i="8" s="1"/>
  <c r="BS102" i="8" s="1"/>
  <c r="BQ107" i="9" l="1"/>
  <c r="BR107" i="9" s="1"/>
  <c r="BS107" i="9" s="1"/>
  <c r="BP108" i="9"/>
  <c r="BQ103" i="8"/>
  <c r="BR103" i="8" s="1"/>
  <c r="BS103" i="8" s="1"/>
  <c r="BP104" i="8"/>
  <c r="BP109" i="9" l="1"/>
  <c r="BQ108" i="9"/>
  <c r="BR108" i="9" s="1"/>
  <c r="BS108" i="9" s="1"/>
  <c r="BP105" i="8"/>
  <c r="BQ104" i="8"/>
  <c r="BR104" i="8" s="1"/>
  <c r="BS104" i="8" s="1"/>
  <c r="BQ109" i="9" l="1"/>
  <c r="BR109" i="9" s="1"/>
  <c r="BS109" i="9" s="1"/>
  <c r="BP110" i="9"/>
  <c r="BQ105" i="8"/>
  <c r="BR105" i="8" s="1"/>
  <c r="BS105" i="8" s="1"/>
  <c r="BP106" i="8"/>
  <c r="BP111" i="9" l="1"/>
  <c r="BQ110" i="9"/>
  <c r="BR110" i="9" s="1"/>
  <c r="BS110" i="9" s="1"/>
  <c r="BP107" i="8"/>
  <c r="BQ106" i="8"/>
  <c r="BR106" i="8" s="1"/>
  <c r="BS106" i="8" s="1"/>
  <c r="BQ111" i="9" l="1"/>
  <c r="BR111" i="9" s="1"/>
  <c r="BS111" i="9" s="1"/>
  <c r="BP112" i="9"/>
  <c r="BQ107" i="8"/>
  <c r="BR107" i="8" s="1"/>
  <c r="BS107" i="8" s="1"/>
  <c r="BP108" i="8"/>
  <c r="BP113" i="9" l="1"/>
  <c r="BQ112" i="9"/>
  <c r="BR112" i="9" s="1"/>
  <c r="BS112" i="9" s="1"/>
  <c r="BP109" i="8"/>
  <c r="BQ108" i="8"/>
  <c r="BR108" i="8" s="1"/>
  <c r="BS108" i="8" s="1"/>
  <c r="BQ113" i="9" l="1"/>
  <c r="BR113" i="9" s="1"/>
  <c r="BS113" i="9" s="1"/>
  <c r="BP114" i="9"/>
  <c r="BQ109" i="8"/>
  <c r="BR109" i="8" s="1"/>
  <c r="BS109" i="8" s="1"/>
  <c r="BP110" i="8"/>
  <c r="BP115" i="9" l="1"/>
  <c r="BQ114" i="9"/>
  <c r="BR114" i="9" s="1"/>
  <c r="BS114" i="9" s="1"/>
  <c r="BP111" i="8"/>
  <c r="BQ110" i="8"/>
  <c r="BR110" i="8" s="1"/>
  <c r="BS110" i="8" s="1"/>
  <c r="BQ115" i="9" l="1"/>
  <c r="BR115" i="9" s="1"/>
  <c r="BS115" i="9" s="1"/>
  <c r="BP116" i="9"/>
  <c r="BQ111" i="8"/>
  <c r="BR111" i="8" s="1"/>
  <c r="BS111" i="8" s="1"/>
  <c r="BP112" i="8"/>
  <c r="BP117" i="9" l="1"/>
  <c r="BQ116" i="9"/>
  <c r="BR116" i="9" s="1"/>
  <c r="BS116" i="9" s="1"/>
  <c r="BP113" i="8"/>
  <c r="BQ112" i="8"/>
  <c r="BR112" i="8" s="1"/>
  <c r="BS112" i="8" s="1"/>
  <c r="BQ117" i="9" l="1"/>
  <c r="BR117" i="9" s="1"/>
  <c r="BS117" i="9" s="1"/>
  <c r="BP118" i="9"/>
  <c r="BQ113" i="8"/>
  <c r="BR113" i="8" s="1"/>
  <c r="BS113" i="8" s="1"/>
  <c r="BP114" i="8"/>
  <c r="BP119" i="9" l="1"/>
  <c r="BQ118" i="9"/>
  <c r="BR118" i="9" s="1"/>
  <c r="BS118" i="9" s="1"/>
  <c r="BP115" i="8"/>
  <c r="BQ114" i="8"/>
  <c r="BR114" i="8" s="1"/>
  <c r="BS114" i="8" s="1"/>
  <c r="BQ119" i="9" l="1"/>
  <c r="BR119" i="9" s="1"/>
  <c r="BS119" i="9" s="1"/>
  <c r="BP120" i="9"/>
  <c r="BQ115" i="8"/>
  <c r="BR115" i="8" s="1"/>
  <c r="BS115" i="8" s="1"/>
  <c r="BP116" i="8"/>
  <c r="BP121" i="9" l="1"/>
  <c r="BQ121" i="9" s="1"/>
  <c r="BR121" i="9" s="1"/>
  <c r="BS121" i="9" s="1"/>
  <c r="BQ120" i="9"/>
  <c r="BR120" i="9" s="1"/>
  <c r="BS120" i="9" s="1"/>
  <c r="BP117" i="8"/>
  <c r="BQ116" i="8"/>
  <c r="BR116" i="8" s="1"/>
  <c r="BS116" i="8" s="1"/>
  <c r="BQ117" i="8" l="1"/>
  <c r="BR117" i="8" s="1"/>
  <c r="BS117" i="8" s="1"/>
  <c r="BP118" i="8"/>
  <c r="BP119" i="8" l="1"/>
  <c r="BQ118" i="8"/>
  <c r="BR118" i="8" s="1"/>
  <c r="BS118" i="8" s="1"/>
  <c r="BQ119" i="8" l="1"/>
  <c r="BR119" i="8" s="1"/>
  <c r="BS119" i="8" s="1"/>
  <c r="BP120" i="8"/>
  <c r="BP121" i="8" l="1"/>
  <c r="BQ121" i="8" s="1"/>
  <c r="BR121" i="8" s="1"/>
  <c r="BS121" i="8" s="1"/>
  <c r="BQ120" i="8"/>
  <c r="BR120" i="8" s="1"/>
  <c r="BS120" i="8" s="1"/>
  <c r="K16" i="7" l="1"/>
  <c r="L16" i="7"/>
  <c r="M16" i="7"/>
  <c r="N16" i="7"/>
  <c r="O16" i="7"/>
  <c r="P16" i="7"/>
  <c r="P15" i="7"/>
  <c r="L15" i="7"/>
  <c r="M15" i="7"/>
  <c r="N15" i="7"/>
  <c r="O15" i="7"/>
  <c r="K14" i="7"/>
  <c r="L14" i="7"/>
  <c r="M14" i="7"/>
  <c r="N14" i="7"/>
  <c r="O14" i="7"/>
  <c r="P14" i="7"/>
  <c r="K13" i="7"/>
  <c r="L13" i="7"/>
  <c r="M13" i="7"/>
  <c r="N13" i="7"/>
  <c r="O13" i="7"/>
  <c r="P13" i="7"/>
  <c r="K12" i="7"/>
  <c r="L12" i="7"/>
  <c r="M12" i="7"/>
  <c r="N12" i="7"/>
  <c r="O12" i="7"/>
  <c r="P12" i="7"/>
  <c r="D29" i="1"/>
  <c r="D28" i="1"/>
  <c r="K11" i="7" l="1"/>
  <c r="L11" i="7"/>
  <c r="M11" i="7"/>
  <c r="N11" i="7"/>
  <c r="O11" i="7"/>
  <c r="P11" i="7"/>
  <c r="N10" i="7"/>
  <c r="O10" i="7"/>
  <c r="P10" i="7"/>
  <c r="K9" i="7"/>
  <c r="L9" i="7"/>
  <c r="M9" i="7"/>
  <c r="N9" i="7"/>
  <c r="O9" i="7"/>
  <c r="P9" i="7"/>
  <c r="K8" i="7"/>
  <c r="L8" i="7"/>
  <c r="M8" i="7"/>
  <c r="N8" i="7"/>
  <c r="O8" i="7"/>
  <c r="P8" i="7"/>
  <c r="K7" i="7"/>
  <c r="L7" i="7"/>
  <c r="M7" i="7"/>
  <c r="N7" i="7"/>
  <c r="O7" i="7"/>
  <c r="P7" i="7"/>
  <c r="K6" i="7"/>
  <c r="L6" i="7"/>
  <c r="M6" i="7"/>
  <c r="N6" i="7"/>
  <c r="O6" i="7"/>
  <c r="P6" i="7"/>
  <c r="K5" i="7"/>
  <c r="L5" i="7"/>
  <c r="M5" i="7"/>
  <c r="N5" i="7"/>
  <c r="O5" i="7"/>
  <c r="P5" i="7"/>
  <c r="B29" i="7"/>
  <c r="B30" i="7" s="1"/>
  <c r="B28" i="7"/>
  <c r="B25" i="7"/>
  <c r="B26" i="7" s="1"/>
  <c r="BP23" i="7"/>
  <c r="BU22" i="7"/>
  <c r="BQ22" i="7"/>
  <c r="BR22" i="7" s="1"/>
  <c r="BS22" i="7" s="1"/>
  <c r="B21" i="7"/>
  <c r="B22" i="7" s="1"/>
  <c r="B23" i="7" s="1"/>
  <c r="B19" i="7"/>
  <c r="B17" i="7"/>
  <c r="B18" i="7" s="1"/>
  <c r="B13" i="7"/>
  <c r="B14" i="7" s="1"/>
  <c r="B15" i="7" s="1"/>
  <c r="B12" i="7"/>
  <c r="B7" i="7"/>
  <c r="B6" i="7"/>
  <c r="N30" i="6"/>
  <c r="O30" i="6"/>
  <c r="P30" i="6"/>
  <c r="K29" i="6"/>
  <c r="L29" i="6"/>
  <c r="M29" i="6"/>
  <c r="N29" i="6"/>
  <c r="O29" i="6"/>
  <c r="P29" i="6"/>
  <c r="K28" i="6"/>
  <c r="L28" i="6"/>
  <c r="M28" i="6"/>
  <c r="N28" i="6"/>
  <c r="O28" i="6"/>
  <c r="P28" i="6"/>
  <c r="K27" i="5"/>
  <c r="L27" i="5"/>
  <c r="K27" i="3"/>
  <c r="L27" i="3"/>
  <c r="K27" i="6"/>
  <c r="L27" i="6"/>
  <c r="N27" i="6"/>
  <c r="M27" i="6"/>
  <c r="O27" i="6"/>
  <c r="P27" i="6"/>
  <c r="K26" i="6"/>
  <c r="L26" i="6"/>
  <c r="M26" i="6"/>
  <c r="N26" i="6"/>
  <c r="O26" i="6"/>
  <c r="P26" i="6"/>
  <c r="K25" i="6"/>
  <c r="L25" i="6"/>
  <c r="M25" i="6"/>
  <c r="N25" i="6"/>
  <c r="O25" i="6"/>
  <c r="P25" i="6"/>
  <c r="K24" i="6"/>
  <c r="AM24" i="6" s="1"/>
  <c r="L24" i="6"/>
  <c r="M24" i="6"/>
  <c r="N24" i="6"/>
  <c r="P24" i="6"/>
  <c r="O24" i="6"/>
  <c r="L23" i="6"/>
  <c r="M23" i="6"/>
  <c r="N23" i="6"/>
  <c r="O23" i="6"/>
  <c r="P23" i="6"/>
  <c r="K22" i="6"/>
  <c r="L22" i="6"/>
  <c r="M22" i="6"/>
  <c r="N22" i="6"/>
  <c r="O22" i="6"/>
  <c r="P22" i="6"/>
  <c r="AR22" i="6" s="1"/>
  <c r="K21" i="6"/>
  <c r="L21" i="6"/>
  <c r="M21" i="6"/>
  <c r="N21" i="6"/>
  <c r="O21" i="6"/>
  <c r="P21" i="6"/>
  <c r="K20" i="6"/>
  <c r="L20" i="6"/>
  <c r="M20" i="6"/>
  <c r="N20" i="6"/>
  <c r="O20" i="6"/>
  <c r="P20" i="6"/>
  <c r="L19" i="6"/>
  <c r="M19" i="6"/>
  <c r="N19" i="6"/>
  <c r="O19" i="6"/>
  <c r="P19" i="6"/>
  <c r="K18" i="6"/>
  <c r="L18" i="6"/>
  <c r="M18" i="6"/>
  <c r="N18" i="6"/>
  <c r="O18" i="6"/>
  <c r="P18" i="6"/>
  <c r="K17" i="6"/>
  <c r="L17" i="6"/>
  <c r="M17" i="6"/>
  <c r="N17" i="6"/>
  <c r="O17" i="6"/>
  <c r="P17" i="6"/>
  <c r="L15" i="6"/>
  <c r="M15" i="6"/>
  <c r="N15" i="6"/>
  <c r="O15" i="6"/>
  <c r="P15" i="6"/>
  <c r="K14" i="6"/>
  <c r="L14" i="6"/>
  <c r="M14" i="6"/>
  <c r="N14" i="6"/>
  <c r="O14" i="6"/>
  <c r="AQ14" i="6" s="1"/>
  <c r="P14" i="6"/>
  <c r="K13" i="6"/>
  <c r="L13" i="6"/>
  <c r="M13" i="6"/>
  <c r="N13" i="6"/>
  <c r="O13" i="6"/>
  <c r="P13" i="6"/>
  <c r="K12" i="6"/>
  <c r="L12" i="6"/>
  <c r="M12" i="6"/>
  <c r="N12" i="6"/>
  <c r="O12" i="6"/>
  <c r="P12" i="6"/>
  <c r="K11" i="6"/>
  <c r="L11" i="6"/>
  <c r="M11" i="6"/>
  <c r="N11" i="6"/>
  <c r="O11" i="6"/>
  <c r="P11" i="6"/>
  <c r="K16" i="6"/>
  <c r="L16" i="6"/>
  <c r="M16" i="6"/>
  <c r="N16" i="6"/>
  <c r="O16" i="6"/>
  <c r="P16" i="6"/>
  <c r="M10" i="3"/>
  <c r="M10" i="5"/>
  <c r="M10" i="6"/>
  <c r="N10" i="6"/>
  <c r="O10" i="6"/>
  <c r="P10" i="6"/>
  <c r="K9" i="6"/>
  <c r="L9" i="6"/>
  <c r="M9" i="6"/>
  <c r="N9" i="6"/>
  <c r="O9" i="6"/>
  <c r="P9" i="6"/>
  <c r="K8" i="6"/>
  <c r="L8" i="6"/>
  <c r="M8" i="6"/>
  <c r="N8" i="6"/>
  <c r="O8" i="6"/>
  <c r="P8" i="6"/>
  <c r="K7" i="6"/>
  <c r="L7" i="6"/>
  <c r="M7" i="6"/>
  <c r="N7" i="6"/>
  <c r="O7" i="6"/>
  <c r="P7" i="6"/>
  <c r="K6" i="6"/>
  <c r="L6" i="6"/>
  <c r="M6" i="6"/>
  <c r="N6" i="6"/>
  <c r="O6" i="6"/>
  <c r="P6" i="6"/>
  <c r="K5" i="6"/>
  <c r="L5" i="6"/>
  <c r="M5" i="6"/>
  <c r="N5" i="6"/>
  <c r="O5" i="6"/>
  <c r="AC28" i="6"/>
  <c r="AO28" i="6" s="1"/>
  <c r="AC29" i="6"/>
  <c r="AM29" i="6" s="1"/>
  <c r="AC30" i="6"/>
  <c r="AR30" i="6" s="1"/>
  <c r="AC27" i="6"/>
  <c r="AM27" i="6" s="1"/>
  <c r="AC25" i="6"/>
  <c r="AM25" i="6" s="1"/>
  <c r="AC26" i="6"/>
  <c r="AC24" i="6"/>
  <c r="AQ24" i="6" s="1"/>
  <c r="AC21" i="6"/>
  <c r="AN21" i="6" s="1"/>
  <c r="AC22" i="6"/>
  <c r="AO22" i="6" s="1"/>
  <c r="AC23" i="6"/>
  <c r="AP23" i="6" s="1"/>
  <c r="AC20" i="6"/>
  <c r="AN20" i="6" s="1"/>
  <c r="AC17" i="6"/>
  <c r="AM17" i="6" s="1"/>
  <c r="AC18" i="6"/>
  <c r="AR18" i="6" s="1"/>
  <c r="AC19" i="6"/>
  <c r="AR19" i="6" s="1"/>
  <c r="AC16" i="6"/>
  <c r="AP16" i="6" s="1"/>
  <c r="AC12" i="6"/>
  <c r="AN12" i="6" s="1"/>
  <c r="AC13" i="6"/>
  <c r="AP13" i="6" s="1"/>
  <c r="AC14" i="6"/>
  <c r="AO14" i="6" s="1"/>
  <c r="AC15" i="6"/>
  <c r="AP15" i="6" s="1"/>
  <c r="AC11" i="6"/>
  <c r="AN11" i="6" s="1"/>
  <c r="AC6" i="6"/>
  <c r="AR6" i="6" s="1"/>
  <c r="AC7" i="6"/>
  <c r="AC8" i="6"/>
  <c r="AO8" i="6" s="1"/>
  <c r="AC9" i="6"/>
  <c r="AM9" i="6" s="1"/>
  <c r="AC10" i="6"/>
  <c r="AR10" i="6" s="1"/>
  <c r="AC5" i="6"/>
  <c r="AQ5" i="6" s="1"/>
  <c r="P5" i="6"/>
  <c r="E5" i="6"/>
  <c r="F5" i="6"/>
  <c r="G5" i="6"/>
  <c r="H5" i="6"/>
  <c r="I5" i="6"/>
  <c r="J5" i="6"/>
  <c r="J6" i="6"/>
  <c r="E11" i="6"/>
  <c r="F11" i="6"/>
  <c r="G11" i="6"/>
  <c r="H11" i="6"/>
  <c r="I11" i="6"/>
  <c r="J11" i="6"/>
  <c r="I12" i="6"/>
  <c r="E16" i="6"/>
  <c r="F16" i="6"/>
  <c r="AH16" i="6" s="1"/>
  <c r="G16" i="6"/>
  <c r="AI16" i="6" s="1"/>
  <c r="H16" i="6"/>
  <c r="AJ16" i="6" s="1"/>
  <c r="I16" i="6"/>
  <c r="J16" i="6"/>
  <c r="AL16" i="6" s="1"/>
  <c r="F17" i="6"/>
  <c r="E20" i="6"/>
  <c r="F20" i="6"/>
  <c r="G20" i="6"/>
  <c r="H20" i="6"/>
  <c r="I20" i="6"/>
  <c r="J20" i="6"/>
  <c r="F21" i="6"/>
  <c r="E24" i="6"/>
  <c r="F24" i="6"/>
  <c r="AH24" i="6" s="1"/>
  <c r="G24" i="6"/>
  <c r="H24" i="6"/>
  <c r="AJ24" i="6" s="1"/>
  <c r="I24" i="6"/>
  <c r="J24" i="6"/>
  <c r="AL24" i="6" s="1"/>
  <c r="F25" i="6"/>
  <c r="E27" i="6"/>
  <c r="AG27" i="6" s="1"/>
  <c r="F27" i="6"/>
  <c r="AH27" i="6" s="1"/>
  <c r="G27" i="6"/>
  <c r="AI27" i="6" s="1"/>
  <c r="H27" i="6"/>
  <c r="AJ27" i="6" s="1"/>
  <c r="I27" i="6"/>
  <c r="AK27" i="6" s="1"/>
  <c r="J27" i="6"/>
  <c r="AL27" i="6" s="1"/>
  <c r="I28" i="6"/>
  <c r="D27" i="6"/>
  <c r="D24" i="6"/>
  <c r="D20" i="6"/>
  <c r="D16" i="6"/>
  <c r="D11" i="6"/>
  <c r="D5" i="6"/>
  <c r="B28" i="6"/>
  <c r="B29" i="6" s="1"/>
  <c r="B30" i="6" s="1"/>
  <c r="B25" i="6"/>
  <c r="B26" i="6" s="1"/>
  <c r="BU23" i="6"/>
  <c r="BU24" i="6" s="1"/>
  <c r="BP23" i="6"/>
  <c r="BU22" i="6"/>
  <c r="BR22" i="6"/>
  <c r="BS22" i="6" s="1"/>
  <c r="BQ22" i="6"/>
  <c r="B21" i="6"/>
  <c r="B22" i="6" s="1"/>
  <c r="B23" i="6" s="1"/>
  <c r="B17" i="6"/>
  <c r="B18" i="6" s="1"/>
  <c r="B19" i="6" s="1"/>
  <c r="B12" i="6"/>
  <c r="B13" i="6" s="1"/>
  <c r="B14" i="6" s="1"/>
  <c r="B15" i="6" s="1"/>
  <c r="B6" i="6"/>
  <c r="F6" i="6" s="1"/>
  <c r="AR5" i="6"/>
  <c r="N30" i="3"/>
  <c r="O30" i="3"/>
  <c r="P30" i="3"/>
  <c r="K29" i="3"/>
  <c r="L29" i="3"/>
  <c r="M29" i="3"/>
  <c r="N29" i="3"/>
  <c r="O29" i="3"/>
  <c r="P29" i="3"/>
  <c r="K28" i="3"/>
  <c r="L28" i="3"/>
  <c r="M28" i="3"/>
  <c r="N28" i="3"/>
  <c r="O28" i="3"/>
  <c r="P28" i="3"/>
  <c r="M27" i="3"/>
  <c r="N27" i="3"/>
  <c r="O27" i="3"/>
  <c r="P27" i="3"/>
  <c r="K26" i="3"/>
  <c r="L26" i="3"/>
  <c r="M26" i="3"/>
  <c r="N26" i="3"/>
  <c r="O26" i="3"/>
  <c r="P26" i="3"/>
  <c r="K25" i="3"/>
  <c r="L25" i="3"/>
  <c r="M25" i="3"/>
  <c r="N25" i="3"/>
  <c r="O25" i="3"/>
  <c r="P25" i="3"/>
  <c r="K24" i="3"/>
  <c r="L24" i="3"/>
  <c r="M24" i="3"/>
  <c r="N24" i="3"/>
  <c r="O24" i="3"/>
  <c r="P24" i="3"/>
  <c r="L23" i="3"/>
  <c r="M23" i="3"/>
  <c r="N23" i="3"/>
  <c r="O23" i="3"/>
  <c r="P23" i="3"/>
  <c r="K22" i="3"/>
  <c r="L22" i="3"/>
  <c r="M22" i="3"/>
  <c r="N22" i="3"/>
  <c r="O22" i="3"/>
  <c r="P22" i="3"/>
  <c r="K21" i="3"/>
  <c r="L21" i="3"/>
  <c r="M21" i="3"/>
  <c r="N21" i="3"/>
  <c r="O21" i="3"/>
  <c r="P21" i="3"/>
  <c r="K20" i="3"/>
  <c r="L20" i="3"/>
  <c r="M20" i="3"/>
  <c r="N20" i="3"/>
  <c r="O20" i="3"/>
  <c r="P20" i="3"/>
  <c r="K19" i="3"/>
  <c r="L19" i="3"/>
  <c r="M19" i="3"/>
  <c r="N19" i="3"/>
  <c r="O19" i="3"/>
  <c r="P19" i="3"/>
  <c r="K18" i="3"/>
  <c r="L18" i="3"/>
  <c r="M18" i="3"/>
  <c r="N18" i="3"/>
  <c r="O18" i="3"/>
  <c r="P18" i="3"/>
  <c r="K17" i="3"/>
  <c r="L17" i="3"/>
  <c r="M17" i="3"/>
  <c r="N17" i="3"/>
  <c r="O17" i="3"/>
  <c r="P17" i="3"/>
  <c r="K16" i="3"/>
  <c r="L16" i="3"/>
  <c r="M16" i="3"/>
  <c r="N16" i="3"/>
  <c r="O16" i="3"/>
  <c r="P16" i="3"/>
  <c r="L15" i="3"/>
  <c r="M15" i="3"/>
  <c r="N15" i="3"/>
  <c r="O15" i="3"/>
  <c r="P15" i="3"/>
  <c r="K14" i="3"/>
  <c r="L14" i="3"/>
  <c r="M14" i="3"/>
  <c r="N14" i="3"/>
  <c r="O14" i="3"/>
  <c r="P14" i="3"/>
  <c r="K13" i="3"/>
  <c r="L13" i="3"/>
  <c r="M13" i="3"/>
  <c r="N13" i="3"/>
  <c r="O13" i="3"/>
  <c r="P13" i="3"/>
  <c r="K12" i="3"/>
  <c r="L12" i="3"/>
  <c r="M12" i="3"/>
  <c r="N12" i="3"/>
  <c r="O12" i="3"/>
  <c r="P12" i="3"/>
  <c r="K11" i="3"/>
  <c r="L11" i="3"/>
  <c r="M11" i="3"/>
  <c r="N11" i="3"/>
  <c r="O11" i="3"/>
  <c r="P11" i="3"/>
  <c r="N10" i="3"/>
  <c r="O10" i="3"/>
  <c r="P10" i="3"/>
  <c r="K9" i="3"/>
  <c r="L9" i="3"/>
  <c r="M9" i="3"/>
  <c r="N9" i="3"/>
  <c r="O9" i="3"/>
  <c r="P9" i="3"/>
  <c r="K8" i="3"/>
  <c r="L8" i="3"/>
  <c r="M8" i="3"/>
  <c r="N8" i="3"/>
  <c r="O8" i="3"/>
  <c r="P8" i="3"/>
  <c r="K7" i="3"/>
  <c r="L7" i="3"/>
  <c r="M7" i="3"/>
  <c r="N7" i="3"/>
  <c r="O7" i="3"/>
  <c r="P7" i="3"/>
  <c r="K6" i="3"/>
  <c r="L6" i="3"/>
  <c r="M6" i="3"/>
  <c r="N6" i="3"/>
  <c r="O6" i="3"/>
  <c r="AC28" i="3"/>
  <c r="AC29" i="3"/>
  <c r="AQ29" i="3" s="1"/>
  <c r="AC30" i="3"/>
  <c r="AC27" i="3"/>
  <c r="AC25" i="3"/>
  <c r="AC26" i="3"/>
  <c r="AC24" i="3"/>
  <c r="AM24" i="3" s="1"/>
  <c r="AC21" i="3"/>
  <c r="AC22" i="3"/>
  <c r="AC23" i="3"/>
  <c r="AQ23" i="3" s="1"/>
  <c r="AC20" i="3"/>
  <c r="AC17" i="3"/>
  <c r="AC18" i="3"/>
  <c r="AC19" i="3"/>
  <c r="AN19" i="3" s="1"/>
  <c r="AC16" i="3"/>
  <c r="AN16" i="3" s="1"/>
  <c r="AC12" i="3"/>
  <c r="AQ12" i="3" s="1"/>
  <c r="AC13" i="3"/>
  <c r="AM13" i="3" s="1"/>
  <c r="AC14" i="3"/>
  <c r="AC15" i="3"/>
  <c r="AC11" i="3"/>
  <c r="AC6" i="3"/>
  <c r="AC10" i="3"/>
  <c r="AC5" i="3"/>
  <c r="P6" i="3"/>
  <c r="K5" i="3"/>
  <c r="L5" i="3"/>
  <c r="M5" i="3"/>
  <c r="N5" i="3"/>
  <c r="O5" i="3"/>
  <c r="P5" i="3"/>
  <c r="E27" i="3"/>
  <c r="F27" i="3"/>
  <c r="G27" i="3"/>
  <c r="H27" i="3"/>
  <c r="I27" i="3"/>
  <c r="J27" i="3"/>
  <c r="D27" i="3"/>
  <c r="E24" i="3"/>
  <c r="F24" i="3"/>
  <c r="G24" i="3"/>
  <c r="H24" i="3"/>
  <c r="I24" i="3"/>
  <c r="J24" i="3"/>
  <c r="D24" i="3"/>
  <c r="E20" i="3"/>
  <c r="F20" i="3"/>
  <c r="G20" i="3"/>
  <c r="H20" i="3"/>
  <c r="I20" i="3"/>
  <c r="J20" i="3"/>
  <c r="D20" i="3"/>
  <c r="E16" i="3"/>
  <c r="F16" i="3"/>
  <c r="G16" i="3"/>
  <c r="H16" i="3"/>
  <c r="I16" i="3"/>
  <c r="J16" i="3"/>
  <c r="D16" i="3"/>
  <c r="E11" i="3"/>
  <c r="F11" i="3"/>
  <c r="G11" i="3"/>
  <c r="H11" i="3"/>
  <c r="I11" i="3"/>
  <c r="J11" i="3"/>
  <c r="D11" i="3"/>
  <c r="D5" i="3"/>
  <c r="AC30" i="5"/>
  <c r="AR30" i="5" s="1"/>
  <c r="N30" i="5"/>
  <c r="AC29" i="5"/>
  <c r="P29" i="5"/>
  <c r="O29" i="5"/>
  <c r="N29" i="5"/>
  <c r="M29" i="5"/>
  <c r="L29" i="5"/>
  <c r="K29" i="5"/>
  <c r="AC28" i="5"/>
  <c r="P28" i="5"/>
  <c r="O28" i="5"/>
  <c r="N28" i="5"/>
  <c r="M28" i="5"/>
  <c r="L28" i="5"/>
  <c r="K28" i="5"/>
  <c r="B28" i="5"/>
  <c r="B29" i="5" s="1"/>
  <c r="B30" i="5" s="1"/>
  <c r="AC27" i="5"/>
  <c r="AN27" i="5" s="1"/>
  <c r="P27" i="5"/>
  <c r="O27" i="5"/>
  <c r="N27" i="5"/>
  <c r="M27" i="5"/>
  <c r="J27" i="5"/>
  <c r="I27" i="5"/>
  <c r="H27" i="5"/>
  <c r="AJ27" i="5" s="1"/>
  <c r="G27" i="5"/>
  <c r="F27" i="5"/>
  <c r="AH27" i="5" s="1"/>
  <c r="E27" i="5"/>
  <c r="D27" i="5"/>
  <c r="AC26" i="5"/>
  <c r="P26" i="5"/>
  <c r="O26" i="5"/>
  <c r="N26" i="5"/>
  <c r="M26" i="5"/>
  <c r="L26" i="5"/>
  <c r="K26" i="5"/>
  <c r="AC25" i="5"/>
  <c r="P25" i="5"/>
  <c r="O25" i="5"/>
  <c r="N25" i="5"/>
  <c r="M25" i="5"/>
  <c r="L25" i="5"/>
  <c r="K25" i="5"/>
  <c r="B25" i="5"/>
  <c r="B26" i="5" s="1"/>
  <c r="AC24" i="5"/>
  <c r="P24" i="5"/>
  <c r="O24" i="5"/>
  <c r="N24" i="5"/>
  <c r="M24" i="5"/>
  <c r="L24" i="5"/>
  <c r="K24" i="5"/>
  <c r="J24" i="5"/>
  <c r="I24" i="5"/>
  <c r="H24" i="5"/>
  <c r="G24" i="5"/>
  <c r="F24" i="5"/>
  <c r="E24" i="5"/>
  <c r="D24" i="5"/>
  <c r="BP23" i="5"/>
  <c r="AC23" i="5"/>
  <c r="P23" i="5"/>
  <c r="O23" i="5"/>
  <c r="N23" i="5"/>
  <c r="M23" i="5"/>
  <c r="L23" i="5"/>
  <c r="BU22" i="5"/>
  <c r="BV22" i="5" s="1"/>
  <c r="BQ22" i="5"/>
  <c r="BR22" i="5" s="1"/>
  <c r="BS22" i="5" s="1"/>
  <c r="AC22" i="5"/>
  <c r="P22" i="5"/>
  <c r="O22" i="5"/>
  <c r="N22" i="5"/>
  <c r="M22" i="5"/>
  <c r="L22" i="5"/>
  <c r="K22" i="5"/>
  <c r="AC21" i="5"/>
  <c r="P21" i="5"/>
  <c r="O21" i="5"/>
  <c r="N21" i="5"/>
  <c r="M21" i="5"/>
  <c r="L21" i="5"/>
  <c r="K21" i="5"/>
  <c r="B21" i="5"/>
  <c r="B22" i="5" s="1"/>
  <c r="B23" i="5" s="1"/>
  <c r="AC20" i="5"/>
  <c r="P20" i="5"/>
  <c r="O20" i="5"/>
  <c r="N20" i="5"/>
  <c r="M20" i="5"/>
  <c r="L20" i="5"/>
  <c r="K20" i="5"/>
  <c r="J20" i="5"/>
  <c r="I20" i="5"/>
  <c r="H20" i="5"/>
  <c r="G20" i="5"/>
  <c r="F20" i="5"/>
  <c r="E20" i="5"/>
  <c r="D20" i="5"/>
  <c r="AC19" i="5"/>
  <c r="P19" i="5"/>
  <c r="O19" i="5"/>
  <c r="N19" i="5"/>
  <c r="M19" i="5"/>
  <c r="L19" i="5"/>
  <c r="K19" i="5"/>
  <c r="AC18" i="5"/>
  <c r="P18" i="5"/>
  <c r="O18" i="5"/>
  <c r="N18" i="5"/>
  <c r="M18" i="5"/>
  <c r="L18" i="5"/>
  <c r="K18" i="5"/>
  <c r="AC17" i="5"/>
  <c r="AO17" i="5" s="1"/>
  <c r="P17" i="5"/>
  <c r="O17" i="5"/>
  <c r="N17" i="5"/>
  <c r="M17" i="5"/>
  <c r="L17" i="5"/>
  <c r="K17" i="5"/>
  <c r="B17" i="5"/>
  <c r="B18" i="5" s="1"/>
  <c r="B19" i="5" s="1"/>
  <c r="AC16" i="5"/>
  <c r="P16" i="5"/>
  <c r="O16" i="5"/>
  <c r="N16" i="5"/>
  <c r="M16" i="5"/>
  <c r="L16" i="5"/>
  <c r="K16" i="5"/>
  <c r="J16" i="5"/>
  <c r="I16" i="5"/>
  <c r="H16" i="5"/>
  <c r="G16" i="5"/>
  <c r="F16" i="5"/>
  <c r="E16" i="5"/>
  <c r="D16" i="5"/>
  <c r="AC15" i="5"/>
  <c r="P15" i="5"/>
  <c r="O15" i="5"/>
  <c r="N15" i="5"/>
  <c r="M15" i="5"/>
  <c r="L15" i="5"/>
  <c r="AC14" i="5"/>
  <c r="P14" i="5"/>
  <c r="O14" i="5"/>
  <c r="N14" i="5"/>
  <c r="M14" i="5"/>
  <c r="L14" i="5"/>
  <c r="K14" i="5"/>
  <c r="AC13" i="5"/>
  <c r="P13" i="5"/>
  <c r="O13" i="5"/>
  <c r="N13" i="5"/>
  <c r="M13" i="5"/>
  <c r="L13" i="5"/>
  <c r="K13" i="5"/>
  <c r="AC12" i="5"/>
  <c r="P12" i="5"/>
  <c r="O12" i="5"/>
  <c r="N12" i="5"/>
  <c r="M12" i="5"/>
  <c r="L12" i="5"/>
  <c r="K12" i="5"/>
  <c r="B12" i="5"/>
  <c r="B13" i="5" s="1"/>
  <c r="B14" i="5" s="1"/>
  <c r="B15" i="5" s="1"/>
  <c r="AC11" i="5"/>
  <c r="P11" i="5"/>
  <c r="O11" i="5"/>
  <c r="N11" i="5"/>
  <c r="M11" i="5"/>
  <c r="L11" i="5"/>
  <c r="K11" i="5"/>
  <c r="J11" i="5"/>
  <c r="I11" i="5"/>
  <c r="H11" i="5"/>
  <c r="G11" i="5"/>
  <c r="F11" i="5"/>
  <c r="E11" i="5"/>
  <c r="D11" i="5"/>
  <c r="BM10" i="5"/>
  <c r="BM11" i="5" s="1"/>
  <c r="BK10" i="5"/>
  <c r="BJ10" i="5"/>
  <c r="BI10" i="5"/>
  <c r="BH10" i="5"/>
  <c r="BG10" i="5"/>
  <c r="AC10" i="5"/>
  <c r="P10" i="5"/>
  <c r="O10" i="5"/>
  <c r="N10" i="5"/>
  <c r="AC9" i="5"/>
  <c r="P9" i="5"/>
  <c r="O9" i="5"/>
  <c r="N9" i="5"/>
  <c r="M9" i="5"/>
  <c r="L9" i="5"/>
  <c r="K9" i="5"/>
  <c r="AC8" i="5"/>
  <c r="AO8" i="5" s="1"/>
  <c r="P8" i="5"/>
  <c r="O8" i="5"/>
  <c r="N8" i="5"/>
  <c r="M8" i="5"/>
  <c r="L8" i="5"/>
  <c r="K8" i="5"/>
  <c r="AC7" i="5"/>
  <c r="P7" i="5"/>
  <c r="O7" i="5"/>
  <c r="N7" i="5"/>
  <c r="M7" i="5"/>
  <c r="L7" i="5"/>
  <c r="K7" i="5"/>
  <c r="BM6" i="5"/>
  <c r="BM12" i="5" s="1"/>
  <c r="BK6" i="5"/>
  <c r="BJ6" i="5"/>
  <c r="BJ12" i="5" s="1"/>
  <c r="BI6" i="5"/>
  <c r="BI12" i="5" s="1"/>
  <c r="BI13" i="5" s="1"/>
  <c r="BH6" i="5"/>
  <c r="BH12" i="5" s="1"/>
  <c r="BH13" i="5" s="1"/>
  <c r="BG6" i="5"/>
  <c r="BG12" i="5" s="1"/>
  <c r="BG13" i="5" s="1"/>
  <c r="AC6" i="5"/>
  <c r="P6" i="5"/>
  <c r="O6" i="5"/>
  <c r="N6" i="5"/>
  <c r="M6" i="5"/>
  <c r="L6" i="5"/>
  <c r="K6" i="5"/>
  <c r="F6" i="5"/>
  <c r="B6" i="5"/>
  <c r="H21" i="5" s="1"/>
  <c r="AC5" i="5"/>
  <c r="P5" i="5"/>
  <c r="O5" i="5"/>
  <c r="N5" i="5"/>
  <c r="M5" i="5"/>
  <c r="L5" i="5"/>
  <c r="K5" i="5"/>
  <c r="J5" i="5"/>
  <c r="I5" i="5"/>
  <c r="H5" i="5"/>
  <c r="AJ5" i="5" s="1"/>
  <c r="G5" i="5"/>
  <c r="F5" i="5"/>
  <c r="E5" i="5"/>
  <c r="D5" i="5"/>
  <c r="D4205" i="4"/>
  <c r="D4232" i="4"/>
  <c r="D4278" i="4"/>
  <c r="D4297" i="4"/>
  <c r="D4323" i="4"/>
  <c r="D4334" i="4"/>
  <c r="D4360" i="4"/>
  <c r="D4370" i="4"/>
  <c r="D4397" i="4"/>
  <c r="D4407" i="4"/>
  <c r="D4433" i="4"/>
  <c r="D4443" i="4"/>
  <c r="D4470" i="4"/>
  <c r="D4480" i="4"/>
  <c r="D4506" i="4"/>
  <c r="D4517" i="4"/>
  <c r="D4543" i="4"/>
  <c r="D4553" i="4"/>
  <c r="D4578" i="4"/>
  <c r="D4587" i="4"/>
  <c r="D4610" i="4"/>
  <c r="D4619" i="4"/>
  <c r="D4642" i="4"/>
  <c r="D4651" i="4"/>
  <c r="D4674" i="4"/>
  <c r="D4683" i="4"/>
  <c r="D4706" i="4"/>
  <c r="D4715" i="4"/>
  <c r="D4738" i="4"/>
  <c r="D4747" i="4"/>
  <c r="D4770" i="4"/>
  <c r="D4779" i="4"/>
  <c r="D4802" i="4"/>
  <c r="D4811" i="4"/>
  <c r="D4834" i="4"/>
  <c r="D4843" i="4"/>
  <c r="D4866" i="4"/>
  <c r="D4875" i="4"/>
  <c r="D4898" i="4"/>
  <c r="D4907" i="4"/>
  <c r="D4930" i="4"/>
  <c r="D4939" i="4"/>
  <c r="D4962" i="4"/>
  <c r="D4971" i="4"/>
  <c r="D4994" i="4"/>
  <c r="P18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2" i="4"/>
  <c r="J18" i="4"/>
  <c r="F6" i="4"/>
  <c r="G5" i="4" s="1"/>
  <c r="G3" i="4"/>
  <c r="D4250" i="4" s="1"/>
  <c r="F3" i="4"/>
  <c r="BU22" i="3"/>
  <c r="BV22" i="3" s="1"/>
  <c r="BQ22" i="3"/>
  <c r="BR22" i="3" s="1"/>
  <c r="BS22" i="3" s="1"/>
  <c r="BP23" i="3"/>
  <c r="BQ23" i="3" s="1"/>
  <c r="BR23" i="3" s="1"/>
  <c r="BS23" i="3" s="1"/>
  <c r="AR24" i="5" l="1"/>
  <c r="AQ10" i="3"/>
  <c r="AN25" i="3"/>
  <c r="AQ30" i="3"/>
  <c r="AR5" i="3"/>
  <c r="AQ5" i="3"/>
  <c r="AP5" i="3"/>
  <c r="AM11" i="3"/>
  <c r="AO5" i="3"/>
  <c r="AN5" i="3"/>
  <c r="BM13" i="5"/>
  <c r="AR13" i="5"/>
  <c r="AM12" i="5"/>
  <c r="AP19" i="5"/>
  <c r="BL10" i="5"/>
  <c r="AF20" i="5"/>
  <c r="AP25" i="5"/>
  <c r="AO21" i="5"/>
  <c r="AR11" i="5"/>
  <c r="AP6" i="5"/>
  <c r="BL6" i="5"/>
  <c r="BL12" i="5" s="1"/>
  <c r="BK12" i="5"/>
  <c r="BK13" i="5" s="1"/>
  <c r="AM7" i="5"/>
  <c r="AM11" i="5"/>
  <c r="AN20" i="5"/>
  <c r="AL24" i="5"/>
  <c r="AO28" i="5"/>
  <c r="AF11" i="5"/>
  <c r="AQ15" i="5"/>
  <c r="AP16" i="5"/>
  <c r="AR29" i="5"/>
  <c r="AN15" i="5"/>
  <c r="AM21" i="5"/>
  <c r="AG11" i="5"/>
  <c r="AO26" i="5"/>
  <c r="AO29" i="5"/>
  <c r="AO11" i="5"/>
  <c r="AH11" i="5"/>
  <c r="AP26" i="5"/>
  <c r="AO27" i="5"/>
  <c r="AR28" i="5"/>
  <c r="BJ13" i="5"/>
  <c r="AJ21" i="5"/>
  <c r="AI11" i="5"/>
  <c r="AQ21" i="5"/>
  <c r="AI24" i="5"/>
  <c r="AQ24" i="5"/>
  <c r="AQ26" i="5"/>
  <c r="AL11" i="5"/>
  <c r="AJ11" i="5"/>
  <c r="AP14" i="5"/>
  <c r="AQ20" i="5"/>
  <c r="AN29" i="5"/>
  <c r="AF16" i="6"/>
  <c r="AA16" i="6"/>
  <c r="AB16" i="6"/>
  <c r="BD16" i="6" s="1"/>
  <c r="Z16" i="6"/>
  <c r="W16" i="6"/>
  <c r="X16" i="6"/>
  <c r="AZ16" i="6" s="1"/>
  <c r="Y16" i="6"/>
  <c r="BA16" i="6" s="1"/>
  <c r="AF24" i="6"/>
  <c r="AA24" i="6"/>
  <c r="AB24" i="6"/>
  <c r="Y24" i="6"/>
  <c r="Z24" i="6"/>
  <c r="W24" i="6"/>
  <c r="X24" i="6"/>
  <c r="AZ24" i="6" s="1"/>
  <c r="AA20" i="6"/>
  <c r="BC20" i="6" s="1"/>
  <c r="AB20" i="6"/>
  <c r="BD20" i="6" s="1"/>
  <c r="Y20" i="6"/>
  <c r="W20" i="6"/>
  <c r="Z20" i="6"/>
  <c r="BB20" i="6" s="1"/>
  <c r="X20" i="6"/>
  <c r="AF27" i="6"/>
  <c r="Y27" i="6"/>
  <c r="BA27" i="6" s="1"/>
  <c r="Z27" i="6"/>
  <c r="BB27" i="6" s="1"/>
  <c r="AA27" i="6"/>
  <c r="BC27" i="6" s="1"/>
  <c r="AB27" i="6"/>
  <c r="W27" i="6"/>
  <c r="X27" i="6"/>
  <c r="AZ27" i="6" s="1"/>
  <c r="Y11" i="6"/>
  <c r="Z11" i="6"/>
  <c r="AA11" i="6"/>
  <c r="BC11" i="6" s="1"/>
  <c r="X11" i="6"/>
  <c r="AZ11" i="6" s="1"/>
  <c r="AB11" i="6"/>
  <c r="BD11" i="6" s="1"/>
  <c r="W11" i="6"/>
  <c r="X5" i="6"/>
  <c r="AZ5" i="6" s="1"/>
  <c r="Y5" i="6"/>
  <c r="BA5" i="6" s="1"/>
  <c r="Z5" i="6"/>
  <c r="AA5" i="6"/>
  <c r="AB5" i="6"/>
  <c r="BD5" i="6" s="1"/>
  <c r="AF5" i="6"/>
  <c r="W5" i="6"/>
  <c r="AY5" i="6" s="1"/>
  <c r="AK24" i="5"/>
  <c r="AK11" i="5"/>
  <c r="AK27" i="5"/>
  <c r="AR25" i="6"/>
  <c r="AQ22" i="6"/>
  <c r="AO10" i="6"/>
  <c r="AN16" i="6"/>
  <c r="AQ13" i="6"/>
  <c r="AR21" i="6"/>
  <c r="AQ12" i="6"/>
  <c r="AQ21" i="6"/>
  <c r="AR12" i="6"/>
  <c r="AP6" i="6"/>
  <c r="AN9" i="6"/>
  <c r="AP12" i="6"/>
  <c r="AN28" i="6"/>
  <c r="AP28" i="6"/>
  <c r="AM18" i="6"/>
  <c r="AM28" i="6"/>
  <c r="AQ6" i="6"/>
  <c r="AR9" i="6"/>
  <c r="AN17" i="6"/>
  <c r="AO18" i="6"/>
  <c r="AG5" i="6"/>
  <c r="AQ15" i="6"/>
  <c r="AO17" i="6"/>
  <c r="AN25" i="6"/>
  <c r="AP30" i="6"/>
  <c r="AH20" i="6"/>
  <c r="AR11" i="6"/>
  <c r="AO15" i="6"/>
  <c r="AR17" i="6"/>
  <c r="AR20" i="6"/>
  <c r="AM8" i="6"/>
  <c r="AQ9" i="6"/>
  <c r="AQ11" i="6"/>
  <c r="AO12" i="6"/>
  <c r="AN15" i="6"/>
  <c r="AQ17" i="6"/>
  <c r="AQ20" i="6"/>
  <c r="AO21" i="6"/>
  <c r="AR24" i="6"/>
  <c r="AQ25" i="6"/>
  <c r="AR27" i="6"/>
  <c r="AQ27" i="6"/>
  <c r="AF20" i="6"/>
  <c r="AO6" i="6"/>
  <c r="AO13" i="6"/>
  <c r="AN14" i="6"/>
  <c r="AR15" i="6"/>
  <c r="AQ18" i="6"/>
  <c r="AP20" i="6"/>
  <c r="AN22" i="6"/>
  <c r="AN23" i="6"/>
  <c r="AN27" i="6"/>
  <c r="AJ5" i="6"/>
  <c r="AN6" i="6"/>
  <c r="AQ16" i="6"/>
  <c r="AO11" i="6"/>
  <c r="AM12" i="6"/>
  <c r="AN13" i="6"/>
  <c r="AP18" i="6"/>
  <c r="AO20" i="6"/>
  <c r="AM21" i="6"/>
  <c r="AM22" i="6"/>
  <c r="AO27" i="6"/>
  <c r="AR28" i="6"/>
  <c r="AP29" i="6"/>
  <c r="AP5" i="6"/>
  <c r="AL20" i="6"/>
  <c r="AI5" i="6"/>
  <c r="AO5" i="6"/>
  <c r="AM6" i="6"/>
  <c r="AP9" i="6"/>
  <c r="AQ10" i="6"/>
  <c r="AP11" i="6"/>
  <c r="AR13" i="6"/>
  <c r="AP14" i="6"/>
  <c r="AP22" i="6"/>
  <c r="AP25" i="6"/>
  <c r="AP27" i="6"/>
  <c r="AQ28" i="6"/>
  <c r="AO9" i="6"/>
  <c r="AP10" i="6"/>
  <c r="AM11" i="6"/>
  <c r="AM13" i="6"/>
  <c r="AP17" i="6"/>
  <c r="AN18" i="6"/>
  <c r="AM20" i="6"/>
  <c r="AP21" i="6"/>
  <c r="AO25" i="6"/>
  <c r="AQ30" i="6"/>
  <c r="AI5" i="5"/>
  <c r="AQ10" i="5"/>
  <c r="AL5" i="5"/>
  <c r="AP9" i="5"/>
  <c r="AP11" i="5"/>
  <c r="AQ16" i="5"/>
  <c r="AR27" i="5"/>
  <c r="AM5" i="5"/>
  <c r="AQ11" i="5"/>
  <c r="AF5" i="5"/>
  <c r="AF16" i="5"/>
  <c r="AN16" i="5"/>
  <c r="AO25" i="5"/>
  <c r="AP29" i="5"/>
  <c r="AG5" i="5"/>
  <c r="AQ29" i="5"/>
  <c r="AH5" i="5"/>
  <c r="AP5" i="5"/>
  <c r="AO14" i="5"/>
  <c r="AJ16" i="5"/>
  <c r="AJ20" i="5"/>
  <c r="AP30" i="5"/>
  <c r="AP8" i="5"/>
  <c r="AP13" i="5"/>
  <c r="AP28" i="5"/>
  <c r="AN5" i="5"/>
  <c r="AQ8" i="5"/>
  <c r="AQ13" i="5"/>
  <c r="AL16" i="5"/>
  <c r="AM16" i="5"/>
  <c r="AQ17" i="5"/>
  <c r="AL20" i="5"/>
  <c r="AR22" i="5"/>
  <c r="AO5" i="5"/>
  <c r="AR17" i="5"/>
  <c r="AR25" i="5"/>
  <c r="AQ14" i="5"/>
  <c r="AG16" i="5"/>
  <c r="AO16" i="5"/>
  <c r="AG20" i="5"/>
  <c r="AO20" i="5"/>
  <c r="AM22" i="5"/>
  <c r="AQ27" i="5"/>
  <c r="AR5" i="5"/>
  <c r="AM13" i="5"/>
  <c r="AH16" i="5"/>
  <c r="AM17" i="5"/>
  <c r="AM18" i="5"/>
  <c r="AH20" i="5"/>
  <c r="AP20" i="5"/>
  <c r="AQ28" i="5"/>
  <c r="AN13" i="5"/>
  <c r="AN14" i="5"/>
  <c r="AN17" i="5"/>
  <c r="AO22" i="5"/>
  <c r="AO18" i="3"/>
  <c r="AP11" i="3"/>
  <c r="AQ25" i="3"/>
  <c r="AN29" i="3"/>
  <c r="AP17" i="3"/>
  <c r="AN14" i="3"/>
  <c r="AO21" i="3"/>
  <c r="AN27" i="3"/>
  <c r="AO13" i="3"/>
  <c r="AP16" i="3"/>
  <c r="AN17" i="3"/>
  <c r="AP20" i="3"/>
  <c r="AO24" i="3"/>
  <c r="AO16" i="3"/>
  <c r="AM17" i="3"/>
  <c r="AP19" i="3"/>
  <c r="AR14" i="3"/>
  <c r="AQ18" i="3"/>
  <c r="AQ22" i="3"/>
  <c r="AO23" i="3"/>
  <c r="AR25" i="3"/>
  <c r="AN11" i="3"/>
  <c r="AQ14" i="3"/>
  <c r="AR21" i="3"/>
  <c r="AN23" i="3"/>
  <c r="AR13" i="3"/>
  <c r="AM19" i="3"/>
  <c r="AR24" i="3"/>
  <c r="AQ28" i="3"/>
  <c r="AP10" i="3"/>
  <c r="AM12" i="3"/>
  <c r="AQ17" i="3"/>
  <c r="AQ19" i="3"/>
  <c r="AP22" i="3"/>
  <c r="AR27" i="3"/>
  <c r="AO28" i="3"/>
  <c r="AM29" i="3"/>
  <c r="AR11" i="3"/>
  <c r="AQ13" i="3"/>
  <c r="AO17" i="3"/>
  <c r="AP18" i="3"/>
  <c r="AO19" i="3"/>
  <c r="AN22" i="3"/>
  <c r="AR26" i="3"/>
  <c r="AP27" i="3"/>
  <c r="AM28" i="3"/>
  <c r="AQ27" i="3"/>
  <c r="AQ11" i="3"/>
  <c r="AP14" i="3"/>
  <c r="AM22" i="3"/>
  <c r="AP25" i="3"/>
  <c r="AQ26" i="3"/>
  <c r="AO27" i="3"/>
  <c r="AR29" i="3"/>
  <c r="BP24" i="3"/>
  <c r="BP25" i="3" s="1"/>
  <c r="AO14" i="3"/>
  <c r="AM16" i="3"/>
  <c r="AN18" i="3"/>
  <c r="AQ24" i="3"/>
  <c r="AO25" i="3"/>
  <c r="AP26" i="3"/>
  <c r="AO11" i="3"/>
  <c r="AP12" i="3"/>
  <c r="AN13" i="3"/>
  <c r="AM18" i="3"/>
  <c r="AR23" i="3"/>
  <c r="AP24" i="3"/>
  <c r="AO26" i="3"/>
  <c r="AR28" i="3"/>
  <c r="AP29" i="3"/>
  <c r="AO22" i="3"/>
  <c r="AN28" i="3"/>
  <c r="AR10" i="3"/>
  <c r="AO12" i="3"/>
  <c r="AM14" i="3"/>
  <c r="AR16" i="3"/>
  <c r="AQ21" i="3"/>
  <c r="AM25" i="3"/>
  <c r="AN26" i="3"/>
  <c r="AO29" i="3"/>
  <c r="AQ16" i="3"/>
  <c r="AR17" i="3"/>
  <c r="AR19" i="3"/>
  <c r="AP23" i="3"/>
  <c r="AN24" i="3"/>
  <c r="AM26" i="3"/>
  <c r="AP28" i="3"/>
  <c r="D4970" i="4"/>
  <c r="D4938" i="4"/>
  <c r="D4906" i="4"/>
  <c r="D4874" i="4"/>
  <c r="D4842" i="4"/>
  <c r="D4810" i="4"/>
  <c r="D4778" i="4"/>
  <c r="D4746" i="4"/>
  <c r="D4714" i="4"/>
  <c r="D4682" i="4"/>
  <c r="D4650" i="4"/>
  <c r="D4618" i="4"/>
  <c r="D4586" i="4"/>
  <c r="D4552" i="4"/>
  <c r="D4515" i="4"/>
  <c r="D4479" i="4"/>
  <c r="D4442" i="4"/>
  <c r="D4406" i="4"/>
  <c r="D4369" i="4"/>
  <c r="D4333" i="4"/>
  <c r="D4296" i="4"/>
  <c r="D4223" i="4"/>
  <c r="D4995" i="4"/>
  <c r="D4963" i="4"/>
  <c r="D4931" i="4"/>
  <c r="D4899" i="4"/>
  <c r="D4867" i="4"/>
  <c r="D4835" i="4"/>
  <c r="D4803" i="4"/>
  <c r="D4771" i="4"/>
  <c r="D4739" i="4"/>
  <c r="D4707" i="4"/>
  <c r="D4675" i="4"/>
  <c r="D4643" i="4"/>
  <c r="D4611" i="4"/>
  <c r="D4579" i="4"/>
  <c r="D4544" i="4"/>
  <c r="D4507" i="4"/>
  <c r="D4471" i="4"/>
  <c r="D4434" i="4"/>
  <c r="D4398" i="4"/>
  <c r="D4361" i="4"/>
  <c r="D4325" i="4"/>
  <c r="D4287" i="4"/>
  <c r="D4214" i="4"/>
  <c r="D4987" i="4"/>
  <c r="D4955" i="4"/>
  <c r="D4923" i="4"/>
  <c r="D4891" i="4"/>
  <c r="D4859" i="4"/>
  <c r="D4827" i="4"/>
  <c r="D4795" i="4"/>
  <c r="D4763" i="4"/>
  <c r="D4731" i="4"/>
  <c r="D4699" i="4"/>
  <c r="D4667" i="4"/>
  <c r="D4635" i="4"/>
  <c r="D4603" i="4"/>
  <c r="D4571" i="4"/>
  <c r="D4535" i="4"/>
  <c r="D4498" i="4"/>
  <c r="D4462" i="4"/>
  <c r="D4425" i="4"/>
  <c r="D4389" i="4"/>
  <c r="D4352" i="4"/>
  <c r="D4315" i="4"/>
  <c r="D4269" i="4"/>
  <c r="D4195" i="4"/>
  <c r="BU23" i="3"/>
  <c r="BV23" i="3" s="1"/>
  <c r="D4986" i="4"/>
  <c r="D4954" i="4"/>
  <c r="D4922" i="4"/>
  <c r="D4890" i="4"/>
  <c r="D4858" i="4"/>
  <c r="D4826" i="4"/>
  <c r="D4794" i="4"/>
  <c r="D4762" i="4"/>
  <c r="D4730" i="4"/>
  <c r="D4698" i="4"/>
  <c r="D4666" i="4"/>
  <c r="D4634" i="4"/>
  <c r="D4602" i="4"/>
  <c r="D4570" i="4"/>
  <c r="D4534" i="4"/>
  <c r="D4497" i="4"/>
  <c r="D4461" i="4"/>
  <c r="D4424" i="4"/>
  <c r="D4387" i="4"/>
  <c r="D4351" i="4"/>
  <c r="D4314" i="4"/>
  <c r="D4259" i="4"/>
  <c r="D4979" i="4"/>
  <c r="D4947" i="4"/>
  <c r="D4915" i="4"/>
  <c r="D4883" i="4"/>
  <c r="D4851" i="4"/>
  <c r="D4819" i="4"/>
  <c r="D4787" i="4"/>
  <c r="D4755" i="4"/>
  <c r="D4723" i="4"/>
  <c r="D4691" i="4"/>
  <c r="D4659" i="4"/>
  <c r="D4627" i="4"/>
  <c r="D4595" i="4"/>
  <c r="D4562" i="4"/>
  <c r="D4526" i="4"/>
  <c r="D4489" i="4"/>
  <c r="D4453" i="4"/>
  <c r="D4416" i="4"/>
  <c r="D4379" i="4"/>
  <c r="D4343" i="4"/>
  <c r="D4306" i="4"/>
  <c r="D10" i="4"/>
  <c r="D18" i="4"/>
  <c r="D26" i="4"/>
  <c r="D34" i="4"/>
  <c r="D42" i="4"/>
  <c r="D50" i="4"/>
  <c r="D58" i="4"/>
  <c r="D66" i="4"/>
  <c r="D74" i="4"/>
  <c r="D82" i="4"/>
  <c r="D90" i="4"/>
  <c r="D98" i="4"/>
  <c r="D106" i="4"/>
  <c r="D114" i="4"/>
  <c r="D122" i="4"/>
  <c r="D130" i="4"/>
  <c r="D138" i="4"/>
  <c r="D146" i="4"/>
  <c r="D154" i="4"/>
  <c r="D162" i="4"/>
  <c r="D170" i="4"/>
  <c r="D178" i="4"/>
  <c r="D186" i="4"/>
  <c r="D194" i="4"/>
  <c r="D202" i="4"/>
  <c r="D210" i="4"/>
  <c r="D218" i="4"/>
  <c r="D226" i="4"/>
  <c r="D234" i="4"/>
  <c r="D242" i="4"/>
  <c r="D250" i="4"/>
  <c r="D258" i="4"/>
  <c r="D266" i="4"/>
  <c r="D274" i="4"/>
  <c r="D282" i="4"/>
  <c r="D290" i="4"/>
  <c r="D298" i="4"/>
  <c r="D306" i="4"/>
  <c r="D314" i="4"/>
  <c r="D322" i="4"/>
  <c r="D330" i="4"/>
  <c r="D338" i="4"/>
  <c r="D346" i="4"/>
  <c r="D354" i="4"/>
  <c r="D362" i="4"/>
  <c r="D370" i="4"/>
  <c r="D378" i="4"/>
  <c r="D386" i="4"/>
  <c r="D394" i="4"/>
  <c r="D402" i="4"/>
  <c r="D410" i="4"/>
  <c r="D418" i="4"/>
  <c r="D426" i="4"/>
  <c r="D3" i="4"/>
  <c r="D11" i="4"/>
  <c r="D19" i="4"/>
  <c r="D27" i="4"/>
  <c r="D35" i="4"/>
  <c r="D43" i="4"/>
  <c r="D51" i="4"/>
  <c r="D59" i="4"/>
  <c r="D67" i="4"/>
  <c r="D75" i="4"/>
  <c r="D83" i="4"/>
  <c r="D91" i="4"/>
  <c r="D99" i="4"/>
  <c r="D107" i="4"/>
  <c r="D115" i="4"/>
  <c r="D123" i="4"/>
  <c r="D131" i="4"/>
  <c r="D139" i="4"/>
  <c r="D147" i="4"/>
  <c r="D155" i="4"/>
  <c r="D163" i="4"/>
  <c r="D171" i="4"/>
  <c r="D179" i="4"/>
  <c r="D187" i="4"/>
  <c r="D195" i="4"/>
  <c r="D203" i="4"/>
  <c r="D211" i="4"/>
  <c r="D219" i="4"/>
  <c r="D227" i="4"/>
  <c r="D235" i="4"/>
  <c r="D243" i="4"/>
  <c r="D251" i="4"/>
  <c r="D259" i="4"/>
  <c r="D267" i="4"/>
  <c r="D275" i="4"/>
  <c r="D283" i="4"/>
  <c r="D291" i="4"/>
  <c r="D299" i="4"/>
  <c r="D307" i="4"/>
  <c r="D4" i="4"/>
  <c r="D12" i="4"/>
  <c r="D20" i="4"/>
  <c r="D28" i="4"/>
  <c r="D36" i="4"/>
  <c r="D44" i="4"/>
  <c r="D52" i="4"/>
  <c r="D60" i="4"/>
  <c r="D68" i="4"/>
  <c r="D76" i="4"/>
  <c r="D84" i="4"/>
  <c r="D92" i="4"/>
  <c r="D100" i="4"/>
  <c r="D108" i="4"/>
  <c r="D116" i="4"/>
  <c r="D124" i="4"/>
  <c r="D132" i="4"/>
  <c r="D140" i="4"/>
  <c r="D148" i="4"/>
  <c r="D156" i="4"/>
  <c r="D164" i="4"/>
  <c r="D172" i="4"/>
  <c r="D180" i="4"/>
  <c r="D188" i="4"/>
  <c r="D196" i="4"/>
  <c r="D204" i="4"/>
  <c r="D212" i="4"/>
  <c r="D220" i="4"/>
  <c r="D228" i="4"/>
  <c r="D236" i="4"/>
  <c r="D244" i="4"/>
  <c r="D252" i="4"/>
  <c r="D260" i="4"/>
  <c r="D268" i="4"/>
  <c r="D276" i="4"/>
  <c r="D284" i="4"/>
  <c r="D292" i="4"/>
  <c r="D300" i="4"/>
  <c r="D5" i="4"/>
  <c r="D13" i="4"/>
  <c r="D21" i="4"/>
  <c r="D29" i="4"/>
  <c r="D37" i="4"/>
  <c r="D45" i="4"/>
  <c r="D53" i="4"/>
  <c r="D61" i="4"/>
  <c r="D69" i="4"/>
  <c r="D77" i="4"/>
  <c r="D85" i="4"/>
  <c r="D93" i="4"/>
  <c r="D101" i="4"/>
  <c r="D109" i="4"/>
  <c r="D117" i="4"/>
  <c r="D125" i="4"/>
  <c r="D133" i="4"/>
  <c r="D141" i="4"/>
  <c r="D149" i="4"/>
  <c r="D157" i="4"/>
  <c r="D165" i="4"/>
  <c r="D173" i="4"/>
  <c r="D181" i="4"/>
  <c r="D189" i="4"/>
  <c r="D197" i="4"/>
  <c r="D205" i="4"/>
  <c r="D213" i="4"/>
  <c r="D221" i="4"/>
  <c r="D229" i="4"/>
  <c r="D237" i="4"/>
  <c r="D245" i="4"/>
  <c r="D253" i="4"/>
  <c r="D261" i="4"/>
  <c r="D269" i="4"/>
  <c r="D277" i="4"/>
  <c r="D285" i="4"/>
  <c r="D293" i="4"/>
  <c r="D301" i="4"/>
  <c r="D309" i="4"/>
  <c r="D317" i="4"/>
  <c r="D325" i="4"/>
  <c r="D333" i="4"/>
  <c r="D341" i="4"/>
  <c r="D349" i="4"/>
  <c r="D8" i="4"/>
  <c r="D16" i="4"/>
  <c r="D24" i="4"/>
  <c r="D32" i="4"/>
  <c r="D40" i="4"/>
  <c r="D48" i="4"/>
  <c r="D56" i="4"/>
  <c r="D64" i="4"/>
  <c r="D72" i="4"/>
  <c r="D80" i="4"/>
  <c r="D88" i="4"/>
  <c r="D96" i="4"/>
  <c r="D104" i="4"/>
  <c r="D112" i="4"/>
  <c r="D120" i="4"/>
  <c r="D128" i="4"/>
  <c r="D136" i="4"/>
  <c r="D144" i="4"/>
  <c r="D152" i="4"/>
  <c r="D160" i="4"/>
  <c r="D168" i="4"/>
  <c r="D176" i="4"/>
  <c r="D184" i="4"/>
  <c r="D192" i="4"/>
  <c r="D200" i="4"/>
  <c r="D208" i="4"/>
  <c r="D216" i="4"/>
  <c r="D224" i="4"/>
  <c r="D232" i="4"/>
  <c r="D240" i="4"/>
  <c r="D248" i="4"/>
  <c r="D256" i="4"/>
  <c r="D264" i="4"/>
  <c r="D272" i="4"/>
  <c r="D280" i="4"/>
  <c r="D288" i="4"/>
  <c r="D296" i="4"/>
  <c r="D304" i="4"/>
  <c r="D312" i="4"/>
  <c r="D320" i="4"/>
  <c r="D328" i="4"/>
  <c r="D336" i="4"/>
  <c r="D344" i="4"/>
  <c r="D15" i="4"/>
  <c r="D38" i="4"/>
  <c r="D57" i="4"/>
  <c r="D79" i="4"/>
  <c r="D102" i="4"/>
  <c r="D121" i="4"/>
  <c r="D143" i="4"/>
  <c r="D166" i="4"/>
  <c r="D185" i="4"/>
  <c r="D207" i="4"/>
  <c r="D230" i="4"/>
  <c r="D249" i="4"/>
  <c r="D271" i="4"/>
  <c r="D294" i="4"/>
  <c r="D311" i="4"/>
  <c r="D324" i="4"/>
  <c r="D337" i="4"/>
  <c r="D350" i="4"/>
  <c r="D359" i="4"/>
  <c r="D368" i="4"/>
  <c r="D377" i="4"/>
  <c r="D387" i="4"/>
  <c r="D396" i="4"/>
  <c r="D405" i="4"/>
  <c r="D414" i="4"/>
  <c r="D423" i="4"/>
  <c r="D432" i="4"/>
  <c r="D440" i="4"/>
  <c r="D448" i="4"/>
  <c r="D456" i="4"/>
  <c r="D464" i="4"/>
  <c r="D472" i="4"/>
  <c r="D480" i="4"/>
  <c r="D488" i="4"/>
  <c r="D496" i="4"/>
  <c r="D504" i="4"/>
  <c r="D512" i="4"/>
  <c r="D520" i="4"/>
  <c r="D528" i="4"/>
  <c r="D536" i="4"/>
  <c r="D544" i="4"/>
  <c r="D552" i="4"/>
  <c r="D560" i="4"/>
  <c r="D568" i="4"/>
  <c r="D576" i="4"/>
  <c r="D584" i="4"/>
  <c r="D592" i="4"/>
  <c r="D600" i="4"/>
  <c r="D608" i="4"/>
  <c r="D616" i="4"/>
  <c r="D624" i="4"/>
  <c r="D632" i="4"/>
  <c r="D640" i="4"/>
  <c r="D648" i="4"/>
  <c r="D656" i="4"/>
  <c r="D664" i="4"/>
  <c r="D672" i="4"/>
  <c r="D680" i="4"/>
  <c r="D688" i="4"/>
  <c r="D696" i="4"/>
  <c r="D704" i="4"/>
  <c r="D712" i="4"/>
  <c r="D720" i="4"/>
  <c r="D728" i="4"/>
  <c r="D736" i="4"/>
  <c r="D744" i="4"/>
  <c r="D752" i="4"/>
  <c r="D760" i="4"/>
  <c r="D768" i="4"/>
  <c r="D776" i="4"/>
  <c r="D784" i="4"/>
  <c r="D792" i="4"/>
  <c r="D800" i="4"/>
  <c r="D808" i="4"/>
  <c r="D816" i="4"/>
  <c r="D824" i="4"/>
  <c r="D832" i="4"/>
  <c r="D840" i="4"/>
  <c r="D848" i="4"/>
  <c r="D856" i="4"/>
  <c r="D864" i="4"/>
  <c r="D872" i="4"/>
  <c r="D880" i="4"/>
  <c r="D888" i="4"/>
  <c r="D896" i="4"/>
  <c r="D904" i="4"/>
  <c r="D912" i="4"/>
  <c r="D920" i="4"/>
  <c r="D928" i="4"/>
  <c r="D936" i="4"/>
  <c r="D944" i="4"/>
  <c r="D952" i="4"/>
  <c r="D960" i="4"/>
  <c r="D968" i="4"/>
  <c r="D976" i="4"/>
  <c r="D984" i="4"/>
  <c r="D992" i="4"/>
  <c r="D1000" i="4"/>
  <c r="D1008" i="4"/>
  <c r="D1016" i="4"/>
  <c r="D1024" i="4"/>
  <c r="D1032" i="4"/>
  <c r="D1040" i="4"/>
  <c r="D1048" i="4"/>
  <c r="D1056" i="4"/>
  <c r="D1064" i="4"/>
  <c r="D1072" i="4"/>
  <c r="D1080" i="4"/>
  <c r="D1088" i="4"/>
  <c r="D1096" i="4"/>
  <c r="D1104" i="4"/>
  <c r="D1112" i="4"/>
  <c r="D1120" i="4"/>
  <c r="D1128" i="4"/>
  <c r="D1136" i="4"/>
  <c r="D1144" i="4"/>
  <c r="D1152" i="4"/>
  <c r="D1160" i="4"/>
  <c r="D17" i="4"/>
  <c r="D39" i="4"/>
  <c r="D62" i="4"/>
  <c r="D81" i="4"/>
  <c r="D103" i="4"/>
  <c r="D126" i="4"/>
  <c r="D145" i="4"/>
  <c r="D167" i="4"/>
  <c r="D190" i="4"/>
  <c r="D209" i="4"/>
  <c r="D231" i="4"/>
  <c r="D254" i="4"/>
  <c r="D22" i="4"/>
  <c r="D41" i="4"/>
  <c r="D63" i="4"/>
  <c r="D86" i="4"/>
  <c r="D105" i="4"/>
  <c r="D127" i="4"/>
  <c r="D23" i="4"/>
  <c r="D46" i="4"/>
  <c r="D65" i="4"/>
  <c r="D87" i="4"/>
  <c r="D110" i="4"/>
  <c r="D129" i="4"/>
  <c r="D151" i="4"/>
  <c r="D174" i="4"/>
  <c r="D193" i="4"/>
  <c r="D215" i="4"/>
  <c r="D238" i="4"/>
  <c r="D257" i="4"/>
  <c r="D279" i="4"/>
  <c r="D302" i="4"/>
  <c r="D316" i="4"/>
  <c r="D329" i="4"/>
  <c r="D342" i="4"/>
  <c r="D353" i="4"/>
  <c r="D363" i="4"/>
  <c r="D372" i="4"/>
  <c r="D381" i="4"/>
  <c r="D390" i="4"/>
  <c r="D399" i="4"/>
  <c r="D408" i="4"/>
  <c r="D417" i="4"/>
  <c r="D427" i="4"/>
  <c r="D435" i="4"/>
  <c r="D443" i="4"/>
  <c r="D451" i="4"/>
  <c r="D459" i="4"/>
  <c r="D467" i="4"/>
  <c r="D475" i="4"/>
  <c r="D483" i="4"/>
  <c r="D491" i="4"/>
  <c r="D499" i="4"/>
  <c r="D507" i="4"/>
  <c r="D515" i="4"/>
  <c r="D523" i="4"/>
  <c r="D531" i="4"/>
  <c r="D539" i="4"/>
  <c r="D547" i="4"/>
  <c r="D555" i="4"/>
  <c r="D563" i="4"/>
  <c r="D571" i="4"/>
  <c r="D579" i="4"/>
  <c r="D587" i="4"/>
  <c r="D595" i="4"/>
  <c r="D603" i="4"/>
  <c r="D611" i="4"/>
  <c r="D619" i="4"/>
  <c r="D627" i="4"/>
  <c r="D635" i="4"/>
  <c r="D643" i="4"/>
  <c r="D651" i="4"/>
  <c r="D659" i="4"/>
  <c r="D667" i="4"/>
  <c r="D675" i="4"/>
  <c r="D683" i="4"/>
  <c r="D691" i="4"/>
  <c r="D699" i="4"/>
  <c r="D707" i="4"/>
  <c r="D715" i="4"/>
  <c r="D723" i="4"/>
  <c r="D731" i="4"/>
  <c r="D739" i="4"/>
  <c r="D747" i="4"/>
  <c r="D755" i="4"/>
  <c r="D763" i="4"/>
  <c r="D771" i="4"/>
  <c r="D779" i="4"/>
  <c r="D787" i="4"/>
  <c r="D795" i="4"/>
  <c r="D803" i="4"/>
  <c r="D811" i="4"/>
  <c r="D819" i="4"/>
  <c r="D827" i="4"/>
  <c r="D835" i="4"/>
  <c r="D843" i="4"/>
  <c r="D7" i="4"/>
  <c r="D30" i="4"/>
  <c r="D49" i="4"/>
  <c r="D71" i="4"/>
  <c r="D94" i="4"/>
  <c r="D113" i="4"/>
  <c r="D135" i="4"/>
  <c r="D158" i="4"/>
  <c r="D177" i="4"/>
  <c r="D199" i="4"/>
  <c r="D222" i="4"/>
  <c r="D241" i="4"/>
  <c r="D263" i="4"/>
  <c r="D286" i="4"/>
  <c r="D305" i="4"/>
  <c r="D319" i="4"/>
  <c r="D332" i="4"/>
  <c r="D345" i="4"/>
  <c r="D356" i="4"/>
  <c r="D365" i="4"/>
  <c r="D374" i="4"/>
  <c r="D383" i="4"/>
  <c r="D392" i="4"/>
  <c r="D401" i="4"/>
  <c r="D411" i="4"/>
  <c r="D420" i="4"/>
  <c r="D429" i="4"/>
  <c r="D437" i="4"/>
  <c r="D445" i="4"/>
  <c r="D453" i="4"/>
  <c r="D461" i="4"/>
  <c r="D469" i="4"/>
  <c r="D477" i="4"/>
  <c r="D485" i="4"/>
  <c r="D493" i="4"/>
  <c r="D501" i="4"/>
  <c r="D509" i="4"/>
  <c r="D517" i="4"/>
  <c r="D525" i="4"/>
  <c r="D533" i="4"/>
  <c r="D541" i="4"/>
  <c r="D549" i="4"/>
  <c r="D557" i="4"/>
  <c r="D565" i="4"/>
  <c r="D573" i="4"/>
  <c r="D581" i="4"/>
  <c r="D589" i="4"/>
  <c r="D597" i="4"/>
  <c r="D605" i="4"/>
  <c r="D613" i="4"/>
  <c r="D621" i="4"/>
  <c r="D629" i="4"/>
  <c r="D637" i="4"/>
  <c r="D645" i="4"/>
  <c r="D653" i="4"/>
  <c r="D661" i="4"/>
  <c r="D669" i="4"/>
  <c r="D677" i="4"/>
  <c r="D685" i="4"/>
  <c r="D9" i="4"/>
  <c r="D31" i="4"/>
  <c r="D54" i="4"/>
  <c r="D73" i="4"/>
  <c r="D95" i="4"/>
  <c r="D118" i="4"/>
  <c r="D137" i="4"/>
  <c r="D159" i="4"/>
  <c r="D182" i="4"/>
  <c r="D201" i="4"/>
  <c r="D223" i="4"/>
  <c r="D246" i="4"/>
  <c r="D265" i="4"/>
  <c r="D287" i="4"/>
  <c r="D308" i="4"/>
  <c r="D321" i="4"/>
  <c r="D334" i="4"/>
  <c r="D347" i="4"/>
  <c r="D357" i="4"/>
  <c r="D366" i="4"/>
  <c r="D375" i="4"/>
  <c r="D384" i="4"/>
  <c r="D393" i="4"/>
  <c r="D403" i="4"/>
  <c r="D412" i="4"/>
  <c r="D421" i="4"/>
  <c r="D430" i="4"/>
  <c r="D438" i="4"/>
  <c r="D446" i="4"/>
  <c r="D454" i="4"/>
  <c r="D462" i="4"/>
  <c r="D470" i="4"/>
  <c r="D478" i="4"/>
  <c r="D486" i="4"/>
  <c r="D494" i="4"/>
  <c r="D502" i="4"/>
  <c r="D510" i="4"/>
  <c r="D518" i="4"/>
  <c r="D526" i="4"/>
  <c r="D534" i="4"/>
  <c r="D542" i="4"/>
  <c r="D550" i="4"/>
  <c r="D558" i="4"/>
  <c r="D566" i="4"/>
  <c r="D574" i="4"/>
  <c r="D582" i="4"/>
  <c r="D590" i="4"/>
  <c r="D598" i="4"/>
  <c r="D606" i="4"/>
  <c r="D614" i="4"/>
  <c r="D622" i="4"/>
  <c r="D6" i="4"/>
  <c r="D89" i="4"/>
  <c r="D161" i="4"/>
  <c r="D217" i="4"/>
  <c r="D273" i="4"/>
  <c r="D313" i="4"/>
  <c r="D339" i="4"/>
  <c r="D360" i="4"/>
  <c r="D379" i="4"/>
  <c r="D397" i="4"/>
  <c r="D415" i="4"/>
  <c r="D433" i="4"/>
  <c r="D449" i="4"/>
  <c r="D465" i="4"/>
  <c r="D481" i="4"/>
  <c r="D497" i="4"/>
  <c r="D513" i="4"/>
  <c r="D529" i="4"/>
  <c r="D545" i="4"/>
  <c r="D561" i="4"/>
  <c r="D577" i="4"/>
  <c r="D593" i="4"/>
  <c r="D609" i="4"/>
  <c r="D625" i="4"/>
  <c r="D638" i="4"/>
  <c r="D650" i="4"/>
  <c r="D663" i="4"/>
  <c r="D676" i="4"/>
  <c r="D689" i="4"/>
  <c r="D700" i="4"/>
  <c r="D710" i="4"/>
  <c r="D721" i="4"/>
  <c r="D732" i="4"/>
  <c r="D742" i="4"/>
  <c r="D753" i="4"/>
  <c r="D764" i="4"/>
  <c r="D774" i="4"/>
  <c r="D785" i="4"/>
  <c r="D796" i="4"/>
  <c r="D806" i="4"/>
  <c r="D817" i="4"/>
  <c r="D828" i="4"/>
  <c r="D838" i="4"/>
  <c r="D849" i="4"/>
  <c r="D858" i="4"/>
  <c r="D867" i="4"/>
  <c r="D876" i="4"/>
  <c r="D885" i="4"/>
  <c r="D894" i="4"/>
  <c r="D903" i="4"/>
  <c r="D913" i="4"/>
  <c r="D922" i="4"/>
  <c r="D931" i="4"/>
  <c r="D940" i="4"/>
  <c r="D949" i="4"/>
  <c r="D958" i="4"/>
  <c r="D967" i="4"/>
  <c r="D977" i="4"/>
  <c r="D986" i="4"/>
  <c r="D995" i="4"/>
  <c r="D1004" i="4"/>
  <c r="D1013" i="4"/>
  <c r="D1022" i="4"/>
  <c r="D1031" i="4"/>
  <c r="D1041" i="4"/>
  <c r="D1050" i="4"/>
  <c r="D1059" i="4"/>
  <c r="D1068" i="4"/>
  <c r="D1077" i="4"/>
  <c r="D1086" i="4"/>
  <c r="D1095" i="4"/>
  <c r="D1105" i="4"/>
  <c r="D1114" i="4"/>
  <c r="D1123" i="4"/>
  <c r="D1132" i="4"/>
  <c r="D1141" i="4"/>
  <c r="D1150" i="4"/>
  <c r="D1159" i="4"/>
  <c r="D1168" i="4"/>
  <c r="D1176" i="4"/>
  <c r="D1184" i="4"/>
  <c r="D1192" i="4"/>
  <c r="D1200" i="4"/>
  <c r="D1208" i="4"/>
  <c r="D1216" i="4"/>
  <c r="D1224" i="4"/>
  <c r="D1232" i="4"/>
  <c r="D1240" i="4"/>
  <c r="D1248" i="4"/>
  <c r="D1256" i="4"/>
  <c r="D1264" i="4"/>
  <c r="D1272" i="4"/>
  <c r="D1280" i="4"/>
  <c r="D1288" i="4"/>
  <c r="D1296" i="4"/>
  <c r="D1304" i="4"/>
  <c r="D1312" i="4"/>
  <c r="D1320" i="4"/>
  <c r="D1328" i="4"/>
  <c r="D1336" i="4"/>
  <c r="D1344" i="4"/>
  <c r="D1352" i="4"/>
  <c r="D1360" i="4"/>
  <c r="D1368" i="4"/>
  <c r="D1376" i="4"/>
  <c r="D1384" i="4"/>
  <c r="D1392" i="4"/>
  <c r="D1400" i="4"/>
  <c r="D1408" i="4"/>
  <c r="D1416" i="4"/>
  <c r="D1424" i="4"/>
  <c r="D1432" i="4"/>
  <c r="D1440" i="4"/>
  <c r="D1448" i="4"/>
  <c r="D1456" i="4"/>
  <c r="D1464" i="4"/>
  <c r="D1472" i="4"/>
  <c r="D1480" i="4"/>
  <c r="D1488" i="4"/>
  <c r="D1496" i="4"/>
  <c r="D1504" i="4"/>
  <c r="D1512" i="4"/>
  <c r="D1520" i="4"/>
  <c r="D1528" i="4"/>
  <c r="D1536" i="4"/>
  <c r="D1544" i="4"/>
  <c r="D1552" i="4"/>
  <c r="D1560" i="4"/>
  <c r="D1568" i="4"/>
  <c r="D1576" i="4"/>
  <c r="D1584" i="4"/>
  <c r="D1592" i="4"/>
  <c r="D1600" i="4"/>
  <c r="D1608" i="4"/>
  <c r="D1616" i="4"/>
  <c r="D1624" i="4"/>
  <c r="D1632" i="4"/>
  <c r="D1640" i="4"/>
  <c r="D14" i="4"/>
  <c r="D97" i="4"/>
  <c r="D169" i="4"/>
  <c r="D225" i="4"/>
  <c r="D278" i="4"/>
  <c r="D315" i="4"/>
  <c r="D340" i="4"/>
  <c r="D361" i="4"/>
  <c r="D380" i="4"/>
  <c r="D398" i="4"/>
  <c r="D416" i="4"/>
  <c r="D434" i="4"/>
  <c r="D450" i="4"/>
  <c r="D466" i="4"/>
  <c r="D482" i="4"/>
  <c r="D498" i="4"/>
  <c r="D514" i="4"/>
  <c r="D530" i="4"/>
  <c r="D546" i="4"/>
  <c r="D562" i="4"/>
  <c r="D578" i="4"/>
  <c r="D594" i="4"/>
  <c r="D610" i="4"/>
  <c r="D626" i="4"/>
  <c r="D639" i="4"/>
  <c r="D652" i="4"/>
  <c r="D665" i="4"/>
  <c r="D678" i="4"/>
  <c r="D690" i="4"/>
  <c r="D701" i="4"/>
  <c r="D711" i="4"/>
  <c r="D722" i="4"/>
  <c r="D733" i="4"/>
  <c r="D743" i="4"/>
  <c r="D754" i="4"/>
  <c r="D765" i="4"/>
  <c r="D775" i="4"/>
  <c r="D786" i="4"/>
  <c r="D797" i="4"/>
  <c r="D807" i="4"/>
  <c r="D818" i="4"/>
  <c r="D829" i="4"/>
  <c r="D839" i="4"/>
  <c r="D850" i="4"/>
  <c r="D859" i="4"/>
  <c r="D868" i="4"/>
  <c r="D877" i="4"/>
  <c r="D886" i="4"/>
  <c r="D895" i="4"/>
  <c r="D905" i="4"/>
  <c r="D914" i="4"/>
  <c r="D923" i="4"/>
  <c r="D932" i="4"/>
  <c r="D941" i="4"/>
  <c r="D950" i="4"/>
  <c r="D959" i="4"/>
  <c r="D969" i="4"/>
  <c r="D978" i="4"/>
  <c r="D987" i="4"/>
  <c r="D996" i="4"/>
  <c r="D1005" i="4"/>
  <c r="D1014" i="4"/>
  <c r="D1023" i="4"/>
  <c r="D1033" i="4"/>
  <c r="D1042" i="4"/>
  <c r="D1051" i="4"/>
  <c r="D1060" i="4"/>
  <c r="D1069" i="4"/>
  <c r="D1078" i="4"/>
  <c r="D1087" i="4"/>
  <c r="D1097" i="4"/>
  <c r="D1106" i="4"/>
  <c r="D1115" i="4"/>
  <c r="D1124" i="4"/>
  <c r="D1133" i="4"/>
  <c r="D1142" i="4"/>
  <c r="D1151" i="4"/>
  <c r="D1161" i="4"/>
  <c r="D1169" i="4"/>
  <c r="D1177" i="4"/>
  <c r="D1185" i="4"/>
  <c r="D1193" i="4"/>
  <c r="D1201" i="4"/>
  <c r="D1209" i="4"/>
  <c r="D1217" i="4"/>
  <c r="D25" i="4"/>
  <c r="D111" i="4"/>
  <c r="D175" i="4"/>
  <c r="D233" i="4"/>
  <c r="D281" i="4"/>
  <c r="D318" i="4"/>
  <c r="D343" i="4"/>
  <c r="D364" i="4"/>
  <c r="D382" i="4"/>
  <c r="D400" i="4"/>
  <c r="D419" i="4"/>
  <c r="D436" i="4"/>
  <c r="D452" i="4"/>
  <c r="D468" i="4"/>
  <c r="D484" i="4"/>
  <c r="D500" i="4"/>
  <c r="D516" i="4"/>
  <c r="D532" i="4"/>
  <c r="D548" i="4"/>
  <c r="D564" i="4"/>
  <c r="D580" i="4"/>
  <c r="D596" i="4"/>
  <c r="D612" i="4"/>
  <c r="D628" i="4"/>
  <c r="D641" i="4"/>
  <c r="D654" i="4"/>
  <c r="D666" i="4"/>
  <c r="D679" i="4"/>
  <c r="D692" i="4"/>
  <c r="D702" i="4"/>
  <c r="D713" i="4"/>
  <c r="D724" i="4"/>
  <c r="D734" i="4"/>
  <c r="D745" i="4"/>
  <c r="D756" i="4"/>
  <c r="D766" i="4"/>
  <c r="D777" i="4"/>
  <c r="D788" i="4"/>
  <c r="D798" i="4"/>
  <c r="D809" i="4"/>
  <c r="D820" i="4"/>
  <c r="D830" i="4"/>
  <c r="D841" i="4"/>
  <c r="D851" i="4"/>
  <c r="D860" i="4"/>
  <c r="D869" i="4"/>
  <c r="D878" i="4"/>
  <c r="D887" i="4"/>
  <c r="D897" i="4"/>
  <c r="D906" i="4"/>
  <c r="D915" i="4"/>
  <c r="D924" i="4"/>
  <c r="D933" i="4"/>
  <c r="D942" i="4"/>
  <c r="D951" i="4"/>
  <c r="D961" i="4"/>
  <c r="D970" i="4"/>
  <c r="D979" i="4"/>
  <c r="D988" i="4"/>
  <c r="D997" i="4"/>
  <c r="D33" i="4"/>
  <c r="D119" i="4"/>
  <c r="D183" i="4"/>
  <c r="D239" i="4"/>
  <c r="D289" i="4"/>
  <c r="D323" i="4"/>
  <c r="D348" i="4"/>
  <c r="D367" i="4"/>
  <c r="D385" i="4"/>
  <c r="D404" i="4"/>
  <c r="D422" i="4"/>
  <c r="D439" i="4"/>
  <c r="D455" i="4"/>
  <c r="D471" i="4"/>
  <c r="D487" i="4"/>
  <c r="D503" i="4"/>
  <c r="D519" i="4"/>
  <c r="D535" i="4"/>
  <c r="D551" i="4"/>
  <c r="D567" i="4"/>
  <c r="D583" i="4"/>
  <c r="D599" i="4"/>
  <c r="D615" i="4"/>
  <c r="D630" i="4"/>
  <c r="D642" i="4"/>
  <c r="D655" i="4"/>
  <c r="D668" i="4"/>
  <c r="D681" i="4"/>
  <c r="D693" i="4"/>
  <c r="D703" i="4"/>
  <c r="D714" i="4"/>
  <c r="D725" i="4"/>
  <c r="D735" i="4"/>
  <c r="D746" i="4"/>
  <c r="D757" i="4"/>
  <c r="D767" i="4"/>
  <c r="D778" i="4"/>
  <c r="D789" i="4"/>
  <c r="D799" i="4"/>
  <c r="D810" i="4"/>
  <c r="D821" i="4"/>
  <c r="D831" i="4"/>
  <c r="D842" i="4"/>
  <c r="D852" i="4"/>
  <c r="D861" i="4"/>
  <c r="D870" i="4"/>
  <c r="D879" i="4"/>
  <c r="D889" i="4"/>
  <c r="D898" i="4"/>
  <c r="D907" i="4"/>
  <c r="D916" i="4"/>
  <c r="D925" i="4"/>
  <c r="D934" i="4"/>
  <c r="D943" i="4"/>
  <c r="D953" i="4"/>
  <c r="D962" i="4"/>
  <c r="D971" i="4"/>
  <c r="D980" i="4"/>
  <c r="D989" i="4"/>
  <c r="D998" i="4"/>
  <c r="D1007" i="4"/>
  <c r="D1017" i="4"/>
  <c r="D1026" i="4"/>
  <c r="D1035" i="4"/>
  <c r="D1044" i="4"/>
  <c r="D1053" i="4"/>
  <c r="D1062" i="4"/>
  <c r="D1071" i="4"/>
  <c r="D1081" i="4"/>
  <c r="D1090" i="4"/>
  <c r="D1099" i="4"/>
  <c r="D55" i="4"/>
  <c r="D142" i="4"/>
  <c r="D198" i="4"/>
  <c r="D255" i="4"/>
  <c r="D297" i="4"/>
  <c r="D327" i="4"/>
  <c r="D352" i="4"/>
  <c r="D371" i="4"/>
  <c r="D389" i="4"/>
  <c r="D407" i="4"/>
  <c r="D425" i="4"/>
  <c r="D442" i="4"/>
  <c r="D458" i="4"/>
  <c r="D474" i="4"/>
  <c r="D490" i="4"/>
  <c r="D506" i="4"/>
  <c r="D522" i="4"/>
  <c r="D538" i="4"/>
  <c r="D554" i="4"/>
  <c r="D570" i="4"/>
  <c r="D586" i="4"/>
  <c r="D602" i="4"/>
  <c r="D618" i="4"/>
  <c r="D633" i="4"/>
  <c r="D646" i="4"/>
  <c r="D658" i="4"/>
  <c r="D671" i="4"/>
  <c r="D684" i="4"/>
  <c r="D695" i="4"/>
  <c r="D706" i="4"/>
  <c r="D717" i="4"/>
  <c r="D727" i="4"/>
  <c r="D738" i="4"/>
  <c r="D749" i="4"/>
  <c r="D759" i="4"/>
  <c r="D770" i="4"/>
  <c r="D781" i="4"/>
  <c r="D791" i="4"/>
  <c r="D802" i="4"/>
  <c r="D813" i="4"/>
  <c r="D823" i="4"/>
  <c r="D834" i="4"/>
  <c r="D845" i="4"/>
  <c r="D854" i="4"/>
  <c r="D863" i="4"/>
  <c r="D873" i="4"/>
  <c r="D882" i="4"/>
  <c r="D891" i="4"/>
  <c r="D900" i="4"/>
  <c r="D909" i="4"/>
  <c r="D918" i="4"/>
  <c r="D927" i="4"/>
  <c r="D937" i="4"/>
  <c r="D946" i="4"/>
  <c r="D955" i="4"/>
  <c r="D964" i="4"/>
  <c r="D973" i="4"/>
  <c r="D982" i="4"/>
  <c r="D991" i="4"/>
  <c r="D1001" i="4"/>
  <c r="D1010" i="4"/>
  <c r="D1019" i="4"/>
  <c r="D1028" i="4"/>
  <c r="D1037" i="4"/>
  <c r="D1046" i="4"/>
  <c r="D1055" i="4"/>
  <c r="D1065" i="4"/>
  <c r="D1074" i="4"/>
  <c r="D1083" i="4"/>
  <c r="D1092" i="4"/>
  <c r="D70" i="4"/>
  <c r="D150" i="4"/>
  <c r="D206" i="4"/>
  <c r="D262" i="4"/>
  <c r="D303" i="4"/>
  <c r="D331" i="4"/>
  <c r="D355" i="4"/>
  <c r="D373" i="4"/>
  <c r="D391" i="4"/>
  <c r="D409" i="4"/>
  <c r="D428" i="4"/>
  <c r="D444" i="4"/>
  <c r="D460" i="4"/>
  <c r="D476" i="4"/>
  <c r="D492" i="4"/>
  <c r="D508" i="4"/>
  <c r="D524" i="4"/>
  <c r="D540" i="4"/>
  <c r="D556" i="4"/>
  <c r="D572" i="4"/>
  <c r="D588" i="4"/>
  <c r="D604" i="4"/>
  <c r="D620" i="4"/>
  <c r="D634" i="4"/>
  <c r="D647" i="4"/>
  <c r="D660" i="4"/>
  <c r="D673" i="4"/>
  <c r="D686" i="4"/>
  <c r="D697" i="4"/>
  <c r="D708" i="4"/>
  <c r="D718" i="4"/>
  <c r="D729" i="4"/>
  <c r="D740" i="4"/>
  <c r="D750" i="4"/>
  <c r="D761" i="4"/>
  <c r="D772" i="4"/>
  <c r="D782" i="4"/>
  <c r="D793" i="4"/>
  <c r="D804" i="4"/>
  <c r="D814" i="4"/>
  <c r="D825" i="4"/>
  <c r="D836" i="4"/>
  <c r="D846" i="4"/>
  <c r="D855" i="4"/>
  <c r="D865" i="4"/>
  <c r="D874" i="4"/>
  <c r="D883" i="4"/>
  <c r="D892" i="4"/>
  <c r="D901" i="4"/>
  <c r="D910" i="4"/>
  <c r="D919" i="4"/>
  <c r="D929" i="4"/>
  <c r="D938" i="4"/>
  <c r="D947" i="4"/>
  <c r="D956" i="4"/>
  <c r="D965" i="4"/>
  <c r="D974" i="4"/>
  <c r="D983" i="4"/>
  <c r="D993" i="4"/>
  <c r="D1002" i="4"/>
  <c r="D1011" i="4"/>
  <c r="D1020" i="4"/>
  <c r="D1029" i="4"/>
  <c r="D1038" i="4"/>
  <c r="D1047" i="4"/>
  <c r="D1057" i="4"/>
  <c r="D1066" i="4"/>
  <c r="D1075" i="4"/>
  <c r="D1084" i="4"/>
  <c r="D1093" i="4"/>
  <c r="D1102" i="4"/>
  <c r="D1111" i="4"/>
  <c r="D1121" i="4"/>
  <c r="D1130" i="4"/>
  <c r="D1139" i="4"/>
  <c r="D1148" i="4"/>
  <c r="D1157" i="4"/>
  <c r="D1166" i="4"/>
  <c r="D1174" i="4"/>
  <c r="D1182" i="4"/>
  <c r="D1190" i="4"/>
  <c r="D1198" i="4"/>
  <c r="D214" i="4"/>
  <c r="D358" i="4"/>
  <c r="D431" i="4"/>
  <c r="D495" i="4"/>
  <c r="D559" i="4"/>
  <c r="D623" i="4"/>
  <c r="D674" i="4"/>
  <c r="D719" i="4"/>
  <c r="D762" i="4"/>
  <c r="D805" i="4"/>
  <c r="D847" i="4"/>
  <c r="D884" i="4"/>
  <c r="D921" i="4"/>
  <c r="D957" i="4"/>
  <c r="D994" i="4"/>
  <c r="D1021" i="4"/>
  <c r="D1045" i="4"/>
  <c r="D1070" i="4"/>
  <c r="D1094" i="4"/>
  <c r="D1110" i="4"/>
  <c r="D1126" i="4"/>
  <c r="D1140" i="4"/>
  <c r="D1155" i="4"/>
  <c r="D1170" i="4"/>
  <c r="D1181" i="4"/>
  <c r="D1195" i="4"/>
  <c r="D1206" i="4"/>
  <c r="D1218" i="4"/>
  <c r="D1227" i="4"/>
  <c r="D1236" i="4"/>
  <c r="D1245" i="4"/>
  <c r="D1254" i="4"/>
  <c r="D1263" i="4"/>
  <c r="D1273" i="4"/>
  <c r="D1282" i="4"/>
  <c r="D1291" i="4"/>
  <c r="D1300" i="4"/>
  <c r="D1309" i="4"/>
  <c r="D1318" i="4"/>
  <c r="D1327" i="4"/>
  <c r="D1337" i="4"/>
  <c r="D1346" i="4"/>
  <c r="D1355" i="4"/>
  <c r="D1364" i="4"/>
  <c r="D1373" i="4"/>
  <c r="D1382" i="4"/>
  <c r="D1391" i="4"/>
  <c r="D1401" i="4"/>
  <c r="D1410" i="4"/>
  <c r="D1419" i="4"/>
  <c r="D1428" i="4"/>
  <c r="D1437" i="4"/>
  <c r="D1446" i="4"/>
  <c r="D1455" i="4"/>
  <c r="D1465" i="4"/>
  <c r="D1474" i="4"/>
  <c r="D1483" i="4"/>
  <c r="D1492" i="4"/>
  <c r="D1501" i="4"/>
  <c r="D1510" i="4"/>
  <c r="D1519" i="4"/>
  <c r="D1529" i="4"/>
  <c r="D1538" i="4"/>
  <c r="D1547" i="4"/>
  <c r="D1556" i="4"/>
  <c r="D1565" i="4"/>
  <c r="D1574" i="4"/>
  <c r="D1583" i="4"/>
  <c r="D1593" i="4"/>
  <c r="D1602" i="4"/>
  <c r="D1611" i="4"/>
  <c r="D1620" i="4"/>
  <c r="D1629" i="4"/>
  <c r="D1638" i="4"/>
  <c r="D1647" i="4"/>
  <c r="D1655" i="4"/>
  <c r="D1663" i="4"/>
  <c r="D1671" i="4"/>
  <c r="D1679" i="4"/>
  <c r="D1687" i="4"/>
  <c r="D1695" i="4"/>
  <c r="D1703" i="4"/>
  <c r="D1711" i="4"/>
  <c r="D1719" i="4"/>
  <c r="D1727" i="4"/>
  <c r="D1735" i="4"/>
  <c r="D1743" i="4"/>
  <c r="D1751" i="4"/>
  <c r="D1759" i="4"/>
  <c r="D1767" i="4"/>
  <c r="D1775" i="4"/>
  <c r="D1783" i="4"/>
  <c r="D1791" i="4"/>
  <c r="D1799" i="4"/>
  <c r="D1807" i="4"/>
  <c r="D1815" i="4"/>
  <c r="D1823" i="4"/>
  <c r="D1831" i="4"/>
  <c r="D1839" i="4"/>
  <c r="D1847" i="4"/>
  <c r="D1855" i="4"/>
  <c r="D1863" i="4"/>
  <c r="D1871" i="4"/>
  <c r="D1879" i="4"/>
  <c r="D1887" i="4"/>
  <c r="D1895" i="4"/>
  <c r="D1903" i="4"/>
  <c r="D1911" i="4"/>
  <c r="D1919" i="4"/>
  <c r="D1927" i="4"/>
  <c r="D1935" i="4"/>
  <c r="D1943" i="4"/>
  <c r="D1951" i="4"/>
  <c r="D1959" i="4"/>
  <c r="D1967" i="4"/>
  <c r="D1975" i="4"/>
  <c r="D1983" i="4"/>
  <c r="D1991" i="4"/>
  <c r="D1999" i="4"/>
  <c r="D2007" i="4"/>
  <c r="D2015" i="4"/>
  <c r="D2023" i="4"/>
  <c r="D2031" i="4"/>
  <c r="D2039" i="4"/>
  <c r="D2047" i="4"/>
  <c r="D2055" i="4"/>
  <c r="D2063" i="4"/>
  <c r="D2071" i="4"/>
  <c r="D2079" i="4"/>
  <c r="D2087" i="4"/>
  <c r="D2095" i="4"/>
  <c r="D2103" i="4"/>
  <c r="D2111" i="4"/>
  <c r="D2119" i="4"/>
  <c r="D2127" i="4"/>
  <c r="D2135" i="4"/>
  <c r="D2143" i="4"/>
  <c r="D2151" i="4"/>
  <c r="D2159" i="4"/>
  <c r="D2167" i="4"/>
  <c r="D2175" i="4"/>
  <c r="D2183" i="4"/>
  <c r="D2191" i="4"/>
  <c r="D2199" i="4"/>
  <c r="D2207" i="4"/>
  <c r="D2215" i="4"/>
  <c r="D2223" i="4"/>
  <c r="D2231" i="4"/>
  <c r="D2239" i="4"/>
  <c r="D2247" i="4"/>
  <c r="D2255" i="4"/>
  <c r="D2263" i="4"/>
  <c r="D247" i="4"/>
  <c r="D369" i="4"/>
  <c r="D441" i="4"/>
  <c r="D505" i="4"/>
  <c r="D569" i="4"/>
  <c r="D631" i="4"/>
  <c r="D682" i="4"/>
  <c r="D726" i="4"/>
  <c r="D769" i="4"/>
  <c r="D812" i="4"/>
  <c r="D853" i="4"/>
  <c r="D890" i="4"/>
  <c r="D926" i="4"/>
  <c r="D963" i="4"/>
  <c r="D999" i="4"/>
  <c r="D1025" i="4"/>
  <c r="D1049" i="4"/>
  <c r="D1073" i="4"/>
  <c r="D1098" i="4"/>
  <c r="D1113" i="4"/>
  <c r="D1127" i="4"/>
  <c r="D1143" i="4"/>
  <c r="D1156" i="4"/>
  <c r="D1171" i="4"/>
  <c r="D1183" i="4"/>
  <c r="D1196" i="4"/>
  <c r="D1207" i="4"/>
  <c r="D1219" i="4"/>
  <c r="D1228" i="4"/>
  <c r="D1237" i="4"/>
  <c r="D1246" i="4"/>
  <c r="D1255" i="4"/>
  <c r="D1265" i="4"/>
  <c r="D1274" i="4"/>
  <c r="D1283" i="4"/>
  <c r="D1292" i="4"/>
  <c r="D1301" i="4"/>
  <c r="D1310" i="4"/>
  <c r="D1319" i="4"/>
  <c r="D1329" i="4"/>
  <c r="D1338" i="4"/>
  <c r="D1347" i="4"/>
  <c r="D1356" i="4"/>
  <c r="D1365" i="4"/>
  <c r="D1374" i="4"/>
  <c r="D1383" i="4"/>
  <c r="D1393" i="4"/>
  <c r="D1402" i="4"/>
  <c r="D1411" i="4"/>
  <c r="D1420" i="4"/>
  <c r="D1429" i="4"/>
  <c r="D1438" i="4"/>
  <c r="D1447" i="4"/>
  <c r="D1457" i="4"/>
  <c r="D1466" i="4"/>
  <c r="D1475" i="4"/>
  <c r="D1484" i="4"/>
  <c r="D1493" i="4"/>
  <c r="D1502" i="4"/>
  <c r="D1511" i="4"/>
  <c r="D1521" i="4"/>
  <c r="D1530" i="4"/>
  <c r="D1539" i="4"/>
  <c r="D1548" i="4"/>
  <c r="D1557" i="4"/>
  <c r="D1566" i="4"/>
  <c r="D1575" i="4"/>
  <c r="D1585" i="4"/>
  <c r="D1594" i="4"/>
  <c r="D1603" i="4"/>
  <c r="D1612" i="4"/>
  <c r="D270" i="4"/>
  <c r="D376" i="4"/>
  <c r="D447" i="4"/>
  <c r="D511" i="4"/>
  <c r="D575" i="4"/>
  <c r="D636" i="4"/>
  <c r="D687" i="4"/>
  <c r="D730" i="4"/>
  <c r="D773" i="4"/>
  <c r="D815" i="4"/>
  <c r="D857" i="4"/>
  <c r="D893" i="4"/>
  <c r="D930" i="4"/>
  <c r="D966" i="4"/>
  <c r="D1003" i="4"/>
  <c r="D1027" i="4"/>
  <c r="D1052" i="4"/>
  <c r="D1076" i="4"/>
  <c r="D1100" i="4"/>
  <c r="D1116" i="4"/>
  <c r="D1129" i="4"/>
  <c r="D1145" i="4"/>
  <c r="D1158" i="4"/>
  <c r="D1172" i="4"/>
  <c r="D1186" i="4"/>
  <c r="D1197" i="4"/>
  <c r="D1210" i="4"/>
  <c r="D1220" i="4"/>
  <c r="D1229" i="4"/>
  <c r="D1238" i="4"/>
  <c r="D1247" i="4"/>
  <c r="D1257" i="4"/>
  <c r="D1266" i="4"/>
  <c r="D1275" i="4"/>
  <c r="D1284" i="4"/>
  <c r="D1293" i="4"/>
  <c r="D1302" i="4"/>
  <c r="D1311" i="4"/>
  <c r="D1321" i="4"/>
  <c r="D1330" i="4"/>
  <c r="D1339" i="4"/>
  <c r="D1348" i="4"/>
  <c r="D1357" i="4"/>
  <c r="D1366" i="4"/>
  <c r="D1375" i="4"/>
  <c r="D1385" i="4"/>
  <c r="D1394" i="4"/>
  <c r="D1403" i="4"/>
  <c r="D1412" i="4"/>
  <c r="D1421" i="4"/>
  <c r="D1430" i="4"/>
  <c r="D1439" i="4"/>
  <c r="D1449" i="4"/>
  <c r="D1458" i="4"/>
  <c r="D1467" i="4"/>
  <c r="D1476" i="4"/>
  <c r="D1485" i="4"/>
  <c r="D1494" i="4"/>
  <c r="D1503" i="4"/>
  <c r="D1513" i="4"/>
  <c r="D1522" i="4"/>
  <c r="D1531" i="4"/>
  <c r="D1540" i="4"/>
  <c r="D1549" i="4"/>
  <c r="D1558" i="4"/>
  <c r="D1567" i="4"/>
  <c r="D1577" i="4"/>
  <c r="D1586" i="4"/>
  <c r="D1595" i="4"/>
  <c r="D1604" i="4"/>
  <c r="D47" i="4"/>
  <c r="D295" i="4"/>
  <c r="D388" i="4"/>
  <c r="D457" i="4"/>
  <c r="D521" i="4"/>
  <c r="D585" i="4"/>
  <c r="D644" i="4"/>
  <c r="D694" i="4"/>
  <c r="D737" i="4"/>
  <c r="D780" i="4"/>
  <c r="D822" i="4"/>
  <c r="D862" i="4"/>
  <c r="D899" i="4"/>
  <c r="D935" i="4"/>
  <c r="D972" i="4"/>
  <c r="D1006" i="4"/>
  <c r="D1030" i="4"/>
  <c r="D1054" i="4"/>
  <c r="D1079" i="4"/>
  <c r="D1101" i="4"/>
  <c r="D1117" i="4"/>
  <c r="D1131" i="4"/>
  <c r="D1146" i="4"/>
  <c r="D1162" i="4"/>
  <c r="D1173" i="4"/>
  <c r="D1187" i="4"/>
  <c r="D1199" i="4"/>
  <c r="D1211" i="4"/>
  <c r="D1221" i="4"/>
  <c r="D1230" i="4"/>
  <c r="D1239" i="4"/>
  <c r="D1249" i="4"/>
  <c r="D1258" i="4"/>
  <c r="D1267" i="4"/>
  <c r="D1276" i="4"/>
  <c r="D1285" i="4"/>
  <c r="D1294" i="4"/>
  <c r="D1303" i="4"/>
  <c r="D1313" i="4"/>
  <c r="D1322" i="4"/>
  <c r="D1331" i="4"/>
  <c r="D1340" i="4"/>
  <c r="D1349" i="4"/>
  <c r="D1358" i="4"/>
  <c r="D1367" i="4"/>
  <c r="D1377" i="4"/>
  <c r="D1386" i="4"/>
  <c r="D1395" i="4"/>
  <c r="D1404" i="4"/>
  <c r="D1413" i="4"/>
  <c r="D1422" i="4"/>
  <c r="D1431" i="4"/>
  <c r="D1441" i="4"/>
  <c r="D1450" i="4"/>
  <c r="D1459" i="4"/>
  <c r="D1468" i="4"/>
  <c r="D1477" i="4"/>
  <c r="D1486" i="4"/>
  <c r="D1495" i="4"/>
  <c r="D1505" i="4"/>
  <c r="D1514" i="4"/>
  <c r="D1523" i="4"/>
  <c r="D1532" i="4"/>
  <c r="D1541" i="4"/>
  <c r="D1550" i="4"/>
  <c r="D1559" i="4"/>
  <c r="D1569" i="4"/>
  <c r="D1578" i="4"/>
  <c r="D1587" i="4"/>
  <c r="D1596" i="4"/>
  <c r="D1605" i="4"/>
  <c r="D1614" i="4"/>
  <c r="D1623" i="4"/>
  <c r="D1633" i="4"/>
  <c r="D1642" i="4"/>
  <c r="D1650" i="4"/>
  <c r="D1658" i="4"/>
  <c r="D1666" i="4"/>
  <c r="D1674" i="4"/>
  <c r="D134" i="4"/>
  <c r="D326" i="4"/>
  <c r="D406" i="4"/>
  <c r="D473" i="4"/>
  <c r="D537" i="4"/>
  <c r="D601" i="4"/>
  <c r="D657" i="4"/>
  <c r="D705" i="4"/>
  <c r="D748" i="4"/>
  <c r="D790" i="4"/>
  <c r="D833" i="4"/>
  <c r="D871" i="4"/>
  <c r="D908" i="4"/>
  <c r="D945" i="4"/>
  <c r="D981" i="4"/>
  <c r="D1012" i="4"/>
  <c r="D1036" i="4"/>
  <c r="D1061" i="4"/>
  <c r="D1085" i="4"/>
  <c r="D1107" i="4"/>
  <c r="D1119" i="4"/>
  <c r="D1135" i="4"/>
  <c r="D1149" i="4"/>
  <c r="D1164" i="4"/>
  <c r="D1178" i="4"/>
  <c r="D1189" i="4"/>
  <c r="D1203" i="4"/>
  <c r="D1213" i="4"/>
  <c r="D1223" i="4"/>
  <c r="D1233" i="4"/>
  <c r="D1242" i="4"/>
  <c r="D1251" i="4"/>
  <c r="D1260" i="4"/>
  <c r="D1269" i="4"/>
  <c r="D1278" i="4"/>
  <c r="D1287" i="4"/>
  <c r="D1297" i="4"/>
  <c r="D1306" i="4"/>
  <c r="D1315" i="4"/>
  <c r="D1324" i="4"/>
  <c r="D1333" i="4"/>
  <c r="D1342" i="4"/>
  <c r="D1351" i="4"/>
  <c r="D1361" i="4"/>
  <c r="D1370" i="4"/>
  <c r="D1379" i="4"/>
  <c r="D1388" i="4"/>
  <c r="D1397" i="4"/>
  <c r="D1406" i="4"/>
  <c r="D1415" i="4"/>
  <c r="D1425" i="4"/>
  <c r="D1434" i="4"/>
  <c r="D1443" i="4"/>
  <c r="D1452" i="4"/>
  <c r="D1461" i="4"/>
  <c r="D1470" i="4"/>
  <c r="D1479" i="4"/>
  <c r="D1489" i="4"/>
  <c r="D1498" i="4"/>
  <c r="D1507" i="4"/>
  <c r="D1516" i="4"/>
  <c r="D1525" i="4"/>
  <c r="D1534" i="4"/>
  <c r="D1543" i="4"/>
  <c r="D1553" i="4"/>
  <c r="D1562" i="4"/>
  <c r="D1571" i="4"/>
  <c r="D1580" i="4"/>
  <c r="D1589" i="4"/>
  <c r="D1598" i="4"/>
  <c r="D1607" i="4"/>
  <c r="D1617" i="4"/>
  <c r="D1626" i="4"/>
  <c r="D1635" i="4"/>
  <c r="D1644" i="4"/>
  <c r="D1652" i="4"/>
  <c r="D1660" i="4"/>
  <c r="D1668" i="4"/>
  <c r="D1676" i="4"/>
  <c r="D1684" i="4"/>
  <c r="D1692" i="4"/>
  <c r="D1700" i="4"/>
  <c r="D1708" i="4"/>
  <c r="D1716" i="4"/>
  <c r="D1724" i="4"/>
  <c r="D153" i="4"/>
  <c r="D335" i="4"/>
  <c r="D413" i="4"/>
  <c r="D479" i="4"/>
  <c r="D543" i="4"/>
  <c r="D607" i="4"/>
  <c r="D662" i="4"/>
  <c r="D709" i="4"/>
  <c r="D751" i="4"/>
  <c r="D794" i="4"/>
  <c r="D837" i="4"/>
  <c r="D875" i="4"/>
  <c r="D911" i="4"/>
  <c r="D948" i="4"/>
  <c r="D985" i="4"/>
  <c r="D1015" i="4"/>
  <c r="D1039" i="4"/>
  <c r="D1063" i="4"/>
  <c r="D1089" i="4"/>
  <c r="D1108" i="4"/>
  <c r="D1122" i="4"/>
  <c r="D1137" i="4"/>
  <c r="D1153" i="4"/>
  <c r="D1165" i="4"/>
  <c r="D1179" i="4"/>
  <c r="D1191" i="4"/>
  <c r="D1204" i="4"/>
  <c r="D1214" i="4"/>
  <c r="D1225" i="4"/>
  <c r="D1234" i="4"/>
  <c r="D1243" i="4"/>
  <c r="D1252" i="4"/>
  <c r="D1261" i="4"/>
  <c r="D1270" i="4"/>
  <c r="D1279" i="4"/>
  <c r="D1289" i="4"/>
  <c r="D1298" i="4"/>
  <c r="D1307" i="4"/>
  <c r="D1316" i="4"/>
  <c r="D1325" i="4"/>
  <c r="D1334" i="4"/>
  <c r="D1343" i="4"/>
  <c r="D1353" i="4"/>
  <c r="D1362" i="4"/>
  <c r="D1371" i="4"/>
  <c r="D1380" i="4"/>
  <c r="D1389" i="4"/>
  <c r="D1398" i="4"/>
  <c r="D1407" i="4"/>
  <c r="D1417" i="4"/>
  <c r="D1426" i="4"/>
  <c r="D1435" i="4"/>
  <c r="D1444" i="4"/>
  <c r="D1453" i="4"/>
  <c r="D1462" i="4"/>
  <c r="D1471" i="4"/>
  <c r="D1481" i="4"/>
  <c r="D1490" i="4"/>
  <c r="D1499" i="4"/>
  <c r="D1508" i="4"/>
  <c r="D1517" i="4"/>
  <c r="D1526" i="4"/>
  <c r="D1535" i="4"/>
  <c r="D1545" i="4"/>
  <c r="D1554" i="4"/>
  <c r="D1563" i="4"/>
  <c r="D463" i="4"/>
  <c r="D698" i="4"/>
  <c r="D866" i="4"/>
  <c r="D1009" i="4"/>
  <c r="D1103" i="4"/>
  <c r="D1163" i="4"/>
  <c r="D1212" i="4"/>
  <c r="D1250" i="4"/>
  <c r="D1286" i="4"/>
  <c r="D1323" i="4"/>
  <c r="D1359" i="4"/>
  <c r="D1396" i="4"/>
  <c r="D1433" i="4"/>
  <c r="D1469" i="4"/>
  <c r="D1506" i="4"/>
  <c r="D1542" i="4"/>
  <c r="D1573" i="4"/>
  <c r="D1599" i="4"/>
  <c r="D1619" i="4"/>
  <c r="D1634" i="4"/>
  <c r="D1648" i="4"/>
  <c r="D1661" i="4"/>
  <c r="D1673" i="4"/>
  <c r="D1685" i="4"/>
  <c r="D1696" i="4"/>
  <c r="D1706" i="4"/>
  <c r="D1717" i="4"/>
  <c r="D1728" i="4"/>
  <c r="D1737" i="4"/>
  <c r="D1746" i="4"/>
  <c r="D1755" i="4"/>
  <c r="D1764" i="4"/>
  <c r="D1773" i="4"/>
  <c r="D1782" i="4"/>
  <c r="D1792" i="4"/>
  <c r="D1801" i="4"/>
  <c r="D1810" i="4"/>
  <c r="D1819" i="4"/>
  <c r="D1828" i="4"/>
  <c r="D1837" i="4"/>
  <c r="D1846" i="4"/>
  <c r="D1856" i="4"/>
  <c r="D1865" i="4"/>
  <c r="D1874" i="4"/>
  <c r="D1883" i="4"/>
  <c r="D1892" i="4"/>
  <c r="D1901" i="4"/>
  <c r="D1910" i="4"/>
  <c r="D1920" i="4"/>
  <c r="D1929" i="4"/>
  <c r="D1938" i="4"/>
  <c r="D1947" i="4"/>
  <c r="D1956" i="4"/>
  <c r="D1965" i="4"/>
  <c r="D1974" i="4"/>
  <c r="D1984" i="4"/>
  <c r="D1993" i="4"/>
  <c r="D2002" i="4"/>
  <c r="D2011" i="4"/>
  <c r="D2020" i="4"/>
  <c r="D2029" i="4"/>
  <c r="D2038" i="4"/>
  <c r="D2048" i="4"/>
  <c r="D2057" i="4"/>
  <c r="D2066" i="4"/>
  <c r="D2075" i="4"/>
  <c r="D2084" i="4"/>
  <c r="D2093" i="4"/>
  <c r="D2102" i="4"/>
  <c r="D2112" i="4"/>
  <c r="D2121" i="4"/>
  <c r="D2130" i="4"/>
  <c r="D2139" i="4"/>
  <c r="D2148" i="4"/>
  <c r="D2157" i="4"/>
  <c r="D2166" i="4"/>
  <c r="D2176" i="4"/>
  <c r="D2185" i="4"/>
  <c r="D2194" i="4"/>
  <c r="D2203" i="4"/>
  <c r="D2212" i="4"/>
  <c r="D2221" i="4"/>
  <c r="D2230" i="4"/>
  <c r="D2240" i="4"/>
  <c r="D2249" i="4"/>
  <c r="D2258" i="4"/>
  <c r="D2267" i="4"/>
  <c r="D2275" i="4"/>
  <c r="D2283" i="4"/>
  <c r="D2291" i="4"/>
  <c r="D2299" i="4"/>
  <c r="D2307" i="4"/>
  <c r="D2315" i="4"/>
  <c r="D2323" i="4"/>
  <c r="D2331" i="4"/>
  <c r="D2339" i="4"/>
  <c r="D2347" i="4"/>
  <c r="D2355" i="4"/>
  <c r="D2363" i="4"/>
  <c r="D2371" i="4"/>
  <c r="D2379" i="4"/>
  <c r="D2387" i="4"/>
  <c r="D2395" i="4"/>
  <c r="D2403" i="4"/>
  <c r="D2411" i="4"/>
  <c r="D2419" i="4"/>
  <c r="D2427" i="4"/>
  <c r="D2435" i="4"/>
  <c r="D2443" i="4"/>
  <c r="D2451" i="4"/>
  <c r="D2459" i="4"/>
  <c r="D2467" i="4"/>
  <c r="D2475" i="4"/>
  <c r="D2483" i="4"/>
  <c r="D2491" i="4"/>
  <c r="D2499" i="4"/>
  <c r="D2507" i="4"/>
  <c r="D2515" i="4"/>
  <c r="D2523" i="4"/>
  <c r="D2531" i="4"/>
  <c r="D2539" i="4"/>
  <c r="D2547" i="4"/>
  <c r="D2555" i="4"/>
  <c r="D2563" i="4"/>
  <c r="D2571" i="4"/>
  <c r="D2579" i="4"/>
  <c r="D2587" i="4"/>
  <c r="D2595" i="4"/>
  <c r="D2603" i="4"/>
  <c r="D2611" i="4"/>
  <c r="D2619" i="4"/>
  <c r="D2627" i="4"/>
  <c r="D2635" i="4"/>
  <c r="D2643" i="4"/>
  <c r="D2651" i="4"/>
  <c r="D2659" i="4"/>
  <c r="D2667" i="4"/>
  <c r="D2675" i="4"/>
  <c r="D2683" i="4"/>
  <c r="D2691" i="4"/>
  <c r="D2699" i="4"/>
  <c r="D2707" i="4"/>
  <c r="D2715" i="4"/>
  <c r="D2723" i="4"/>
  <c r="D2731" i="4"/>
  <c r="D2739" i="4"/>
  <c r="D2747" i="4"/>
  <c r="D2755" i="4"/>
  <c r="D2763" i="4"/>
  <c r="D489" i="4"/>
  <c r="D716" i="4"/>
  <c r="D881" i="4"/>
  <c r="D1018" i="4"/>
  <c r="D1109" i="4"/>
  <c r="D1167" i="4"/>
  <c r="D1215" i="4"/>
  <c r="D1253" i="4"/>
  <c r="D1290" i="4"/>
  <c r="D1326" i="4"/>
  <c r="D1363" i="4"/>
  <c r="D1399" i="4"/>
  <c r="D1436" i="4"/>
  <c r="D1473" i="4"/>
  <c r="D1509" i="4"/>
  <c r="D1546" i="4"/>
  <c r="D1579" i="4"/>
  <c r="D1601" i="4"/>
  <c r="D1621" i="4"/>
  <c r="D1636" i="4"/>
  <c r="D1649" i="4"/>
  <c r="D1662" i="4"/>
  <c r="D1675" i="4"/>
  <c r="D1686" i="4"/>
  <c r="D1697" i="4"/>
  <c r="D1707" i="4"/>
  <c r="D1718" i="4"/>
  <c r="D1729" i="4"/>
  <c r="D1738" i="4"/>
  <c r="D1747" i="4"/>
  <c r="D1756" i="4"/>
  <c r="D1765" i="4"/>
  <c r="D1774" i="4"/>
  <c r="D1784" i="4"/>
  <c r="D1793" i="4"/>
  <c r="D1802" i="4"/>
  <c r="D1811" i="4"/>
  <c r="D1820" i="4"/>
  <c r="D1829" i="4"/>
  <c r="D1838" i="4"/>
  <c r="D1848" i="4"/>
  <c r="D1857" i="4"/>
  <c r="D1866" i="4"/>
  <c r="D1875" i="4"/>
  <c r="D1884" i="4"/>
  <c r="D1893" i="4"/>
  <c r="D1902" i="4"/>
  <c r="D1912" i="4"/>
  <c r="D1921" i="4"/>
  <c r="D1930" i="4"/>
  <c r="D1939" i="4"/>
  <c r="D1948" i="4"/>
  <c r="D1957" i="4"/>
  <c r="D1966" i="4"/>
  <c r="D1976" i="4"/>
  <c r="D1985" i="4"/>
  <c r="D1994" i="4"/>
  <c r="D2003" i="4"/>
  <c r="D2012" i="4"/>
  <c r="D2021" i="4"/>
  <c r="D2030" i="4"/>
  <c r="D2040" i="4"/>
  <c r="D2049" i="4"/>
  <c r="D2058" i="4"/>
  <c r="D2067" i="4"/>
  <c r="D2076" i="4"/>
  <c r="D2085" i="4"/>
  <c r="D2094" i="4"/>
  <c r="D2104" i="4"/>
  <c r="D2113" i="4"/>
  <c r="D2122" i="4"/>
  <c r="D2131" i="4"/>
  <c r="D2140" i="4"/>
  <c r="D2149" i="4"/>
  <c r="D2158" i="4"/>
  <c r="D2168" i="4"/>
  <c r="D2177" i="4"/>
  <c r="D2186" i="4"/>
  <c r="D2195" i="4"/>
  <c r="D2204" i="4"/>
  <c r="D2213" i="4"/>
  <c r="D2222" i="4"/>
  <c r="D2232" i="4"/>
  <c r="D2241" i="4"/>
  <c r="D2250" i="4"/>
  <c r="D2259" i="4"/>
  <c r="D2268" i="4"/>
  <c r="D2276" i="4"/>
  <c r="D2284" i="4"/>
  <c r="D2292" i="4"/>
  <c r="D2300" i="4"/>
  <c r="D2308" i="4"/>
  <c r="D2316" i="4"/>
  <c r="D2324" i="4"/>
  <c r="D2332" i="4"/>
  <c r="D2340" i="4"/>
  <c r="D2348" i="4"/>
  <c r="D2356" i="4"/>
  <c r="D2364" i="4"/>
  <c r="D2372" i="4"/>
  <c r="D2380" i="4"/>
  <c r="D2388" i="4"/>
  <c r="D2396" i="4"/>
  <c r="D2404" i="4"/>
  <c r="D2412" i="4"/>
  <c r="D2420" i="4"/>
  <c r="D2428" i="4"/>
  <c r="D2436" i="4"/>
  <c r="D2444" i="4"/>
  <c r="D78" i="4"/>
  <c r="D527" i="4"/>
  <c r="D741" i="4"/>
  <c r="D902" i="4"/>
  <c r="D1034" i="4"/>
  <c r="D1118" i="4"/>
  <c r="D1175" i="4"/>
  <c r="D1222" i="4"/>
  <c r="D1259" i="4"/>
  <c r="D1295" i="4"/>
  <c r="D1332" i="4"/>
  <c r="D1369" i="4"/>
  <c r="D1405" i="4"/>
  <c r="D1442" i="4"/>
  <c r="D1478" i="4"/>
  <c r="D1515" i="4"/>
  <c r="D1551" i="4"/>
  <c r="D1581" i="4"/>
  <c r="D1606" i="4"/>
  <c r="D1622" i="4"/>
  <c r="D1637" i="4"/>
  <c r="D1651" i="4"/>
  <c r="D1664" i="4"/>
  <c r="D1677" i="4"/>
  <c r="D1688" i="4"/>
  <c r="D1698" i="4"/>
  <c r="D1709" i="4"/>
  <c r="D1720" i="4"/>
  <c r="D1730" i="4"/>
  <c r="D1739" i="4"/>
  <c r="D1748" i="4"/>
  <c r="D1757" i="4"/>
  <c r="D1766" i="4"/>
  <c r="D1776" i="4"/>
  <c r="D1785" i="4"/>
  <c r="D1794" i="4"/>
  <c r="D1803" i="4"/>
  <c r="D1812" i="4"/>
  <c r="D1821" i="4"/>
  <c r="D1830" i="4"/>
  <c r="D1840" i="4"/>
  <c r="D1849" i="4"/>
  <c r="D1858" i="4"/>
  <c r="D1867" i="4"/>
  <c r="D1876" i="4"/>
  <c r="D1885" i="4"/>
  <c r="D1894" i="4"/>
  <c r="D1904" i="4"/>
  <c r="D1913" i="4"/>
  <c r="D1922" i="4"/>
  <c r="D1931" i="4"/>
  <c r="D1940" i="4"/>
  <c r="D1949" i="4"/>
  <c r="D1958" i="4"/>
  <c r="D1968" i="4"/>
  <c r="D1977" i="4"/>
  <c r="D1986" i="4"/>
  <c r="D1995" i="4"/>
  <c r="D2004" i="4"/>
  <c r="D2013" i="4"/>
  <c r="D2022" i="4"/>
  <c r="D2032" i="4"/>
  <c r="D2041" i="4"/>
  <c r="D2050" i="4"/>
  <c r="D2059" i="4"/>
  <c r="D2068" i="4"/>
  <c r="D2077" i="4"/>
  <c r="D2086" i="4"/>
  <c r="D2096" i="4"/>
  <c r="D2105" i="4"/>
  <c r="D2114" i="4"/>
  <c r="D2123" i="4"/>
  <c r="D2132" i="4"/>
  <c r="D2141" i="4"/>
  <c r="D2150" i="4"/>
  <c r="D2160" i="4"/>
  <c r="D2169" i="4"/>
  <c r="D2178" i="4"/>
  <c r="D2187" i="4"/>
  <c r="D2196" i="4"/>
  <c r="D2205" i="4"/>
  <c r="D2214" i="4"/>
  <c r="D2224" i="4"/>
  <c r="D2233" i="4"/>
  <c r="D2242" i="4"/>
  <c r="D191" i="4"/>
  <c r="D553" i="4"/>
  <c r="D758" i="4"/>
  <c r="D917" i="4"/>
  <c r="D1043" i="4"/>
  <c r="D1125" i="4"/>
  <c r="D1180" i="4"/>
  <c r="D1226" i="4"/>
  <c r="D1262" i="4"/>
  <c r="D1299" i="4"/>
  <c r="D1335" i="4"/>
  <c r="D1372" i="4"/>
  <c r="D1409" i="4"/>
  <c r="D1445" i="4"/>
  <c r="D1482" i="4"/>
  <c r="D1518" i="4"/>
  <c r="D1555" i="4"/>
  <c r="D1582" i="4"/>
  <c r="D1609" i="4"/>
  <c r="D1625" i="4"/>
  <c r="D1639" i="4"/>
  <c r="D1653" i="4"/>
  <c r="D1665" i="4"/>
  <c r="D1678" i="4"/>
  <c r="D1689" i="4"/>
  <c r="D1699" i="4"/>
  <c r="D1710" i="4"/>
  <c r="D1721" i="4"/>
  <c r="D1731" i="4"/>
  <c r="D1740" i="4"/>
  <c r="D1749" i="4"/>
  <c r="D1758" i="4"/>
  <c r="D1768" i="4"/>
  <c r="D1777" i="4"/>
  <c r="D1786" i="4"/>
  <c r="D1795" i="4"/>
  <c r="D1804" i="4"/>
  <c r="D1813" i="4"/>
  <c r="D1822" i="4"/>
  <c r="D1832" i="4"/>
  <c r="D1841" i="4"/>
  <c r="D1850" i="4"/>
  <c r="D1859" i="4"/>
  <c r="D1868" i="4"/>
  <c r="D1877" i="4"/>
  <c r="D1886" i="4"/>
  <c r="D1896" i="4"/>
  <c r="D1905" i="4"/>
  <c r="D1914" i="4"/>
  <c r="D1923" i="4"/>
  <c r="D1932" i="4"/>
  <c r="D1941" i="4"/>
  <c r="D1950" i="4"/>
  <c r="D1960" i="4"/>
  <c r="D1969" i="4"/>
  <c r="D1978" i="4"/>
  <c r="D1987" i="4"/>
  <c r="D1996" i="4"/>
  <c r="D2005" i="4"/>
  <c r="D2014" i="4"/>
  <c r="D2024" i="4"/>
  <c r="D2033" i="4"/>
  <c r="D2042" i="4"/>
  <c r="D2051" i="4"/>
  <c r="D2060" i="4"/>
  <c r="D2069" i="4"/>
  <c r="D2078" i="4"/>
  <c r="D2088" i="4"/>
  <c r="D2097" i="4"/>
  <c r="D2106" i="4"/>
  <c r="D2115" i="4"/>
  <c r="D2124" i="4"/>
  <c r="D2133" i="4"/>
  <c r="D2142" i="4"/>
  <c r="D2152" i="4"/>
  <c r="D2161" i="4"/>
  <c r="D2170" i="4"/>
  <c r="D2179" i="4"/>
  <c r="D2188" i="4"/>
  <c r="D2197" i="4"/>
  <c r="D2206" i="4"/>
  <c r="D2216" i="4"/>
  <c r="D2225" i="4"/>
  <c r="D2234" i="4"/>
  <c r="D2243" i="4"/>
  <c r="D2252" i="4"/>
  <c r="D2261" i="4"/>
  <c r="D2270" i="4"/>
  <c r="D2278" i="4"/>
  <c r="D2286" i="4"/>
  <c r="D2294" i="4"/>
  <c r="D2302" i="4"/>
  <c r="D2310" i="4"/>
  <c r="D2318" i="4"/>
  <c r="D2326" i="4"/>
  <c r="D2334" i="4"/>
  <c r="D2342" i="4"/>
  <c r="D2350" i="4"/>
  <c r="D2358" i="4"/>
  <c r="D2366" i="4"/>
  <c r="D2374" i="4"/>
  <c r="D2382" i="4"/>
  <c r="D2390" i="4"/>
  <c r="D2398" i="4"/>
  <c r="D351" i="4"/>
  <c r="D617" i="4"/>
  <c r="D801" i="4"/>
  <c r="D954" i="4"/>
  <c r="D1067" i="4"/>
  <c r="D1138" i="4"/>
  <c r="D1194" i="4"/>
  <c r="D1235" i="4"/>
  <c r="D1271" i="4"/>
  <c r="D1308" i="4"/>
  <c r="D1345" i="4"/>
  <c r="D1381" i="4"/>
  <c r="D1418" i="4"/>
  <c r="D1454" i="4"/>
  <c r="D1491" i="4"/>
  <c r="D1527" i="4"/>
  <c r="D1564" i="4"/>
  <c r="D1590" i="4"/>
  <c r="D1613" i="4"/>
  <c r="D1628" i="4"/>
  <c r="D1643" i="4"/>
  <c r="D1656" i="4"/>
  <c r="D1669" i="4"/>
  <c r="D1681" i="4"/>
  <c r="D1691" i="4"/>
  <c r="D1702" i="4"/>
  <c r="D1713" i="4"/>
  <c r="D1723" i="4"/>
  <c r="D1733" i="4"/>
  <c r="D1742" i="4"/>
  <c r="D1752" i="4"/>
  <c r="D1761" i="4"/>
  <c r="D1770" i="4"/>
  <c r="D1779" i="4"/>
  <c r="D1788" i="4"/>
  <c r="D1797" i="4"/>
  <c r="D1806" i="4"/>
  <c r="D1816" i="4"/>
  <c r="D1825" i="4"/>
  <c r="D1834" i="4"/>
  <c r="D1843" i="4"/>
  <c r="D1852" i="4"/>
  <c r="D1861" i="4"/>
  <c r="D1870" i="4"/>
  <c r="D1880" i="4"/>
  <c r="D1889" i="4"/>
  <c r="D1898" i="4"/>
  <c r="D1907" i="4"/>
  <c r="D1916" i="4"/>
  <c r="D1925" i="4"/>
  <c r="D1934" i="4"/>
  <c r="D1944" i="4"/>
  <c r="D1953" i="4"/>
  <c r="D1962" i="4"/>
  <c r="D1971" i="4"/>
  <c r="D1980" i="4"/>
  <c r="D1989" i="4"/>
  <c r="D1998" i="4"/>
  <c r="D2008" i="4"/>
  <c r="D2017" i="4"/>
  <c r="D2026" i="4"/>
  <c r="D2035" i="4"/>
  <c r="D2044" i="4"/>
  <c r="D2053" i="4"/>
  <c r="D2062" i="4"/>
  <c r="D2072" i="4"/>
  <c r="D2081" i="4"/>
  <c r="D2090" i="4"/>
  <c r="D2099" i="4"/>
  <c r="D2108" i="4"/>
  <c r="D2117" i="4"/>
  <c r="D2126" i="4"/>
  <c r="D2136" i="4"/>
  <c r="D2145" i="4"/>
  <c r="D395" i="4"/>
  <c r="D649" i="4"/>
  <c r="D826" i="4"/>
  <c r="D975" i="4"/>
  <c r="D1082" i="4"/>
  <c r="D1147" i="4"/>
  <c r="D1202" i="4"/>
  <c r="D1241" i="4"/>
  <c r="D1277" i="4"/>
  <c r="D1314" i="4"/>
  <c r="D1350" i="4"/>
  <c r="D1387" i="4"/>
  <c r="D1423" i="4"/>
  <c r="D1460" i="4"/>
  <c r="D1497" i="4"/>
  <c r="D1533" i="4"/>
  <c r="D1570" i="4"/>
  <c r="D1591" i="4"/>
  <c r="D1615" i="4"/>
  <c r="D939" i="4"/>
  <c r="D1231" i="4"/>
  <c r="D1378" i="4"/>
  <c r="D1524" i="4"/>
  <c r="D1627" i="4"/>
  <c r="D1659" i="4"/>
  <c r="D1693" i="4"/>
  <c r="D1722" i="4"/>
  <c r="D1745" i="4"/>
  <c r="D1771" i="4"/>
  <c r="D1796" i="4"/>
  <c r="D1818" i="4"/>
  <c r="D1844" i="4"/>
  <c r="D1869" i="4"/>
  <c r="D1891" i="4"/>
  <c r="D1917" i="4"/>
  <c r="D1942" i="4"/>
  <c r="D1964" i="4"/>
  <c r="D1990" i="4"/>
  <c r="D2016" i="4"/>
  <c r="D2037" i="4"/>
  <c r="D2064" i="4"/>
  <c r="D2089" i="4"/>
  <c r="D2110" i="4"/>
  <c r="D2137" i="4"/>
  <c r="D2156" i="4"/>
  <c r="D2174" i="4"/>
  <c r="D2193" i="4"/>
  <c r="D2211" i="4"/>
  <c r="D2229" i="4"/>
  <c r="D2248" i="4"/>
  <c r="D2264" i="4"/>
  <c r="D2277" i="4"/>
  <c r="D2289" i="4"/>
  <c r="D2303" i="4"/>
  <c r="D2314" i="4"/>
  <c r="D2328" i="4"/>
  <c r="D2341" i="4"/>
  <c r="D2353" i="4"/>
  <c r="D2367" i="4"/>
  <c r="D2378" i="4"/>
  <c r="D2392" i="4"/>
  <c r="D2405" i="4"/>
  <c r="D2415" i="4"/>
  <c r="D2425" i="4"/>
  <c r="D2437" i="4"/>
  <c r="D2447" i="4"/>
  <c r="D2456" i="4"/>
  <c r="D2465" i="4"/>
  <c r="D2474" i="4"/>
  <c r="D2484" i="4"/>
  <c r="D2493" i="4"/>
  <c r="D2502" i="4"/>
  <c r="D2511" i="4"/>
  <c r="D2520" i="4"/>
  <c r="D2529" i="4"/>
  <c r="D2538" i="4"/>
  <c r="D2548" i="4"/>
  <c r="D2557" i="4"/>
  <c r="D2566" i="4"/>
  <c r="D2575" i="4"/>
  <c r="D2584" i="4"/>
  <c r="D2593" i="4"/>
  <c r="D2602" i="4"/>
  <c r="D2612" i="4"/>
  <c r="D2621" i="4"/>
  <c r="D2630" i="4"/>
  <c r="D2639" i="4"/>
  <c r="D2648" i="4"/>
  <c r="D2657" i="4"/>
  <c r="D2666" i="4"/>
  <c r="D2676" i="4"/>
  <c r="D2685" i="4"/>
  <c r="D2694" i="4"/>
  <c r="D2703" i="4"/>
  <c r="D2712" i="4"/>
  <c r="D2721" i="4"/>
  <c r="D2730" i="4"/>
  <c r="D2740" i="4"/>
  <c r="D2749" i="4"/>
  <c r="D2758" i="4"/>
  <c r="D2767" i="4"/>
  <c r="D2775" i="4"/>
  <c r="D2783" i="4"/>
  <c r="D2791" i="4"/>
  <c r="D2799" i="4"/>
  <c r="D2807" i="4"/>
  <c r="D2815" i="4"/>
  <c r="D2823" i="4"/>
  <c r="D2831" i="4"/>
  <c r="D2839" i="4"/>
  <c r="D2847" i="4"/>
  <c r="D2855" i="4"/>
  <c r="D2863" i="4"/>
  <c r="D2871" i="4"/>
  <c r="D2879" i="4"/>
  <c r="D2887" i="4"/>
  <c r="D2895" i="4"/>
  <c r="D2903" i="4"/>
  <c r="D2911" i="4"/>
  <c r="D2919" i="4"/>
  <c r="D2927" i="4"/>
  <c r="D2935" i="4"/>
  <c r="D2943" i="4"/>
  <c r="D2951" i="4"/>
  <c r="D2959" i="4"/>
  <c r="D2967" i="4"/>
  <c r="D2975" i="4"/>
  <c r="D2983" i="4"/>
  <c r="D2991" i="4"/>
  <c r="D2999" i="4"/>
  <c r="D3007" i="4"/>
  <c r="D3015" i="4"/>
  <c r="D3023" i="4"/>
  <c r="D3031" i="4"/>
  <c r="D3039" i="4"/>
  <c r="D3047" i="4"/>
  <c r="D3055" i="4"/>
  <c r="D3063" i="4"/>
  <c r="D3071" i="4"/>
  <c r="D3079" i="4"/>
  <c r="D3087" i="4"/>
  <c r="D3095" i="4"/>
  <c r="D3103" i="4"/>
  <c r="D3111" i="4"/>
  <c r="D3119" i="4"/>
  <c r="D3127" i="4"/>
  <c r="D3135" i="4"/>
  <c r="D3143" i="4"/>
  <c r="D3151" i="4"/>
  <c r="D3159" i="4"/>
  <c r="D3167" i="4"/>
  <c r="D3175" i="4"/>
  <c r="D3183" i="4"/>
  <c r="D3191" i="4"/>
  <c r="D3199" i="4"/>
  <c r="D3207" i="4"/>
  <c r="D3215" i="4"/>
  <c r="D3223" i="4"/>
  <c r="D3231" i="4"/>
  <c r="D3239" i="4"/>
  <c r="D3247" i="4"/>
  <c r="D3255" i="4"/>
  <c r="D3263" i="4"/>
  <c r="D3271" i="4"/>
  <c r="D3279" i="4"/>
  <c r="D3287" i="4"/>
  <c r="D3295" i="4"/>
  <c r="D3303" i="4"/>
  <c r="D3311" i="4"/>
  <c r="D3319" i="4"/>
  <c r="D3327" i="4"/>
  <c r="D3335" i="4"/>
  <c r="D3343" i="4"/>
  <c r="D3351" i="4"/>
  <c r="D3359" i="4"/>
  <c r="D3367" i="4"/>
  <c r="D3375" i="4"/>
  <c r="D3383" i="4"/>
  <c r="D3391" i="4"/>
  <c r="D3399" i="4"/>
  <c r="D3407" i="4"/>
  <c r="D3415" i="4"/>
  <c r="D3423" i="4"/>
  <c r="D3431" i="4"/>
  <c r="D3439" i="4"/>
  <c r="D3447" i="4"/>
  <c r="D3455" i="4"/>
  <c r="D3463" i="4"/>
  <c r="D3471" i="4"/>
  <c r="D990" i="4"/>
  <c r="D1244" i="4"/>
  <c r="D1390" i="4"/>
  <c r="D1537" i="4"/>
  <c r="D1630" i="4"/>
  <c r="D1667" i="4"/>
  <c r="D1694" i="4"/>
  <c r="D1725" i="4"/>
  <c r="D1750" i="4"/>
  <c r="D1772" i="4"/>
  <c r="D1798" i="4"/>
  <c r="D1824" i="4"/>
  <c r="D1845" i="4"/>
  <c r="D1872" i="4"/>
  <c r="D1897" i="4"/>
  <c r="D1918" i="4"/>
  <c r="D1945" i="4"/>
  <c r="D1970" i="4"/>
  <c r="D1992" i="4"/>
  <c r="D2018" i="4"/>
  <c r="D2043" i="4"/>
  <c r="D2065" i="4"/>
  <c r="D2091" i="4"/>
  <c r="D2116" i="4"/>
  <c r="D2138" i="4"/>
  <c r="D2162" i="4"/>
  <c r="D2180" i="4"/>
  <c r="D2198" i="4"/>
  <c r="D2217" i="4"/>
  <c r="D2235" i="4"/>
  <c r="D2251" i="4"/>
  <c r="D2265" i="4"/>
  <c r="D2279" i="4"/>
  <c r="D2290" i="4"/>
  <c r="D2304" i="4"/>
  <c r="D2317" i="4"/>
  <c r="D2329" i="4"/>
  <c r="D2343" i="4"/>
  <c r="D2354" i="4"/>
  <c r="D2368" i="4"/>
  <c r="D2381" i="4"/>
  <c r="D2393" i="4"/>
  <c r="D2406" i="4"/>
  <c r="D2416" i="4"/>
  <c r="D2426" i="4"/>
  <c r="D2438" i="4"/>
  <c r="D2448" i="4"/>
  <c r="D2457" i="4"/>
  <c r="D2466" i="4"/>
  <c r="D2476" i="4"/>
  <c r="D2485" i="4"/>
  <c r="D2494" i="4"/>
  <c r="D2503" i="4"/>
  <c r="D2512" i="4"/>
  <c r="D2521" i="4"/>
  <c r="D2530" i="4"/>
  <c r="D2540" i="4"/>
  <c r="D2549" i="4"/>
  <c r="D2558" i="4"/>
  <c r="D2567" i="4"/>
  <c r="D2576" i="4"/>
  <c r="D2585" i="4"/>
  <c r="D2594" i="4"/>
  <c r="D2604" i="4"/>
  <c r="D2613" i="4"/>
  <c r="D2622" i="4"/>
  <c r="D2631" i="4"/>
  <c r="D2640" i="4"/>
  <c r="D2649" i="4"/>
  <c r="D2658" i="4"/>
  <c r="D2668" i="4"/>
  <c r="D2677" i="4"/>
  <c r="D2686" i="4"/>
  <c r="D2695" i="4"/>
  <c r="D2704" i="4"/>
  <c r="D2713" i="4"/>
  <c r="D2722" i="4"/>
  <c r="D2732" i="4"/>
  <c r="D2741" i="4"/>
  <c r="D2750" i="4"/>
  <c r="D2759" i="4"/>
  <c r="D2768" i="4"/>
  <c r="D2776" i="4"/>
  <c r="D2784" i="4"/>
  <c r="D2792" i="4"/>
  <c r="D2800" i="4"/>
  <c r="D2808" i="4"/>
  <c r="D2816" i="4"/>
  <c r="D2824" i="4"/>
  <c r="D2832" i="4"/>
  <c r="D2840" i="4"/>
  <c r="D2848" i="4"/>
  <c r="D2856" i="4"/>
  <c r="D2864" i="4"/>
  <c r="D2872" i="4"/>
  <c r="D2880" i="4"/>
  <c r="D2888" i="4"/>
  <c r="D2896" i="4"/>
  <c r="D2904" i="4"/>
  <c r="D2912" i="4"/>
  <c r="D2920" i="4"/>
  <c r="D2928" i="4"/>
  <c r="D2936" i="4"/>
  <c r="D2944" i="4"/>
  <c r="D2952" i="4"/>
  <c r="D2960" i="4"/>
  <c r="D2968" i="4"/>
  <c r="D2976" i="4"/>
  <c r="D2984" i="4"/>
  <c r="D2992" i="4"/>
  <c r="D3000" i="4"/>
  <c r="D3008" i="4"/>
  <c r="D3016" i="4"/>
  <c r="D3024" i="4"/>
  <c r="D3032" i="4"/>
  <c r="D3040" i="4"/>
  <c r="D3048" i="4"/>
  <c r="D3056" i="4"/>
  <c r="D3064" i="4"/>
  <c r="D3072" i="4"/>
  <c r="D3080" i="4"/>
  <c r="D3088" i="4"/>
  <c r="D3096" i="4"/>
  <c r="D3104" i="4"/>
  <c r="D3112" i="4"/>
  <c r="D3120" i="4"/>
  <c r="D3128" i="4"/>
  <c r="D3136" i="4"/>
  <c r="D3144" i="4"/>
  <c r="D3152" i="4"/>
  <c r="D3160" i="4"/>
  <c r="D3168" i="4"/>
  <c r="D310" i="4"/>
  <c r="D1058" i="4"/>
  <c r="D1268" i="4"/>
  <c r="D1414" i="4"/>
  <c r="D1561" i="4"/>
  <c r="D1631" i="4"/>
  <c r="D1670" i="4"/>
  <c r="D1701" i="4"/>
  <c r="D1726" i="4"/>
  <c r="D1753" i="4"/>
  <c r="D1778" i="4"/>
  <c r="D1800" i="4"/>
  <c r="D1826" i="4"/>
  <c r="D1851" i="4"/>
  <c r="D1873" i="4"/>
  <c r="D1899" i="4"/>
  <c r="D1924" i="4"/>
  <c r="D1946" i="4"/>
  <c r="D1972" i="4"/>
  <c r="D1997" i="4"/>
  <c r="D2019" i="4"/>
  <c r="D2045" i="4"/>
  <c r="D2070" i="4"/>
  <c r="D2092" i="4"/>
  <c r="D2118" i="4"/>
  <c r="D2144" i="4"/>
  <c r="D2163" i="4"/>
  <c r="D2181" i="4"/>
  <c r="D2200" i="4"/>
  <c r="D2218" i="4"/>
  <c r="D2236" i="4"/>
  <c r="D2253" i="4"/>
  <c r="D2266" i="4"/>
  <c r="D2280" i="4"/>
  <c r="D2293" i="4"/>
  <c r="D2305" i="4"/>
  <c r="D2319" i="4"/>
  <c r="D2330" i="4"/>
  <c r="D2344" i="4"/>
  <c r="D2357" i="4"/>
  <c r="D2369" i="4"/>
  <c r="D2383" i="4"/>
  <c r="D2394" i="4"/>
  <c r="D2407" i="4"/>
  <c r="D2417" i="4"/>
  <c r="D2429" i="4"/>
  <c r="D2439" i="4"/>
  <c r="D2449" i="4"/>
  <c r="D2458" i="4"/>
  <c r="D2468" i="4"/>
  <c r="D2477" i="4"/>
  <c r="D2486" i="4"/>
  <c r="D2495" i="4"/>
  <c r="D2504" i="4"/>
  <c r="D2513" i="4"/>
  <c r="D2522" i="4"/>
  <c r="D2532" i="4"/>
  <c r="D2541" i="4"/>
  <c r="D2550" i="4"/>
  <c r="D2559" i="4"/>
  <c r="D2568" i="4"/>
  <c r="D2577" i="4"/>
  <c r="D2586" i="4"/>
  <c r="D2596" i="4"/>
  <c r="D2605" i="4"/>
  <c r="D2614" i="4"/>
  <c r="D2623" i="4"/>
  <c r="D2632" i="4"/>
  <c r="D2641" i="4"/>
  <c r="D2650" i="4"/>
  <c r="D2660" i="4"/>
  <c r="D2669" i="4"/>
  <c r="D2678" i="4"/>
  <c r="D2687" i="4"/>
  <c r="D2696" i="4"/>
  <c r="D2705" i="4"/>
  <c r="D2714" i="4"/>
  <c r="D2724" i="4"/>
  <c r="D2733" i="4"/>
  <c r="D2742" i="4"/>
  <c r="D2751" i="4"/>
  <c r="D2760" i="4"/>
  <c r="D2769" i="4"/>
  <c r="D2777" i="4"/>
  <c r="D2785" i="4"/>
  <c r="D424" i="4"/>
  <c r="D1091" i="4"/>
  <c r="D1281" i="4"/>
  <c r="D1427" i="4"/>
  <c r="D1572" i="4"/>
  <c r="D1641" i="4"/>
  <c r="D1672" i="4"/>
  <c r="D1704" i="4"/>
  <c r="D1732" i="4"/>
  <c r="D1754" i="4"/>
  <c r="D1780" i="4"/>
  <c r="D1805" i="4"/>
  <c r="D1827" i="4"/>
  <c r="D1853" i="4"/>
  <c r="D1878" i="4"/>
  <c r="D1900" i="4"/>
  <c r="D1926" i="4"/>
  <c r="D1952" i="4"/>
  <c r="D1973" i="4"/>
  <c r="D2000" i="4"/>
  <c r="D2025" i="4"/>
  <c r="D2046" i="4"/>
  <c r="D2073" i="4"/>
  <c r="D2098" i="4"/>
  <c r="D2120" i="4"/>
  <c r="D2146" i="4"/>
  <c r="D2164" i="4"/>
  <c r="D2182" i="4"/>
  <c r="D2201" i="4"/>
  <c r="D2219" i="4"/>
  <c r="D2237" i="4"/>
  <c r="D2254" i="4"/>
  <c r="D2269" i="4"/>
  <c r="D2281" i="4"/>
  <c r="D2295" i="4"/>
  <c r="D2306" i="4"/>
  <c r="D2320" i="4"/>
  <c r="D2333" i="4"/>
  <c r="D2345" i="4"/>
  <c r="D2359" i="4"/>
  <c r="D2370" i="4"/>
  <c r="D2384" i="4"/>
  <c r="D2397" i="4"/>
  <c r="D2408" i="4"/>
  <c r="D2418" i="4"/>
  <c r="D2430" i="4"/>
  <c r="D2440" i="4"/>
  <c r="D2450" i="4"/>
  <c r="D2460" i="4"/>
  <c r="D2469" i="4"/>
  <c r="D2478" i="4"/>
  <c r="D2487" i="4"/>
  <c r="D2496" i="4"/>
  <c r="D2505" i="4"/>
  <c r="D2514" i="4"/>
  <c r="D2524" i="4"/>
  <c r="D2533" i="4"/>
  <c r="D2542" i="4"/>
  <c r="D2551" i="4"/>
  <c r="D2560" i="4"/>
  <c r="D2569" i="4"/>
  <c r="D2578" i="4"/>
  <c r="D2588" i="4"/>
  <c r="D2597" i="4"/>
  <c r="D2606" i="4"/>
  <c r="D2615" i="4"/>
  <c r="D2624" i="4"/>
  <c r="D2633" i="4"/>
  <c r="D2642" i="4"/>
  <c r="D2652" i="4"/>
  <c r="D2661" i="4"/>
  <c r="D2670" i="4"/>
  <c r="D2679" i="4"/>
  <c r="D2688" i="4"/>
  <c r="D2697" i="4"/>
  <c r="D2706" i="4"/>
  <c r="D2716" i="4"/>
  <c r="D2725" i="4"/>
  <c r="D2734" i="4"/>
  <c r="D2743" i="4"/>
  <c r="D2752" i="4"/>
  <c r="D2761" i="4"/>
  <c r="D2770" i="4"/>
  <c r="D2778" i="4"/>
  <c r="D2786" i="4"/>
  <c r="D2794" i="4"/>
  <c r="D2802" i="4"/>
  <c r="D2810" i="4"/>
  <c r="D2818" i="4"/>
  <c r="D2826" i="4"/>
  <c r="D2834" i="4"/>
  <c r="D2842" i="4"/>
  <c r="D2850" i="4"/>
  <c r="D2858" i="4"/>
  <c r="D2866" i="4"/>
  <c r="D2874" i="4"/>
  <c r="D2882" i="4"/>
  <c r="D2890" i="4"/>
  <c r="D2898" i="4"/>
  <c r="D2906" i="4"/>
  <c r="D2914" i="4"/>
  <c r="D2922" i="4"/>
  <c r="D2930" i="4"/>
  <c r="D2938" i="4"/>
  <c r="D2946" i="4"/>
  <c r="D2954" i="4"/>
  <c r="D2962" i="4"/>
  <c r="D2970" i="4"/>
  <c r="D670" i="4"/>
  <c r="D1154" i="4"/>
  <c r="D1317" i="4"/>
  <c r="D1463" i="4"/>
  <c r="D1597" i="4"/>
  <c r="D1646" i="4"/>
  <c r="D1682" i="4"/>
  <c r="D1712" i="4"/>
  <c r="D1736" i="4"/>
  <c r="D1762" i="4"/>
  <c r="D1787" i="4"/>
  <c r="D1809" i="4"/>
  <c r="D1835" i="4"/>
  <c r="D1860" i="4"/>
  <c r="D1882" i="4"/>
  <c r="D1908" i="4"/>
  <c r="D1933" i="4"/>
  <c r="D1955" i="4"/>
  <c r="D1981" i="4"/>
  <c r="D2006" i="4"/>
  <c r="D2028" i="4"/>
  <c r="D2054" i="4"/>
  <c r="D2080" i="4"/>
  <c r="D2101" i="4"/>
  <c r="D2128" i="4"/>
  <c r="D2153" i="4"/>
  <c r="D2171" i="4"/>
  <c r="D2189" i="4"/>
  <c r="D2208" i="4"/>
  <c r="D2226" i="4"/>
  <c r="D2244" i="4"/>
  <c r="D2257" i="4"/>
  <c r="D2272" i="4"/>
  <c r="D2285" i="4"/>
  <c r="D2297" i="4"/>
  <c r="D2311" i="4"/>
  <c r="D2322" i="4"/>
  <c r="D2336" i="4"/>
  <c r="D2349" i="4"/>
  <c r="D2361" i="4"/>
  <c r="D2375" i="4"/>
  <c r="D2386" i="4"/>
  <c r="D2400" i="4"/>
  <c r="D2410" i="4"/>
  <c r="D2422" i="4"/>
  <c r="D2432" i="4"/>
  <c r="D2442" i="4"/>
  <c r="D2453" i="4"/>
  <c r="D2462" i="4"/>
  <c r="D2471" i="4"/>
  <c r="D2480" i="4"/>
  <c r="D2489" i="4"/>
  <c r="D2498" i="4"/>
  <c r="D2508" i="4"/>
  <c r="D2517" i="4"/>
  <c r="D2526" i="4"/>
  <c r="D2535" i="4"/>
  <c r="D2544" i="4"/>
  <c r="D2553" i="4"/>
  <c r="D2562" i="4"/>
  <c r="D2572" i="4"/>
  <c r="D2581" i="4"/>
  <c r="D2590" i="4"/>
  <c r="D2599" i="4"/>
  <c r="D2608" i="4"/>
  <c r="D2617" i="4"/>
  <c r="D2626" i="4"/>
  <c r="D2636" i="4"/>
  <c r="D2645" i="4"/>
  <c r="D2654" i="4"/>
  <c r="D2663" i="4"/>
  <c r="D2672" i="4"/>
  <c r="D2681" i="4"/>
  <c r="D2690" i="4"/>
  <c r="D2700" i="4"/>
  <c r="D2709" i="4"/>
  <c r="D2718" i="4"/>
  <c r="D2727" i="4"/>
  <c r="D2736" i="4"/>
  <c r="D2745" i="4"/>
  <c r="D2754" i="4"/>
  <c r="D2764" i="4"/>
  <c r="D2772" i="4"/>
  <c r="D2780" i="4"/>
  <c r="D2788" i="4"/>
  <c r="D2796" i="4"/>
  <c r="D2804" i="4"/>
  <c r="D2812" i="4"/>
  <c r="D2820" i="4"/>
  <c r="D2828" i="4"/>
  <c r="D2836" i="4"/>
  <c r="D783" i="4"/>
  <c r="D1188" i="4"/>
  <c r="D1341" i="4"/>
  <c r="D1487" i="4"/>
  <c r="D1610" i="4"/>
  <c r="D1654" i="4"/>
  <c r="D1683" i="4"/>
  <c r="D1714" i="4"/>
  <c r="D1741" i="4"/>
  <c r="D1763" i="4"/>
  <c r="D1789" i="4"/>
  <c r="D1814" i="4"/>
  <c r="D1836" i="4"/>
  <c r="D1862" i="4"/>
  <c r="D1888" i="4"/>
  <c r="D1909" i="4"/>
  <c r="D1936" i="4"/>
  <c r="D1961" i="4"/>
  <c r="D1982" i="4"/>
  <c r="D2009" i="4"/>
  <c r="D2034" i="4"/>
  <c r="D2056" i="4"/>
  <c r="D2082" i="4"/>
  <c r="D2107" i="4"/>
  <c r="D2129" i="4"/>
  <c r="D2154" i="4"/>
  <c r="D2172" i="4"/>
  <c r="D2190" i="4"/>
  <c r="D2209" i="4"/>
  <c r="D2227" i="4"/>
  <c r="D2245" i="4"/>
  <c r="D2260" i="4"/>
  <c r="D2273" i="4"/>
  <c r="D2287" i="4"/>
  <c r="D2298" i="4"/>
  <c r="D2312" i="4"/>
  <c r="D2325" i="4"/>
  <c r="D2337" i="4"/>
  <c r="D2351" i="4"/>
  <c r="D2362" i="4"/>
  <c r="D2376" i="4"/>
  <c r="D2389" i="4"/>
  <c r="D2401" i="4"/>
  <c r="D2413" i="4"/>
  <c r="D2423" i="4"/>
  <c r="D2433" i="4"/>
  <c r="D2445" i="4"/>
  <c r="D2454" i="4"/>
  <c r="D2463" i="4"/>
  <c r="D2472" i="4"/>
  <c r="D2481" i="4"/>
  <c r="D2490" i="4"/>
  <c r="D2500" i="4"/>
  <c r="D2509" i="4"/>
  <c r="D2518" i="4"/>
  <c r="D2527" i="4"/>
  <c r="D2536" i="4"/>
  <c r="D2545" i="4"/>
  <c r="D2554" i="4"/>
  <c r="D2564" i="4"/>
  <c r="D2573" i="4"/>
  <c r="D2582" i="4"/>
  <c r="D2591" i="4"/>
  <c r="D2600" i="4"/>
  <c r="D2609" i="4"/>
  <c r="D2618" i="4"/>
  <c r="D2628" i="4"/>
  <c r="D2637" i="4"/>
  <c r="D2646" i="4"/>
  <c r="D2655" i="4"/>
  <c r="D2664" i="4"/>
  <c r="D2673" i="4"/>
  <c r="D2682" i="4"/>
  <c r="D2692" i="4"/>
  <c r="D2701" i="4"/>
  <c r="D2710" i="4"/>
  <c r="D2719" i="4"/>
  <c r="D2728" i="4"/>
  <c r="D2737" i="4"/>
  <c r="D2746" i="4"/>
  <c r="D2756" i="4"/>
  <c r="D2765" i="4"/>
  <c r="D2773" i="4"/>
  <c r="D2781" i="4"/>
  <c r="D2789" i="4"/>
  <c r="D2797" i="4"/>
  <c r="D2805" i="4"/>
  <c r="D2813" i="4"/>
  <c r="D2821" i="4"/>
  <c r="D2829" i="4"/>
  <c r="D2837" i="4"/>
  <c r="D2845" i="4"/>
  <c r="D2853" i="4"/>
  <c r="D2861" i="4"/>
  <c r="D2869" i="4"/>
  <c r="D2877" i="4"/>
  <c r="D2885" i="4"/>
  <c r="D2893" i="4"/>
  <c r="D2901" i="4"/>
  <c r="D1451" i="4"/>
  <c r="D1705" i="4"/>
  <c r="D1808" i="4"/>
  <c r="D1906" i="4"/>
  <c r="D2001" i="4"/>
  <c r="D2100" i="4"/>
  <c r="D2184" i="4"/>
  <c r="D2256" i="4"/>
  <c r="D2309" i="4"/>
  <c r="D2360" i="4"/>
  <c r="D2409" i="4"/>
  <c r="D2452" i="4"/>
  <c r="D2488" i="4"/>
  <c r="D2525" i="4"/>
  <c r="D2561" i="4"/>
  <c r="D2598" i="4"/>
  <c r="D2634" i="4"/>
  <c r="D2671" i="4"/>
  <c r="D2708" i="4"/>
  <c r="D2744" i="4"/>
  <c r="D2779" i="4"/>
  <c r="D2803" i="4"/>
  <c r="D2825" i="4"/>
  <c r="D2844" i="4"/>
  <c r="D2860" i="4"/>
  <c r="D2876" i="4"/>
  <c r="D2892" i="4"/>
  <c r="D2908" i="4"/>
  <c r="D2921" i="4"/>
  <c r="D2933" i="4"/>
  <c r="D2947" i="4"/>
  <c r="D2958" i="4"/>
  <c r="D2972" i="4"/>
  <c r="D2982" i="4"/>
  <c r="D2994" i="4"/>
  <c r="D3004" i="4"/>
  <c r="D3014" i="4"/>
  <c r="D3026" i="4"/>
  <c r="D3036" i="4"/>
  <c r="D3046" i="4"/>
  <c r="D3058" i="4"/>
  <c r="D3068" i="4"/>
  <c r="D3078" i="4"/>
  <c r="D3090" i="4"/>
  <c r="D3100" i="4"/>
  <c r="D3110" i="4"/>
  <c r="D3122" i="4"/>
  <c r="D3132" i="4"/>
  <c r="D3142" i="4"/>
  <c r="D3154" i="4"/>
  <c r="D3164" i="4"/>
  <c r="D3174" i="4"/>
  <c r="D3184" i="4"/>
  <c r="D3193" i="4"/>
  <c r="D3202" i="4"/>
  <c r="D3211" i="4"/>
  <c r="D3220" i="4"/>
  <c r="D3229" i="4"/>
  <c r="D3238" i="4"/>
  <c r="D3248" i="4"/>
  <c r="D3257" i="4"/>
  <c r="D3266" i="4"/>
  <c r="D3275" i="4"/>
  <c r="D3284" i="4"/>
  <c r="D3293" i="4"/>
  <c r="D3302" i="4"/>
  <c r="D3312" i="4"/>
  <c r="D3321" i="4"/>
  <c r="D3330" i="4"/>
  <c r="D3339" i="4"/>
  <c r="D3348" i="4"/>
  <c r="D3357" i="4"/>
  <c r="D3366" i="4"/>
  <c r="D3376" i="4"/>
  <c r="D3385" i="4"/>
  <c r="D3394" i="4"/>
  <c r="D3403" i="4"/>
  <c r="D3412" i="4"/>
  <c r="D3421" i="4"/>
  <c r="D3430" i="4"/>
  <c r="D3440" i="4"/>
  <c r="D3449" i="4"/>
  <c r="D3458" i="4"/>
  <c r="D3467" i="4"/>
  <c r="D3476" i="4"/>
  <c r="D3484" i="4"/>
  <c r="D3492" i="4"/>
  <c r="D3500" i="4"/>
  <c r="D3508" i="4"/>
  <c r="D3516" i="4"/>
  <c r="D3524" i="4"/>
  <c r="D3532" i="4"/>
  <c r="D3540" i="4"/>
  <c r="D3548" i="4"/>
  <c r="D3556" i="4"/>
  <c r="D3564" i="4"/>
  <c r="D3572" i="4"/>
  <c r="D3580" i="4"/>
  <c r="D3588" i="4"/>
  <c r="D3596" i="4"/>
  <c r="D3604" i="4"/>
  <c r="D3612" i="4"/>
  <c r="D3620" i="4"/>
  <c r="D3628" i="4"/>
  <c r="D3636" i="4"/>
  <c r="D3644" i="4"/>
  <c r="D3652" i="4"/>
  <c r="D3660" i="4"/>
  <c r="D3668" i="4"/>
  <c r="D3676" i="4"/>
  <c r="D3684" i="4"/>
  <c r="D3692" i="4"/>
  <c r="D3700" i="4"/>
  <c r="D3708" i="4"/>
  <c r="D3716" i="4"/>
  <c r="D3724" i="4"/>
  <c r="D3732" i="4"/>
  <c r="D3740" i="4"/>
  <c r="D3748" i="4"/>
  <c r="D3756" i="4"/>
  <c r="D3764" i="4"/>
  <c r="D3772" i="4"/>
  <c r="D3780" i="4"/>
  <c r="D3788" i="4"/>
  <c r="D3796" i="4"/>
  <c r="D3804" i="4"/>
  <c r="D3812" i="4"/>
  <c r="D3820" i="4"/>
  <c r="D3828" i="4"/>
  <c r="D3836" i="4"/>
  <c r="D3844" i="4"/>
  <c r="D3852" i="4"/>
  <c r="D3860" i="4"/>
  <c r="D3868" i="4"/>
  <c r="D3876" i="4"/>
  <c r="D3884" i="4"/>
  <c r="D3892" i="4"/>
  <c r="D3900" i="4"/>
  <c r="D3908" i="4"/>
  <c r="D3916" i="4"/>
  <c r="D3924" i="4"/>
  <c r="D3932" i="4"/>
  <c r="D3940" i="4"/>
  <c r="D3948" i="4"/>
  <c r="D3956" i="4"/>
  <c r="D3964" i="4"/>
  <c r="D3972" i="4"/>
  <c r="D3980" i="4"/>
  <c r="D3988" i="4"/>
  <c r="D3996" i="4"/>
  <c r="D4004" i="4"/>
  <c r="D4012" i="4"/>
  <c r="D4020" i="4"/>
  <c r="D4028" i="4"/>
  <c r="D4036" i="4"/>
  <c r="D4044" i="4"/>
  <c r="D4052" i="4"/>
  <c r="D4060" i="4"/>
  <c r="D4068" i="4"/>
  <c r="D4076" i="4"/>
  <c r="D4084" i="4"/>
  <c r="D4092" i="4"/>
  <c r="D4100" i="4"/>
  <c r="D4108" i="4"/>
  <c r="D4116" i="4"/>
  <c r="D4124" i="4"/>
  <c r="D4132" i="4"/>
  <c r="D4140" i="4"/>
  <c r="D4148" i="4"/>
  <c r="D4156" i="4"/>
  <c r="D4164" i="4"/>
  <c r="D4172" i="4"/>
  <c r="D4180" i="4"/>
  <c r="D4188" i="4"/>
  <c r="D4196" i="4"/>
  <c r="D4204" i="4"/>
  <c r="D4212" i="4"/>
  <c r="D4220" i="4"/>
  <c r="D4228" i="4"/>
  <c r="D4236" i="4"/>
  <c r="D4244" i="4"/>
  <c r="D4252" i="4"/>
  <c r="D4260" i="4"/>
  <c r="D4268" i="4"/>
  <c r="D4276" i="4"/>
  <c r="D4284" i="4"/>
  <c r="D4292" i="4"/>
  <c r="D4300" i="4"/>
  <c r="D4308" i="4"/>
  <c r="D4316" i="4"/>
  <c r="D4324" i="4"/>
  <c r="D4332" i="4"/>
  <c r="D4340" i="4"/>
  <c r="D4348" i="4"/>
  <c r="D4356" i="4"/>
  <c r="D4364" i="4"/>
  <c r="D4372" i="4"/>
  <c r="D4380" i="4"/>
  <c r="D4388" i="4"/>
  <c r="D4396" i="4"/>
  <c r="D4404" i="4"/>
  <c r="D4412" i="4"/>
  <c r="D4420" i="4"/>
  <c r="D4428" i="4"/>
  <c r="D4436" i="4"/>
  <c r="D4444" i="4"/>
  <c r="D4452" i="4"/>
  <c r="D4460" i="4"/>
  <c r="D4468" i="4"/>
  <c r="D4476" i="4"/>
  <c r="D4484" i="4"/>
  <c r="D4492" i="4"/>
  <c r="D4500" i="4"/>
  <c r="D4508" i="4"/>
  <c r="D4516" i="4"/>
  <c r="D4524" i="4"/>
  <c r="D4532" i="4"/>
  <c r="D4540" i="4"/>
  <c r="D4548" i="4"/>
  <c r="D4556" i="4"/>
  <c r="D4564" i="4"/>
  <c r="D1500" i="4"/>
  <c r="D1715" i="4"/>
  <c r="D1817" i="4"/>
  <c r="D1915" i="4"/>
  <c r="D2010" i="4"/>
  <c r="D2109" i="4"/>
  <c r="D2192" i="4"/>
  <c r="D2262" i="4"/>
  <c r="D2313" i="4"/>
  <c r="D2365" i="4"/>
  <c r="D2414" i="4"/>
  <c r="D2455" i="4"/>
  <c r="D2492" i="4"/>
  <c r="D2528" i="4"/>
  <c r="D2565" i="4"/>
  <c r="D2601" i="4"/>
  <c r="D2638" i="4"/>
  <c r="D2674" i="4"/>
  <c r="D2711" i="4"/>
  <c r="D2748" i="4"/>
  <c r="D2782" i="4"/>
  <c r="D2806" i="4"/>
  <c r="D2827" i="4"/>
  <c r="D2846" i="4"/>
  <c r="D2862" i="4"/>
  <c r="D2878" i="4"/>
  <c r="D2894" i="4"/>
  <c r="D2909" i="4"/>
  <c r="D2923" i="4"/>
  <c r="D2934" i="4"/>
  <c r="D2948" i="4"/>
  <c r="D2961" i="4"/>
  <c r="D2973" i="4"/>
  <c r="D2985" i="4"/>
  <c r="D2995" i="4"/>
  <c r="D3005" i="4"/>
  <c r="D3017" i="4"/>
  <c r="D3027" i="4"/>
  <c r="D3037" i="4"/>
  <c r="D3049" i="4"/>
  <c r="D3059" i="4"/>
  <c r="D3069" i="4"/>
  <c r="D3081" i="4"/>
  <c r="D3091" i="4"/>
  <c r="D3101" i="4"/>
  <c r="D3113" i="4"/>
  <c r="D3123" i="4"/>
  <c r="D3133" i="4"/>
  <c r="D3145" i="4"/>
  <c r="D3155" i="4"/>
  <c r="D3165" i="4"/>
  <c r="D3176" i="4"/>
  <c r="D3185" i="4"/>
  <c r="D3194" i="4"/>
  <c r="D3203" i="4"/>
  <c r="D3212" i="4"/>
  <c r="D3221" i="4"/>
  <c r="D3230" i="4"/>
  <c r="D3240" i="4"/>
  <c r="D3249" i="4"/>
  <c r="D3258" i="4"/>
  <c r="D3267" i="4"/>
  <c r="D3276" i="4"/>
  <c r="D3285" i="4"/>
  <c r="D3294" i="4"/>
  <c r="D3304" i="4"/>
  <c r="D3313" i="4"/>
  <c r="D3322" i="4"/>
  <c r="D3331" i="4"/>
  <c r="D3340" i="4"/>
  <c r="D3349" i="4"/>
  <c r="D3358" i="4"/>
  <c r="D3368" i="4"/>
  <c r="D3377" i="4"/>
  <c r="D3386" i="4"/>
  <c r="D3395" i="4"/>
  <c r="D3404" i="4"/>
  <c r="D3413" i="4"/>
  <c r="D3422" i="4"/>
  <c r="D3432" i="4"/>
  <c r="D3441" i="4"/>
  <c r="D3450" i="4"/>
  <c r="D3459" i="4"/>
  <c r="D3468" i="4"/>
  <c r="D3477" i="4"/>
  <c r="D3485" i="4"/>
  <c r="D3493" i="4"/>
  <c r="D3501" i="4"/>
  <c r="D3509" i="4"/>
  <c r="D3517" i="4"/>
  <c r="D3525" i="4"/>
  <c r="D3533" i="4"/>
  <c r="D3541" i="4"/>
  <c r="D3549" i="4"/>
  <c r="D3557" i="4"/>
  <c r="D3565" i="4"/>
  <c r="D3573" i="4"/>
  <c r="D3581" i="4"/>
  <c r="D3589" i="4"/>
  <c r="D3597" i="4"/>
  <c r="D3605" i="4"/>
  <c r="D3613" i="4"/>
  <c r="D3621" i="4"/>
  <c r="D3629" i="4"/>
  <c r="D3637" i="4"/>
  <c r="D3645" i="4"/>
  <c r="D3653" i="4"/>
  <c r="D3661" i="4"/>
  <c r="D3669" i="4"/>
  <c r="D3677" i="4"/>
  <c r="D3685" i="4"/>
  <c r="D3693" i="4"/>
  <c r="D3701" i="4"/>
  <c r="D3709" i="4"/>
  <c r="D3717" i="4"/>
  <c r="D3725" i="4"/>
  <c r="D3733" i="4"/>
  <c r="D3741" i="4"/>
  <c r="D3749" i="4"/>
  <c r="D3757" i="4"/>
  <c r="D3765" i="4"/>
  <c r="D3773" i="4"/>
  <c r="D3781" i="4"/>
  <c r="D3789" i="4"/>
  <c r="D3797" i="4"/>
  <c r="D3805" i="4"/>
  <c r="D3813" i="4"/>
  <c r="D3821" i="4"/>
  <c r="D3829" i="4"/>
  <c r="D3837" i="4"/>
  <c r="D3845" i="4"/>
  <c r="D3853" i="4"/>
  <c r="D3861" i="4"/>
  <c r="D3869" i="4"/>
  <c r="D3877" i="4"/>
  <c r="D3885" i="4"/>
  <c r="D3893" i="4"/>
  <c r="D3901" i="4"/>
  <c r="D591" i="4"/>
  <c r="D1588" i="4"/>
  <c r="D1734" i="4"/>
  <c r="D1833" i="4"/>
  <c r="D1928" i="4"/>
  <c r="D2027" i="4"/>
  <c r="D2125" i="4"/>
  <c r="D2202" i="4"/>
  <c r="D2271" i="4"/>
  <c r="D2321" i="4"/>
  <c r="D2373" i="4"/>
  <c r="D2421" i="4"/>
  <c r="D2461" i="4"/>
  <c r="D2497" i="4"/>
  <c r="D2534" i="4"/>
  <c r="D2570" i="4"/>
  <c r="D2607" i="4"/>
  <c r="D2644" i="4"/>
  <c r="D2680" i="4"/>
  <c r="D2717" i="4"/>
  <c r="D2753" i="4"/>
  <c r="D2787" i="4"/>
  <c r="D2809" i="4"/>
  <c r="D2830" i="4"/>
  <c r="D2849" i="4"/>
  <c r="D2865" i="4"/>
  <c r="D2881" i="4"/>
  <c r="D2897" i="4"/>
  <c r="D2910" i="4"/>
  <c r="D2924" i="4"/>
  <c r="D2937" i="4"/>
  <c r="D2949" i="4"/>
  <c r="D2963" i="4"/>
  <c r="D2974" i="4"/>
  <c r="D2986" i="4"/>
  <c r="D2996" i="4"/>
  <c r="D3006" i="4"/>
  <c r="D3018" i="4"/>
  <c r="D3028" i="4"/>
  <c r="D3038" i="4"/>
  <c r="D3050" i="4"/>
  <c r="D3060" i="4"/>
  <c r="D3070" i="4"/>
  <c r="D3082" i="4"/>
  <c r="D3092" i="4"/>
  <c r="D3102" i="4"/>
  <c r="D3114" i="4"/>
  <c r="D3124" i="4"/>
  <c r="D3134" i="4"/>
  <c r="D3146" i="4"/>
  <c r="D3156" i="4"/>
  <c r="D3166" i="4"/>
  <c r="D3177" i="4"/>
  <c r="D3186" i="4"/>
  <c r="D3195" i="4"/>
  <c r="D3204" i="4"/>
  <c r="D3213" i="4"/>
  <c r="D3222" i="4"/>
  <c r="D3232" i="4"/>
  <c r="D3241" i="4"/>
  <c r="D3250" i="4"/>
  <c r="D3259" i="4"/>
  <c r="D3268" i="4"/>
  <c r="D3277" i="4"/>
  <c r="D3286" i="4"/>
  <c r="D3296" i="4"/>
  <c r="D3305" i="4"/>
  <c r="D3314" i="4"/>
  <c r="D3323" i="4"/>
  <c r="D3332" i="4"/>
  <c r="D3341" i="4"/>
  <c r="D3350" i="4"/>
  <c r="D3360" i="4"/>
  <c r="D3369" i="4"/>
  <c r="D3378" i="4"/>
  <c r="D3387" i="4"/>
  <c r="D3396" i="4"/>
  <c r="D3405" i="4"/>
  <c r="D3414" i="4"/>
  <c r="D3424" i="4"/>
  <c r="D3433" i="4"/>
  <c r="D3442" i="4"/>
  <c r="D3451" i="4"/>
  <c r="D3460" i="4"/>
  <c r="D3469" i="4"/>
  <c r="D3478" i="4"/>
  <c r="D3486" i="4"/>
  <c r="D3494" i="4"/>
  <c r="D3502" i="4"/>
  <c r="D3510" i="4"/>
  <c r="D3518" i="4"/>
  <c r="D3526" i="4"/>
  <c r="D3534" i="4"/>
  <c r="D3542" i="4"/>
  <c r="D3550" i="4"/>
  <c r="D3558" i="4"/>
  <c r="D3566" i="4"/>
  <c r="D3574" i="4"/>
  <c r="D3582" i="4"/>
  <c r="D3590" i="4"/>
  <c r="D3598" i="4"/>
  <c r="D3606" i="4"/>
  <c r="D3614" i="4"/>
  <c r="D3622" i="4"/>
  <c r="D3630" i="4"/>
  <c r="D844" i="4"/>
  <c r="D1618" i="4"/>
  <c r="D1744" i="4"/>
  <c r="D1842" i="4"/>
  <c r="D1937" i="4"/>
  <c r="D2036" i="4"/>
  <c r="D2134" i="4"/>
  <c r="D2210" i="4"/>
  <c r="D2274" i="4"/>
  <c r="D2327" i="4"/>
  <c r="D2377" i="4"/>
  <c r="D2424" i="4"/>
  <c r="D2464" i="4"/>
  <c r="D2501" i="4"/>
  <c r="D2537" i="4"/>
  <c r="D2574" i="4"/>
  <c r="D2610" i="4"/>
  <c r="D2647" i="4"/>
  <c r="D2684" i="4"/>
  <c r="D2720" i="4"/>
  <c r="D2757" i="4"/>
  <c r="D2790" i="4"/>
  <c r="D2811" i="4"/>
  <c r="D2833" i="4"/>
  <c r="D2851" i="4"/>
  <c r="D2867" i="4"/>
  <c r="D2883" i="4"/>
  <c r="D2899" i="4"/>
  <c r="D2913" i="4"/>
  <c r="D2925" i="4"/>
  <c r="D2939" i="4"/>
  <c r="D2950" i="4"/>
  <c r="D2964" i="4"/>
  <c r="D2977" i="4"/>
  <c r="D2987" i="4"/>
  <c r="D2997" i="4"/>
  <c r="D3009" i="4"/>
  <c r="D3019" i="4"/>
  <c r="D3029" i="4"/>
  <c r="D3041" i="4"/>
  <c r="D3051" i="4"/>
  <c r="D3061" i="4"/>
  <c r="D3073" i="4"/>
  <c r="D3083" i="4"/>
  <c r="D3093" i="4"/>
  <c r="D3105" i="4"/>
  <c r="D3115" i="4"/>
  <c r="D3125" i="4"/>
  <c r="D3137" i="4"/>
  <c r="D3147" i="4"/>
  <c r="D3157" i="4"/>
  <c r="D3169" i="4"/>
  <c r="D3178" i="4"/>
  <c r="D3187" i="4"/>
  <c r="D3196" i="4"/>
  <c r="D3205" i="4"/>
  <c r="D3214" i="4"/>
  <c r="D3224" i="4"/>
  <c r="D3233" i="4"/>
  <c r="D3242" i="4"/>
  <c r="D3251" i="4"/>
  <c r="D3260" i="4"/>
  <c r="D3269" i="4"/>
  <c r="D3278" i="4"/>
  <c r="D3288" i="4"/>
  <c r="D3297" i="4"/>
  <c r="D3306" i="4"/>
  <c r="D3315" i="4"/>
  <c r="D3324" i="4"/>
  <c r="D3333" i="4"/>
  <c r="D3342" i="4"/>
  <c r="D3352" i="4"/>
  <c r="D3361" i="4"/>
  <c r="D3370" i="4"/>
  <c r="D3379" i="4"/>
  <c r="D3388" i="4"/>
  <c r="D3397" i="4"/>
  <c r="D3406" i="4"/>
  <c r="D3416" i="4"/>
  <c r="D3425" i="4"/>
  <c r="D3434" i="4"/>
  <c r="D3443" i="4"/>
  <c r="D3452" i="4"/>
  <c r="D3461" i="4"/>
  <c r="D3470" i="4"/>
  <c r="D3479" i="4"/>
  <c r="D3487" i="4"/>
  <c r="D3495" i="4"/>
  <c r="D3503" i="4"/>
  <c r="D3511" i="4"/>
  <c r="D3519" i="4"/>
  <c r="D3527" i="4"/>
  <c r="D3535" i="4"/>
  <c r="D3543" i="4"/>
  <c r="D3551" i="4"/>
  <c r="D3559" i="4"/>
  <c r="D3567" i="4"/>
  <c r="D3575" i="4"/>
  <c r="D3583" i="4"/>
  <c r="D3591" i="4"/>
  <c r="D3599" i="4"/>
  <c r="D3607" i="4"/>
  <c r="D3615" i="4"/>
  <c r="D3623" i="4"/>
  <c r="D3631" i="4"/>
  <c r="D3639" i="4"/>
  <c r="D3647" i="4"/>
  <c r="D3655" i="4"/>
  <c r="D3663" i="4"/>
  <c r="D3671" i="4"/>
  <c r="D3679" i="4"/>
  <c r="D3687" i="4"/>
  <c r="D3695" i="4"/>
  <c r="D3703" i="4"/>
  <c r="D3711" i="4"/>
  <c r="D3719" i="4"/>
  <c r="D3727" i="4"/>
  <c r="D3735" i="4"/>
  <c r="D3743" i="4"/>
  <c r="D3751" i="4"/>
  <c r="D3759" i="4"/>
  <c r="D3767" i="4"/>
  <c r="D3775" i="4"/>
  <c r="D3783" i="4"/>
  <c r="D3791" i="4"/>
  <c r="D3799" i="4"/>
  <c r="D3807" i="4"/>
  <c r="D3815" i="4"/>
  <c r="D3823" i="4"/>
  <c r="D3831" i="4"/>
  <c r="D3839" i="4"/>
  <c r="D3847" i="4"/>
  <c r="D3855" i="4"/>
  <c r="D3863" i="4"/>
  <c r="D3871" i="4"/>
  <c r="D3879" i="4"/>
  <c r="D3887" i="4"/>
  <c r="D3895" i="4"/>
  <c r="D3903" i="4"/>
  <c r="D3911" i="4"/>
  <c r="D3919" i="4"/>
  <c r="D3927" i="4"/>
  <c r="D3935" i="4"/>
  <c r="D3943" i="4"/>
  <c r="D3951" i="4"/>
  <c r="D3959" i="4"/>
  <c r="D3967" i="4"/>
  <c r="D3975" i="4"/>
  <c r="D3983" i="4"/>
  <c r="D3991" i="4"/>
  <c r="D3999" i="4"/>
  <c r="D4007" i="4"/>
  <c r="D4015" i="4"/>
  <c r="D4023" i="4"/>
  <c r="D4031" i="4"/>
  <c r="D4039" i="4"/>
  <c r="D4047" i="4"/>
  <c r="D4055" i="4"/>
  <c r="D4063" i="4"/>
  <c r="D4071" i="4"/>
  <c r="D4079" i="4"/>
  <c r="D4087" i="4"/>
  <c r="D4095" i="4"/>
  <c r="D4103" i="4"/>
  <c r="D4111" i="4"/>
  <c r="D4119" i="4"/>
  <c r="D4127" i="4"/>
  <c r="D4135" i="4"/>
  <c r="D4143" i="4"/>
  <c r="D4151" i="4"/>
  <c r="D1134" i="4"/>
  <c r="D1645" i="4"/>
  <c r="D1760" i="4"/>
  <c r="D1854" i="4"/>
  <c r="D1954" i="4"/>
  <c r="D2052" i="4"/>
  <c r="D2147" i="4"/>
  <c r="D2220" i="4"/>
  <c r="D2282" i="4"/>
  <c r="D2335" i="4"/>
  <c r="D2385" i="4"/>
  <c r="D2431" i="4"/>
  <c r="D2470" i="4"/>
  <c r="D2506" i="4"/>
  <c r="D2543" i="4"/>
  <c r="D2580" i="4"/>
  <c r="D2616" i="4"/>
  <c r="D2653" i="4"/>
  <c r="D2689" i="4"/>
  <c r="D2726" i="4"/>
  <c r="D2762" i="4"/>
  <c r="D2793" i="4"/>
  <c r="D2814" i="4"/>
  <c r="D2835" i="4"/>
  <c r="D2852" i="4"/>
  <c r="D2868" i="4"/>
  <c r="D2884" i="4"/>
  <c r="D2900" i="4"/>
  <c r="D2915" i="4"/>
  <c r="D2926" i="4"/>
  <c r="D2940" i="4"/>
  <c r="D2953" i="4"/>
  <c r="D2965" i="4"/>
  <c r="D2978" i="4"/>
  <c r="D2988" i="4"/>
  <c r="D2998" i="4"/>
  <c r="D3010" i="4"/>
  <c r="D3020" i="4"/>
  <c r="D3030" i="4"/>
  <c r="D3042" i="4"/>
  <c r="D3052" i="4"/>
  <c r="D3062" i="4"/>
  <c r="D3074" i="4"/>
  <c r="D3084" i="4"/>
  <c r="D3094" i="4"/>
  <c r="D3106" i="4"/>
  <c r="D3116" i="4"/>
  <c r="D3126" i="4"/>
  <c r="D3138" i="4"/>
  <c r="D3148" i="4"/>
  <c r="D3158" i="4"/>
  <c r="D3170" i="4"/>
  <c r="D3179" i="4"/>
  <c r="D3188" i="4"/>
  <c r="D3197" i="4"/>
  <c r="D3206" i="4"/>
  <c r="D3216" i="4"/>
  <c r="D3225" i="4"/>
  <c r="D3234" i="4"/>
  <c r="D3243" i="4"/>
  <c r="D3252" i="4"/>
  <c r="D3261" i="4"/>
  <c r="D3270" i="4"/>
  <c r="D3280" i="4"/>
  <c r="D3289" i="4"/>
  <c r="D3298" i="4"/>
  <c r="D3307" i="4"/>
  <c r="D3316" i="4"/>
  <c r="D3325" i="4"/>
  <c r="D3334" i="4"/>
  <c r="D3344" i="4"/>
  <c r="D3353" i="4"/>
  <c r="D3362" i="4"/>
  <c r="D3371" i="4"/>
  <c r="D3380" i="4"/>
  <c r="D3389" i="4"/>
  <c r="D3398" i="4"/>
  <c r="D3408" i="4"/>
  <c r="D3417" i="4"/>
  <c r="D3426" i="4"/>
  <c r="D3435" i="4"/>
  <c r="D3444" i="4"/>
  <c r="D3453" i="4"/>
  <c r="D3462" i="4"/>
  <c r="D3472" i="4"/>
  <c r="D3480" i="4"/>
  <c r="D3488" i="4"/>
  <c r="D3496" i="4"/>
  <c r="D3504" i="4"/>
  <c r="D3512" i="4"/>
  <c r="D3520" i="4"/>
  <c r="D3528" i="4"/>
  <c r="D3536" i="4"/>
  <c r="D3544" i="4"/>
  <c r="D3552" i="4"/>
  <c r="D3560" i="4"/>
  <c r="D3568" i="4"/>
  <c r="D3576" i="4"/>
  <c r="D3584" i="4"/>
  <c r="D3592" i="4"/>
  <c r="D3600" i="4"/>
  <c r="D3608" i="4"/>
  <c r="D3616" i="4"/>
  <c r="D3624" i="4"/>
  <c r="D3632" i="4"/>
  <c r="D3640" i="4"/>
  <c r="D3648" i="4"/>
  <c r="D3656" i="4"/>
  <c r="D3664" i="4"/>
  <c r="D3672" i="4"/>
  <c r="D3680" i="4"/>
  <c r="D3688" i="4"/>
  <c r="D3696" i="4"/>
  <c r="D3704" i="4"/>
  <c r="D3712" i="4"/>
  <c r="D3720" i="4"/>
  <c r="D3728" i="4"/>
  <c r="D3736" i="4"/>
  <c r="D3744" i="4"/>
  <c r="D3752" i="4"/>
  <c r="D3760" i="4"/>
  <c r="D3768" i="4"/>
  <c r="D3776" i="4"/>
  <c r="D3784" i="4"/>
  <c r="D3792" i="4"/>
  <c r="D3800" i="4"/>
  <c r="D3808" i="4"/>
  <c r="D3816" i="4"/>
  <c r="D3824" i="4"/>
  <c r="D3832" i="4"/>
  <c r="D3840" i="4"/>
  <c r="D1205" i="4"/>
  <c r="D1657" i="4"/>
  <c r="D1769" i="4"/>
  <c r="D1864" i="4"/>
  <c r="D1963" i="4"/>
  <c r="D2061" i="4"/>
  <c r="D2155" i="4"/>
  <c r="D2228" i="4"/>
  <c r="D2288" i="4"/>
  <c r="D2338" i="4"/>
  <c r="D2391" i="4"/>
  <c r="D2434" i="4"/>
  <c r="D2473" i="4"/>
  <c r="D2510" i="4"/>
  <c r="D2546" i="4"/>
  <c r="D2583" i="4"/>
  <c r="D2620" i="4"/>
  <c r="D2656" i="4"/>
  <c r="D2693" i="4"/>
  <c r="D2729" i="4"/>
  <c r="D2766" i="4"/>
  <c r="D2795" i="4"/>
  <c r="D2817" i="4"/>
  <c r="D2838" i="4"/>
  <c r="D2854" i="4"/>
  <c r="D2870" i="4"/>
  <c r="D2886" i="4"/>
  <c r="D2902" i="4"/>
  <c r="D2916" i="4"/>
  <c r="D2929" i="4"/>
  <c r="D2941" i="4"/>
  <c r="D2955" i="4"/>
  <c r="D2966" i="4"/>
  <c r="D2979" i="4"/>
  <c r="D2989" i="4"/>
  <c r="D3001" i="4"/>
  <c r="D3011" i="4"/>
  <c r="D3021" i="4"/>
  <c r="D3033" i="4"/>
  <c r="D3043" i="4"/>
  <c r="D3053" i="4"/>
  <c r="D3065" i="4"/>
  <c r="D3075" i="4"/>
  <c r="D3085" i="4"/>
  <c r="D3097" i="4"/>
  <c r="D3107" i="4"/>
  <c r="D3117" i="4"/>
  <c r="D3129" i="4"/>
  <c r="D3139" i="4"/>
  <c r="D3149" i="4"/>
  <c r="D3161" i="4"/>
  <c r="D3171" i="4"/>
  <c r="D3180" i="4"/>
  <c r="D3189" i="4"/>
  <c r="D3198" i="4"/>
  <c r="D3208" i="4"/>
  <c r="D3217" i="4"/>
  <c r="D3226" i="4"/>
  <c r="D3235" i="4"/>
  <c r="D3244" i="4"/>
  <c r="D3253" i="4"/>
  <c r="D3262" i="4"/>
  <c r="D3272" i="4"/>
  <c r="D3281" i="4"/>
  <c r="D3290" i="4"/>
  <c r="D3299" i="4"/>
  <c r="D3308" i="4"/>
  <c r="D3317" i="4"/>
  <c r="D3326" i="4"/>
  <c r="D3336" i="4"/>
  <c r="D3345" i="4"/>
  <c r="D3354" i="4"/>
  <c r="D3363" i="4"/>
  <c r="D3372" i="4"/>
  <c r="D3381" i="4"/>
  <c r="D3390" i="4"/>
  <c r="D3400" i="4"/>
  <c r="D3409" i="4"/>
  <c r="D3418" i="4"/>
  <c r="D3427" i="4"/>
  <c r="D3436" i="4"/>
  <c r="D3445" i="4"/>
  <c r="D3454" i="4"/>
  <c r="D3464" i="4"/>
  <c r="D3473" i="4"/>
  <c r="D3481" i="4"/>
  <c r="D3489" i="4"/>
  <c r="D3497" i="4"/>
  <c r="D3505" i="4"/>
  <c r="D3513" i="4"/>
  <c r="D3521" i="4"/>
  <c r="D3529" i="4"/>
  <c r="D3537" i="4"/>
  <c r="D3545" i="4"/>
  <c r="D3553" i="4"/>
  <c r="D3561" i="4"/>
  <c r="D3569" i="4"/>
  <c r="D3577" i="4"/>
  <c r="D3585" i="4"/>
  <c r="D3593" i="4"/>
  <c r="D3601" i="4"/>
  <c r="D3609" i="4"/>
  <c r="D3617" i="4"/>
  <c r="D3625" i="4"/>
  <c r="D3633" i="4"/>
  <c r="D3641" i="4"/>
  <c r="D3649" i="4"/>
  <c r="D3657" i="4"/>
  <c r="D3665" i="4"/>
  <c r="D3673" i="4"/>
  <c r="D3681" i="4"/>
  <c r="D3689" i="4"/>
  <c r="D3697" i="4"/>
  <c r="D3705" i="4"/>
  <c r="D3713" i="4"/>
  <c r="D3721" i="4"/>
  <c r="D3729" i="4"/>
  <c r="D3737" i="4"/>
  <c r="D3745" i="4"/>
  <c r="D3753" i="4"/>
  <c r="D3761" i="4"/>
  <c r="D3769" i="4"/>
  <c r="D3777" i="4"/>
  <c r="D3785" i="4"/>
  <c r="D3793" i="4"/>
  <c r="D3801" i="4"/>
  <c r="D3809" i="4"/>
  <c r="D3817" i="4"/>
  <c r="D3825" i="4"/>
  <c r="D3833" i="4"/>
  <c r="D1890" i="4"/>
  <c r="D2246" i="4"/>
  <c r="D2446" i="4"/>
  <c r="D2592" i="4"/>
  <c r="D2738" i="4"/>
  <c r="D2843" i="4"/>
  <c r="D2907" i="4"/>
  <c r="D2957" i="4"/>
  <c r="D3003" i="4"/>
  <c r="D3045" i="4"/>
  <c r="D3089" i="4"/>
  <c r="D3131" i="4"/>
  <c r="D3173" i="4"/>
  <c r="D3210" i="4"/>
  <c r="D3246" i="4"/>
  <c r="D3283" i="4"/>
  <c r="D3320" i="4"/>
  <c r="D3356" i="4"/>
  <c r="D3393" i="4"/>
  <c r="D3429" i="4"/>
  <c r="D3466" i="4"/>
  <c r="D3499" i="4"/>
  <c r="D3531" i="4"/>
  <c r="D3563" i="4"/>
  <c r="D3595" i="4"/>
  <c r="D3627" i="4"/>
  <c r="D3651" i="4"/>
  <c r="D3674" i="4"/>
  <c r="D3694" i="4"/>
  <c r="D3715" i="4"/>
  <c r="D3738" i="4"/>
  <c r="D3758" i="4"/>
  <c r="D3779" i="4"/>
  <c r="D3802" i="4"/>
  <c r="D3822" i="4"/>
  <c r="D3842" i="4"/>
  <c r="D3856" i="4"/>
  <c r="D3867" i="4"/>
  <c r="D3881" i="4"/>
  <c r="D3894" i="4"/>
  <c r="D3906" i="4"/>
  <c r="D3917" i="4"/>
  <c r="D3928" i="4"/>
  <c r="D3938" i="4"/>
  <c r="D3949" i="4"/>
  <c r="D3960" i="4"/>
  <c r="D3970" i="4"/>
  <c r="D3981" i="4"/>
  <c r="D3992" i="4"/>
  <c r="D4002" i="4"/>
  <c r="D4013" i="4"/>
  <c r="D4024" i="4"/>
  <c r="D4034" i="4"/>
  <c r="D4045" i="4"/>
  <c r="D4056" i="4"/>
  <c r="D4066" i="4"/>
  <c r="D4077" i="4"/>
  <c r="D4088" i="4"/>
  <c r="D4098" i="4"/>
  <c r="D4109" i="4"/>
  <c r="D4120" i="4"/>
  <c r="D4130" i="4"/>
  <c r="D4141" i="4"/>
  <c r="D4152" i="4"/>
  <c r="D4161" i="4"/>
  <c r="D4170" i="4"/>
  <c r="D4179" i="4"/>
  <c r="D4189" i="4"/>
  <c r="D4198" i="4"/>
  <c r="D4207" i="4"/>
  <c r="D4216" i="4"/>
  <c r="D4225" i="4"/>
  <c r="D4234" i="4"/>
  <c r="D4243" i="4"/>
  <c r="D4253" i="4"/>
  <c r="D4262" i="4"/>
  <c r="D4271" i="4"/>
  <c r="D4280" i="4"/>
  <c r="D4289" i="4"/>
  <c r="D4298" i="4"/>
  <c r="D4307" i="4"/>
  <c r="D4317" i="4"/>
  <c r="D4326" i="4"/>
  <c r="D4335" i="4"/>
  <c r="D4344" i="4"/>
  <c r="D4353" i="4"/>
  <c r="D4362" i="4"/>
  <c r="D4371" i="4"/>
  <c r="D4381" i="4"/>
  <c r="D4390" i="4"/>
  <c r="D4399" i="4"/>
  <c r="D4408" i="4"/>
  <c r="D4417" i="4"/>
  <c r="D4426" i="4"/>
  <c r="D4435" i="4"/>
  <c r="D4445" i="4"/>
  <c r="D4454" i="4"/>
  <c r="D4463" i="4"/>
  <c r="D4472" i="4"/>
  <c r="D4481" i="4"/>
  <c r="D4490" i="4"/>
  <c r="D4499" i="4"/>
  <c r="D4509" i="4"/>
  <c r="D4518" i="4"/>
  <c r="D4527" i="4"/>
  <c r="D4536" i="4"/>
  <c r="D4545" i="4"/>
  <c r="D4554" i="4"/>
  <c r="D4563" i="4"/>
  <c r="D4572" i="4"/>
  <c r="D4580" i="4"/>
  <c r="D4588" i="4"/>
  <c r="D4596" i="4"/>
  <c r="D4604" i="4"/>
  <c r="D4612" i="4"/>
  <c r="D4620" i="4"/>
  <c r="D4628" i="4"/>
  <c r="D4636" i="4"/>
  <c r="D4644" i="4"/>
  <c r="D4652" i="4"/>
  <c r="D4660" i="4"/>
  <c r="D4668" i="4"/>
  <c r="D4676" i="4"/>
  <c r="D4684" i="4"/>
  <c r="D4692" i="4"/>
  <c r="D4700" i="4"/>
  <c r="D4708" i="4"/>
  <c r="D4716" i="4"/>
  <c r="D4724" i="4"/>
  <c r="D4732" i="4"/>
  <c r="D4740" i="4"/>
  <c r="D4748" i="4"/>
  <c r="D4756" i="4"/>
  <c r="D4764" i="4"/>
  <c r="D4772" i="4"/>
  <c r="D4780" i="4"/>
  <c r="D4788" i="4"/>
  <c r="D4796" i="4"/>
  <c r="D4804" i="4"/>
  <c r="D4812" i="4"/>
  <c r="D4820" i="4"/>
  <c r="D4828" i="4"/>
  <c r="D4836" i="4"/>
  <c r="D4844" i="4"/>
  <c r="D4852" i="4"/>
  <c r="D4860" i="4"/>
  <c r="D4868" i="4"/>
  <c r="D4876" i="4"/>
  <c r="D4884" i="4"/>
  <c r="D4892" i="4"/>
  <c r="D4900" i="4"/>
  <c r="D4908" i="4"/>
  <c r="D4916" i="4"/>
  <c r="D4924" i="4"/>
  <c r="D4932" i="4"/>
  <c r="D4940" i="4"/>
  <c r="D4948" i="4"/>
  <c r="D4956" i="4"/>
  <c r="D4964" i="4"/>
  <c r="D4972" i="4"/>
  <c r="D4980" i="4"/>
  <c r="D4988" i="4"/>
  <c r="D4996" i="4"/>
  <c r="D1305" i="4"/>
  <c r="D1979" i="4"/>
  <c r="D2296" i="4"/>
  <c r="D2479" i="4"/>
  <c r="D2625" i="4"/>
  <c r="D2771" i="4"/>
  <c r="D2857" i="4"/>
  <c r="D2917" i="4"/>
  <c r="D2969" i="4"/>
  <c r="D3012" i="4"/>
  <c r="D3054" i="4"/>
  <c r="D3098" i="4"/>
  <c r="D3140" i="4"/>
  <c r="D3181" i="4"/>
  <c r="D3218" i="4"/>
  <c r="D3254" i="4"/>
  <c r="D3291" i="4"/>
  <c r="D3328" i="4"/>
  <c r="D3364" i="4"/>
  <c r="D3401" i="4"/>
  <c r="D3437" i="4"/>
  <c r="D3474" i="4"/>
  <c r="D3506" i="4"/>
  <c r="D3538" i="4"/>
  <c r="D3570" i="4"/>
  <c r="D3602" i="4"/>
  <c r="D3634" i="4"/>
  <c r="D3654" i="4"/>
  <c r="D3675" i="4"/>
  <c r="D3698" i="4"/>
  <c r="D3718" i="4"/>
  <c r="D3739" i="4"/>
  <c r="D3762" i="4"/>
  <c r="D3782" i="4"/>
  <c r="D3803" i="4"/>
  <c r="D3826" i="4"/>
  <c r="D3843" i="4"/>
  <c r="D3857" i="4"/>
  <c r="D3870" i="4"/>
  <c r="D3882" i="4"/>
  <c r="D3896" i="4"/>
  <c r="D3907" i="4"/>
  <c r="D3918" i="4"/>
  <c r="D3929" i="4"/>
  <c r="D3939" i="4"/>
  <c r="D3950" i="4"/>
  <c r="D3961" i="4"/>
  <c r="D3971" i="4"/>
  <c r="D3982" i="4"/>
  <c r="D3993" i="4"/>
  <c r="D4003" i="4"/>
  <c r="D4014" i="4"/>
  <c r="D4025" i="4"/>
  <c r="D4035" i="4"/>
  <c r="D4046" i="4"/>
  <c r="D4057" i="4"/>
  <c r="D4067" i="4"/>
  <c r="D4078" i="4"/>
  <c r="D4089" i="4"/>
  <c r="D4099" i="4"/>
  <c r="D4110" i="4"/>
  <c r="D4121" i="4"/>
  <c r="D4131" i="4"/>
  <c r="D4142" i="4"/>
  <c r="D4153" i="4"/>
  <c r="D4162" i="4"/>
  <c r="D4171" i="4"/>
  <c r="D4181" i="4"/>
  <c r="D4190" i="4"/>
  <c r="D4199" i="4"/>
  <c r="D4208" i="4"/>
  <c r="D4217" i="4"/>
  <c r="D4226" i="4"/>
  <c r="D4235" i="4"/>
  <c r="D4245" i="4"/>
  <c r="D4254" i="4"/>
  <c r="D4263" i="4"/>
  <c r="D4272" i="4"/>
  <c r="D4281" i="4"/>
  <c r="D4290" i="4"/>
  <c r="D4299" i="4"/>
  <c r="D4309" i="4"/>
  <c r="D4318" i="4"/>
  <c r="D4327" i="4"/>
  <c r="D4336" i="4"/>
  <c r="D4345" i="4"/>
  <c r="D4354" i="4"/>
  <c r="D4363" i="4"/>
  <c r="D4373" i="4"/>
  <c r="D4382" i="4"/>
  <c r="D4391" i="4"/>
  <c r="D4400" i="4"/>
  <c r="D4409" i="4"/>
  <c r="D4418" i="4"/>
  <c r="D4427" i="4"/>
  <c r="D4437" i="4"/>
  <c r="D4446" i="4"/>
  <c r="D4455" i="4"/>
  <c r="D4464" i="4"/>
  <c r="D4473" i="4"/>
  <c r="D4482" i="4"/>
  <c r="D4491" i="4"/>
  <c r="D4501" i="4"/>
  <c r="D4510" i="4"/>
  <c r="D4519" i="4"/>
  <c r="D4528" i="4"/>
  <c r="D4537" i="4"/>
  <c r="D4546" i="4"/>
  <c r="D4555" i="4"/>
  <c r="D4565" i="4"/>
  <c r="D4573" i="4"/>
  <c r="D4581" i="4"/>
  <c r="D4589" i="4"/>
  <c r="D4597" i="4"/>
  <c r="D4605" i="4"/>
  <c r="D4613" i="4"/>
  <c r="D4621" i="4"/>
  <c r="D4629" i="4"/>
  <c r="D4637" i="4"/>
  <c r="D4645" i="4"/>
  <c r="D4653" i="4"/>
  <c r="D4661" i="4"/>
  <c r="D4669" i="4"/>
  <c r="D4677" i="4"/>
  <c r="D4685" i="4"/>
  <c r="D4693" i="4"/>
  <c r="D4701" i="4"/>
  <c r="D4709" i="4"/>
  <c r="D4717" i="4"/>
  <c r="D4725" i="4"/>
  <c r="D4733" i="4"/>
  <c r="D4741" i="4"/>
  <c r="D4749" i="4"/>
  <c r="D4757" i="4"/>
  <c r="D4765" i="4"/>
  <c r="D4773" i="4"/>
  <c r="D4781" i="4"/>
  <c r="D4789" i="4"/>
  <c r="D4797" i="4"/>
  <c r="D4805" i="4"/>
  <c r="D4813" i="4"/>
  <c r="D4821" i="4"/>
  <c r="D4829" i="4"/>
  <c r="D4837" i="4"/>
  <c r="D4845" i="4"/>
  <c r="D4853" i="4"/>
  <c r="D4861" i="4"/>
  <c r="D4869" i="4"/>
  <c r="D4877" i="4"/>
  <c r="D4885" i="4"/>
  <c r="D4893" i="4"/>
  <c r="D4901" i="4"/>
  <c r="D4909" i="4"/>
  <c r="D4917" i="4"/>
  <c r="D4925" i="4"/>
  <c r="D4933" i="4"/>
  <c r="D4941" i="4"/>
  <c r="D4949" i="4"/>
  <c r="D4957" i="4"/>
  <c r="D4965" i="4"/>
  <c r="D4973" i="4"/>
  <c r="D4981" i="4"/>
  <c r="D4989" i="4"/>
  <c r="D4997" i="4"/>
  <c r="D1354" i="4"/>
  <c r="D1988" i="4"/>
  <c r="D2301" i="4"/>
  <c r="D2482" i="4"/>
  <c r="D2629" i="4"/>
  <c r="D2774" i="4"/>
  <c r="D2859" i="4"/>
  <c r="D2918" i="4"/>
  <c r="D2971" i="4"/>
  <c r="D3013" i="4"/>
  <c r="D3057" i="4"/>
  <c r="D3099" i="4"/>
  <c r="D3141" i="4"/>
  <c r="D3182" i="4"/>
  <c r="D3219" i="4"/>
  <c r="D3256" i="4"/>
  <c r="D3292" i="4"/>
  <c r="D3329" i="4"/>
  <c r="D3365" i="4"/>
  <c r="D3402" i="4"/>
  <c r="D3438" i="4"/>
  <c r="D3475" i="4"/>
  <c r="D3507" i="4"/>
  <c r="D3539" i="4"/>
  <c r="D3571" i="4"/>
  <c r="D3603" i="4"/>
  <c r="D3635" i="4"/>
  <c r="D3658" i="4"/>
  <c r="D3678" i="4"/>
  <c r="D3699" i="4"/>
  <c r="D3722" i="4"/>
  <c r="D3742" i="4"/>
  <c r="D3763" i="4"/>
  <c r="D3786" i="4"/>
  <c r="D3806" i="4"/>
  <c r="D3827" i="4"/>
  <c r="D3846" i="4"/>
  <c r="D3858" i="4"/>
  <c r="D3872" i="4"/>
  <c r="D3883" i="4"/>
  <c r="D3897" i="4"/>
  <c r="D3909" i="4"/>
  <c r="D3920" i="4"/>
  <c r="D3930" i="4"/>
  <c r="D3941" i="4"/>
  <c r="D3952" i="4"/>
  <c r="D3962" i="4"/>
  <c r="D3973" i="4"/>
  <c r="D3984" i="4"/>
  <c r="D3994" i="4"/>
  <c r="D4005" i="4"/>
  <c r="D4016" i="4"/>
  <c r="D4026" i="4"/>
  <c r="D4037" i="4"/>
  <c r="D4048" i="4"/>
  <c r="D4058" i="4"/>
  <c r="D4069" i="4"/>
  <c r="D4080" i="4"/>
  <c r="D4090" i="4"/>
  <c r="D4101" i="4"/>
  <c r="D4112" i="4"/>
  <c r="D4122" i="4"/>
  <c r="D4133" i="4"/>
  <c r="D4144" i="4"/>
  <c r="D4154" i="4"/>
  <c r="D4163" i="4"/>
  <c r="D4173" i="4"/>
  <c r="D4182" i="4"/>
  <c r="D4191" i="4"/>
  <c r="D4200" i="4"/>
  <c r="D4209" i="4"/>
  <c r="D4218" i="4"/>
  <c r="D4227" i="4"/>
  <c r="D4237" i="4"/>
  <c r="D4246" i="4"/>
  <c r="D4255" i="4"/>
  <c r="D4264" i="4"/>
  <c r="D4273" i="4"/>
  <c r="D4282" i="4"/>
  <c r="D4291" i="4"/>
  <c r="D4301" i="4"/>
  <c r="D4310" i="4"/>
  <c r="D4319" i="4"/>
  <c r="D4328" i="4"/>
  <c r="D4337" i="4"/>
  <c r="D4346" i="4"/>
  <c r="D4355" i="4"/>
  <c r="D4365" i="4"/>
  <c r="D4374" i="4"/>
  <c r="D4383" i="4"/>
  <c r="D4392" i="4"/>
  <c r="D4401" i="4"/>
  <c r="D4410" i="4"/>
  <c r="D4419" i="4"/>
  <c r="D4429" i="4"/>
  <c r="D4438" i="4"/>
  <c r="D4447" i="4"/>
  <c r="D4456" i="4"/>
  <c r="D4465" i="4"/>
  <c r="D4474" i="4"/>
  <c r="D4483" i="4"/>
  <c r="D4493" i="4"/>
  <c r="D4502" i="4"/>
  <c r="D4511" i="4"/>
  <c r="D4520" i="4"/>
  <c r="D4529" i="4"/>
  <c r="D4538" i="4"/>
  <c r="D4547" i="4"/>
  <c r="D4557" i="4"/>
  <c r="D4566" i="4"/>
  <c r="D4574" i="4"/>
  <c r="D4582" i="4"/>
  <c r="D4590" i="4"/>
  <c r="D4598" i="4"/>
  <c r="D4606" i="4"/>
  <c r="D4614" i="4"/>
  <c r="D4622" i="4"/>
  <c r="D4630" i="4"/>
  <c r="D4638" i="4"/>
  <c r="D4646" i="4"/>
  <c r="D4654" i="4"/>
  <c r="D4662" i="4"/>
  <c r="D4670" i="4"/>
  <c r="D4678" i="4"/>
  <c r="D4686" i="4"/>
  <c r="D4694" i="4"/>
  <c r="D4702" i="4"/>
  <c r="D4710" i="4"/>
  <c r="D4718" i="4"/>
  <c r="D4726" i="4"/>
  <c r="D4734" i="4"/>
  <c r="D4742" i="4"/>
  <c r="D4750" i="4"/>
  <c r="D4758" i="4"/>
  <c r="D4766" i="4"/>
  <c r="D4774" i="4"/>
  <c r="D4782" i="4"/>
  <c r="D4790" i="4"/>
  <c r="D4798" i="4"/>
  <c r="D4806" i="4"/>
  <c r="D4814" i="4"/>
  <c r="D4822" i="4"/>
  <c r="D4830" i="4"/>
  <c r="D4838" i="4"/>
  <c r="D4846" i="4"/>
  <c r="D4854" i="4"/>
  <c r="D4862" i="4"/>
  <c r="D4870" i="4"/>
  <c r="D4878" i="4"/>
  <c r="D4886" i="4"/>
  <c r="D4894" i="4"/>
  <c r="D4902" i="4"/>
  <c r="D4910" i="4"/>
  <c r="D4918" i="4"/>
  <c r="D4926" i="4"/>
  <c r="D4934" i="4"/>
  <c r="D4942" i="4"/>
  <c r="D4950" i="4"/>
  <c r="D4958" i="4"/>
  <c r="D4966" i="4"/>
  <c r="D4974" i="4"/>
  <c r="D4982" i="4"/>
  <c r="D4990" i="4"/>
  <c r="D4998" i="4"/>
  <c r="D1680" i="4"/>
  <c r="D2074" i="4"/>
  <c r="D2346" i="4"/>
  <c r="D2516" i="4"/>
  <c r="D2662" i="4"/>
  <c r="D2798" i="4"/>
  <c r="D2873" i="4"/>
  <c r="D2931" i="4"/>
  <c r="D2980" i="4"/>
  <c r="D3022" i="4"/>
  <c r="D3066" i="4"/>
  <c r="D3108" i="4"/>
  <c r="D3150" i="4"/>
  <c r="D3190" i="4"/>
  <c r="D3227" i="4"/>
  <c r="D3264" i="4"/>
  <c r="D3300" i="4"/>
  <c r="D3337" i="4"/>
  <c r="D3373" i="4"/>
  <c r="D3410" i="4"/>
  <c r="D3446" i="4"/>
  <c r="D3482" i="4"/>
  <c r="D3514" i="4"/>
  <c r="D3546" i="4"/>
  <c r="D3578" i="4"/>
  <c r="D3610" i="4"/>
  <c r="D3638" i="4"/>
  <c r="D3659" i="4"/>
  <c r="D3682" i="4"/>
  <c r="D3702" i="4"/>
  <c r="D3723" i="4"/>
  <c r="D3746" i="4"/>
  <c r="D3766" i="4"/>
  <c r="D3787" i="4"/>
  <c r="D3810" i="4"/>
  <c r="D3830" i="4"/>
  <c r="D3848" i="4"/>
  <c r="D3859" i="4"/>
  <c r="D3873" i="4"/>
  <c r="D3886" i="4"/>
  <c r="D3898" i="4"/>
  <c r="D3910" i="4"/>
  <c r="D3921" i="4"/>
  <c r="D3931" i="4"/>
  <c r="D3942" i="4"/>
  <c r="D3953" i="4"/>
  <c r="D3963" i="4"/>
  <c r="D3974" i="4"/>
  <c r="D3985" i="4"/>
  <c r="D3995" i="4"/>
  <c r="D4006" i="4"/>
  <c r="D4017" i="4"/>
  <c r="D4027" i="4"/>
  <c r="D4038" i="4"/>
  <c r="D4049" i="4"/>
  <c r="D4059" i="4"/>
  <c r="D4070" i="4"/>
  <c r="D4081" i="4"/>
  <c r="D4091" i="4"/>
  <c r="D4102" i="4"/>
  <c r="D4113" i="4"/>
  <c r="D4123" i="4"/>
  <c r="D4134" i="4"/>
  <c r="D4145" i="4"/>
  <c r="D4155" i="4"/>
  <c r="D4165" i="4"/>
  <c r="D4174" i="4"/>
  <c r="D4183" i="4"/>
  <c r="D4192" i="4"/>
  <c r="D4201" i="4"/>
  <c r="D4210" i="4"/>
  <c r="D4219" i="4"/>
  <c r="D4229" i="4"/>
  <c r="D4238" i="4"/>
  <c r="D4247" i="4"/>
  <c r="D4256" i="4"/>
  <c r="D4265" i="4"/>
  <c r="D4274" i="4"/>
  <c r="D4283" i="4"/>
  <c r="D4293" i="4"/>
  <c r="D4302" i="4"/>
  <c r="D4311" i="4"/>
  <c r="D4320" i="4"/>
  <c r="D4329" i="4"/>
  <c r="D4338" i="4"/>
  <c r="D4347" i="4"/>
  <c r="D4357" i="4"/>
  <c r="D4366" i="4"/>
  <c r="D4375" i="4"/>
  <c r="D4384" i="4"/>
  <c r="D4393" i="4"/>
  <c r="D4402" i="4"/>
  <c r="D4411" i="4"/>
  <c r="D4421" i="4"/>
  <c r="D4430" i="4"/>
  <c r="D4439" i="4"/>
  <c r="D4448" i="4"/>
  <c r="D4457" i="4"/>
  <c r="D4466" i="4"/>
  <c r="D4475" i="4"/>
  <c r="D4485" i="4"/>
  <c r="D4494" i="4"/>
  <c r="D4503" i="4"/>
  <c r="D4512" i="4"/>
  <c r="D4521" i="4"/>
  <c r="D4530" i="4"/>
  <c r="D4539" i="4"/>
  <c r="D4549" i="4"/>
  <c r="D4558" i="4"/>
  <c r="D4567" i="4"/>
  <c r="D4575" i="4"/>
  <c r="D4583" i="4"/>
  <c r="D4591" i="4"/>
  <c r="D4599" i="4"/>
  <c r="D4607" i="4"/>
  <c r="D4615" i="4"/>
  <c r="D4623" i="4"/>
  <c r="D4631" i="4"/>
  <c r="D4639" i="4"/>
  <c r="D4647" i="4"/>
  <c r="D4655" i="4"/>
  <c r="D4663" i="4"/>
  <c r="D4671" i="4"/>
  <c r="D4679" i="4"/>
  <c r="D4687" i="4"/>
  <c r="D4695" i="4"/>
  <c r="D4703" i="4"/>
  <c r="D4711" i="4"/>
  <c r="D4719" i="4"/>
  <c r="D4727" i="4"/>
  <c r="D4735" i="4"/>
  <c r="D4743" i="4"/>
  <c r="D4751" i="4"/>
  <c r="D4759" i="4"/>
  <c r="D4767" i="4"/>
  <c r="D4775" i="4"/>
  <c r="D4783" i="4"/>
  <c r="D4791" i="4"/>
  <c r="D4799" i="4"/>
  <c r="D4807" i="4"/>
  <c r="D4815" i="4"/>
  <c r="D4823" i="4"/>
  <c r="D4831" i="4"/>
  <c r="D4839" i="4"/>
  <c r="D4847" i="4"/>
  <c r="D4855" i="4"/>
  <c r="D4863" i="4"/>
  <c r="D4871" i="4"/>
  <c r="D4879" i="4"/>
  <c r="D4887" i="4"/>
  <c r="D4895" i="4"/>
  <c r="D4903" i="4"/>
  <c r="D4911" i="4"/>
  <c r="D4919" i="4"/>
  <c r="D4927" i="4"/>
  <c r="D4935" i="4"/>
  <c r="D4943" i="4"/>
  <c r="D4951" i="4"/>
  <c r="D4959" i="4"/>
  <c r="D4967" i="4"/>
  <c r="D4975" i="4"/>
  <c r="D4983" i="4"/>
  <c r="D4991" i="4"/>
  <c r="D4999" i="4"/>
  <c r="D1690" i="4"/>
  <c r="D2083" i="4"/>
  <c r="D2352" i="4"/>
  <c r="D2519" i="4"/>
  <c r="D2665" i="4"/>
  <c r="D2801" i="4"/>
  <c r="D2875" i="4"/>
  <c r="D2932" i="4"/>
  <c r="D2981" i="4"/>
  <c r="D3025" i="4"/>
  <c r="D3067" i="4"/>
  <c r="D3109" i="4"/>
  <c r="D3153" i="4"/>
  <c r="D3192" i="4"/>
  <c r="D3228" i="4"/>
  <c r="D3265" i="4"/>
  <c r="D3301" i="4"/>
  <c r="D3338" i="4"/>
  <c r="D3374" i="4"/>
  <c r="D3411" i="4"/>
  <c r="D3448" i="4"/>
  <c r="D3483" i="4"/>
  <c r="D3515" i="4"/>
  <c r="D3547" i="4"/>
  <c r="D3579" i="4"/>
  <c r="D3611" i="4"/>
  <c r="D3642" i="4"/>
  <c r="D3662" i="4"/>
  <c r="D3683" i="4"/>
  <c r="D3706" i="4"/>
  <c r="D3726" i="4"/>
  <c r="D3747" i="4"/>
  <c r="D3770" i="4"/>
  <c r="D3790" i="4"/>
  <c r="D3811" i="4"/>
  <c r="D3834" i="4"/>
  <c r="D3849" i="4"/>
  <c r="D3862" i="4"/>
  <c r="D3874" i="4"/>
  <c r="D3888" i="4"/>
  <c r="D3899" i="4"/>
  <c r="D3912" i="4"/>
  <c r="D3922" i="4"/>
  <c r="D3933" i="4"/>
  <c r="D3944" i="4"/>
  <c r="D3954" i="4"/>
  <c r="D3965" i="4"/>
  <c r="D3976" i="4"/>
  <c r="D3986" i="4"/>
  <c r="D3997" i="4"/>
  <c r="D4008" i="4"/>
  <c r="D4018" i="4"/>
  <c r="D4029" i="4"/>
  <c r="D4040" i="4"/>
  <c r="D4050" i="4"/>
  <c r="D4061" i="4"/>
  <c r="D4072" i="4"/>
  <c r="D4082" i="4"/>
  <c r="D4093" i="4"/>
  <c r="D4104" i="4"/>
  <c r="D4114" i="4"/>
  <c r="D4125" i="4"/>
  <c r="D4136" i="4"/>
  <c r="D4146" i="4"/>
  <c r="D4157" i="4"/>
  <c r="D4166" i="4"/>
  <c r="D4175" i="4"/>
  <c r="D4184" i="4"/>
  <c r="D4193" i="4"/>
  <c r="D4202" i="4"/>
  <c r="D4211" i="4"/>
  <c r="D4221" i="4"/>
  <c r="D4230" i="4"/>
  <c r="D4239" i="4"/>
  <c r="D4248" i="4"/>
  <c r="D4257" i="4"/>
  <c r="D4266" i="4"/>
  <c r="D4275" i="4"/>
  <c r="D4285" i="4"/>
  <c r="D4294" i="4"/>
  <c r="D4303" i="4"/>
  <c r="D4312" i="4"/>
  <c r="D4321" i="4"/>
  <c r="D4330" i="4"/>
  <c r="D4339" i="4"/>
  <c r="D4349" i="4"/>
  <c r="D4358" i="4"/>
  <c r="D4367" i="4"/>
  <c r="D4376" i="4"/>
  <c r="D4385" i="4"/>
  <c r="D4394" i="4"/>
  <c r="D4403" i="4"/>
  <c r="D4413" i="4"/>
  <c r="D4422" i="4"/>
  <c r="D4431" i="4"/>
  <c r="D4440" i="4"/>
  <c r="D4449" i="4"/>
  <c r="D4458" i="4"/>
  <c r="D4467" i="4"/>
  <c r="D4477" i="4"/>
  <c r="D4486" i="4"/>
  <c r="D4495" i="4"/>
  <c r="D4504" i="4"/>
  <c r="D4513" i="4"/>
  <c r="D4522" i="4"/>
  <c r="D4531" i="4"/>
  <c r="D4541" i="4"/>
  <c r="D4550" i="4"/>
  <c r="D4559" i="4"/>
  <c r="D4568" i="4"/>
  <c r="D4576" i="4"/>
  <c r="D4584" i="4"/>
  <c r="D4592" i="4"/>
  <c r="D4600" i="4"/>
  <c r="D4608" i="4"/>
  <c r="D4616" i="4"/>
  <c r="D4624" i="4"/>
  <c r="D4632" i="4"/>
  <c r="D4640" i="4"/>
  <c r="D4648" i="4"/>
  <c r="D4656" i="4"/>
  <c r="D4664" i="4"/>
  <c r="D4672" i="4"/>
  <c r="D4680" i="4"/>
  <c r="D4688" i="4"/>
  <c r="D4696" i="4"/>
  <c r="D4704" i="4"/>
  <c r="D4712" i="4"/>
  <c r="D4720" i="4"/>
  <c r="D4728" i="4"/>
  <c r="D4736" i="4"/>
  <c r="D4744" i="4"/>
  <c r="D4752" i="4"/>
  <c r="D4760" i="4"/>
  <c r="D4768" i="4"/>
  <c r="D4776" i="4"/>
  <c r="D4784" i="4"/>
  <c r="D4792" i="4"/>
  <c r="D4800" i="4"/>
  <c r="D4808" i="4"/>
  <c r="D4816" i="4"/>
  <c r="D4824" i="4"/>
  <c r="D4832" i="4"/>
  <c r="D4840" i="4"/>
  <c r="D4848" i="4"/>
  <c r="D4856" i="4"/>
  <c r="D4864" i="4"/>
  <c r="D4872" i="4"/>
  <c r="D4880" i="4"/>
  <c r="D4888" i="4"/>
  <c r="D4896" i="4"/>
  <c r="D4904" i="4"/>
  <c r="D4912" i="4"/>
  <c r="D4920" i="4"/>
  <c r="D4928" i="4"/>
  <c r="D4936" i="4"/>
  <c r="D4944" i="4"/>
  <c r="D4952" i="4"/>
  <c r="D4960" i="4"/>
  <c r="D4968" i="4"/>
  <c r="D4976" i="4"/>
  <c r="D4984" i="4"/>
  <c r="D4992" i="4"/>
  <c r="D5000" i="4"/>
  <c r="D1781" i="4"/>
  <c r="D2165" i="4"/>
  <c r="D2399" i="4"/>
  <c r="D2552" i="4"/>
  <c r="D2698" i="4"/>
  <c r="D2819" i="4"/>
  <c r="D2889" i="4"/>
  <c r="D2942" i="4"/>
  <c r="D2990" i="4"/>
  <c r="D3034" i="4"/>
  <c r="D3076" i="4"/>
  <c r="D3118" i="4"/>
  <c r="D3162" i="4"/>
  <c r="D3200" i="4"/>
  <c r="D3236" i="4"/>
  <c r="D3273" i="4"/>
  <c r="D3309" i="4"/>
  <c r="D3346" i="4"/>
  <c r="D3382" i="4"/>
  <c r="D3419" i="4"/>
  <c r="D3456" i="4"/>
  <c r="D3490" i="4"/>
  <c r="D3522" i="4"/>
  <c r="D3554" i="4"/>
  <c r="D3586" i="4"/>
  <c r="D3618" i="4"/>
  <c r="D3643" i="4"/>
  <c r="D3666" i="4"/>
  <c r="D3686" i="4"/>
  <c r="D3707" i="4"/>
  <c r="D3730" i="4"/>
  <c r="D3750" i="4"/>
  <c r="D3771" i="4"/>
  <c r="D3794" i="4"/>
  <c r="D3814" i="4"/>
  <c r="D3835" i="4"/>
  <c r="D3850" i="4"/>
  <c r="D3864" i="4"/>
  <c r="D3875" i="4"/>
  <c r="D3889" i="4"/>
  <c r="D3902" i="4"/>
  <c r="D3913" i="4"/>
  <c r="D3923" i="4"/>
  <c r="D3934" i="4"/>
  <c r="D3945" i="4"/>
  <c r="D3955" i="4"/>
  <c r="D3966" i="4"/>
  <c r="D3977" i="4"/>
  <c r="D3987" i="4"/>
  <c r="D3998" i="4"/>
  <c r="D4009" i="4"/>
  <c r="D4019" i="4"/>
  <c r="D4030" i="4"/>
  <c r="D4041" i="4"/>
  <c r="D4051" i="4"/>
  <c r="D4062" i="4"/>
  <c r="D4073" i="4"/>
  <c r="D4083" i="4"/>
  <c r="D4094" i="4"/>
  <c r="D4105" i="4"/>
  <c r="D4115" i="4"/>
  <c r="D4126" i="4"/>
  <c r="D4137" i="4"/>
  <c r="D4147" i="4"/>
  <c r="D4158" i="4"/>
  <c r="D4167" i="4"/>
  <c r="D4176" i="4"/>
  <c r="D4185" i="4"/>
  <c r="D4194" i="4"/>
  <c r="D4203" i="4"/>
  <c r="D4213" i="4"/>
  <c r="D4222" i="4"/>
  <c r="D4231" i="4"/>
  <c r="D4240" i="4"/>
  <c r="D4249" i="4"/>
  <c r="D4258" i="4"/>
  <c r="D4267" i="4"/>
  <c r="D4277" i="4"/>
  <c r="D4286" i="4"/>
  <c r="D4295" i="4"/>
  <c r="D4304" i="4"/>
  <c r="D4313" i="4"/>
  <c r="D4322" i="4"/>
  <c r="D4331" i="4"/>
  <c r="D4341" i="4"/>
  <c r="D4350" i="4"/>
  <c r="D4359" i="4"/>
  <c r="D4368" i="4"/>
  <c r="D4377" i="4"/>
  <c r="D4386" i="4"/>
  <c r="D4395" i="4"/>
  <c r="D4405" i="4"/>
  <c r="D4414" i="4"/>
  <c r="D4423" i="4"/>
  <c r="D4432" i="4"/>
  <c r="D4441" i="4"/>
  <c r="D4450" i="4"/>
  <c r="D4459" i="4"/>
  <c r="D4469" i="4"/>
  <c r="D4478" i="4"/>
  <c r="D4487" i="4"/>
  <c r="D4496" i="4"/>
  <c r="D4505" i="4"/>
  <c r="D4514" i="4"/>
  <c r="D4523" i="4"/>
  <c r="D4533" i="4"/>
  <c r="D4542" i="4"/>
  <c r="D4551" i="4"/>
  <c r="D4560" i="4"/>
  <c r="D4569" i="4"/>
  <c r="D4577" i="4"/>
  <c r="D4585" i="4"/>
  <c r="D4593" i="4"/>
  <c r="D4601" i="4"/>
  <c r="D4609" i="4"/>
  <c r="D4617" i="4"/>
  <c r="D4625" i="4"/>
  <c r="D4633" i="4"/>
  <c r="D4641" i="4"/>
  <c r="D4649" i="4"/>
  <c r="D4657" i="4"/>
  <c r="D4665" i="4"/>
  <c r="D4673" i="4"/>
  <c r="D4681" i="4"/>
  <c r="D4689" i="4"/>
  <c r="D4697" i="4"/>
  <c r="D4705" i="4"/>
  <c r="D4713" i="4"/>
  <c r="D4721" i="4"/>
  <c r="D4729" i="4"/>
  <c r="D4737" i="4"/>
  <c r="D4745" i="4"/>
  <c r="D4753" i="4"/>
  <c r="D4761" i="4"/>
  <c r="D4769" i="4"/>
  <c r="D4777" i="4"/>
  <c r="D4785" i="4"/>
  <c r="D4793" i="4"/>
  <c r="D4801" i="4"/>
  <c r="D4809" i="4"/>
  <c r="D4817" i="4"/>
  <c r="D4825" i="4"/>
  <c r="D4833" i="4"/>
  <c r="D4841" i="4"/>
  <c r="D4849" i="4"/>
  <c r="D4857" i="4"/>
  <c r="D4865" i="4"/>
  <c r="D4873" i="4"/>
  <c r="D4881" i="4"/>
  <c r="D4889" i="4"/>
  <c r="D4897" i="4"/>
  <c r="D4905" i="4"/>
  <c r="D4913" i="4"/>
  <c r="D4921" i="4"/>
  <c r="D4929" i="4"/>
  <c r="D4937" i="4"/>
  <c r="D4945" i="4"/>
  <c r="D4953" i="4"/>
  <c r="D4961" i="4"/>
  <c r="D4969" i="4"/>
  <c r="D4977" i="4"/>
  <c r="D4985" i="4"/>
  <c r="D4993" i="4"/>
  <c r="D2" i="4"/>
  <c r="D1790" i="4"/>
  <c r="D2173" i="4"/>
  <c r="D2402" i="4"/>
  <c r="D2556" i="4"/>
  <c r="D2702" i="4"/>
  <c r="D2822" i="4"/>
  <c r="D2891" i="4"/>
  <c r="D2945" i="4"/>
  <c r="D2993" i="4"/>
  <c r="D3035" i="4"/>
  <c r="D3077" i="4"/>
  <c r="D3121" i="4"/>
  <c r="D3163" i="4"/>
  <c r="D3201" i="4"/>
  <c r="D3237" i="4"/>
  <c r="D3274" i="4"/>
  <c r="D3310" i="4"/>
  <c r="D3347" i="4"/>
  <c r="D3384" i="4"/>
  <c r="D3420" i="4"/>
  <c r="D3457" i="4"/>
  <c r="D3491" i="4"/>
  <c r="D3523" i="4"/>
  <c r="D3555" i="4"/>
  <c r="D3587" i="4"/>
  <c r="D3619" i="4"/>
  <c r="D3646" i="4"/>
  <c r="D3667" i="4"/>
  <c r="D3690" i="4"/>
  <c r="D3710" i="4"/>
  <c r="D3731" i="4"/>
  <c r="D3754" i="4"/>
  <c r="D3774" i="4"/>
  <c r="D3795" i="4"/>
  <c r="D3818" i="4"/>
  <c r="D3838" i="4"/>
  <c r="D3851" i="4"/>
  <c r="D3865" i="4"/>
  <c r="D3878" i="4"/>
  <c r="D3890" i="4"/>
  <c r="D3904" i="4"/>
  <c r="D3914" i="4"/>
  <c r="D3925" i="4"/>
  <c r="D3936" i="4"/>
  <c r="D3946" i="4"/>
  <c r="D3957" i="4"/>
  <c r="D3968" i="4"/>
  <c r="D3978" i="4"/>
  <c r="D3989" i="4"/>
  <c r="D4000" i="4"/>
  <c r="D4010" i="4"/>
  <c r="D4021" i="4"/>
  <c r="D4032" i="4"/>
  <c r="D4042" i="4"/>
  <c r="D4053" i="4"/>
  <c r="D4064" i="4"/>
  <c r="D4074" i="4"/>
  <c r="D4085" i="4"/>
  <c r="D4096" i="4"/>
  <c r="D4106" i="4"/>
  <c r="D4117" i="4"/>
  <c r="D4128" i="4"/>
  <c r="D4138" i="4"/>
  <c r="D4149" i="4"/>
  <c r="D4159" i="4"/>
  <c r="D4168" i="4"/>
  <c r="D4177" i="4"/>
  <c r="D4186" i="4"/>
  <c r="D1881" i="4"/>
  <c r="D2238" i="4"/>
  <c r="D2441" i="4"/>
  <c r="D2589" i="4"/>
  <c r="D2735" i="4"/>
  <c r="D2841" i="4"/>
  <c r="D2905" i="4"/>
  <c r="D2956" i="4"/>
  <c r="D3002" i="4"/>
  <c r="D3044" i="4"/>
  <c r="D3086" i="4"/>
  <c r="D3130" i="4"/>
  <c r="D3172" i="4"/>
  <c r="D3209" i="4"/>
  <c r="D3245" i="4"/>
  <c r="D3282" i="4"/>
  <c r="D3318" i="4"/>
  <c r="D3355" i="4"/>
  <c r="D3392" i="4"/>
  <c r="D3428" i="4"/>
  <c r="D3465" i="4"/>
  <c r="D3498" i="4"/>
  <c r="D3530" i="4"/>
  <c r="D3562" i="4"/>
  <c r="D3594" i="4"/>
  <c r="D3626" i="4"/>
  <c r="D3650" i="4"/>
  <c r="D3670" i="4"/>
  <c r="D3691" i="4"/>
  <c r="D3714" i="4"/>
  <c r="D3734" i="4"/>
  <c r="D3755" i="4"/>
  <c r="D3778" i="4"/>
  <c r="D3798" i="4"/>
  <c r="D3819" i="4"/>
  <c r="D3841" i="4"/>
  <c r="D3854" i="4"/>
  <c r="D3866" i="4"/>
  <c r="D3880" i="4"/>
  <c r="D3891" i="4"/>
  <c r="D3905" i="4"/>
  <c r="D3915" i="4"/>
  <c r="D3926" i="4"/>
  <c r="D3937" i="4"/>
  <c r="D3947" i="4"/>
  <c r="D3958" i="4"/>
  <c r="D3969" i="4"/>
  <c r="D3979" i="4"/>
  <c r="D3990" i="4"/>
  <c r="D4001" i="4"/>
  <c r="D4011" i="4"/>
  <c r="D4022" i="4"/>
  <c r="D4033" i="4"/>
  <c r="D4043" i="4"/>
  <c r="D4054" i="4"/>
  <c r="D4065" i="4"/>
  <c r="D4075" i="4"/>
  <c r="D4086" i="4"/>
  <c r="D4097" i="4"/>
  <c r="D4107" i="4"/>
  <c r="D4118" i="4"/>
  <c r="D4129" i="4"/>
  <c r="D4139" i="4"/>
  <c r="D4150" i="4"/>
  <c r="D4160" i="4"/>
  <c r="D4169" i="4"/>
  <c r="D4178" i="4"/>
  <c r="D4187" i="4"/>
  <c r="D4197" i="4"/>
  <c r="D4206" i="4"/>
  <c r="D4215" i="4"/>
  <c r="D4224" i="4"/>
  <c r="D4233" i="4"/>
  <c r="D4242" i="4"/>
  <c r="D4251" i="4"/>
  <c r="D4261" i="4"/>
  <c r="D4270" i="4"/>
  <c r="D4279" i="4"/>
  <c r="D4288" i="4"/>
  <c r="D4978" i="4"/>
  <c r="D4946" i="4"/>
  <c r="D4914" i="4"/>
  <c r="D4882" i="4"/>
  <c r="D4850" i="4"/>
  <c r="D4818" i="4"/>
  <c r="D4786" i="4"/>
  <c r="D4754" i="4"/>
  <c r="D4722" i="4"/>
  <c r="D4690" i="4"/>
  <c r="D4658" i="4"/>
  <c r="D4626" i="4"/>
  <c r="D4594" i="4"/>
  <c r="D4561" i="4"/>
  <c r="D4525" i="4"/>
  <c r="D4488" i="4"/>
  <c r="D4451" i="4"/>
  <c r="D4415" i="4"/>
  <c r="D4378" i="4"/>
  <c r="D4342" i="4"/>
  <c r="D4305" i="4"/>
  <c r="D4241" i="4"/>
  <c r="AP23" i="5"/>
  <c r="AR23" i="5"/>
  <c r="AO7" i="6"/>
  <c r="AP7" i="6"/>
  <c r="AM26" i="6"/>
  <c r="AN26" i="6"/>
  <c r="AQ26" i="6"/>
  <c r="AH6" i="5"/>
  <c r="AQ6" i="5"/>
  <c r="AN9" i="5"/>
  <c r="AP19" i="6"/>
  <c r="J17" i="5"/>
  <c r="AL17" i="5" s="1"/>
  <c r="I17" i="5"/>
  <c r="G25" i="5"/>
  <c r="AI25" i="5" s="1"/>
  <c r="F17" i="5"/>
  <c r="AH17" i="5" s="1"/>
  <c r="D12" i="5"/>
  <c r="AF12" i="5" s="1"/>
  <c r="I6" i="5"/>
  <c r="D6" i="5"/>
  <c r="AF6" i="5" s="1"/>
  <c r="AR6" i="5"/>
  <c r="H6" i="5"/>
  <c r="AJ6" i="5" s="1"/>
  <c r="AO12" i="5"/>
  <c r="AO23" i="5"/>
  <c r="AM6" i="5"/>
  <c r="AR9" i="5"/>
  <c r="AP12" i="5"/>
  <c r="AR19" i="5"/>
  <c r="AO20" i="3"/>
  <c r="AN6" i="5"/>
  <c r="AN15" i="3"/>
  <c r="AP15" i="3"/>
  <c r="AR20" i="3"/>
  <c r="AM20" i="3"/>
  <c r="AR30" i="3"/>
  <c r="AR7" i="5"/>
  <c r="AN18" i="5"/>
  <c r="AQ7" i="5"/>
  <c r="AQ9" i="5"/>
  <c r="AN11" i="5"/>
  <c r="AQ12" i="5"/>
  <c r="AP15" i="5"/>
  <c r="AI27" i="5"/>
  <c r="AO15" i="3"/>
  <c r="AN20" i="3"/>
  <c r="AR8" i="5"/>
  <c r="AR10" i="5"/>
  <c r="AO10" i="5"/>
  <c r="BU23" i="5"/>
  <c r="BV23" i="5" s="1"/>
  <c r="AM7" i="6"/>
  <c r="AO19" i="5"/>
  <c r="AR26" i="5"/>
  <c r="AL27" i="5"/>
  <c r="AP27" i="5"/>
  <c r="AM9" i="5"/>
  <c r="AI16" i="5"/>
  <c r="AI20" i="5"/>
  <c r="AN21" i="5"/>
  <c r="AF24" i="5"/>
  <c r="AN12" i="3"/>
  <c r="AP30" i="3"/>
  <c r="AN8" i="5"/>
  <c r="AN12" i="5"/>
  <c r="AQ18" i="5"/>
  <c r="AQ19" i="5"/>
  <c r="AR20" i="5"/>
  <c r="AQ23" i="5"/>
  <c r="AF27" i="5"/>
  <c r="AM21" i="3"/>
  <c r="AP21" i="3"/>
  <c r="AR15" i="3"/>
  <c r="AQ20" i="3"/>
  <c r="AO26" i="6"/>
  <c r="AO7" i="5"/>
  <c r="AO9" i="5"/>
  <c r="AP10" i="5"/>
  <c r="AR14" i="5"/>
  <c r="AP21" i="5"/>
  <c r="AN22" i="5"/>
  <c r="AG27" i="5"/>
  <c r="AQ30" i="5"/>
  <c r="AR12" i="3"/>
  <c r="AQ15" i="3"/>
  <c r="AN21" i="3"/>
  <c r="AM27" i="3"/>
  <c r="D6" i="6"/>
  <c r="D25" i="6"/>
  <c r="E25" i="6"/>
  <c r="AG25" i="6" s="1"/>
  <c r="E21" i="6"/>
  <c r="AG21" i="6" s="1"/>
  <c r="E17" i="6"/>
  <c r="AG17" i="6" s="1"/>
  <c r="AO19" i="6"/>
  <c r="AR23" i="6"/>
  <c r="AN24" i="6"/>
  <c r="AO29" i="6"/>
  <c r="AP13" i="3"/>
  <c r="AR18" i="3"/>
  <c r="AR22" i="3"/>
  <c r="BA11" i="6"/>
  <c r="D17" i="6"/>
  <c r="J28" i="6"/>
  <c r="AL28" i="6" s="1"/>
  <c r="J12" i="6"/>
  <c r="AL12" i="6" s="1"/>
  <c r="AN7" i="6"/>
  <c r="AN8" i="6"/>
  <c r="AN19" i="6"/>
  <c r="AN29" i="6"/>
  <c r="H28" i="6"/>
  <c r="AJ28" i="6" s="1"/>
  <c r="J25" i="6"/>
  <c r="AL25" i="6" s="1"/>
  <c r="J21" i="6"/>
  <c r="AL21" i="6" s="1"/>
  <c r="J17" i="6"/>
  <c r="AL17" i="6" s="1"/>
  <c r="H12" i="6"/>
  <c r="AJ12" i="6" s="1"/>
  <c r="I6" i="6"/>
  <c r="AR7" i="6"/>
  <c r="AM16" i="6"/>
  <c r="AM14" i="6"/>
  <c r="AR29" i="6"/>
  <c r="D28" i="6"/>
  <c r="G28" i="6"/>
  <c r="AI28" i="6" s="1"/>
  <c r="I25" i="6"/>
  <c r="I21" i="6"/>
  <c r="I17" i="6"/>
  <c r="G12" i="6"/>
  <c r="AI12" i="6" s="1"/>
  <c r="H6" i="6"/>
  <c r="AJ6" i="6" s="1"/>
  <c r="AP8" i="6"/>
  <c r="AO16" i="6"/>
  <c r="AQ23" i="6"/>
  <c r="AP24" i="6"/>
  <c r="AR26" i="6"/>
  <c r="AQ29" i="6"/>
  <c r="D12" i="6"/>
  <c r="D21" i="6"/>
  <c r="F28" i="6"/>
  <c r="AH28" i="6" s="1"/>
  <c r="H25" i="6"/>
  <c r="AJ25" i="6" s="1"/>
  <c r="H21" i="6"/>
  <c r="AJ21" i="6" s="1"/>
  <c r="H17" i="6"/>
  <c r="AJ17" i="6" s="1"/>
  <c r="F12" i="6"/>
  <c r="AH12" i="6" s="1"/>
  <c r="G6" i="6"/>
  <c r="AI6" i="6" s="1"/>
  <c r="AR8" i="6"/>
  <c r="AO10" i="3"/>
  <c r="AO24" i="6"/>
  <c r="BU23" i="7"/>
  <c r="E28" i="6"/>
  <c r="AG28" i="6" s="1"/>
  <c r="G25" i="6"/>
  <c r="AI25" i="6" s="1"/>
  <c r="G21" i="6"/>
  <c r="AI21" i="6" s="1"/>
  <c r="G17" i="6"/>
  <c r="AI17" i="6" s="1"/>
  <c r="AG16" i="6"/>
  <c r="E12" i="6"/>
  <c r="AG12" i="6" s="1"/>
  <c r="E6" i="6"/>
  <c r="AG6" i="6" s="1"/>
  <c r="AQ7" i="6"/>
  <c r="U23" i="6" s="1"/>
  <c r="AW23" i="6" s="1"/>
  <c r="AQ8" i="6"/>
  <c r="AR16" i="6"/>
  <c r="AR14" i="6"/>
  <c r="AQ19" i="6"/>
  <c r="AO23" i="6"/>
  <c r="AP26" i="6"/>
  <c r="B8" i="7"/>
  <c r="BQ23" i="7"/>
  <c r="BR23" i="7" s="1"/>
  <c r="BS23" i="7" s="1"/>
  <c r="BP24" i="7"/>
  <c r="BU24" i="7"/>
  <c r="BK11" i="5"/>
  <c r="BL11" i="5" s="1"/>
  <c r="BJ11" i="5"/>
  <c r="BI11" i="5"/>
  <c r="BH11" i="5"/>
  <c r="BB16" i="6"/>
  <c r="BB24" i="6"/>
  <c r="AY27" i="6"/>
  <c r="BA24" i="6"/>
  <c r="BA20" i="6"/>
  <c r="AY11" i="6"/>
  <c r="AZ20" i="6"/>
  <c r="AY24" i="6"/>
  <c r="AY20" i="6"/>
  <c r="AY16" i="6"/>
  <c r="BD27" i="6"/>
  <c r="BD24" i="6"/>
  <c r="BB11" i="6"/>
  <c r="BC24" i="6"/>
  <c r="BC16" i="6"/>
  <c r="BC5" i="6"/>
  <c r="BB5" i="6"/>
  <c r="AG24" i="6"/>
  <c r="AK24" i="6"/>
  <c r="AI24" i="6"/>
  <c r="AJ20" i="6"/>
  <c r="AI20" i="6"/>
  <c r="AG20" i="6"/>
  <c r="AL5" i="6"/>
  <c r="AH5" i="6"/>
  <c r="AN5" i="6"/>
  <c r="AH25" i="6"/>
  <c r="AH17" i="6"/>
  <c r="AH21" i="6"/>
  <c r="AH6" i="6"/>
  <c r="AG11" i="6"/>
  <c r="AH11" i="6"/>
  <c r="AJ11" i="6"/>
  <c r="AF11" i="6"/>
  <c r="AK5" i="6"/>
  <c r="B7" i="6"/>
  <c r="AI11" i="6"/>
  <c r="AK11" i="6"/>
  <c r="AL11" i="6"/>
  <c r="AM5" i="6"/>
  <c r="AL6" i="6"/>
  <c r="AK16" i="6"/>
  <c r="AK20" i="6"/>
  <c r="BQ23" i="6"/>
  <c r="BR23" i="6" s="1"/>
  <c r="BS23" i="6" s="1"/>
  <c r="BP24" i="6"/>
  <c r="BU25" i="6"/>
  <c r="AK5" i="5"/>
  <c r="AJ24" i="5"/>
  <c r="AK20" i="5"/>
  <c r="AK16" i="5"/>
  <c r="AP7" i="5"/>
  <c r="I12" i="5"/>
  <c r="AR16" i="5"/>
  <c r="AM26" i="5"/>
  <c r="E6" i="5"/>
  <c r="AG6" i="5" s="1"/>
  <c r="J12" i="5"/>
  <c r="AL12" i="5" s="1"/>
  <c r="AP17" i="5"/>
  <c r="D21" i="5"/>
  <c r="AF21" i="5" s="1"/>
  <c r="AR21" i="5"/>
  <c r="AP24" i="5"/>
  <c r="E25" i="5"/>
  <c r="AG25" i="5" s="1"/>
  <c r="AN28" i="5"/>
  <c r="AO18" i="5"/>
  <c r="BQ23" i="5"/>
  <c r="BR23" i="5" s="1"/>
  <c r="BS23" i="5" s="1"/>
  <c r="BP24" i="5"/>
  <c r="G6" i="5"/>
  <c r="AI6" i="5" s="1"/>
  <c r="AM14" i="5"/>
  <c r="H17" i="5"/>
  <c r="AJ17" i="5" s="1"/>
  <c r="J21" i="5"/>
  <c r="AL21" i="5" s="1"/>
  <c r="AM25" i="5"/>
  <c r="BG11" i="5"/>
  <c r="AP22" i="5"/>
  <c r="AM24" i="5"/>
  <c r="F12" i="5"/>
  <c r="AH12" i="5" s="1"/>
  <c r="AN23" i="5"/>
  <c r="AQ5" i="5"/>
  <c r="I28" i="5"/>
  <c r="H28" i="5"/>
  <c r="AJ28" i="5" s="1"/>
  <c r="G28" i="5"/>
  <c r="AI28" i="5" s="1"/>
  <c r="F28" i="5"/>
  <c r="AH28" i="5" s="1"/>
  <c r="E28" i="5"/>
  <c r="AG28" i="5" s="1"/>
  <c r="J25" i="5"/>
  <c r="AL25" i="5" s="1"/>
  <c r="G21" i="5"/>
  <c r="AI21" i="5" s="1"/>
  <c r="E17" i="5"/>
  <c r="AG17" i="5" s="1"/>
  <c r="D28" i="5"/>
  <c r="AF28" i="5" s="1"/>
  <c r="I25" i="5"/>
  <c r="F21" i="5"/>
  <c r="AH21" i="5" s="1"/>
  <c r="D17" i="5"/>
  <c r="AF17" i="5" s="1"/>
  <c r="H25" i="5"/>
  <c r="AJ25" i="5" s="1"/>
  <c r="E21" i="5"/>
  <c r="AG21" i="5" s="1"/>
  <c r="F25" i="5"/>
  <c r="AH25" i="5" s="1"/>
  <c r="D25" i="5"/>
  <c r="AF25" i="5" s="1"/>
  <c r="I21" i="5"/>
  <c r="G17" i="5"/>
  <c r="AI17" i="5" s="1"/>
  <c r="E12" i="5"/>
  <c r="AG12" i="5" s="1"/>
  <c r="J6" i="5"/>
  <c r="AL6" i="5" s="1"/>
  <c r="AO6" i="5"/>
  <c r="AN7" i="5"/>
  <c r="AM8" i="5"/>
  <c r="G12" i="5"/>
  <c r="AI12" i="5" s="1"/>
  <c r="AO15" i="5"/>
  <c r="AG24" i="5"/>
  <c r="AO24" i="5"/>
  <c r="AH24" i="5"/>
  <c r="B7" i="5"/>
  <c r="H12" i="5"/>
  <c r="AJ12" i="5" s="1"/>
  <c r="AR12" i="5"/>
  <c r="AO13" i="5"/>
  <c r="AR18" i="5"/>
  <c r="AM19" i="5"/>
  <c r="AQ25" i="5"/>
  <c r="J28" i="5"/>
  <c r="AL28" i="5" s="1"/>
  <c r="AM28" i="5"/>
  <c r="AM29" i="5"/>
  <c r="AR15" i="5"/>
  <c r="AM27" i="5"/>
  <c r="AP18" i="5"/>
  <c r="AN19" i="5"/>
  <c r="AM20" i="5"/>
  <c r="AQ22" i="5"/>
  <c r="AN24" i="5"/>
  <c r="AN25" i="5"/>
  <c r="AN26" i="5"/>
  <c r="F7" i="4"/>
  <c r="BP26" i="3"/>
  <c r="BQ25" i="3"/>
  <c r="BR25" i="3" s="1"/>
  <c r="BS25" i="3" s="1"/>
  <c r="BQ24" i="3"/>
  <c r="BR24" i="3" s="1"/>
  <c r="BS24" i="3" s="1"/>
  <c r="Q27" i="5" l="1"/>
  <c r="W27" i="5" s="1"/>
  <c r="AY27" i="5" s="1"/>
  <c r="V5" i="5"/>
  <c r="AB5" i="5" s="1"/>
  <c r="BD5" i="5" s="1"/>
  <c r="V10" i="5"/>
  <c r="BL13" i="5"/>
  <c r="BN13" i="5"/>
  <c r="V27" i="5"/>
  <c r="AB27" i="5" s="1"/>
  <c r="BD27" i="5" s="1"/>
  <c r="S5" i="5"/>
  <c r="Y5" i="5" s="1"/>
  <c r="BA5" i="5" s="1"/>
  <c r="U11" i="5"/>
  <c r="AA11" i="5" s="1"/>
  <c r="BC11" i="5" s="1"/>
  <c r="Q6" i="5"/>
  <c r="W6" i="5" s="1"/>
  <c r="AY6" i="5" s="1"/>
  <c r="S29" i="5"/>
  <c r="R4" i="5"/>
  <c r="BH38" i="5" s="1"/>
  <c r="T28" i="5"/>
  <c r="Z28" i="5" s="1"/>
  <c r="BB28" i="5" s="1"/>
  <c r="U6" i="5"/>
  <c r="AW6" i="5" s="1"/>
  <c r="R5" i="5"/>
  <c r="X5" i="5" s="1"/>
  <c r="AZ5" i="5" s="1"/>
  <c r="V7" i="5"/>
  <c r="T5" i="5"/>
  <c r="Z5" i="5" s="1"/>
  <c r="BB5" i="5" s="1"/>
  <c r="Q5" i="5"/>
  <c r="W5" i="5" s="1"/>
  <c r="AY5" i="5" s="1"/>
  <c r="V6" i="5"/>
  <c r="V29" i="5"/>
  <c r="T26" i="5"/>
  <c r="T14" i="5"/>
  <c r="AV14" i="5" s="1"/>
  <c r="Q26" i="5"/>
  <c r="AS26" i="5" s="1"/>
  <c r="T25" i="5"/>
  <c r="R18" i="5"/>
  <c r="AT18" i="5" s="1"/>
  <c r="R23" i="5"/>
  <c r="AT23" i="5" s="1"/>
  <c r="R14" i="5"/>
  <c r="Q4" i="5"/>
  <c r="BG38" i="5" s="1"/>
  <c r="R29" i="5"/>
  <c r="AT29" i="5" s="1"/>
  <c r="V21" i="5"/>
  <c r="AB21" i="5" s="1"/>
  <c r="BD21" i="5" s="1"/>
  <c r="U12" i="5"/>
  <c r="AA12" i="5" s="1"/>
  <c r="BC12" i="5" s="1"/>
  <c r="T29" i="5"/>
  <c r="U24" i="5"/>
  <c r="AA24" i="5" s="1"/>
  <c r="BC24" i="5" s="1"/>
  <c r="T19" i="5"/>
  <c r="AV19" i="5" s="1"/>
  <c r="R28" i="5"/>
  <c r="S25" i="5"/>
  <c r="AU25" i="5" s="1"/>
  <c r="Q17" i="5"/>
  <c r="AS17" i="5" s="1"/>
  <c r="S8" i="5"/>
  <c r="AU8" i="5" s="1"/>
  <c r="S10" i="5"/>
  <c r="AU10" i="5" s="1"/>
  <c r="S22" i="5"/>
  <c r="R12" i="5"/>
  <c r="X12" i="5" s="1"/>
  <c r="AZ12" i="5" s="1"/>
  <c r="V12" i="5"/>
  <c r="AB12" i="5" s="1"/>
  <c r="BD12" i="5" s="1"/>
  <c r="Q25" i="5"/>
  <c r="Q8" i="5"/>
  <c r="AS8" i="5" s="1"/>
  <c r="Q22" i="5"/>
  <c r="Q13" i="5"/>
  <c r="AS13" i="5" s="1"/>
  <c r="T6" i="5"/>
  <c r="S4" i="5"/>
  <c r="BI38" i="5" s="1"/>
  <c r="U23" i="5"/>
  <c r="AW23" i="5" s="1"/>
  <c r="V22" i="5"/>
  <c r="AX22" i="5" s="1"/>
  <c r="V20" i="5"/>
  <c r="AB20" i="5" s="1"/>
  <c r="BD20" i="5" s="1"/>
  <c r="T9" i="5"/>
  <c r="AV9" i="5" s="1"/>
  <c r="S13" i="5"/>
  <c r="AU13" i="5" s="1"/>
  <c r="R26" i="5"/>
  <c r="AT26" i="5" s="1"/>
  <c r="R9" i="5"/>
  <c r="AT9" i="5" s="1"/>
  <c r="V11" i="5"/>
  <c r="AB11" i="5" s="1"/>
  <c r="BD11" i="5" s="1"/>
  <c r="U16" i="5"/>
  <c r="AA16" i="5" s="1"/>
  <c r="BC16" i="5" s="1"/>
  <c r="S18" i="5"/>
  <c r="U9" i="5"/>
  <c r="T16" i="5"/>
  <c r="Z16" i="5" s="1"/>
  <c r="BB16" i="5" s="1"/>
  <c r="T24" i="5"/>
  <c r="Z24" i="5" s="1"/>
  <c r="BB24" i="5" s="1"/>
  <c r="Q16" i="5"/>
  <c r="W16" i="5" s="1"/>
  <c r="AY16" i="5" s="1"/>
  <c r="R7" i="5"/>
  <c r="S21" i="5"/>
  <c r="AU21" i="5" s="1"/>
  <c r="S11" i="5"/>
  <c r="Y11" i="5" s="1"/>
  <c r="BA11" i="5" s="1"/>
  <c r="V18" i="5"/>
  <c r="AX18" i="5" s="1"/>
  <c r="U7" i="5"/>
  <c r="R24" i="5"/>
  <c r="X24" i="5" s="1"/>
  <c r="AZ24" i="5" s="1"/>
  <c r="S14" i="5"/>
  <c r="AU14" i="5" s="1"/>
  <c r="V23" i="5"/>
  <c r="AX23" i="5" s="1"/>
  <c r="Q21" i="5"/>
  <c r="AS21" i="5" s="1"/>
  <c r="Q11" i="5"/>
  <c r="W11" i="5" s="1"/>
  <c r="AY11" i="5" s="1"/>
  <c r="U4" i="5"/>
  <c r="BK38" i="5" s="1"/>
  <c r="BL38" i="5" s="1"/>
  <c r="U30" i="5"/>
  <c r="AW30" i="5" s="1"/>
  <c r="Q28" i="5"/>
  <c r="U19" i="5"/>
  <c r="AW19" i="5" s="1"/>
  <c r="R17" i="5"/>
  <c r="AT17" i="5" s="1"/>
  <c r="T8" i="5"/>
  <c r="AV8" i="5" s="1"/>
  <c r="R6" i="5"/>
  <c r="X6" i="5" s="1"/>
  <c r="AZ6" i="5" s="1"/>
  <c r="S23" i="5"/>
  <c r="U14" i="5"/>
  <c r="AW14" i="5" s="1"/>
  <c r="U17" i="5"/>
  <c r="AA17" i="5" s="1"/>
  <c r="BC17" i="5" s="1"/>
  <c r="V28" i="5"/>
  <c r="T20" i="5"/>
  <c r="Z20" i="5" s="1"/>
  <c r="BB20" i="5" s="1"/>
  <c r="Q14" i="5"/>
  <c r="AS14" i="5" s="1"/>
  <c r="R27" i="5"/>
  <c r="X27" i="5" s="1"/>
  <c r="AZ27" i="5" s="1"/>
  <c r="R22" i="5"/>
  <c r="R13" i="5"/>
  <c r="AT13" i="5" s="1"/>
  <c r="T17" i="5"/>
  <c r="Z17" i="5" s="1"/>
  <c r="BB17" i="5" s="1"/>
  <c r="R20" i="5"/>
  <c r="X20" i="5" s="1"/>
  <c r="AZ20" i="5" s="1"/>
  <c r="U5" i="5"/>
  <c r="AA5" i="5" s="1"/>
  <c r="BC5" i="5" s="1"/>
  <c r="T12" i="5"/>
  <c r="AV12" i="5" s="1"/>
  <c r="T15" i="5"/>
  <c r="AV15" i="5" s="1"/>
  <c r="U15" i="5"/>
  <c r="AW15" i="5" s="1"/>
  <c r="V26" i="5"/>
  <c r="T18" i="5"/>
  <c r="AV18" i="5" s="1"/>
  <c r="V9" i="5"/>
  <c r="AX9" i="5" s="1"/>
  <c r="U18" i="5"/>
  <c r="AW18" i="5" s="1"/>
  <c r="T23" i="5"/>
  <c r="R16" i="5"/>
  <c r="X16" i="5" s="1"/>
  <c r="AZ16" i="5" s="1"/>
  <c r="S7" i="5"/>
  <c r="AU7" i="5" s="1"/>
  <c r="T30" i="5"/>
  <c r="AV30" i="5" s="1"/>
  <c r="T22" i="5"/>
  <c r="T13" i="5"/>
  <c r="AV13" i="5" s="1"/>
  <c r="S26" i="5"/>
  <c r="AU26" i="5" s="1"/>
  <c r="R19" i="5"/>
  <c r="AT19" i="5" s="1"/>
  <c r="S9" i="5"/>
  <c r="R21" i="5"/>
  <c r="X21" i="5" s="1"/>
  <c r="AZ21" i="5" s="1"/>
  <c r="Q12" i="5"/>
  <c r="AS12" i="5" s="1"/>
  <c r="S28" i="5"/>
  <c r="AU28" i="5" s="1"/>
  <c r="U29" i="5"/>
  <c r="AW29" i="5" s="1"/>
  <c r="U10" i="5"/>
  <c r="AW10" i="5" s="1"/>
  <c r="Q20" i="5"/>
  <c r="W20" i="5" s="1"/>
  <c r="AY20" i="5" s="1"/>
  <c r="Q24" i="5"/>
  <c r="W24" i="5" s="1"/>
  <c r="AY24" i="5" s="1"/>
  <c r="V4" i="5"/>
  <c r="V30" i="5"/>
  <c r="AX30" i="5" s="1"/>
  <c r="U25" i="5"/>
  <c r="AA25" i="5" s="1"/>
  <c r="BC25" i="5" s="1"/>
  <c r="S17" i="5"/>
  <c r="Y17" i="5" s="1"/>
  <c r="BA17" i="5" s="1"/>
  <c r="U8" i="5"/>
  <c r="Q29" i="5"/>
  <c r="U22" i="5"/>
  <c r="AW22" i="5" s="1"/>
  <c r="V14" i="5"/>
  <c r="AX14" i="5" s="1"/>
  <c r="T21" i="5"/>
  <c r="S12" i="5"/>
  <c r="Y12" i="5" s="1"/>
  <c r="BA12" i="5" s="1"/>
  <c r="T10" i="5"/>
  <c r="AV10" i="5" s="1"/>
  <c r="Q18" i="5"/>
  <c r="AS18" i="5" s="1"/>
  <c r="R8" i="5"/>
  <c r="AT8" i="5" s="1"/>
  <c r="S27" i="5"/>
  <c r="Y27" i="5" s="1"/>
  <c r="BA27" i="5" s="1"/>
  <c r="S20" i="5"/>
  <c r="Y20" i="5" s="1"/>
  <c r="BA20" i="5" s="1"/>
  <c r="R11" i="5"/>
  <c r="X11" i="5" s="1"/>
  <c r="AZ11" i="5" s="1"/>
  <c r="V17" i="5"/>
  <c r="Q9" i="5"/>
  <c r="AS9" i="5" s="1"/>
  <c r="V25" i="5"/>
  <c r="AX25" i="5" s="1"/>
  <c r="T4" i="5"/>
  <c r="BJ38" i="5" s="1"/>
  <c r="S19" i="5"/>
  <c r="AU19" i="5" s="1"/>
  <c r="S24" i="5"/>
  <c r="Y24" i="5" s="1"/>
  <c r="BA24" i="5" s="1"/>
  <c r="R15" i="5"/>
  <c r="AT15" i="5" s="1"/>
  <c r="S15" i="5"/>
  <c r="AU15" i="5" s="1"/>
  <c r="V13" i="5"/>
  <c r="T27" i="5"/>
  <c r="Z27" i="5" s="1"/>
  <c r="BB27" i="5" s="1"/>
  <c r="V24" i="5"/>
  <c r="AB24" i="5" s="1"/>
  <c r="BD24" i="5" s="1"/>
  <c r="S16" i="5"/>
  <c r="Y16" i="5" s="1"/>
  <c r="BA16" i="5" s="1"/>
  <c r="T7" i="5"/>
  <c r="AV7" i="5" s="1"/>
  <c r="U26" i="5"/>
  <c r="AW26" i="5" s="1"/>
  <c r="U21" i="5"/>
  <c r="AA21" i="5" s="1"/>
  <c r="BC21" i="5" s="1"/>
  <c r="U13" i="5"/>
  <c r="AW13" i="5" s="1"/>
  <c r="U20" i="5"/>
  <c r="AA20" i="5" s="1"/>
  <c r="BC20" i="5" s="1"/>
  <c r="T11" i="5"/>
  <c r="Z11" i="5" s="1"/>
  <c r="BB11" i="5" s="1"/>
  <c r="S6" i="5"/>
  <c r="Y6" i="5" s="1"/>
  <c r="BA6" i="5" s="1"/>
  <c r="R25" i="5"/>
  <c r="X25" i="5" s="1"/>
  <c r="AZ25" i="5" s="1"/>
  <c r="V15" i="5"/>
  <c r="AX15" i="5" s="1"/>
  <c r="Q7" i="5"/>
  <c r="AS7" i="5" s="1"/>
  <c r="V19" i="5"/>
  <c r="AX19" i="5" s="1"/>
  <c r="U28" i="5"/>
  <c r="AA28" i="5" s="1"/>
  <c r="BC28" i="5" s="1"/>
  <c r="Q19" i="5"/>
  <c r="U27" i="5"/>
  <c r="AA27" i="5" s="1"/>
  <c r="BC27" i="5" s="1"/>
  <c r="V16" i="5"/>
  <c r="AB16" i="5" s="1"/>
  <c r="BD16" i="5" s="1"/>
  <c r="V8" i="5"/>
  <c r="AX8" i="5" s="1"/>
  <c r="AA21" i="6"/>
  <c r="BC21" i="6" s="1"/>
  <c r="W21" i="6"/>
  <c r="AY21" i="6" s="1"/>
  <c r="X21" i="6"/>
  <c r="AZ21" i="6" s="1"/>
  <c r="AB21" i="6"/>
  <c r="BD21" i="6" s="1"/>
  <c r="Y21" i="6"/>
  <c r="BA21" i="6" s="1"/>
  <c r="Z21" i="6"/>
  <c r="BB21" i="6" s="1"/>
  <c r="AF12" i="6"/>
  <c r="AA12" i="6"/>
  <c r="BC12" i="6" s="1"/>
  <c r="AB12" i="6"/>
  <c r="BD12" i="6" s="1"/>
  <c r="W12" i="6"/>
  <c r="AY12" i="6" s="1"/>
  <c r="Z12" i="6"/>
  <c r="BB12" i="6" s="1"/>
  <c r="X12" i="6"/>
  <c r="AZ12" i="6" s="1"/>
  <c r="Y12" i="6"/>
  <c r="BA12" i="6" s="1"/>
  <c r="W6" i="6"/>
  <c r="AY6" i="6" s="1"/>
  <c r="X6" i="6"/>
  <c r="AZ6" i="6" s="1"/>
  <c r="Y6" i="6"/>
  <c r="BA6" i="6" s="1"/>
  <c r="Z6" i="6"/>
  <c r="BB6" i="6" s="1"/>
  <c r="AA6" i="6"/>
  <c r="BC6" i="6" s="1"/>
  <c r="AB6" i="6"/>
  <c r="BD6" i="6" s="1"/>
  <c r="AA28" i="6"/>
  <c r="BC28" i="6" s="1"/>
  <c r="AB28" i="6"/>
  <c r="BD28" i="6" s="1"/>
  <c r="W28" i="6"/>
  <c r="AY28" i="6" s="1"/>
  <c r="X28" i="6"/>
  <c r="AZ28" i="6" s="1"/>
  <c r="Y28" i="6"/>
  <c r="BA28" i="6" s="1"/>
  <c r="Z28" i="6"/>
  <c r="BB28" i="6" s="1"/>
  <c r="W17" i="6"/>
  <c r="AY17" i="6" s="1"/>
  <c r="X17" i="6"/>
  <c r="AZ17" i="6" s="1"/>
  <c r="Y17" i="6"/>
  <c r="BA17" i="6" s="1"/>
  <c r="Z17" i="6"/>
  <c r="BB17" i="6" s="1"/>
  <c r="AA17" i="6"/>
  <c r="BC17" i="6" s="1"/>
  <c r="AB17" i="6"/>
  <c r="BD17" i="6" s="1"/>
  <c r="W25" i="6"/>
  <c r="AY25" i="6" s="1"/>
  <c r="AB25" i="6"/>
  <c r="BD25" i="6" s="1"/>
  <c r="X25" i="6"/>
  <c r="AZ25" i="6" s="1"/>
  <c r="Y25" i="6"/>
  <c r="BA25" i="6" s="1"/>
  <c r="AA25" i="6"/>
  <c r="BC25" i="6" s="1"/>
  <c r="Z25" i="6"/>
  <c r="BB25" i="6" s="1"/>
  <c r="Z21" i="5"/>
  <c r="BB21" i="5" s="1"/>
  <c r="W25" i="5"/>
  <c r="AY25" i="5" s="1"/>
  <c r="Y25" i="5"/>
  <c r="BA25" i="5" s="1"/>
  <c r="Z25" i="5"/>
  <c r="BB25" i="5" s="1"/>
  <c r="AB28" i="5"/>
  <c r="BD28" i="5" s="1"/>
  <c r="W28" i="5"/>
  <c r="AY28" i="5" s="1"/>
  <c r="X28" i="5"/>
  <c r="AZ28" i="5" s="1"/>
  <c r="Z6" i="5"/>
  <c r="BB6" i="5" s="1"/>
  <c r="AB6" i="5"/>
  <c r="BD6" i="5" s="1"/>
  <c r="AB17" i="5"/>
  <c r="BD17" i="5" s="1"/>
  <c r="W17" i="5"/>
  <c r="T5" i="6"/>
  <c r="AV5" i="6" s="1"/>
  <c r="V7" i="6"/>
  <c r="AX7" i="6" s="1"/>
  <c r="V18" i="6"/>
  <c r="AX18" i="6" s="1"/>
  <c r="U7" i="6"/>
  <c r="AW7" i="6" s="1"/>
  <c r="Q5" i="6"/>
  <c r="AS5" i="6" s="1"/>
  <c r="R5" i="6"/>
  <c r="AT5" i="6" s="1"/>
  <c r="V8" i="6"/>
  <c r="AX8" i="6" s="1"/>
  <c r="V23" i="6"/>
  <c r="AX23" i="6" s="1"/>
  <c r="V10" i="6"/>
  <c r="AX10" i="6" s="1"/>
  <c r="U11" i="6"/>
  <c r="AW11" i="6" s="1"/>
  <c r="U14" i="6"/>
  <c r="AW14" i="6" s="1"/>
  <c r="S26" i="6"/>
  <c r="AU26" i="6" s="1"/>
  <c r="S11" i="6"/>
  <c r="AU11" i="6" s="1"/>
  <c r="S8" i="6"/>
  <c r="AU8" i="6" s="1"/>
  <c r="S24" i="6"/>
  <c r="AU24" i="6" s="1"/>
  <c r="S13" i="6"/>
  <c r="AU13" i="6" s="1"/>
  <c r="S22" i="6"/>
  <c r="AU22" i="6" s="1"/>
  <c r="S19" i="6"/>
  <c r="AU19" i="6" s="1"/>
  <c r="S15" i="6"/>
  <c r="AU15" i="6" s="1"/>
  <c r="S28" i="6"/>
  <c r="AU28" i="6" s="1"/>
  <c r="S27" i="6"/>
  <c r="AU27" i="6" s="1"/>
  <c r="S23" i="6"/>
  <c r="AU23" i="6" s="1"/>
  <c r="S12" i="6"/>
  <c r="AU12" i="6" s="1"/>
  <c r="S9" i="6"/>
  <c r="AU9" i="6" s="1"/>
  <c r="S20" i="6"/>
  <c r="AU20" i="6" s="1"/>
  <c r="S16" i="6"/>
  <c r="AU16" i="6" s="1"/>
  <c r="S6" i="6"/>
  <c r="AU6" i="6" s="1"/>
  <c r="S21" i="6"/>
  <c r="AU21" i="6" s="1"/>
  <c r="S17" i="6"/>
  <c r="AU17" i="6" s="1"/>
  <c r="S29" i="6"/>
  <c r="AU29" i="6" s="1"/>
  <c r="S25" i="6"/>
  <c r="AU25" i="6" s="1"/>
  <c r="S14" i="6"/>
  <c r="AU14" i="6" s="1"/>
  <c r="S10" i="6"/>
  <c r="AU10" i="6" s="1"/>
  <c r="S7" i="6"/>
  <c r="AU7" i="6" s="1"/>
  <c r="S18" i="6"/>
  <c r="AU18" i="6" s="1"/>
  <c r="V11" i="6"/>
  <c r="AX11" i="6" s="1"/>
  <c r="V14" i="6"/>
  <c r="AX14" i="6" s="1"/>
  <c r="U26" i="6"/>
  <c r="AW26" i="6" s="1"/>
  <c r="U17" i="6"/>
  <c r="AW17" i="6" s="1"/>
  <c r="U10" i="6"/>
  <c r="AW10" i="6" s="1"/>
  <c r="S5" i="6"/>
  <c r="AU5" i="6" s="1"/>
  <c r="V26" i="6"/>
  <c r="AX26" i="6" s="1"/>
  <c r="V6" i="6"/>
  <c r="AX6" i="6" s="1"/>
  <c r="V25" i="6"/>
  <c r="AX25" i="6" s="1"/>
  <c r="U18" i="6"/>
  <c r="AW18" i="6" s="1"/>
  <c r="U21" i="6"/>
  <c r="AW21" i="6" s="1"/>
  <c r="U25" i="6"/>
  <c r="AW25" i="6" s="1"/>
  <c r="R22" i="6"/>
  <c r="AT22" i="6" s="1"/>
  <c r="R18" i="6"/>
  <c r="AT18" i="6" s="1"/>
  <c r="R27" i="6"/>
  <c r="AT27" i="6" s="1"/>
  <c r="R23" i="6"/>
  <c r="AT23" i="6" s="1"/>
  <c r="R20" i="6"/>
  <c r="AT20" i="6" s="1"/>
  <c r="R16" i="6"/>
  <c r="AT16" i="6" s="1"/>
  <c r="R7" i="6"/>
  <c r="AT7" i="6" s="1"/>
  <c r="R26" i="6"/>
  <c r="AT26" i="6" s="1"/>
  <c r="R11" i="6"/>
  <c r="AT11" i="6" s="1"/>
  <c r="R8" i="6"/>
  <c r="AT8" i="6" s="1"/>
  <c r="R12" i="6"/>
  <c r="AT12" i="6" s="1"/>
  <c r="R19" i="6"/>
  <c r="AT19" i="6" s="1"/>
  <c r="R15" i="6"/>
  <c r="AT15" i="6" s="1"/>
  <c r="R9" i="6"/>
  <c r="AT9" i="6" s="1"/>
  <c r="R25" i="6"/>
  <c r="AT25" i="6" s="1"/>
  <c r="R14" i="6"/>
  <c r="AT14" i="6" s="1"/>
  <c r="R28" i="6"/>
  <c r="AT28" i="6" s="1"/>
  <c r="R24" i="6"/>
  <c r="AT24" i="6" s="1"/>
  <c r="R13" i="6"/>
  <c r="AT13" i="6" s="1"/>
  <c r="R6" i="6"/>
  <c r="AT6" i="6" s="1"/>
  <c r="R21" i="6"/>
  <c r="AT21" i="6" s="1"/>
  <c r="R17" i="6"/>
  <c r="AT17" i="6" s="1"/>
  <c r="R29" i="6"/>
  <c r="AT29" i="6" s="1"/>
  <c r="V22" i="6"/>
  <c r="AX22" i="6" s="1"/>
  <c r="V13" i="6"/>
  <c r="AX13" i="6" s="1"/>
  <c r="V16" i="6"/>
  <c r="AX16" i="6" s="1"/>
  <c r="U22" i="6"/>
  <c r="AW22" i="6" s="1"/>
  <c r="U16" i="6"/>
  <c r="AW16" i="6" s="1"/>
  <c r="U29" i="6"/>
  <c r="AW29" i="6" s="1"/>
  <c r="T19" i="6"/>
  <c r="AV19" i="6" s="1"/>
  <c r="T15" i="6"/>
  <c r="AV15" i="6" s="1"/>
  <c r="T6" i="6"/>
  <c r="AV6" i="6" s="1"/>
  <c r="T11" i="6"/>
  <c r="AV11" i="6" s="1"/>
  <c r="T27" i="6"/>
  <c r="AV27" i="6" s="1"/>
  <c r="T23" i="6"/>
  <c r="AV23" i="6" s="1"/>
  <c r="T12" i="6"/>
  <c r="AV12" i="6" s="1"/>
  <c r="T9" i="6"/>
  <c r="AV9" i="6" s="1"/>
  <c r="T28" i="6"/>
  <c r="AV28" i="6" s="1"/>
  <c r="T21" i="6"/>
  <c r="AV21" i="6" s="1"/>
  <c r="T17" i="6"/>
  <c r="AV17" i="6" s="1"/>
  <c r="T30" i="6"/>
  <c r="AV30" i="6" s="1"/>
  <c r="T20" i="6"/>
  <c r="AV20" i="6" s="1"/>
  <c r="T16" i="6"/>
  <c r="AV16" i="6" s="1"/>
  <c r="T24" i="6"/>
  <c r="AV24" i="6" s="1"/>
  <c r="T13" i="6"/>
  <c r="AV13" i="6" s="1"/>
  <c r="T29" i="6"/>
  <c r="AV29" i="6" s="1"/>
  <c r="T25" i="6"/>
  <c r="AV25" i="6" s="1"/>
  <c r="T14" i="6"/>
  <c r="AV14" i="6" s="1"/>
  <c r="T10" i="6"/>
  <c r="AV10" i="6" s="1"/>
  <c r="T7" i="6"/>
  <c r="AV7" i="6" s="1"/>
  <c r="T22" i="6"/>
  <c r="AV22" i="6" s="1"/>
  <c r="T18" i="6"/>
  <c r="AV18" i="6" s="1"/>
  <c r="T26" i="6"/>
  <c r="AV26" i="6" s="1"/>
  <c r="T8" i="6"/>
  <c r="AV8" i="6" s="1"/>
  <c r="AP4" i="6"/>
  <c r="U5" i="6"/>
  <c r="AW5" i="6" s="1"/>
  <c r="V29" i="6"/>
  <c r="AX29" i="6" s="1"/>
  <c r="V24" i="6"/>
  <c r="AX24" i="6" s="1"/>
  <c r="V20" i="6"/>
  <c r="AX20" i="6" s="1"/>
  <c r="U6" i="6"/>
  <c r="AW6" i="6" s="1"/>
  <c r="U20" i="6"/>
  <c r="AW20" i="6" s="1"/>
  <c r="U9" i="6"/>
  <c r="AW9" i="6" s="1"/>
  <c r="V12" i="6"/>
  <c r="AX12" i="6" s="1"/>
  <c r="V17" i="6"/>
  <c r="AX17" i="6" s="1"/>
  <c r="V28" i="6"/>
  <c r="AX28" i="6" s="1"/>
  <c r="V30" i="6"/>
  <c r="AX30" i="6" s="1"/>
  <c r="U13" i="6"/>
  <c r="AW13" i="6" s="1"/>
  <c r="U30" i="6"/>
  <c r="AW30" i="6" s="1"/>
  <c r="U12" i="6"/>
  <c r="AW12" i="6" s="1"/>
  <c r="Q29" i="6"/>
  <c r="AS29" i="6" s="1"/>
  <c r="Q25" i="6"/>
  <c r="AS25" i="6" s="1"/>
  <c r="Q14" i="6"/>
  <c r="AS14" i="6" s="1"/>
  <c r="Q7" i="6"/>
  <c r="AS7" i="6" s="1"/>
  <c r="Q19" i="6"/>
  <c r="Q22" i="6"/>
  <c r="AS22" i="6" s="1"/>
  <c r="Q18" i="6"/>
  <c r="AS18" i="6" s="1"/>
  <c r="Q9" i="6"/>
  <c r="AS9" i="6" s="1"/>
  <c r="Q17" i="6"/>
  <c r="AS17" i="6" s="1"/>
  <c r="Q26" i="6"/>
  <c r="AS26" i="6" s="1"/>
  <c r="Q11" i="6"/>
  <c r="AS11" i="6" s="1"/>
  <c r="Q8" i="6"/>
  <c r="AS8" i="6" s="1"/>
  <c r="Q27" i="6"/>
  <c r="AS27" i="6" s="1"/>
  <c r="Q12" i="6"/>
  <c r="AS12" i="6" s="1"/>
  <c r="Q20" i="6"/>
  <c r="AS20" i="6" s="1"/>
  <c r="Q16" i="6"/>
  <c r="AS16" i="6" s="1"/>
  <c r="Q28" i="6"/>
  <c r="AS28" i="6" s="1"/>
  <c r="Q24" i="6"/>
  <c r="AS24" i="6" s="1"/>
  <c r="Q13" i="6"/>
  <c r="AS13" i="6" s="1"/>
  <c r="Q6" i="6"/>
  <c r="AS6" i="6" s="1"/>
  <c r="Q21" i="6"/>
  <c r="AS21" i="6" s="1"/>
  <c r="V5" i="6"/>
  <c r="AX5" i="6" s="1"/>
  <c r="V15" i="6"/>
  <c r="AX15" i="6" s="1"/>
  <c r="V21" i="6"/>
  <c r="AX21" i="6" s="1"/>
  <c r="V27" i="6"/>
  <c r="AX27" i="6" s="1"/>
  <c r="U24" i="6"/>
  <c r="AW24" i="6" s="1"/>
  <c r="U15" i="6"/>
  <c r="AW15" i="6" s="1"/>
  <c r="AQ4" i="6"/>
  <c r="AO4" i="6"/>
  <c r="V19" i="6"/>
  <c r="AX19" i="6" s="1"/>
  <c r="V9" i="6"/>
  <c r="AX9" i="6" s="1"/>
  <c r="U8" i="6"/>
  <c r="AW8" i="6" s="1"/>
  <c r="U28" i="6"/>
  <c r="AW28" i="6" s="1"/>
  <c r="U19" i="6"/>
  <c r="AW19" i="6" s="1"/>
  <c r="U27" i="6"/>
  <c r="AW27" i="6" s="1"/>
  <c r="AS25" i="5"/>
  <c r="AV25" i="5"/>
  <c r="AV23" i="5"/>
  <c r="AS29" i="5"/>
  <c r="AU5" i="5"/>
  <c r="AU22" i="5"/>
  <c r="AU18" i="5"/>
  <c r="AU23" i="5"/>
  <c r="AU12" i="5"/>
  <c r="AU9" i="5"/>
  <c r="AU29" i="5"/>
  <c r="AO4" i="5"/>
  <c r="BI7" i="5" s="1"/>
  <c r="AT14" i="5"/>
  <c r="AT7" i="5"/>
  <c r="AT22" i="5"/>
  <c r="AT24" i="5"/>
  <c r="AT28" i="5"/>
  <c r="AT6" i="5"/>
  <c r="AS11" i="5"/>
  <c r="AV21" i="5"/>
  <c r="AS27" i="5"/>
  <c r="AM4" i="5"/>
  <c r="BG7" i="5" s="1"/>
  <c r="AX20" i="5"/>
  <c r="AX28" i="5"/>
  <c r="AX13" i="5"/>
  <c r="AX6" i="5"/>
  <c r="AX17" i="5"/>
  <c r="AX21" i="5"/>
  <c r="AX29" i="5"/>
  <c r="AX10" i="5"/>
  <c r="AX7" i="5"/>
  <c r="AX26" i="5"/>
  <c r="AX11" i="5"/>
  <c r="AS19" i="5"/>
  <c r="AS22" i="5"/>
  <c r="AW9" i="5"/>
  <c r="AW20" i="5"/>
  <c r="AW8" i="5"/>
  <c r="AW25" i="5"/>
  <c r="AW7" i="5"/>
  <c r="AQ4" i="5"/>
  <c r="BK7" i="5" s="1"/>
  <c r="AR4" i="5"/>
  <c r="BM7" i="5" s="1"/>
  <c r="AX5" i="5"/>
  <c r="AP4" i="5"/>
  <c r="BJ7" i="5" s="1"/>
  <c r="AV29" i="5"/>
  <c r="AN4" i="5"/>
  <c r="BH7" i="5" s="1"/>
  <c r="AW5" i="5"/>
  <c r="AV22" i="5"/>
  <c r="AV6" i="5"/>
  <c r="AV26" i="5"/>
  <c r="AS28" i="5"/>
  <c r="K18" i="4"/>
  <c r="L18" i="4" s="1"/>
  <c r="H5" i="4"/>
  <c r="AK17" i="5"/>
  <c r="H6" i="4"/>
  <c r="AF6" i="6"/>
  <c r="AF21" i="6"/>
  <c r="AF17" i="6"/>
  <c r="AF28" i="6"/>
  <c r="G6" i="4"/>
  <c r="AK6" i="5"/>
  <c r="BU24" i="5"/>
  <c r="BV24" i="5" s="1"/>
  <c r="AM4" i="6"/>
  <c r="H7" i="6"/>
  <c r="AJ7" i="6" s="1"/>
  <c r="I7" i="6"/>
  <c r="G13" i="6"/>
  <c r="AI13" i="6" s="1"/>
  <c r="I18" i="6"/>
  <c r="I22" i="6"/>
  <c r="I26" i="6"/>
  <c r="G29" i="6"/>
  <c r="AI29" i="6" s="1"/>
  <c r="J7" i="6"/>
  <c r="AL7" i="6" s="1"/>
  <c r="H13" i="6"/>
  <c r="AJ13" i="6" s="1"/>
  <c r="J18" i="6"/>
  <c r="AL18" i="6" s="1"/>
  <c r="J22" i="6"/>
  <c r="AL22" i="6" s="1"/>
  <c r="J26" i="6"/>
  <c r="AL26" i="6" s="1"/>
  <c r="H29" i="6"/>
  <c r="AJ29" i="6" s="1"/>
  <c r="I13" i="6"/>
  <c r="I29" i="6"/>
  <c r="D22" i="6"/>
  <c r="D13" i="6"/>
  <c r="J13" i="6"/>
  <c r="AL13" i="6" s="1"/>
  <c r="J29" i="6"/>
  <c r="AL29" i="6" s="1"/>
  <c r="D29" i="6"/>
  <c r="E7" i="6"/>
  <c r="AG7" i="6" s="1"/>
  <c r="F18" i="6"/>
  <c r="AH18" i="6" s="1"/>
  <c r="F22" i="6"/>
  <c r="AH22" i="6" s="1"/>
  <c r="F26" i="6"/>
  <c r="AH26" i="6" s="1"/>
  <c r="F7" i="6"/>
  <c r="AH7" i="6" s="1"/>
  <c r="E13" i="6"/>
  <c r="AG13" i="6" s="1"/>
  <c r="G18" i="6"/>
  <c r="AI18" i="6" s="1"/>
  <c r="G22" i="6"/>
  <c r="AI22" i="6" s="1"/>
  <c r="G26" i="6"/>
  <c r="AI26" i="6" s="1"/>
  <c r="E29" i="6"/>
  <c r="AG29" i="6" s="1"/>
  <c r="D18" i="6"/>
  <c r="H26" i="6"/>
  <c r="AJ26" i="6" s="1"/>
  <c r="F29" i="6"/>
  <c r="AH29" i="6" s="1"/>
  <c r="G7" i="6"/>
  <c r="AI7" i="6" s="1"/>
  <c r="E18" i="6"/>
  <c r="AG18" i="6" s="1"/>
  <c r="H18" i="6"/>
  <c r="AJ18" i="6" s="1"/>
  <c r="F13" i="6"/>
  <c r="AH13" i="6" s="1"/>
  <c r="H22" i="6"/>
  <c r="AJ22" i="6" s="1"/>
  <c r="D26" i="6"/>
  <c r="D7" i="6"/>
  <c r="E26" i="6"/>
  <c r="AG26" i="6" s="1"/>
  <c r="E22" i="6"/>
  <c r="AG22" i="6" s="1"/>
  <c r="AF25" i="6"/>
  <c r="AR4" i="6"/>
  <c r="BU24" i="3"/>
  <c r="BV24" i="3" s="1"/>
  <c r="AN4" i="6"/>
  <c r="BP25" i="7"/>
  <c r="BQ24" i="7"/>
  <c r="BR24" i="7" s="1"/>
  <c r="BS24" i="7" s="1"/>
  <c r="BU25" i="7"/>
  <c r="B9" i="7"/>
  <c r="BU26" i="6"/>
  <c r="AK25" i="6"/>
  <c r="AK28" i="6"/>
  <c r="AK17" i="6"/>
  <c r="B8" i="6"/>
  <c r="AK12" i="6"/>
  <c r="AK6" i="6"/>
  <c r="BP25" i="6"/>
  <c r="BQ24" i="6"/>
  <c r="BR24" i="6" s="1"/>
  <c r="BS24" i="6" s="1"/>
  <c r="AK21" i="6"/>
  <c r="I29" i="5"/>
  <c r="H29" i="5"/>
  <c r="AJ29" i="5" s="1"/>
  <c r="G29" i="5"/>
  <c r="AI29" i="5" s="1"/>
  <c r="F29" i="5"/>
  <c r="AH29" i="5" s="1"/>
  <c r="D29" i="5"/>
  <c r="AF29" i="5" s="1"/>
  <c r="J26" i="5"/>
  <c r="AL26" i="5" s="1"/>
  <c r="E22" i="5"/>
  <c r="AG22" i="5" s="1"/>
  <c r="D18" i="5"/>
  <c r="AF18" i="5" s="1"/>
  <c r="I13" i="5"/>
  <c r="I26" i="5"/>
  <c r="D22" i="5"/>
  <c r="AF22" i="5" s="1"/>
  <c r="H26" i="5"/>
  <c r="AJ26" i="5" s="1"/>
  <c r="J18" i="5"/>
  <c r="AL18" i="5" s="1"/>
  <c r="G13" i="5"/>
  <c r="AI13" i="5" s="1"/>
  <c r="F26" i="5"/>
  <c r="AH26" i="5" s="1"/>
  <c r="I22" i="5"/>
  <c r="E29" i="5"/>
  <c r="AG29" i="5" s="1"/>
  <c r="D26" i="5"/>
  <c r="AF26" i="5" s="1"/>
  <c r="G22" i="5"/>
  <c r="AI22" i="5" s="1"/>
  <c r="F18" i="5"/>
  <c r="AH18" i="5" s="1"/>
  <c r="G26" i="5"/>
  <c r="AI26" i="5" s="1"/>
  <c r="H22" i="5"/>
  <c r="AJ22" i="5" s="1"/>
  <c r="I18" i="5"/>
  <c r="J7" i="5"/>
  <c r="AL7" i="5" s="1"/>
  <c r="E26" i="5"/>
  <c r="AG26" i="5" s="1"/>
  <c r="F22" i="5"/>
  <c r="AH22" i="5" s="1"/>
  <c r="H18" i="5"/>
  <c r="AJ18" i="5" s="1"/>
  <c r="I7" i="5"/>
  <c r="G18" i="5"/>
  <c r="AI18" i="5" s="1"/>
  <c r="J13" i="5"/>
  <c r="AL13" i="5" s="1"/>
  <c r="H7" i="5"/>
  <c r="AJ7" i="5" s="1"/>
  <c r="E18" i="5"/>
  <c r="AG18" i="5" s="1"/>
  <c r="H13" i="5"/>
  <c r="AJ13" i="5" s="1"/>
  <c r="G7" i="5"/>
  <c r="AI7" i="5" s="1"/>
  <c r="F13" i="5"/>
  <c r="AH13" i="5" s="1"/>
  <c r="F7" i="5"/>
  <c r="AH7" i="5" s="1"/>
  <c r="E13" i="5"/>
  <c r="AG13" i="5" s="1"/>
  <c r="E7" i="5"/>
  <c r="AG7" i="5" s="1"/>
  <c r="D13" i="5"/>
  <c r="AF13" i="5" s="1"/>
  <c r="D7" i="5"/>
  <c r="AF7" i="5" s="1"/>
  <c r="J29" i="5"/>
  <c r="AL29" i="5" s="1"/>
  <c r="J22" i="5"/>
  <c r="AL22" i="5" s="1"/>
  <c r="B8" i="5"/>
  <c r="AK25" i="5"/>
  <c r="AK12" i="5"/>
  <c r="AK21" i="5"/>
  <c r="AK28" i="5"/>
  <c r="BP25" i="5"/>
  <c r="BQ24" i="5"/>
  <c r="BR24" i="5" s="1"/>
  <c r="BS24" i="5" s="1"/>
  <c r="F8" i="4"/>
  <c r="G7" i="4" s="1"/>
  <c r="BP27" i="3"/>
  <c r="BQ26" i="3"/>
  <c r="BR26" i="3" s="1"/>
  <c r="BS26" i="3" s="1"/>
  <c r="AW12" i="5" l="1"/>
  <c r="AU27" i="5"/>
  <c r="AT5" i="5"/>
  <c r="AX27" i="5"/>
  <c r="AS20" i="5"/>
  <c r="Y21" i="5"/>
  <c r="BA21" i="5" s="1"/>
  <c r="W21" i="5"/>
  <c r="AY21" i="5" s="1"/>
  <c r="AU20" i="5"/>
  <c r="AS5" i="5"/>
  <c r="BL7" i="5"/>
  <c r="AW21" i="5"/>
  <c r="AV17" i="5"/>
  <c r="AW11" i="5"/>
  <c r="AT12" i="5"/>
  <c r="AS6" i="5"/>
  <c r="AU24" i="5"/>
  <c r="AU11" i="5"/>
  <c r="AW24" i="5"/>
  <c r="AW16" i="5"/>
  <c r="AV5" i="5"/>
  <c r="AX12" i="5"/>
  <c r="AU6" i="5"/>
  <c r="X17" i="5"/>
  <c r="AZ17" i="5" s="1"/>
  <c r="AB25" i="5"/>
  <c r="BD25" i="5" s="1"/>
  <c r="AU17" i="5"/>
  <c r="AU16" i="5"/>
  <c r="W12" i="5"/>
  <c r="AY12" i="5" s="1"/>
  <c r="AX24" i="5"/>
  <c r="AS16" i="5"/>
  <c r="AT27" i="5"/>
  <c r="AV24" i="5"/>
  <c r="AA6" i="5"/>
  <c r="BC6" i="5" s="1"/>
  <c r="Y28" i="5"/>
  <c r="BA28" i="5" s="1"/>
  <c r="AX16" i="5"/>
  <c r="AT25" i="5"/>
  <c r="AV28" i="5"/>
  <c r="AT11" i="5"/>
  <c r="AV27" i="5"/>
  <c r="AW27" i="5"/>
  <c r="Z12" i="5"/>
  <c r="BB12" i="5" s="1"/>
  <c r="AW28" i="5"/>
  <c r="AT16" i="5"/>
  <c r="AW17" i="5"/>
  <c r="AV16" i="5"/>
  <c r="AT20" i="5"/>
  <c r="AS24" i="5"/>
  <c r="AV11" i="5"/>
  <c r="AT21" i="5"/>
  <c r="AV20" i="5"/>
  <c r="AF29" i="6"/>
  <c r="AA29" i="6"/>
  <c r="BC29" i="6" s="1"/>
  <c r="W29" i="6"/>
  <c r="AY29" i="6" s="1"/>
  <c r="X29" i="6"/>
  <c r="AZ29" i="6" s="1"/>
  <c r="Y29" i="6"/>
  <c r="BA29" i="6" s="1"/>
  <c r="AB29" i="6"/>
  <c r="BD29" i="6" s="1"/>
  <c r="Z29" i="6"/>
  <c r="BB29" i="6" s="1"/>
  <c r="W13" i="6"/>
  <c r="AY13" i="6" s="1"/>
  <c r="X13" i="6"/>
  <c r="AZ13" i="6" s="1"/>
  <c r="AB13" i="6"/>
  <c r="BD13" i="6" s="1"/>
  <c r="Y13" i="6"/>
  <c r="BA13" i="6" s="1"/>
  <c r="Z13" i="6"/>
  <c r="BB13" i="6" s="1"/>
  <c r="AA13" i="6"/>
  <c r="BC13" i="6" s="1"/>
  <c r="AF7" i="6"/>
  <c r="Y7" i="6"/>
  <c r="BA7" i="6" s="1"/>
  <c r="Z7" i="6"/>
  <c r="BB7" i="6" s="1"/>
  <c r="AA7" i="6"/>
  <c r="BC7" i="6" s="1"/>
  <c r="AB7" i="6"/>
  <c r="BD7" i="6" s="1"/>
  <c r="X7" i="6"/>
  <c r="AZ7" i="6" s="1"/>
  <c r="W7" i="6"/>
  <c r="AY7" i="6" s="1"/>
  <c r="AF22" i="6"/>
  <c r="W22" i="6"/>
  <c r="AY22" i="6" s="1"/>
  <c r="X22" i="6"/>
  <c r="AZ22" i="6" s="1"/>
  <c r="Y22" i="6"/>
  <c r="BA22" i="6" s="1"/>
  <c r="Z22" i="6"/>
  <c r="BB22" i="6" s="1"/>
  <c r="AA22" i="6"/>
  <c r="BC22" i="6" s="1"/>
  <c r="AB22" i="6"/>
  <c r="BD22" i="6" s="1"/>
  <c r="AF26" i="6"/>
  <c r="W26" i="6"/>
  <c r="AY26" i="6" s="1"/>
  <c r="X26" i="6"/>
  <c r="AZ26" i="6" s="1"/>
  <c r="Y26" i="6"/>
  <c r="BA26" i="6" s="1"/>
  <c r="Z26" i="6"/>
  <c r="BB26" i="6" s="1"/>
  <c r="AA26" i="6"/>
  <c r="BC26" i="6" s="1"/>
  <c r="AB26" i="6"/>
  <c r="BD26" i="6" s="1"/>
  <c r="AF18" i="6"/>
  <c r="W18" i="6"/>
  <c r="AY18" i="6" s="1"/>
  <c r="X18" i="6"/>
  <c r="AZ18" i="6" s="1"/>
  <c r="Y18" i="6"/>
  <c r="BA18" i="6" s="1"/>
  <c r="Z18" i="6"/>
  <c r="BB18" i="6" s="1"/>
  <c r="AA18" i="6"/>
  <c r="BC18" i="6" s="1"/>
  <c r="AB18" i="6"/>
  <c r="BD18" i="6" s="1"/>
  <c r="X18" i="5"/>
  <c r="AZ18" i="5" s="1"/>
  <c r="W18" i="5"/>
  <c r="AY18" i="5" s="1"/>
  <c r="Y18" i="5"/>
  <c r="BA18" i="5" s="1"/>
  <c r="Z18" i="5"/>
  <c r="BB18" i="5" s="1"/>
  <c r="AA18" i="5"/>
  <c r="BC18" i="5" s="1"/>
  <c r="AB18" i="5"/>
  <c r="BD18" i="5" s="1"/>
  <c r="Z7" i="5"/>
  <c r="BB7" i="5" s="1"/>
  <c r="AB7" i="5"/>
  <c r="BD7" i="5" s="1"/>
  <c r="AA7" i="5"/>
  <c r="BC7" i="5" s="1"/>
  <c r="Y7" i="5"/>
  <c r="BA7" i="5" s="1"/>
  <c r="W7" i="5"/>
  <c r="AY7" i="5" s="1"/>
  <c r="X7" i="5"/>
  <c r="AZ7" i="5" s="1"/>
  <c r="X22" i="5"/>
  <c r="AZ22" i="5" s="1"/>
  <c r="Z22" i="5"/>
  <c r="BB22" i="5" s="1"/>
  <c r="Y22" i="5"/>
  <c r="BA22" i="5" s="1"/>
  <c r="AA22" i="5"/>
  <c r="BC22" i="5" s="1"/>
  <c r="AB22" i="5"/>
  <c r="BD22" i="5" s="1"/>
  <c r="W22" i="5"/>
  <c r="AY22" i="5" s="1"/>
  <c r="X26" i="5"/>
  <c r="AZ26" i="5" s="1"/>
  <c r="Y26" i="5"/>
  <c r="BA26" i="5" s="1"/>
  <c r="Z26" i="5"/>
  <c r="BB26" i="5" s="1"/>
  <c r="AA26" i="5"/>
  <c r="BC26" i="5" s="1"/>
  <c r="W26" i="5"/>
  <c r="AY26" i="5" s="1"/>
  <c r="AB26" i="5"/>
  <c r="BD26" i="5" s="1"/>
  <c r="W13" i="5"/>
  <c r="AY13" i="5" s="1"/>
  <c r="X13" i="5"/>
  <c r="AZ13" i="5" s="1"/>
  <c r="AB13" i="5"/>
  <c r="BD13" i="5" s="1"/>
  <c r="Y13" i="5"/>
  <c r="BA13" i="5" s="1"/>
  <c r="Z13" i="5"/>
  <c r="BB13" i="5" s="1"/>
  <c r="AA13" i="5"/>
  <c r="BC13" i="5" s="1"/>
  <c r="W29" i="5"/>
  <c r="AY29" i="5" s="1"/>
  <c r="X29" i="5"/>
  <c r="AZ29" i="5" s="1"/>
  <c r="AB29" i="5"/>
  <c r="BD29" i="5" s="1"/>
  <c r="Y29" i="5"/>
  <c r="BA29" i="5" s="1"/>
  <c r="Z29" i="5"/>
  <c r="BB29" i="5" s="1"/>
  <c r="AA29" i="5"/>
  <c r="BC29" i="5" s="1"/>
  <c r="AX4" i="6"/>
  <c r="AT4" i="6"/>
  <c r="AS4" i="6"/>
  <c r="AU4" i="6"/>
  <c r="AW4" i="6"/>
  <c r="AV4" i="6"/>
  <c r="AS4" i="5"/>
  <c r="BU25" i="5"/>
  <c r="BV25" i="5" s="1"/>
  <c r="AF13" i="6"/>
  <c r="J8" i="6"/>
  <c r="AL8" i="6" s="1"/>
  <c r="I14" i="6"/>
  <c r="I30" i="6"/>
  <c r="D8" i="6"/>
  <c r="J14" i="6"/>
  <c r="AL14" i="6" s="1"/>
  <c r="J30" i="6"/>
  <c r="AL30" i="6" s="1"/>
  <c r="E8" i="6"/>
  <c r="AG8" i="6" s="1"/>
  <c r="E19" i="6"/>
  <c r="AG19" i="6" s="1"/>
  <c r="E23" i="6"/>
  <c r="AG23" i="6" s="1"/>
  <c r="F8" i="6"/>
  <c r="AH8" i="6" s="1"/>
  <c r="F19" i="6"/>
  <c r="AH19" i="6" s="1"/>
  <c r="F23" i="6"/>
  <c r="AH23" i="6" s="1"/>
  <c r="D23" i="6"/>
  <c r="D14" i="6"/>
  <c r="H8" i="6"/>
  <c r="AJ8" i="6" s="1"/>
  <c r="F14" i="6"/>
  <c r="AH14" i="6" s="1"/>
  <c r="H19" i="6"/>
  <c r="AJ19" i="6" s="1"/>
  <c r="H23" i="6"/>
  <c r="AJ23" i="6" s="1"/>
  <c r="F30" i="6"/>
  <c r="AH30" i="6" s="1"/>
  <c r="I8" i="6"/>
  <c r="G14" i="6"/>
  <c r="AI14" i="6" s="1"/>
  <c r="I19" i="6"/>
  <c r="I23" i="6"/>
  <c r="G30" i="6"/>
  <c r="AI30" i="6" s="1"/>
  <c r="D19" i="6"/>
  <c r="E30" i="6"/>
  <c r="AG30" i="6" s="1"/>
  <c r="G8" i="6"/>
  <c r="AI8" i="6" s="1"/>
  <c r="H30" i="6"/>
  <c r="AJ30" i="6" s="1"/>
  <c r="G19" i="6"/>
  <c r="AI19" i="6" s="1"/>
  <c r="D30" i="6"/>
  <c r="E14" i="6"/>
  <c r="AG14" i="6" s="1"/>
  <c r="G23" i="6"/>
  <c r="AI23" i="6" s="1"/>
  <c r="J23" i="6"/>
  <c r="AL23" i="6" s="1"/>
  <c r="H14" i="6"/>
  <c r="AJ14" i="6" s="1"/>
  <c r="J19" i="6"/>
  <c r="AL19" i="6" s="1"/>
  <c r="BU25" i="3"/>
  <c r="BV25" i="3" s="1"/>
  <c r="B10" i="7"/>
  <c r="BU26" i="7"/>
  <c r="BP26" i="7"/>
  <c r="BQ25" i="7"/>
  <c r="BR25" i="7" s="1"/>
  <c r="BS25" i="7" s="1"/>
  <c r="BP26" i="6"/>
  <c r="BQ25" i="6"/>
  <c r="BR25" i="6" s="1"/>
  <c r="BS25" i="6" s="1"/>
  <c r="AK7" i="6"/>
  <c r="AK26" i="6"/>
  <c r="AK29" i="6"/>
  <c r="BU27" i="6"/>
  <c r="B9" i="6"/>
  <c r="AK18" i="6"/>
  <c r="AK22" i="6"/>
  <c r="AK13" i="6"/>
  <c r="AK7" i="5"/>
  <c r="I30" i="5"/>
  <c r="H30" i="5"/>
  <c r="AJ30" i="5" s="1"/>
  <c r="G30" i="5"/>
  <c r="AI30" i="5" s="1"/>
  <c r="F30" i="5"/>
  <c r="AH30" i="5" s="1"/>
  <c r="D30" i="5"/>
  <c r="AF30" i="5" s="1"/>
  <c r="F23" i="5"/>
  <c r="AH23" i="5" s="1"/>
  <c r="J19" i="5"/>
  <c r="AL19" i="5" s="1"/>
  <c r="G14" i="5"/>
  <c r="AI14" i="5" s="1"/>
  <c r="E23" i="5"/>
  <c r="AG23" i="5" s="1"/>
  <c r="I19" i="5"/>
  <c r="D23" i="5"/>
  <c r="AF23" i="5" s="1"/>
  <c r="H19" i="5"/>
  <c r="AJ19" i="5" s="1"/>
  <c r="E14" i="5"/>
  <c r="AG14" i="5" s="1"/>
  <c r="J23" i="5"/>
  <c r="AL23" i="5" s="1"/>
  <c r="E30" i="5"/>
  <c r="AG30" i="5" s="1"/>
  <c r="H23" i="5"/>
  <c r="AJ23" i="5" s="1"/>
  <c r="D19" i="5"/>
  <c r="AF19" i="5" s="1"/>
  <c r="I14" i="5"/>
  <c r="J30" i="5"/>
  <c r="AL30" i="5" s="1"/>
  <c r="D14" i="5"/>
  <c r="AF14" i="5" s="1"/>
  <c r="I8" i="5"/>
  <c r="G19" i="5"/>
  <c r="AI19" i="5" s="1"/>
  <c r="H8" i="5"/>
  <c r="AJ8" i="5" s="1"/>
  <c r="F19" i="5"/>
  <c r="AH19" i="5" s="1"/>
  <c r="G8" i="5"/>
  <c r="AI8" i="5" s="1"/>
  <c r="E19" i="5"/>
  <c r="AG19" i="5" s="1"/>
  <c r="F8" i="5"/>
  <c r="AH8" i="5" s="1"/>
  <c r="E8" i="5"/>
  <c r="AG8" i="5" s="1"/>
  <c r="J14" i="5"/>
  <c r="AL14" i="5" s="1"/>
  <c r="D8" i="5"/>
  <c r="AF8" i="5" s="1"/>
  <c r="I23" i="5"/>
  <c r="H14" i="5"/>
  <c r="AJ14" i="5" s="1"/>
  <c r="B9" i="5"/>
  <c r="G23" i="5"/>
  <c r="AI23" i="5" s="1"/>
  <c r="F14" i="5"/>
  <c r="AH14" i="5" s="1"/>
  <c r="J8" i="5"/>
  <c r="AL8" i="5" s="1"/>
  <c r="AK26" i="5"/>
  <c r="AK13" i="5"/>
  <c r="AK29" i="5"/>
  <c r="AK22" i="5"/>
  <c r="BU26" i="5"/>
  <c r="BV26" i="5" s="1"/>
  <c r="AK18" i="5"/>
  <c r="BP26" i="5"/>
  <c r="BQ25" i="5"/>
  <c r="BR25" i="5" s="1"/>
  <c r="BS25" i="5" s="1"/>
  <c r="H7" i="4"/>
  <c r="F9" i="4"/>
  <c r="G8" i="4" s="1"/>
  <c r="BP28" i="3"/>
  <c r="BQ27" i="3"/>
  <c r="BR27" i="3" s="1"/>
  <c r="BS27" i="3" s="1"/>
  <c r="AV4" i="5" l="1"/>
  <c r="AW4" i="5"/>
  <c r="AX4" i="5"/>
  <c r="AU4" i="5"/>
  <c r="AT4" i="5"/>
  <c r="AA8" i="6"/>
  <c r="BC8" i="6" s="1"/>
  <c r="AB8" i="6"/>
  <c r="BD8" i="6" s="1"/>
  <c r="Z8" i="6"/>
  <c r="BB8" i="6" s="1"/>
  <c r="W8" i="6"/>
  <c r="AY8" i="6" s="1"/>
  <c r="X8" i="6"/>
  <c r="AZ8" i="6" s="1"/>
  <c r="Y8" i="6"/>
  <c r="BA8" i="6" s="1"/>
  <c r="AF19" i="6"/>
  <c r="Y19" i="6"/>
  <c r="BA19" i="6" s="1"/>
  <c r="Z19" i="6"/>
  <c r="BB19" i="6" s="1"/>
  <c r="AA19" i="6"/>
  <c r="BC19" i="6" s="1"/>
  <c r="X19" i="6"/>
  <c r="AZ19" i="6" s="1"/>
  <c r="AB19" i="6"/>
  <c r="BD19" i="6" s="1"/>
  <c r="W19" i="6"/>
  <c r="AF30" i="6"/>
  <c r="W30" i="6"/>
  <c r="X30" i="6"/>
  <c r="Y30" i="6"/>
  <c r="Z30" i="6"/>
  <c r="BB30" i="6" s="1"/>
  <c r="AA30" i="6"/>
  <c r="BC30" i="6" s="1"/>
  <c r="AB30" i="6"/>
  <c r="BD30" i="6" s="1"/>
  <c r="AF14" i="6"/>
  <c r="W14" i="6"/>
  <c r="AY14" i="6" s="1"/>
  <c r="X14" i="6"/>
  <c r="AZ14" i="6" s="1"/>
  <c r="Y14" i="6"/>
  <c r="BA14" i="6" s="1"/>
  <c r="Z14" i="6"/>
  <c r="BB14" i="6" s="1"/>
  <c r="AA14" i="6"/>
  <c r="BC14" i="6" s="1"/>
  <c r="AB14" i="6"/>
  <c r="BD14" i="6" s="1"/>
  <c r="AF23" i="6"/>
  <c r="Y23" i="6"/>
  <c r="BA23" i="6" s="1"/>
  <c r="X23" i="6"/>
  <c r="AZ23" i="6" s="1"/>
  <c r="Z23" i="6"/>
  <c r="BB23" i="6" s="1"/>
  <c r="AA23" i="6"/>
  <c r="BC23" i="6" s="1"/>
  <c r="AB23" i="6"/>
  <c r="BD23" i="6" s="1"/>
  <c r="W23" i="6"/>
  <c r="AB8" i="5"/>
  <c r="BD8" i="5" s="1"/>
  <c r="AA8" i="5"/>
  <c r="BC8" i="5" s="1"/>
  <c r="W8" i="5"/>
  <c r="AY8" i="5" s="1"/>
  <c r="Y8" i="5"/>
  <c r="BA8" i="5" s="1"/>
  <c r="Z8" i="5"/>
  <c r="BB8" i="5" s="1"/>
  <c r="X8" i="5"/>
  <c r="AZ8" i="5" s="1"/>
  <c r="X14" i="5"/>
  <c r="AZ14" i="5" s="1"/>
  <c r="Z14" i="5"/>
  <c r="BB14" i="5" s="1"/>
  <c r="Y14" i="5"/>
  <c r="BA14" i="5" s="1"/>
  <c r="W14" i="5"/>
  <c r="AY14" i="5" s="1"/>
  <c r="AA14" i="5"/>
  <c r="BC14" i="5" s="1"/>
  <c r="AB14" i="5"/>
  <c r="BD14" i="5" s="1"/>
  <c r="Z19" i="5"/>
  <c r="BB19" i="5" s="1"/>
  <c r="AB19" i="5"/>
  <c r="BD19" i="5" s="1"/>
  <c r="AA19" i="5"/>
  <c r="BC19" i="5" s="1"/>
  <c r="X19" i="5"/>
  <c r="AZ19" i="5" s="1"/>
  <c r="Y19" i="5"/>
  <c r="BA19" i="5" s="1"/>
  <c r="W19" i="5"/>
  <c r="AY19" i="5" s="1"/>
  <c r="Z23" i="5"/>
  <c r="BB23" i="5" s="1"/>
  <c r="X23" i="5"/>
  <c r="AZ23" i="5" s="1"/>
  <c r="Y23" i="5"/>
  <c r="BA23" i="5" s="1"/>
  <c r="AA23" i="5"/>
  <c r="BC23" i="5" s="1"/>
  <c r="AB23" i="5"/>
  <c r="BD23" i="5" s="1"/>
  <c r="W23" i="5"/>
  <c r="X30" i="5"/>
  <c r="Z30" i="5"/>
  <c r="BB30" i="5" s="1"/>
  <c r="Y30" i="5"/>
  <c r="W30" i="5"/>
  <c r="AA30" i="5"/>
  <c r="BC30" i="5" s="1"/>
  <c r="AB30" i="5"/>
  <c r="BD30" i="5" s="1"/>
  <c r="BU26" i="3"/>
  <c r="BV26" i="3" s="1"/>
  <c r="F9" i="6"/>
  <c r="AH9" i="6" s="1"/>
  <c r="G9" i="6"/>
  <c r="AI9" i="6" s="1"/>
  <c r="D9" i="6"/>
  <c r="H9" i="6"/>
  <c r="AJ9" i="6" s="1"/>
  <c r="E15" i="6"/>
  <c r="AG15" i="6" s="1"/>
  <c r="I9" i="6"/>
  <c r="F15" i="6"/>
  <c r="AH15" i="6" s="1"/>
  <c r="H15" i="6"/>
  <c r="AJ15" i="6" s="1"/>
  <c r="I15" i="6"/>
  <c r="G15" i="6"/>
  <c r="AI15" i="6" s="1"/>
  <c r="J15" i="6"/>
  <c r="AL15" i="6" s="1"/>
  <c r="D15" i="6"/>
  <c r="E9" i="6"/>
  <c r="AG9" i="6" s="1"/>
  <c r="J9" i="6"/>
  <c r="AL9" i="6" s="1"/>
  <c r="AF8" i="6"/>
  <c r="BU27" i="7"/>
  <c r="BP27" i="7"/>
  <c r="BQ26" i="7"/>
  <c r="BR26" i="7" s="1"/>
  <c r="BS26" i="7" s="1"/>
  <c r="BU28" i="6"/>
  <c r="AK8" i="6"/>
  <c r="BQ26" i="6"/>
  <c r="BR26" i="6" s="1"/>
  <c r="BS26" i="6" s="1"/>
  <c r="BP27" i="6"/>
  <c r="AK23" i="6"/>
  <c r="AK14" i="6"/>
  <c r="B10" i="6"/>
  <c r="AK19" i="6"/>
  <c r="AK30" i="6"/>
  <c r="BU27" i="5"/>
  <c r="BV27" i="5" s="1"/>
  <c r="E15" i="5"/>
  <c r="AG15" i="5" s="1"/>
  <c r="G15" i="5"/>
  <c r="AI15" i="5" s="1"/>
  <c r="I15" i="5"/>
  <c r="H9" i="5"/>
  <c r="AJ9" i="5" s="1"/>
  <c r="H15" i="5"/>
  <c r="AJ15" i="5" s="1"/>
  <c r="G9" i="5"/>
  <c r="AI9" i="5" s="1"/>
  <c r="F15" i="5"/>
  <c r="AH15" i="5" s="1"/>
  <c r="F9" i="5"/>
  <c r="AH9" i="5" s="1"/>
  <c r="D15" i="5"/>
  <c r="AF15" i="5" s="1"/>
  <c r="E9" i="5"/>
  <c r="AG9" i="5" s="1"/>
  <c r="B10" i="5"/>
  <c r="D9" i="5"/>
  <c r="AF9" i="5" s="1"/>
  <c r="J9" i="5"/>
  <c r="AL9" i="5" s="1"/>
  <c r="J15" i="5"/>
  <c r="AL15" i="5" s="1"/>
  <c r="I9" i="5"/>
  <c r="AK30" i="5"/>
  <c r="BQ26" i="5"/>
  <c r="BR26" i="5" s="1"/>
  <c r="BS26" i="5" s="1"/>
  <c r="BP27" i="5"/>
  <c r="AK23" i="5"/>
  <c r="AK8" i="5"/>
  <c r="AK14" i="5"/>
  <c r="AK19" i="5"/>
  <c r="H8" i="4"/>
  <c r="F10" i="4"/>
  <c r="G9" i="4" s="1"/>
  <c r="BP29" i="3"/>
  <c r="BQ28" i="3"/>
  <c r="BR28" i="3" s="1"/>
  <c r="BS28" i="3" s="1"/>
  <c r="AF15" i="6" l="1"/>
  <c r="Y15" i="6"/>
  <c r="BA15" i="6" s="1"/>
  <c r="Z15" i="6"/>
  <c r="BB15" i="6" s="1"/>
  <c r="AA15" i="6"/>
  <c r="BC15" i="6" s="1"/>
  <c r="AB15" i="6"/>
  <c r="BD15" i="6" s="1"/>
  <c r="W15" i="6"/>
  <c r="X15" i="6"/>
  <c r="AZ15" i="6" s="1"/>
  <c r="AF9" i="6"/>
  <c r="AB9" i="6"/>
  <c r="BD9" i="6" s="1"/>
  <c r="W9" i="6"/>
  <c r="AY9" i="6" s="1"/>
  <c r="AY4" i="6" s="1"/>
  <c r="BG8" i="6" s="1"/>
  <c r="X9" i="6"/>
  <c r="AZ9" i="6" s="1"/>
  <c r="Y9" i="6"/>
  <c r="BA9" i="6" s="1"/>
  <c r="Z9" i="6"/>
  <c r="BB9" i="6" s="1"/>
  <c r="AA9" i="6"/>
  <c r="BC9" i="6" s="1"/>
  <c r="Z15" i="5"/>
  <c r="BB15" i="5" s="1"/>
  <c r="AA15" i="5"/>
  <c r="BC15" i="5" s="1"/>
  <c r="AB15" i="5"/>
  <c r="BD15" i="5" s="1"/>
  <c r="W15" i="5"/>
  <c r="Y15" i="5"/>
  <c r="BA15" i="5" s="1"/>
  <c r="X15" i="5"/>
  <c r="AZ15" i="5" s="1"/>
  <c r="X9" i="5"/>
  <c r="AZ9" i="5" s="1"/>
  <c r="W9" i="5"/>
  <c r="AY9" i="5" s="1"/>
  <c r="AB9" i="5"/>
  <c r="BD9" i="5" s="1"/>
  <c r="Y9" i="5"/>
  <c r="BA9" i="5" s="1"/>
  <c r="Z9" i="5"/>
  <c r="BB9" i="5" s="1"/>
  <c r="AA9" i="5"/>
  <c r="BC9" i="5" s="1"/>
  <c r="F10" i="6"/>
  <c r="AH10" i="6" s="1"/>
  <c r="AH4" i="6" s="1"/>
  <c r="I10" i="6"/>
  <c r="J10" i="6"/>
  <c r="AL10" i="6" s="1"/>
  <c r="AL4" i="6" s="1"/>
  <c r="D10" i="6"/>
  <c r="E10" i="6"/>
  <c r="AG10" i="6" s="1"/>
  <c r="AG4" i="6" s="1"/>
  <c r="G10" i="6"/>
  <c r="AI10" i="6" s="1"/>
  <c r="AI4" i="6" s="1"/>
  <c r="H10" i="6"/>
  <c r="AJ10" i="6" s="1"/>
  <c r="AJ4" i="6" s="1"/>
  <c r="BU27" i="3"/>
  <c r="BV27" i="3" s="1"/>
  <c r="BQ27" i="7"/>
  <c r="BR27" i="7" s="1"/>
  <c r="BS27" i="7" s="1"/>
  <c r="BP28" i="7"/>
  <c r="BU28" i="7"/>
  <c r="AK15" i="6"/>
  <c r="BU29" i="6"/>
  <c r="AK9" i="6"/>
  <c r="BQ27" i="6"/>
  <c r="BR27" i="6" s="1"/>
  <c r="BS27" i="6" s="1"/>
  <c r="BP28" i="6"/>
  <c r="AK9" i="5"/>
  <c r="BU28" i="5"/>
  <c r="BV28" i="5" s="1"/>
  <c r="BP28" i="5"/>
  <c r="BQ27" i="5"/>
  <c r="BR27" i="5" s="1"/>
  <c r="BS27" i="5" s="1"/>
  <c r="F10" i="5"/>
  <c r="AH10" i="5" s="1"/>
  <c r="AH4" i="5" s="1"/>
  <c r="E10" i="5"/>
  <c r="AG10" i="5" s="1"/>
  <c r="AG4" i="5" s="1"/>
  <c r="D10" i="5"/>
  <c r="AF10" i="5" s="1"/>
  <c r="AF4" i="5" s="1"/>
  <c r="J10" i="5"/>
  <c r="AL10" i="5" s="1"/>
  <c r="AL4" i="5" s="1"/>
  <c r="I10" i="5"/>
  <c r="H10" i="5"/>
  <c r="AJ10" i="5" s="1"/>
  <c r="AJ4" i="5" s="1"/>
  <c r="G10" i="5"/>
  <c r="AI10" i="5" s="1"/>
  <c r="AI4" i="5" s="1"/>
  <c r="AK15" i="5"/>
  <c r="H9" i="4"/>
  <c r="F11" i="4"/>
  <c r="BP30" i="3"/>
  <c r="BQ29" i="3"/>
  <c r="BR29" i="3" s="1"/>
  <c r="BS29" i="3" s="1"/>
  <c r="AF10" i="6" l="1"/>
  <c r="AF4" i="6" s="1"/>
  <c r="W10" i="6"/>
  <c r="X10" i="6"/>
  <c r="Y10" i="6"/>
  <c r="BA10" i="6" s="1"/>
  <c r="BA4" i="6" s="1"/>
  <c r="BI8" i="6" s="1"/>
  <c r="Z10" i="6"/>
  <c r="BB10" i="6" s="1"/>
  <c r="BB4" i="6" s="1"/>
  <c r="BJ8" i="6" s="1"/>
  <c r="AA10" i="6"/>
  <c r="BC10" i="6" s="1"/>
  <c r="BC4" i="6" s="1"/>
  <c r="BK8" i="6" s="1"/>
  <c r="AB10" i="6"/>
  <c r="BD10" i="6" s="1"/>
  <c r="BD4" i="6" s="1"/>
  <c r="BM8" i="6" s="1"/>
  <c r="X10" i="5"/>
  <c r="Y10" i="5"/>
  <c r="BA10" i="5" s="1"/>
  <c r="BA4" i="5" s="1"/>
  <c r="Z10" i="5"/>
  <c r="BB10" i="5" s="1"/>
  <c r="AA10" i="5"/>
  <c r="BC10" i="5" s="1"/>
  <c r="AB10" i="5"/>
  <c r="BD10" i="5" s="1"/>
  <c r="W10" i="5"/>
  <c r="BU28" i="3"/>
  <c r="BV28" i="3" s="1"/>
  <c r="BU29" i="7"/>
  <c r="BQ28" i="7"/>
  <c r="BR28" i="7" s="1"/>
  <c r="BS28" i="7" s="1"/>
  <c r="BP29" i="7"/>
  <c r="AZ4" i="5"/>
  <c r="BH8" i="5" s="1"/>
  <c r="AY4" i="5"/>
  <c r="BG8" i="5" s="1"/>
  <c r="AZ4" i="6"/>
  <c r="BH8" i="6" s="1"/>
  <c r="BP29" i="6"/>
  <c r="BQ28" i="6"/>
  <c r="BR28" i="6" s="1"/>
  <c r="BS28" i="6" s="1"/>
  <c r="AK10" i="6"/>
  <c r="AK4" i="6" s="1"/>
  <c r="BU30" i="6"/>
  <c r="BP29" i="5"/>
  <c r="BQ28" i="5"/>
  <c r="BR28" i="5" s="1"/>
  <c r="BS28" i="5" s="1"/>
  <c r="AK10" i="5"/>
  <c r="AK4" i="5" s="1"/>
  <c r="BU29" i="5"/>
  <c r="BV29" i="5" s="1"/>
  <c r="H10" i="4"/>
  <c r="G10" i="4"/>
  <c r="F12" i="4"/>
  <c r="BP31" i="3"/>
  <c r="BQ30" i="3"/>
  <c r="BR30" i="3" s="1"/>
  <c r="BS30" i="3" s="1"/>
  <c r="BL8" i="6" l="1"/>
  <c r="BG21" i="6" s="1"/>
  <c r="BK9" i="6"/>
  <c r="BM9" i="6"/>
  <c r="BJ9" i="6"/>
  <c r="BI9" i="6"/>
  <c r="BH9" i="6"/>
  <c r="BG9" i="6"/>
  <c r="BJ9" i="5"/>
  <c r="BK9" i="5"/>
  <c r="BM9" i="5"/>
  <c r="BU29" i="3"/>
  <c r="BV29" i="3" s="1"/>
  <c r="BQ29" i="7"/>
  <c r="BR29" i="7" s="1"/>
  <c r="BS29" i="7" s="1"/>
  <c r="BP30" i="7"/>
  <c r="BU30" i="7"/>
  <c r="BI8" i="5"/>
  <c r="BB4" i="5"/>
  <c r="BJ8" i="5" s="1"/>
  <c r="BC4" i="5"/>
  <c r="BK8" i="5" s="1"/>
  <c r="BD4" i="5"/>
  <c r="BM8" i="5" s="1"/>
  <c r="BU31" i="6"/>
  <c r="BP30" i="6"/>
  <c r="BQ29" i="6"/>
  <c r="BR29" i="6" s="1"/>
  <c r="BS29" i="6" s="1"/>
  <c r="BP30" i="5"/>
  <c r="BQ29" i="5"/>
  <c r="BR29" i="5" s="1"/>
  <c r="BS29" i="5" s="1"/>
  <c r="BI9" i="5"/>
  <c r="BH9" i="5"/>
  <c r="BG9" i="5"/>
  <c r="BU30" i="5"/>
  <c r="BV30" i="5" s="1"/>
  <c r="G11" i="4"/>
  <c r="H11" i="4"/>
  <c r="F13" i="4"/>
  <c r="G12" i="4" s="1"/>
  <c r="BP32" i="3"/>
  <c r="BQ31" i="3"/>
  <c r="BR31" i="3" s="1"/>
  <c r="BS31" i="3" s="1"/>
  <c r="BG20" i="6" l="1"/>
  <c r="BL9" i="6"/>
  <c r="BL9" i="5"/>
  <c r="BL8" i="5"/>
  <c r="BG20" i="5" s="1"/>
  <c r="BU30" i="3"/>
  <c r="BV30" i="3" s="1"/>
  <c r="BP31" i="7"/>
  <c r="BQ30" i="7"/>
  <c r="BR30" i="7" s="1"/>
  <c r="BS30" i="7" s="1"/>
  <c r="BU31" i="7"/>
  <c r="BP31" i="6"/>
  <c r="BQ30" i="6"/>
  <c r="BR30" i="6" s="1"/>
  <c r="BS30" i="6" s="1"/>
  <c r="BU32" i="6"/>
  <c r="BU31" i="5"/>
  <c r="BV31" i="5" s="1"/>
  <c r="BP31" i="5"/>
  <c r="BQ30" i="5"/>
  <c r="BR30" i="5" s="1"/>
  <c r="BS30" i="5" s="1"/>
  <c r="H12" i="4"/>
  <c r="F14" i="4"/>
  <c r="G13" i="4" s="1"/>
  <c r="BP33" i="3"/>
  <c r="BQ32" i="3"/>
  <c r="BR32" i="3" s="1"/>
  <c r="BS32" i="3" s="1"/>
  <c r="BG21" i="5" l="1"/>
  <c r="BU31" i="3"/>
  <c r="BV31" i="3" s="1"/>
  <c r="BU32" i="7"/>
  <c r="BP32" i="7"/>
  <c r="BQ31" i="7"/>
  <c r="BR31" i="7" s="1"/>
  <c r="BS31" i="7" s="1"/>
  <c r="BU33" i="6"/>
  <c r="BP32" i="6"/>
  <c r="BQ31" i="6"/>
  <c r="BR31" i="6" s="1"/>
  <c r="BS31" i="6" s="1"/>
  <c r="BP32" i="5"/>
  <c r="BQ31" i="5"/>
  <c r="BR31" i="5" s="1"/>
  <c r="BS31" i="5" s="1"/>
  <c r="BU32" i="5"/>
  <c r="BV32" i="5" s="1"/>
  <c r="H13" i="4"/>
  <c r="F15" i="4"/>
  <c r="G14" i="4" s="1"/>
  <c r="BP34" i="3"/>
  <c r="BQ33" i="3"/>
  <c r="BR33" i="3" s="1"/>
  <c r="BS33" i="3" s="1"/>
  <c r="H14" i="4" l="1"/>
  <c r="BU32" i="3"/>
  <c r="BV32" i="3" s="1"/>
  <c r="BU33" i="7"/>
  <c r="BP33" i="7"/>
  <c r="BQ32" i="7"/>
  <c r="BR32" i="7" s="1"/>
  <c r="BS32" i="7" s="1"/>
  <c r="BP33" i="6"/>
  <c r="BQ32" i="6"/>
  <c r="BR32" i="6" s="1"/>
  <c r="BS32" i="6" s="1"/>
  <c r="BU34" i="6"/>
  <c r="BQ32" i="5"/>
  <c r="BR32" i="5" s="1"/>
  <c r="BS32" i="5" s="1"/>
  <c r="BP33" i="5"/>
  <c r="BU33" i="5"/>
  <c r="BV33" i="5" s="1"/>
  <c r="G15" i="4"/>
  <c r="F16" i="4"/>
  <c r="BP35" i="3"/>
  <c r="BQ34" i="3"/>
  <c r="BR34" i="3" s="1"/>
  <c r="BS34" i="3" s="1"/>
  <c r="BU33" i="3" l="1"/>
  <c r="BV33" i="3" s="1"/>
  <c r="BU34" i="7"/>
  <c r="BP34" i="7"/>
  <c r="BQ33" i="7"/>
  <c r="BR33" i="7" s="1"/>
  <c r="BS33" i="7" s="1"/>
  <c r="BQ33" i="6"/>
  <c r="BR33" i="6" s="1"/>
  <c r="BS33" i="6" s="1"/>
  <c r="BP34" i="6"/>
  <c r="BU35" i="6"/>
  <c r="BU34" i="5"/>
  <c r="BV34" i="5" s="1"/>
  <c r="BQ33" i="5"/>
  <c r="BR33" i="5" s="1"/>
  <c r="BS33" i="5" s="1"/>
  <c r="BP34" i="5"/>
  <c r="H15" i="4"/>
  <c r="F17" i="4"/>
  <c r="H16" i="4" s="1"/>
  <c r="BP36" i="3"/>
  <c r="BQ35" i="3"/>
  <c r="BR35" i="3" s="1"/>
  <c r="BS35" i="3" s="1"/>
  <c r="BU34" i="3" l="1"/>
  <c r="BV34" i="3" s="1"/>
  <c r="BU35" i="7"/>
  <c r="BP35" i="7"/>
  <c r="BQ34" i="7"/>
  <c r="BR34" i="7" s="1"/>
  <c r="BS34" i="7" s="1"/>
  <c r="BP35" i="6"/>
  <c r="BQ34" i="6"/>
  <c r="BR34" i="6" s="1"/>
  <c r="BS34" i="6" s="1"/>
  <c r="BU36" i="6"/>
  <c r="BP35" i="5"/>
  <c r="BQ34" i="5"/>
  <c r="BR34" i="5" s="1"/>
  <c r="BS34" i="5" s="1"/>
  <c r="BU35" i="5"/>
  <c r="BV35" i="5" s="1"/>
  <c r="G16" i="4"/>
  <c r="F18" i="4"/>
  <c r="G17" i="4" s="1"/>
  <c r="BP37" i="3"/>
  <c r="BQ36" i="3"/>
  <c r="BR36" i="3" s="1"/>
  <c r="BS36" i="3" s="1"/>
  <c r="H17" i="4" l="1"/>
  <c r="BU35" i="3"/>
  <c r="BV35" i="3" s="1"/>
  <c r="BU36" i="7"/>
  <c r="BP36" i="7"/>
  <c r="BQ35" i="7"/>
  <c r="BR35" i="7" s="1"/>
  <c r="BS35" i="7" s="1"/>
  <c r="BP36" i="6"/>
  <c r="BQ35" i="6"/>
  <c r="BR35" i="6" s="1"/>
  <c r="BS35" i="6" s="1"/>
  <c r="BU37" i="6"/>
  <c r="BP36" i="5"/>
  <c r="BQ35" i="5"/>
  <c r="BR35" i="5" s="1"/>
  <c r="BS35" i="5" s="1"/>
  <c r="BU36" i="5"/>
  <c r="BV36" i="5" s="1"/>
  <c r="F19" i="4"/>
  <c r="G18" i="4" s="1"/>
  <c r="BP38" i="3"/>
  <c r="BQ37" i="3"/>
  <c r="BR37" i="3" s="1"/>
  <c r="BS37" i="3" s="1"/>
  <c r="H18" i="4" l="1"/>
  <c r="I18" i="4" s="1"/>
  <c r="BU36" i="3"/>
  <c r="BV36" i="3" s="1"/>
  <c r="BU37" i="7"/>
  <c r="BP37" i="7"/>
  <c r="BQ36" i="7"/>
  <c r="BR36" i="7" s="1"/>
  <c r="BS36" i="7" s="1"/>
  <c r="BQ36" i="6"/>
  <c r="BR36" i="6" s="1"/>
  <c r="BS36" i="6" s="1"/>
  <c r="BP37" i="6"/>
  <c r="BU38" i="6"/>
  <c r="BQ36" i="5"/>
  <c r="BR36" i="5" s="1"/>
  <c r="BS36" i="5" s="1"/>
  <c r="BP37" i="5"/>
  <c r="BU37" i="5"/>
  <c r="BV37" i="5" s="1"/>
  <c r="F20" i="4"/>
  <c r="G19" i="4" s="1"/>
  <c r="BP39" i="3"/>
  <c r="BQ38" i="3"/>
  <c r="BR38" i="3" s="1"/>
  <c r="BS38" i="3" s="1"/>
  <c r="BU37" i="3" l="1"/>
  <c r="BV37" i="3" s="1"/>
  <c r="BU38" i="7"/>
  <c r="BP38" i="7"/>
  <c r="BQ37" i="7"/>
  <c r="BR37" i="7" s="1"/>
  <c r="BS37" i="7" s="1"/>
  <c r="BQ37" i="6"/>
  <c r="BR37" i="6" s="1"/>
  <c r="BS37" i="6" s="1"/>
  <c r="BP38" i="6"/>
  <c r="BU39" i="6"/>
  <c r="BU38" i="5"/>
  <c r="BV38" i="5" s="1"/>
  <c r="BQ37" i="5"/>
  <c r="BR37" i="5" s="1"/>
  <c r="BS37" i="5" s="1"/>
  <c r="BP38" i="5"/>
  <c r="H19" i="4"/>
  <c r="F21" i="4"/>
  <c r="H20" i="4" s="1"/>
  <c r="BP40" i="3"/>
  <c r="BQ39" i="3"/>
  <c r="BR39" i="3" s="1"/>
  <c r="BS39" i="3" s="1"/>
  <c r="BU38" i="3" l="1"/>
  <c r="BV38" i="3" s="1"/>
  <c r="BP39" i="7"/>
  <c r="BQ38" i="7"/>
  <c r="BR38" i="7" s="1"/>
  <c r="BS38" i="7" s="1"/>
  <c r="BU39" i="7"/>
  <c r="BP39" i="6"/>
  <c r="BQ38" i="6"/>
  <c r="BR38" i="6" s="1"/>
  <c r="BS38" i="6" s="1"/>
  <c r="BU40" i="6"/>
  <c r="BU39" i="5"/>
  <c r="BV39" i="5" s="1"/>
  <c r="BP39" i="5"/>
  <c r="BQ38" i="5"/>
  <c r="BR38" i="5" s="1"/>
  <c r="BS38" i="5" s="1"/>
  <c r="G20" i="4"/>
  <c r="F22" i="4"/>
  <c r="G21" i="4" s="1"/>
  <c r="BP41" i="3"/>
  <c r="BQ40" i="3"/>
  <c r="BR40" i="3" s="1"/>
  <c r="BS40" i="3" s="1"/>
  <c r="BU39" i="3" l="1"/>
  <c r="BV39" i="3" s="1"/>
  <c r="BP40" i="7"/>
  <c r="BQ39" i="7"/>
  <c r="BR39" i="7" s="1"/>
  <c r="BS39" i="7" s="1"/>
  <c r="BU40" i="7"/>
  <c r="BP40" i="6"/>
  <c r="BQ39" i="6"/>
  <c r="BR39" i="6" s="1"/>
  <c r="BS39" i="6" s="1"/>
  <c r="BU41" i="6"/>
  <c r="BP40" i="5"/>
  <c r="BQ39" i="5"/>
  <c r="BR39" i="5" s="1"/>
  <c r="BS39" i="5" s="1"/>
  <c r="BU40" i="5"/>
  <c r="BV40" i="5" s="1"/>
  <c r="H21" i="4"/>
  <c r="F23" i="4"/>
  <c r="BP42" i="3"/>
  <c r="BQ41" i="3"/>
  <c r="BR41" i="3" s="1"/>
  <c r="BS41" i="3" s="1"/>
  <c r="BU40" i="3" l="1"/>
  <c r="BV40" i="3" s="1"/>
  <c r="BP41" i="7"/>
  <c r="BQ40" i="7"/>
  <c r="BR40" i="7" s="1"/>
  <c r="BS40" i="7" s="1"/>
  <c r="BU41" i="7"/>
  <c r="BP41" i="6"/>
  <c r="BQ40" i="6"/>
  <c r="BR40" i="6" s="1"/>
  <c r="BS40" i="6" s="1"/>
  <c r="BU42" i="6"/>
  <c r="BQ40" i="5"/>
  <c r="BR40" i="5" s="1"/>
  <c r="BS40" i="5" s="1"/>
  <c r="BP41" i="5"/>
  <c r="BU41" i="5"/>
  <c r="BV41" i="5" s="1"/>
  <c r="H22" i="4"/>
  <c r="G22" i="4"/>
  <c r="F24" i="4"/>
  <c r="BP43" i="3"/>
  <c r="BQ42" i="3"/>
  <c r="BR42" i="3" s="1"/>
  <c r="BS42" i="3" s="1"/>
  <c r="BU41" i="3" l="1"/>
  <c r="BV41" i="3" s="1"/>
  <c r="BP42" i="7"/>
  <c r="BQ41" i="7"/>
  <c r="BR41" i="7" s="1"/>
  <c r="BS41" i="7" s="1"/>
  <c r="BU42" i="7"/>
  <c r="BU43" i="6"/>
  <c r="BQ41" i="6"/>
  <c r="BR41" i="6" s="1"/>
  <c r="BS41" i="6" s="1"/>
  <c r="BP42" i="6"/>
  <c r="BU42" i="5"/>
  <c r="BV42" i="5" s="1"/>
  <c r="BQ41" i="5"/>
  <c r="BR41" i="5" s="1"/>
  <c r="BS41" i="5" s="1"/>
  <c r="BP42" i="5"/>
  <c r="H23" i="4"/>
  <c r="G23" i="4"/>
  <c r="F25" i="4"/>
  <c r="BP44" i="3"/>
  <c r="BQ43" i="3"/>
  <c r="BR43" i="3" s="1"/>
  <c r="BS43" i="3" s="1"/>
  <c r="BU42" i="3" l="1"/>
  <c r="BV42" i="3" s="1"/>
  <c r="BP43" i="7"/>
  <c r="BQ42" i="7"/>
  <c r="BR42" i="7" s="1"/>
  <c r="BS42" i="7" s="1"/>
  <c r="BU43" i="7"/>
  <c r="BP43" i="6"/>
  <c r="BQ42" i="6"/>
  <c r="BR42" i="6" s="1"/>
  <c r="BS42" i="6" s="1"/>
  <c r="BU44" i="6"/>
  <c r="BP43" i="5"/>
  <c r="BQ42" i="5"/>
  <c r="BR42" i="5" s="1"/>
  <c r="BS42" i="5" s="1"/>
  <c r="BU43" i="5"/>
  <c r="BV43" i="5" s="1"/>
  <c r="H24" i="4"/>
  <c r="G24" i="4"/>
  <c r="F26" i="4"/>
  <c r="G25" i="4" s="1"/>
  <c r="BP45" i="3"/>
  <c r="BQ44" i="3"/>
  <c r="BR44" i="3" s="1"/>
  <c r="BS44" i="3" s="1"/>
  <c r="BU43" i="3" l="1"/>
  <c r="BV43" i="3" s="1"/>
  <c r="BP44" i="7"/>
  <c r="BQ43" i="7"/>
  <c r="BR43" i="7" s="1"/>
  <c r="BS43" i="7" s="1"/>
  <c r="BU44" i="7"/>
  <c r="BU45" i="6"/>
  <c r="BP44" i="6"/>
  <c r="BQ43" i="6"/>
  <c r="BR43" i="6" s="1"/>
  <c r="BS43" i="6" s="1"/>
  <c r="BU44" i="5"/>
  <c r="BV44" i="5" s="1"/>
  <c r="BP44" i="5"/>
  <c r="BQ43" i="5"/>
  <c r="BR43" i="5" s="1"/>
  <c r="BS43" i="5" s="1"/>
  <c r="H25" i="4"/>
  <c r="I25" i="4" s="1"/>
  <c r="F27" i="4"/>
  <c r="BP46" i="3"/>
  <c r="BQ45" i="3"/>
  <c r="BR45" i="3" s="1"/>
  <c r="BS45" i="3" s="1"/>
  <c r="BU44" i="3" l="1"/>
  <c r="BV44" i="3" s="1"/>
  <c r="BP45" i="7"/>
  <c r="BQ44" i="7"/>
  <c r="BR44" i="7" s="1"/>
  <c r="BS44" i="7" s="1"/>
  <c r="BU45" i="7"/>
  <c r="BQ44" i="6"/>
  <c r="BR44" i="6" s="1"/>
  <c r="BS44" i="6" s="1"/>
  <c r="BP45" i="6"/>
  <c r="BU46" i="6"/>
  <c r="BQ44" i="5"/>
  <c r="BR44" i="5" s="1"/>
  <c r="BS44" i="5" s="1"/>
  <c r="BP45" i="5"/>
  <c r="BU45" i="5"/>
  <c r="BV45" i="5" s="1"/>
  <c r="H26" i="4"/>
  <c r="G26" i="4"/>
  <c r="F28" i="4"/>
  <c r="H27" i="4" s="1"/>
  <c r="BP47" i="3"/>
  <c r="BQ46" i="3"/>
  <c r="BR46" i="3" s="1"/>
  <c r="BS46" i="3" s="1"/>
  <c r="BU45" i="3" l="1"/>
  <c r="BV45" i="3" s="1"/>
  <c r="BP46" i="7"/>
  <c r="BQ45" i="7"/>
  <c r="BR45" i="7" s="1"/>
  <c r="BS45" i="7" s="1"/>
  <c r="BU46" i="7"/>
  <c r="BU47" i="6"/>
  <c r="BQ45" i="6"/>
  <c r="BR45" i="6" s="1"/>
  <c r="BS45" i="6" s="1"/>
  <c r="BP46" i="6"/>
  <c r="BU46" i="5"/>
  <c r="BV46" i="5" s="1"/>
  <c r="BQ45" i="5"/>
  <c r="BR45" i="5" s="1"/>
  <c r="BS45" i="5" s="1"/>
  <c r="BP46" i="5"/>
  <c r="G27" i="4"/>
  <c r="F29" i="4"/>
  <c r="BP48" i="3"/>
  <c r="BQ47" i="3"/>
  <c r="BR47" i="3" s="1"/>
  <c r="BS47" i="3" s="1"/>
  <c r="BU46" i="3" l="1"/>
  <c r="BV46" i="3" s="1"/>
  <c r="BU47" i="7"/>
  <c r="BP47" i="7"/>
  <c r="BQ46" i="7"/>
  <c r="BR46" i="7" s="1"/>
  <c r="BS46" i="7" s="1"/>
  <c r="BP47" i="6"/>
  <c r="BQ46" i="6"/>
  <c r="BR46" i="6" s="1"/>
  <c r="BS46" i="6" s="1"/>
  <c r="BU48" i="6"/>
  <c r="BP47" i="5"/>
  <c r="BQ46" i="5"/>
  <c r="BR46" i="5" s="1"/>
  <c r="BS46" i="5" s="1"/>
  <c r="BU47" i="5"/>
  <c r="BV47" i="5" s="1"/>
  <c r="H28" i="4"/>
  <c r="G28" i="4"/>
  <c r="F30" i="4"/>
  <c r="G29" i="4" s="1"/>
  <c r="BP49" i="3"/>
  <c r="BQ48" i="3"/>
  <c r="BR48" i="3" s="1"/>
  <c r="BS48" i="3" s="1"/>
  <c r="BU47" i="3" l="1"/>
  <c r="BV47" i="3" s="1"/>
  <c r="BU48" i="7"/>
  <c r="BP48" i="7"/>
  <c r="BQ47" i="7"/>
  <c r="BR47" i="7" s="1"/>
  <c r="BS47" i="7" s="1"/>
  <c r="BU49" i="6"/>
  <c r="BP48" i="6"/>
  <c r="BQ47" i="6"/>
  <c r="BR47" i="6" s="1"/>
  <c r="BS47" i="6" s="1"/>
  <c r="BU48" i="5"/>
  <c r="BV48" i="5" s="1"/>
  <c r="BP48" i="5"/>
  <c r="BQ47" i="5"/>
  <c r="BR47" i="5" s="1"/>
  <c r="BS47" i="5" s="1"/>
  <c r="H29" i="4"/>
  <c r="F31" i="4"/>
  <c r="G30" i="4" s="1"/>
  <c r="BP50" i="3"/>
  <c r="BQ49" i="3"/>
  <c r="BR49" i="3" s="1"/>
  <c r="BS49" i="3" s="1"/>
  <c r="BU48" i="3" l="1"/>
  <c r="BV48" i="3" s="1"/>
  <c r="BP49" i="7"/>
  <c r="BQ48" i="7"/>
  <c r="BR48" i="7" s="1"/>
  <c r="BS48" i="7" s="1"/>
  <c r="BU49" i="7"/>
  <c r="BP49" i="6"/>
  <c r="BQ48" i="6"/>
  <c r="BR48" i="6" s="1"/>
  <c r="BS48" i="6" s="1"/>
  <c r="BU50" i="6"/>
  <c r="BU49" i="5"/>
  <c r="BV49" i="5" s="1"/>
  <c r="BQ48" i="5"/>
  <c r="BR48" i="5" s="1"/>
  <c r="BS48" i="5" s="1"/>
  <c r="BP49" i="5"/>
  <c r="H30" i="4"/>
  <c r="F32" i="4"/>
  <c r="G31" i="4" s="1"/>
  <c r="BP51" i="3"/>
  <c r="BQ50" i="3"/>
  <c r="BR50" i="3" s="1"/>
  <c r="BS50" i="3" s="1"/>
  <c r="BU49" i="3" l="1"/>
  <c r="BV49" i="3" s="1"/>
  <c r="BP50" i="7"/>
  <c r="BQ49" i="7"/>
  <c r="BR49" i="7" s="1"/>
  <c r="BS49" i="7" s="1"/>
  <c r="BU50" i="7"/>
  <c r="BU51" i="6"/>
  <c r="BQ49" i="6"/>
  <c r="BR49" i="6" s="1"/>
  <c r="BS49" i="6" s="1"/>
  <c r="BP50" i="6"/>
  <c r="BQ49" i="5"/>
  <c r="BR49" i="5" s="1"/>
  <c r="BS49" i="5" s="1"/>
  <c r="BP50" i="5"/>
  <c r="BU50" i="5"/>
  <c r="BV50" i="5" s="1"/>
  <c r="H31" i="4"/>
  <c r="F33" i="4"/>
  <c r="BP52" i="3"/>
  <c r="BQ51" i="3"/>
  <c r="BR51" i="3" s="1"/>
  <c r="BS51" i="3" s="1"/>
  <c r="BU50" i="3" l="1"/>
  <c r="BV50" i="3" s="1"/>
  <c r="BU51" i="7"/>
  <c r="BP51" i="7"/>
  <c r="BQ50" i="7"/>
  <c r="BR50" i="7" s="1"/>
  <c r="BS50" i="7" s="1"/>
  <c r="BP51" i="6"/>
  <c r="BQ50" i="6"/>
  <c r="BR50" i="6" s="1"/>
  <c r="BS50" i="6" s="1"/>
  <c r="BU52" i="6"/>
  <c r="BU51" i="5"/>
  <c r="BV51" i="5" s="1"/>
  <c r="BP51" i="5"/>
  <c r="BQ50" i="5"/>
  <c r="BR50" i="5" s="1"/>
  <c r="BS50" i="5" s="1"/>
  <c r="H32" i="4"/>
  <c r="G32" i="4"/>
  <c r="F34" i="4"/>
  <c r="BP53" i="3"/>
  <c r="BQ52" i="3"/>
  <c r="BR52" i="3" s="1"/>
  <c r="BS52" i="3" s="1"/>
  <c r="BU51" i="3" l="1"/>
  <c r="BV51" i="3" s="1"/>
  <c r="BU52" i="7"/>
  <c r="BP52" i="7"/>
  <c r="BQ51" i="7"/>
  <c r="BR51" i="7" s="1"/>
  <c r="BS51" i="7" s="1"/>
  <c r="BU53" i="6"/>
  <c r="BP52" i="6"/>
  <c r="BQ51" i="6"/>
  <c r="BR51" i="6" s="1"/>
  <c r="BS51" i="6" s="1"/>
  <c r="BU52" i="5"/>
  <c r="BV52" i="5" s="1"/>
  <c r="BP52" i="5"/>
  <c r="BQ51" i="5"/>
  <c r="BR51" i="5" s="1"/>
  <c r="BS51" i="5" s="1"/>
  <c r="H33" i="4"/>
  <c r="G33" i="4"/>
  <c r="F35" i="4"/>
  <c r="BP54" i="3"/>
  <c r="BQ53" i="3"/>
  <c r="BR53" i="3" s="1"/>
  <c r="BS53" i="3" s="1"/>
  <c r="BU52" i="3" l="1"/>
  <c r="BV52" i="3" s="1"/>
  <c r="BU53" i="7"/>
  <c r="BP53" i="7"/>
  <c r="BQ52" i="7"/>
  <c r="BR52" i="7" s="1"/>
  <c r="BS52" i="7" s="1"/>
  <c r="BQ52" i="6"/>
  <c r="BR52" i="6" s="1"/>
  <c r="BS52" i="6" s="1"/>
  <c r="BP53" i="6"/>
  <c r="BU54" i="6"/>
  <c r="BU53" i="5"/>
  <c r="BV53" i="5" s="1"/>
  <c r="BQ52" i="5"/>
  <c r="BR52" i="5" s="1"/>
  <c r="BS52" i="5" s="1"/>
  <c r="BP53" i="5"/>
  <c r="H34" i="4"/>
  <c r="G34" i="4"/>
  <c r="F36" i="4"/>
  <c r="BP55" i="3"/>
  <c r="BQ54" i="3"/>
  <c r="BR54" i="3" s="1"/>
  <c r="BS54" i="3" s="1"/>
  <c r="BU53" i="3" l="1"/>
  <c r="BV53" i="3" s="1"/>
  <c r="BP54" i="7"/>
  <c r="BQ53" i="7"/>
  <c r="BR53" i="7" s="1"/>
  <c r="BS53" i="7" s="1"/>
  <c r="BU54" i="7"/>
  <c r="BU55" i="6"/>
  <c r="BQ53" i="6"/>
  <c r="BR53" i="6" s="1"/>
  <c r="BS53" i="6" s="1"/>
  <c r="BP54" i="6"/>
  <c r="BQ53" i="5"/>
  <c r="BR53" i="5" s="1"/>
  <c r="BS53" i="5" s="1"/>
  <c r="BP54" i="5"/>
  <c r="BU54" i="5"/>
  <c r="BV54" i="5" s="1"/>
  <c r="H35" i="4"/>
  <c r="G35" i="4"/>
  <c r="F37" i="4"/>
  <c r="BP56" i="3"/>
  <c r="BQ55" i="3"/>
  <c r="BR55" i="3" s="1"/>
  <c r="BS55" i="3" s="1"/>
  <c r="BU54" i="3" l="1"/>
  <c r="BV54" i="3" s="1"/>
  <c r="BU55" i="7"/>
  <c r="BP55" i="7"/>
  <c r="BQ54" i="7"/>
  <c r="BR54" i="7" s="1"/>
  <c r="BS54" i="7" s="1"/>
  <c r="BP55" i="6"/>
  <c r="BQ54" i="6"/>
  <c r="BR54" i="6" s="1"/>
  <c r="BS54" i="6" s="1"/>
  <c r="BU56" i="6"/>
  <c r="BU55" i="5"/>
  <c r="BV55" i="5" s="1"/>
  <c r="BP55" i="5"/>
  <c r="BQ54" i="5"/>
  <c r="BR54" i="5" s="1"/>
  <c r="BS54" i="5" s="1"/>
  <c r="H36" i="4"/>
  <c r="G36" i="4"/>
  <c r="F38" i="4"/>
  <c r="BP57" i="3"/>
  <c r="BQ56" i="3"/>
  <c r="BR56" i="3" s="1"/>
  <c r="BS56" i="3" s="1"/>
  <c r="BU55" i="3" l="1"/>
  <c r="BV55" i="3" s="1"/>
  <c r="BP56" i="7"/>
  <c r="BQ55" i="7"/>
  <c r="BR55" i="7" s="1"/>
  <c r="BS55" i="7" s="1"/>
  <c r="BU56" i="7"/>
  <c r="BP56" i="6"/>
  <c r="BQ55" i="6"/>
  <c r="BR55" i="6" s="1"/>
  <c r="BS55" i="6" s="1"/>
  <c r="BU57" i="6"/>
  <c r="BU56" i="5"/>
  <c r="BV56" i="5" s="1"/>
  <c r="BP56" i="5"/>
  <c r="BQ55" i="5"/>
  <c r="BR55" i="5" s="1"/>
  <c r="BS55" i="5" s="1"/>
  <c r="H37" i="4"/>
  <c r="G37" i="4"/>
  <c r="F39" i="4"/>
  <c r="BP58" i="3"/>
  <c r="BQ57" i="3"/>
  <c r="BR57" i="3" s="1"/>
  <c r="BS57" i="3" s="1"/>
  <c r="BU56" i="3" l="1"/>
  <c r="BV56" i="3" s="1"/>
  <c r="BU57" i="7"/>
  <c r="BP57" i="7"/>
  <c r="BQ56" i="7"/>
  <c r="BR56" i="7" s="1"/>
  <c r="BS56" i="7" s="1"/>
  <c r="BU58" i="6"/>
  <c r="BP57" i="6"/>
  <c r="BQ56" i="6"/>
  <c r="BR56" i="6" s="1"/>
  <c r="BS56" i="6" s="1"/>
  <c r="BU57" i="5"/>
  <c r="BV57" i="5" s="1"/>
  <c r="BQ56" i="5"/>
  <c r="BR56" i="5" s="1"/>
  <c r="BS56" i="5" s="1"/>
  <c r="BP57" i="5"/>
  <c r="F40" i="4"/>
  <c r="F41" i="4" s="1"/>
  <c r="G39" i="4"/>
  <c r="H39" i="4"/>
  <c r="H38" i="4"/>
  <c r="G38" i="4"/>
  <c r="BP59" i="3"/>
  <c r="BQ58" i="3"/>
  <c r="BR58" i="3" s="1"/>
  <c r="BS58" i="3" s="1"/>
  <c r="BU57" i="3" l="1"/>
  <c r="BV57" i="3" s="1"/>
  <c r="BU58" i="7"/>
  <c r="BP58" i="7"/>
  <c r="BQ57" i="7"/>
  <c r="BR57" i="7" s="1"/>
  <c r="BS57" i="7" s="1"/>
  <c r="BU59" i="6"/>
  <c r="BQ57" i="6"/>
  <c r="BR57" i="6" s="1"/>
  <c r="BS57" i="6" s="1"/>
  <c r="BP58" i="6"/>
  <c r="BQ57" i="5"/>
  <c r="BR57" i="5" s="1"/>
  <c r="BS57" i="5" s="1"/>
  <c r="BP58" i="5"/>
  <c r="BU58" i="5"/>
  <c r="BV58" i="5" s="1"/>
  <c r="G40" i="4"/>
  <c r="H40" i="4"/>
  <c r="F42" i="4"/>
  <c r="BP60" i="3"/>
  <c r="BQ59" i="3"/>
  <c r="BR59" i="3" s="1"/>
  <c r="BS59" i="3" s="1"/>
  <c r="BU58" i="3" l="1"/>
  <c r="BV58" i="3" s="1"/>
  <c r="BP59" i="7"/>
  <c r="BQ58" i="7"/>
  <c r="BR58" i="7" s="1"/>
  <c r="BS58" i="7" s="1"/>
  <c r="BU59" i="7"/>
  <c r="BU60" i="6"/>
  <c r="BP59" i="6"/>
  <c r="BQ58" i="6"/>
  <c r="BR58" i="6" s="1"/>
  <c r="BS58" i="6" s="1"/>
  <c r="BU59" i="5"/>
  <c r="BV59" i="5" s="1"/>
  <c r="BP59" i="5"/>
  <c r="BQ58" i="5"/>
  <c r="BR58" i="5" s="1"/>
  <c r="BS58" i="5" s="1"/>
  <c r="H41" i="4"/>
  <c r="G41" i="4"/>
  <c r="F43" i="4"/>
  <c r="BP61" i="3"/>
  <c r="BQ60" i="3"/>
  <c r="BR60" i="3" s="1"/>
  <c r="BS60" i="3" s="1"/>
  <c r="BU59" i="3" l="1"/>
  <c r="BV59" i="3" s="1"/>
  <c r="BU60" i="7"/>
  <c r="BP60" i="7"/>
  <c r="BQ59" i="7"/>
  <c r="BR59" i="7" s="1"/>
  <c r="BS59" i="7" s="1"/>
  <c r="BP60" i="6"/>
  <c r="BQ59" i="6"/>
  <c r="BR59" i="6" s="1"/>
  <c r="BS59" i="6" s="1"/>
  <c r="BU61" i="6"/>
  <c r="BU60" i="5"/>
  <c r="BV60" i="5" s="1"/>
  <c r="BP60" i="5"/>
  <c r="BQ59" i="5"/>
  <c r="BR59" i="5" s="1"/>
  <c r="BS59" i="5" s="1"/>
  <c r="H42" i="4"/>
  <c r="G42" i="4"/>
  <c r="F44" i="4"/>
  <c r="BP62" i="3"/>
  <c r="BQ61" i="3"/>
  <c r="BR61" i="3" s="1"/>
  <c r="BS61" i="3" s="1"/>
  <c r="BU60" i="3" l="1"/>
  <c r="BV60" i="3" s="1"/>
  <c r="BP61" i="7"/>
  <c r="BQ60" i="7"/>
  <c r="BR60" i="7" s="1"/>
  <c r="BS60" i="7" s="1"/>
  <c r="BU61" i="7"/>
  <c r="BQ60" i="6"/>
  <c r="BR60" i="6" s="1"/>
  <c r="BS60" i="6" s="1"/>
  <c r="BP61" i="6"/>
  <c r="BU62" i="6"/>
  <c r="BQ60" i="5"/>
  <c r="BR60" i="5" s="1"/>
  <c r="BS60" i="5" s="1"/>
  <c r="BP61" i="5"/>
  <c r="BU61" i="5"/>
  <c r="BV61" i="5" s="1"/>
  <c r="H43" i="4"/>
  <c r="G43" i="4"/>
  <c r="F45" i="4"/>
  <c r="BP63" i="3"/>
  <c r="BQ62" i="3"/>
  <c r="BR62" i="3" s="1"/>
  <c r="BS62" i="3" s="1"/>
  <c r="BU61" i="3" l="1"/>
  <c r="BV61" i="3" s="1"/>
  <c r="BU62" i="7"/>
  <c r="BP62" i="7"/>
  <c r="BQ61" i="7"/>
  <c r="BR61" i="7" s="1"/>
  <c r="BS61" i="7" s="1"/>
  <c r="BU63" i="6"/>
  <c r="BQ61" i="6"/>
  <c r="BR61" i="6" s="1"/>
  <c r="BS61" i="6" s="1"/>
  <c r="BP62" i="6"/>
  <c r="BU62" i="5"/>
  <c r="BV62" i="5" s="1"/>
  <c r="BQ61" i="5"/>
  <c r="BR61" i="5" s="1"/>
  <c r="BS61" i="5" s="1"/>
  <c r="BP62" i="5"/>
  <c r="F46" i="4"/>
  <c r="G45" i="4"/>
  <c r="H45" i="4"/>
  <c r="H44" i="4"/>
  <c r="G44" i="4"/>
  <c r="F47" i="4"/>
  <c r="BP64" i="3"/>
  <c r="BQ63" i="3"/>
  <c r="BR63" i="3" s="1"/>
  <c r="BS63" i="3" s="1"/>
  <c r="BU62" i="3" l="1"/>
  <c r="BV62" i="3" s="1"/>
  <c r="BU63" i="7"/>
  <c r="BP63" i="7"/>
  <c r="BQ62" i="7"/>
  <c r="BR62" i="7" s="1"/>
  <c r="BS62" i="7" s="1"/>
  <c r="BP63" i="6"/>
  <c r="BQ62" i="6"/>
  <c r="BR62" i="6" s="1"/>
  <c r="BS62" i="6" s="1"/>
  <c r="BU64" i="6"/>
  <c r="BP63" i="5"/>
  <c r="BQ62" i="5"/>
  <c r="BR62" i="5" s="1"/>
  <c r="BS62" i="5" s="1"/>
  <c r="BU63" i="5"/>
  <c r="BV63" i="5" s="1"/>
  <c r="G46" i="4"/>
  <c r="H46" i="4"/>
  <c r="F48" i="4"/>
  <c r="BP65" i="3"/>
  <c r="BQ64" i="3"/>
  <c r="BR64" i="3" s="1"/>
  <c r="BS64" i="3" s="1"/>
  <c r="BU63" i="3" l="1"/>
  <c r="BV63" i="3" s="1"/>
  <c r="BP64" i="7"/>
  <c r="BQ63" i="7"/>
  <c r="BR63" i="7" s="1"/>
  <c r="BS63" i="7" s="1"/>
  <c r="BU64" i="7"/>
  <c r="BU65" i="6"/>
  <c r="BP64" i="6"/>
  <c r="BQ63" i="6"/>
  <c r="BR63" i="6" s="1"/>
  <c r="BS63" i="6" s="1"/>
  <c r="BU64" i="5"/>
  <c r="BV64" i="5" s="1"/>
  <c r="BP64" i="5"/>
  <c r="BQ63" i="5"/>
  <c r="BR63" i="5" s="1"/>
  <c r="BS63" i="5" s="1"/>
  <c r="H47" i="4"/>
  <c r="G47" i="4"/>
  <c r="F49" i="4"/>
  <c r="BP66" i="3"/>
  <c r="BQ65" i="3"/>
  <c r="BR65" i="3" s="1"/>
  <c r="BS65" i="3" s="1"/>
  <c r="BU64" i="3" l="1"/>
  <c r="BV64" i="3" s="1"/>
  <c r="BU65" i="7"/>
  <c r="BP65" i="7"/>
  <c r="BQ64" i="7"/>
  <c r="BR64" i="7" s="1"/>
  <c r="BS64" i="7" s="1"/>
  <c r="BU66" i="6"/>
  <c r="BP65" i="6"/>
  <c r="BQ64" i="6"/>
  <c r="BR64" i="6" s="1"/>
  <c r="BS64" i="6" s="1"/>
  <c r="BU65" i="5"/>
  <c r="BV65" i="5" s="1"/>
  <c r="BQ64" i="5"/>
  <c r="BR64" i="5" s="1"/>
  <c r="BS64" i="5" s="1"/>
  <c r="BP65" i="5"/>
  <c r="H48" i="4"/>
  <c r="G48" i="4"/>
  <c r="F50" i="4"/>
  <c r="BP67" i="3"/>
  <c r="BQ66" i="3"/>
  <c r="BR66" i="3" s="1"/>
  <c r="BS66" i="3" s="1"/>
  <c r="BU65" i="3" l="1"/>
  <c r="BV65" i="3" s="1"/>
  <c r="BP66" i="7"/>
  <c r="BQ65" i="7"/>
  <c r="BR65" i="7" s="1"/>
  <c r="BS65" i="7" s="1"/>
  <c r="BU66" i="7"/>
  <c r="BQ65" i="6"/>
  <c r="BR65" i="6" s="1"/>
  <c r="BS65" i="6" s="1"/>
  <c r="BP66" i="6"/>
  <c r="BU67" i="6"/>
  <c r="BQ65" i="5"/>
  <c r="BR65" i="5" s="1"/>
  <c r="BS65" i="5" s="1"/>
  <c r="BP66" i="5"/>
  <c r="BU66" i="5"/>
  <c r="BV66" i="5" s="1"/>
  <c r="H49" i="4"/>
  <c r="G49" i="4"/>
  <c r="F51" i="4"/>
  <c r="BP68" i="3"/>
  <c r="BQ67" i="3"/>
  <c r="BR67" i="3" s="1"/>
  <c r="BS67" i="3" s="1"/>
  <c r="BU66" i="3" l="1"/>
  <c r="BV66" i="3" s="1"/>
  <c r="BU67" i="7"/>
  <c r="BP67" i="7"/>
  <c r="BQ66" i="7"/>
  <c r="BR66" i="7" s="1"/>
  <c r="BS66" i="7" s="1"/>
  <c r="BU68" i="6"/>
  <c r="BP67" i="6"/>
  <c r="BQ66" i="6"/>
  <c r="BR66" i="6" s="1"/>
  <c r="BS66" i="6" s="1"/>
  <c r="BU67" i="5"/>
  <c r="BV67" i="5" s="1"/>
  <c r="BP67" i="5"/>
  <c r="BQ66" i="5"/>
  <c r="BR66" i="5" s="1"/>
  <c r="BS66" i="5" s="1"/>
  <c r="H50" i="4"/>
  <c r="G50" i="4"/>
  <c r="F52" i="4"/>
  <c r="BP69" i="3"/>
  <c r="BQ68" i="3"/>
  <c r="BR68" i="3" s="1"/>
  <c r="BS68" i="3" s="1"/>
  <c r="BU67" i="3" l="1"/>
  <c r="BV67" i="3" s="1"/>
  <c r="BU68" i="7"/>
  <c r="BP68" i="7"/>
  <c r="BQ67" i="7"/>
  <c r="BR67" i="7" s="1"/>
  <c r="BS67" i="7" s="1"/>
  <c r="BP68" i="6"/>
  <c r="BQ67" i="6"/>
  <c r="BR67" i="6" s="1"/>
  <c r="BS67" i="6" s="1"/>
  <c r="BU69" i="6"/>
  <c r="BU68" i="5"/>
  <c r="BV68" i="5" s="1"/>
  <c r="BP68" i="5"/>
  <c r="BQ67" i="5"/>
  <c r="BR67" i="5" s="1"/>
  <c r="BS67" i="5" s="1"/>
  <c r="H51" i="4"/>
  <c r="G51" i="4"/>
  <c r="F53" i="4"/>
  <c r="F54" i="4" s="1"/>
  <c r="BP70" i="3"/>
  <c r="BQ69" i="3"/>
  <c r="BR69" i="3" s="1"/>
  <c r="BS69" i="3" s="1"/>
  <c r="F55" i="4" l="1"/>
  <c r="H54" i="4"/>
  <c r="G54" i="4"/>
  <c r="BU68" i="3"/>
  <c r="BV68" i="3" s="1"/>
  <c r="BP69" i="7"/>
  <c r="BQ68" i="7"/>
  <c r="BR68" i="7" s="1"/>
  <c r="BS68" i="7" s="1"/>
  <c r="BU69" i="7"/>
  <c r="BU70" i="6"/>
  <c r="BQ68" i="6"/>
  <c r="BR68" i="6" s="1"/>
  <c r="BS68" i="6" s="1"/>
  <c r="BP69" i="6"/>
  <c r="BU69" i="5"/>
  <c r="BV69" i="5" s="1"/>
  <c r="BQ68" i="5"/>
  <c r="BR68" i="5" s="1"/>
  <c r="BS68" i="5" s="1"/>
  <c r="BP69" i="5"/>
  <c r="G53" i="4"/>
  <c r="H53" i="4"/>
  <c r="H52" i="4"/>
  <c r="G52" i="4"/>
  <c r="BP71" i="3"/>
  <c r="BQ70" i="3"/>
  <c r="BR70" i="3" s="1"/>
  <c r="BS70" i="3" s="1"/>
  <c r="BU69" i="3" l="1"/>
  <c r="BV69" i="3" s="1"/>
  <c r="F56" i="4"/>
  <c r="BU70" i="7"/>
  <c r="BP70" i="7"/>
  <c r="BQ69" i="7"/>
  <c r="BR69" i="7" s="1"/>
  <c r="BS69" i="7" s="1"/>
  <c r="BQ69" i="6"/>
  <c r="BR69" i="6" s="1"/>
  <c r="BS69" i="6" s="1"/>
  <c r="BP70" i="6"/>
  <c r="BU71" i="6"/>
  <c r="BQ69" i="5"/>
  <c r="BR69" i="5" s="1"/>
  <c r="BS69" i="5" s="1"/>
  <c r="BP70" i="5"/>
  <c r="BU70" i="5"/>
  <c r="BV70" i="5" s="1"/>
  <c r="BP72" i="3"/>
  <c r="BQ71" i="3"/>
  <c r="BR71" i="3" s="1"/>
  <c r="BS71" i="3" s="1"/>
  <c r="F57" i="4" l="1"/>
  <c r="G56" i="4" s="1"/>
  <c r="H56" i="4"/>
  <c r="H55" i="4"/>
  <c r="G55" i="4"/>
  <c r="BU70" i="3"/>
  <c r="BV70" i="3" s="1"/>
  <c r="BP71" i="7"/>
  <c r="BQ70" i="7"/>
  <c r="BR70" i="7" s="1"/>
  <c r="BS70" i="7" s="1"/>
  <c r="BU71" i="7"/>
  <c r="BP71" i="6"/>
  <c r="BQ70" i="6"/>
  <c r="BR70" i="6" s="1"/>
  <c r="BS70" i="6" s="1"/>
  <c r="BU72" i="6"/>
  <c r="BU71" i="5"/>
  <c r="BV71" i="5" s="1"/>
  <c r="BP71" i="5"/>
  <c r="BQ70" i="5"/>
  <c r="BR70" i="5" s="1"/>
  <c r="BS70" i="5" s="1"/>
  <c r="BP73" i="3"/>
  <c r="BQ72" i="3"/>
  <c r="BR72" i="3" s="1"/>
  <c r="BS72" i="3" s="1"/>
  <c r="BU71" i="3" l="1"/>
  <c r="BV71" i="3" s="1"/>
  <c r="F58" i="4"/>
  <c r="H57" i="4"/>
  <c r="BU72" i="7"/>
  <c r="BP72" i="7"/>
  <c r="BQ71" i="7"/>
  <c r="BR71" i="7" s="1"/>
  <c r="BS71" i="7" s="1"/>
  <c r="BU73" i="6"/>
  <c r="BP72" i="6"/>
  <c r="BQ71" i="6"/>
  <c r="BR71" i="6" s="1"/>
  <c r="BS71" i="6" s="1"/>
  <c r="BP72" i="5"/>
  <c r="BQ71" i="5"/>
  <c r="BR71" i="5" s="1"/>
  <c r="BS71" i="5" s="1"/>
  <c r="BU72" i="5"/>
  <c r="BV72" i="5" s="1"/>
  <c r="BP74" i="3"/>
  <c r="BQ73" i="3"/>
  <c r="BR73" i="3" s="1"/>
  <c r="BS73" i="3" s="1"/>
  <c r="F59" i="4" l="1"/>
  <c r="H58" i="4"/>
  <c r="G57" i="4"/>
  <c r="BU72" i="3"/>
  <c r="BV72" i="3" s="1"/>
  <c r="BP73" i="7"/>
  <c r="BQ72" i="7"/>
  <c r="BR72" i="7" s="1"/>
  <c r="BS72" i="7" s="1"/>
  <c r="BU73" i="7"/>
  <c r="BP73" i="6"/>
  <c r="BQ72" i="6"/>
  <c r="BR72" i="6" s="1"/>
  <c r="BS72" i="6" s="1"/>
  <c r="BU74" i="6"/>
  <c r="BU73" i="5"/>
  <c r="BV73" i="5" s="1"/>
  <c r="BQ72" i="5"/>
  <c r="BR72" i="5" s="1"/>
  <c r="BS72" i="5" s="1"/>
  <c r="BP73" i="5"/>
  <c r="BP75" i="3"/>
  <c r="BQ74" i="3"/>
  <c r="BR74" i="3" s="1"/>
  <c r="BS74" i="3" s="1"/>
  <c r="BU73" i="3" l="1"/>
  <c r="BV73" i="3" s="1"/>
  <c r="F60" i="4"/>
  <c r="H59" i="4" s="1"/>
  <c r="G58" i="4"/>
  <c r="BU74" i="7"/>
  <c r="BP74" i="7"/>
  <c r="BQ73" i="7"/>
  <c r="BR73" i="7" s="1"/>
  <c r="BS73" i="7" s="1"/>
  <c r="BU75" i="6"/>
  <c r="BQ73" i="6"/>
  <c r="BR73" i="6" s="1"/>
  <c r="BS73" i="6" s="1"/>
  <c r="BP74" i="6"/>
  <c r="BQ73" i="5"/>
  <c r="BR73" i="5" s="1"/>
  <c r="BS73" i="5" s="1"/>
  <c r="BP74" i="5"/>
  <c r="BU74" i="5"/>
  <c r="BV74" i="5" s="1"/>
  <c r="BP76" i="3"/>
  <c r="BQ75" i="3"/>
  <c r="BR75" i="3" s="1"/>
  <c r="BS75" i="3" s="1"/>
  <c r="F61" i="4" l="1"/>
  <c r="H60" i="4"/>
  <c r="G60" i="4"/>
  <c r="G59" i="4"/>
  <c r="BU74" i="3"/>
  <c r="BV74" i="3" s="1"/>
  <c r="BP75" i="7"/>
  <c r="BQ74" i="7"/>
  <c r="BR74" i="7" s="1"/>
  <c r="BS74" i="7" s="1"/>
  <c r="BU75" i="7"/>
  <c r="BP75" i="6"/>
  <c r="BQ74" i="6"/>
  <c r="BR74" i="6" s="1"/>
  <c r="BS74" i="6" s="1"/>
  <c r="BU76" i="6"/>
  <c r="BU75" i="5"/>
  <c r="BV75" i="5" s="1"/>
  <c r="BP75" i="5"/>
  <c r="BQ74" i="5"/>
  <c r="BR74" i="5" s="1"/>
  <c r="BS74" i="5" s="1"/>
  <c r="BP77" i="3"/>
  <c r="BQ76" i="3"/>
  <c r="BR76" i="3" s="1"/>
  <c r="BS76" i="3" s="1"/>
  <c r="BU75" i="3" l="1"/>
  <c r="BV75" i="3" s="1"/>
  <c r="F62" i="4"/>
  <c r="G61" i="4"/>
  <c r="H61" i="4"/>
  <c r="BU76" i="7"/>
  <c r="BP76" i="7"/>
  <c r="BQ75" i="7"/>
  <c r="BR75" i="7" s="1"/>
  <c r="BS75" i="7" s="1"/>
  <c r="BU77" i="6"/>
  <c r="BP76" i="6"/>
  <c r="BQ75" i="6"/>
  <c r="BR75" i="6" s="1"/>
  <c r="BS75" i="6" s="1"/>
  <c r="BP76" i="5"/>
  <c r="BQ75" i="5"/>
  <c r="BR75" i="5" s="1"/>
  <c r="BS75" i="5" s="1"/>
  <c r="BU76" i="5"/>
  <c r="BV76" i="5" s="1"/>
  <c r="BP78" i="3"/>
  <c r="BQ77" i="3"/>
  <c r="BR77" i="3" s="1"/>
  <c r="BS77" i="3" s="1"/>
  <c r="F63" i="4" l="1"/>
  <c r="BU76" i="3"/>
  <c r="BV76" i="3" s="1"/>
  <c r="BP77" i="7"/>
  <c r="BQ76" i="7"/>
  <c r="BR76" i="7" s="1"/>
  <c r="BS76" i="7" s="1"/>
  <c r="BU77" i="7"/>
  <c r="BQ76" i="6"/>
  <c r="BR76" i="6" s="1"/>
  <c r="BS76" i="6" s="1"/>
  <c r="BP77" i="6"/>
  <c r="BU78" i="6"/>
  <c r="BU77" i="5"/>
  <c r="BV77" i="5" s="1"/>
  <c r="BQ76" i="5"/>
  <c r="BR76" i="5" s="1"/>
  <c r="BS76" i="5" s="1"/>
  <c r="BP77" i="5"/>
  <c r="BP79" i="3"/>
  <c r="BQ78" i="3"/>
  <c r="BR78" i="3" s="1"/>
  <c r="BS78" i="3" s="1"/>
  <c r="BU77" i="3" l="1"/>
  <c r="BV77" i="3" s="1"/>
  <c r="F64" i="4"/>
  <c r="G63" i="4" s="1"/>
  <c r="H62" i="4"/>
  <c r="G62" i="4"/>
  <c r="BU78" i="7"/>
  <c r="BQ77" i="7"/>
  <c r="BR77" i="7" s="1"/>
  <c r="BS77" i="7" s="1"/>
  <c r="BP78" i="7"/>
  <c r="BQ77" i="6"/>
  <c r="BR77" i="6" s="1"/>
  <c r="BS77" i="6" s="1"/>
  <c r="BP78" i="6"/>
  <c r="BU79" i="6"/>
  <c r="BQ77" i="5"/>
  <c r="BR77" i="5" s="1"/>
  <c r="BS77" i="5" s="1"/>
  <c r="BP78" i="5"/>
  <c r="BU78" i="5"/>
  <c r="BV78" i="5" s="1"/>
  <c r="BP80" i="3"/>
  <c r="BQ79" i="3"/>
  <c r="BR79" i="3" s="1"/>
  <c r="BS79" i="3" s="1"/>
  <c r="H63" i="4" l="1"/>
  <c r="F65" i="4"/>
  <c r="H64" i="4"/>
  <c r="BU78" i="3"/>
  <c r="BV78" i="3" s="1"/>
  <c r="BP79" i="7"/>
  <c r="BQ78" i="7"/>
  <c r="BR78" i="7" s="1"/>
  <c r="BS78" i="7" s="1"/>
  <c r="BU79" i="7"/>
  <c r="BU80" i="6"/>
  <c r="BP79" i="6"/>
  <c r="BQ78" i="6"/>
  <c r="BR78" i="6" s="1"/>
  <c r="BS78" i="6" s="1"/>
  <c r="BU79" i="5"/>
  <c r="BV79" i="5" s="1"/>
  <c r="BP79" i="5"/>
  <c r="BQ78" i="5"/>
  <c r="BR78" i="5" s="1"/>
  <c r="BS78" i="5" s="1"/>
  <c r="BP81" i="3"/>
  <c r="BQ80" i="3"/>
  <c r="BR80" i="3" s="1"/>
  <c r="BS80" i="3" s="1"/>
  <c r="BU79" i="3" l="1"/>
  <c r="BV79" i="3" s="1"/>
  <c r="F66" i="4"/>
  <c r="H65" i="4" s="1"/>
  <c r="G64" i="4"/>
  <c r="BU80" i="7"/>
  <c r="BP80" i="7"/>
  <c r="BQ79" i="7"/>
  <c r="BR79" i="7" s="1"/>
  <c r="BS79" i="7" s="1"/>
  <c r="BU81" i="6"/>
  <c r="BP80" i="6"/>
  <c r="BQ79" i="6"/>
  <c r="BR79" i="6" s="1"/>
  <c r="BS79" i="6" s="1"/>
  <c r="BU80" i="5"/>
  <c r="BV80" i="5" s="1"/>
  <c r="BP80" i="5"/>
  <c r="BQ79" i="5"/>
  <c r="BR79" i="5" s="1"/>
  <c r="BS79" i="5" s="1"/>
  <c r="BP82" i="3"/>
  <c r="BQ81" i="3"/>
  <c r="BR81" i="3" s="1"/>
  <c r="BS81" i="3" s="1"/>
  <c r="F67" i="4" l="1"/>
  <c r="H66" i="4"/>
  <c r="G66" i="4"/>
  <c r="G65" i="4"/>
  <c r="BU80" i="3"/>
  <c r="BV80" i="3" s="1"/>
  <c r="BP81" i="7"/>
  <c r="BQ80" i="7"/>
  <c r="BR80" i="7" s="1"/>
  <c r="BS80" i="7" s="1"/>
  <c r="BU81" i="7"/>
  <c r="BP81" i="6"/>
  <c r="BQ80" i="6"/>
  <c r="BR80" i="6" s="1"/>
  <c r="BS80" i="6" s="1"/>
  <c r="BU82" i="6"/>
  <c r="BQ80" i="5"/>
  <c r="BR80" i="5" s="1"/>
  <c r="BS80" i="5" s="1"/>
  <c r="BP81" i="5"/>
  <c r="BU81" i="5"/>
  <c r="BV81" i="5" s="1"/>
  <c r="BP83" i="3"/>
  <c r="BQ82" i="3"/>
  <c r="BR82" i="3" s="1"/>
  <c r="BS82" i="3" s="1"/>
  <c r="BU81" i="3" l="1"/>
  <c r="BV81" i="3" s="1"/>
  <c r="F68" i="4"/>
  <c r="H67" i="4"/>
  <c r="G67" i="4"/>
  <c r="BU82" i="7"/>
  <c r="BQ81" i="7"/>
  <c r="BR81" i="7" s="1"/>
  <c r="BS81" i="7" s="1"/>
  <c r="BP82" i="7"/>
  <c r="BU83" i="6"/>
  <c r="BQ81" i="6"/>
  <c r="BR81" i="6" s="1"/>
  <c r="BS81" i="6" s="1"/>
  <c r="BP82" i="6"/>
  <c r="BQ81" i="5"/>
  <c r="BR81" i="5" s="1"/>
  <c r="BS81" i="5" s="1"/>
  <c r="BP82" i="5"/>
  <c r="BU82" i="5"/>
  <c r="BV82" i="5" s="1"/>
  <c r="BP84" i="3"/>
  <c r="BQ83" i="3"/>
  <c r="BR83" i="3" s="1"/>
  <c r="BS83" i="3" s="1"/>
  <c r="F69" i="4" l="1"/>
  <c r="H68" i="4" s="1"/>
  <c r="BU82" i="3"/>
  <c r="BV82" i="3" s="1"/>
  <c r="BP83" i="7"/>
  <c r="BQ82" i="7"/>
  <c r="BR82" i="7" s="1"/>
  <c r="BS82" i="7" s="1"/>
  <c r="BU83" i="7"/>
  <c r="BP83" i="6"/>
  <c r="BQ82" i="6"/>
  <c r="BR82" i="6" s="1"/>
  <c r="BS82" i="6" s="1"/>
  <c r="BU84" i="6"/>
  <c r="BU83" i="5"/>
  <c r="BV83" i="5" s="1"/>
  <c r="BP83" i="5"/>
  <c r="BQ82" i="5"/>
  <c r="BR82" i="5" s="1"/>
  <c r="BS82" i="5" s="1"/>
  <c r="BP85" i="3"/>
  <c r="BQ84" i="3"/>
  <c r="BR84" i="3" s="1"/>
  <c r="BS84" i="3" s="1"/>
  <c r="BU83" i="3" l="1"/>
  <c r="BV83" i="3" s="1"/>
  <c r="G68" i="4"/>
  <c r="F70" i="4"/>
  <c r="G69" i="4"/>
  <c r="H69" i="4"/>
  <c r="BU84" i="7"/>
  <c r="BP84" i="7"/>
  <c r="BQ83" i="7"/>
  <c r="BR83" i="7" s="1"/>
  <c r="BS83" i="7" s="1"/>
  <c r="BU85" i="6"/>
  <c r="BP84" i="6"/>
  <c r="BQ83" i="6"/>
  <c r="BR83" i="6" s="1"/>
  <c r="BS83" i="6" s="1"/>
  <c r="BP84" i="5"/>
  <c r="BQ83" i="5"/>
  <c r="BR83" i="5" s="1"/>
  <c r="BS83" i="5" s="1"/>
  <c r="BU84" i="5"/>
  <c r="BV84" i="5" s="1"/>
  <c r="BP86" i="3"/>
  <c r="BQ85" i="3"/>
  <c r="BR85" i="3" s="1"/>
  <c r="BS85" i="3" s="1"/>
  <c r="F71" i="4" l="1"/>
  <c r="BU84" i="3"/>
  <c r="BV84" i="3" s="1"/>
  <c r="BP85" i="7"/>
  <c r="BQ84" i="7"/>
  <c r="BR84" i="7" s="1"/>
  <c r="BS84" i="7" s="1"/>
  <c r="BU85" i="7"/>
  <c r="BU86" i="6"/>
  <c r="BQ84" i="6"/>
  <c r="BR84" i="6" s="1"/>
  <c r="BS84" i="6" s="1"/>
  <c r="BP85" i="6"/>
  <c r="BU85" i="5"/>
  <c r="BV85" i="5" s="1"/>
  <c r="BQ84" i="5"/>
  <c r="BR84" i="5" s="1"/>
  <c r="BS84" i="5" s="1"/>
  <c r="BP85" i="5"/>
  <c r="BP87" i="3"/>
  <c r="BQ86" i="3"/>
  <c r="BR86" i="3" s="1"/>
  <c r="BS86" i="3" s="1"/>
  <c r="F72" i="4" l="1"/>
  <c r="H71" i="4"/>
  <c r="G71" i="4"/>
  <c r="BU85" i="3"/>
  <c r="BV85" i="3" s="1"/>
  <c r="G70" i="4"/>
  <c r="H70" i="4"/>
  <c r="BU86" i="7"/>
  <c r="BQ85" i="7"/>
  <c r="BR85" i="7" s="1"/>
  <c r="BS85" i="7" s="1"/>
  <c r="BP86" i="7"/>
  <c r="BQ85" i="6"/>
  <c r="BR85" i="6" s="1"/>
  <c r="BS85" i="6" s="1"/>
  <c r="BP86" i="6"/>
  <c r="BU87" i="6"/>
  <c r="BQ85" i="5"/>
  <c r="BR85" i="5" s="1"/>
  <c r="BS85" i="5" s="1"/>
  <c r="BP86" i="5"/>
  <c r="BU86" i="5"/>
  <c r="BV86" i="5" s="1"/>
  <c r="BP88" i="3"/>
  <c r="BQ87" i="3"/>
  <c r="BR87" i="3" s="1"/>
  <c r="BS87" i="3" s="1"/>
  <c r="BU86" i="3" l="1"/>
  <c r="BV86" i="3" s="1"/>
  <c r="F73" i="4"/>
  <c r="H72" i="4"/>
  <c r="BP87" i="7"/>
  <c r="BQ86" i="7"/>
  <c r="BR86" i="7" s="1"/>
  <c r="BS86" i="7" s="1"/>
  <c r="BU87" i="7"/>
  <c r="BP87" i="6"/>
  <c r="BQ86" i="6"/>
  <c r="BR86" i="6" s="1"/>
  <c r="BS86" i="6" s="1"/>
  <c r="BU88" i="6"/>
  <c r="BP87" i="5"/>
  <c r="BQ86" i="5"/>
  <c r="BR86" i="5" s="1"/>
  <c r="BS86" i="5" s="1"/>
  <c r="BU87" i="5"/>
  <c r="BV87" i="5" s="1"/>
  <c r="BP89" i="3"/>
  <c r="BQ88" i="3"/>
  <c r="BR88" i="3" s="1"/>
  <c r="BS88" i="3" s="1"/>
  <c r="G72" i="4" l="1"/>
  <c r="F74" i="4"/>
  <c r="H73" i="4"/>
  <c r="G73" i="4"/>
  <c r="BU87" i="3"/>
  <c r="BV87" i="3" s="1"/>
  <c r="BU88" i="7"/>
  <c r="BP88" i="7"/>
  <c r="BQ87" i="7"/>
  <c r="BR87" i="7" s="1"/>
  <c r="BS87" i="7" s="1"/>
  <c r="BU89" i="6"/>
  <c r="BP88" i="6"/>
  <c r="BQ87" i="6"/>
  <c r="BR87" i="6" s="1"/>
  <c r="BS87" i="6" s="1"/>
  <c r="BU88" i="5"/>
  <c r="BV88" i="5" s="1"/>
  <c r="BP88" i="5"/>
  <c r="BQ87" i="5"/>
  <c r="BR87" i="5" s="1"/>
  <c r="BS87" i="5" s="1"/>
  <c r="BP90" i="3"/>
  <c r="BQ89" i="3"/>
  <c r="BR89" i="3" s="1"/>
  <c r="BS89" i="3" s="1"/>
  <c r="BU88" i="3" l="1"/>
  <c r="BV88" i="3" s="1"/>
  <c r="F75" i="4"/>
  <c r="H74" i="4"/>
  <c r="BU89" i="7"/>
  <c r="BP89" i="7"/>
  <c r="BQ88" i="7"/>
  <c r="BR88" i="7" s="1"/>
  <c r="BS88" i="7" s="1"/>
  <c r="BP89" i="6"/>
  <c r="BQ88" i="6"/>
  <c r="BR88" i="6" s="1"/>
  <c r="BS88" i="6" s="1"/>
  <c r="BU90" i="6"/>
  <c r="BQ88" i="5"/>
  <c r="BR88" i="5" s="1"/>
  <c r="BS88" i="5" s="1"/>
  <c r="BP89" i="5"/>
  <c r="BU89" i="5"/>
  <c r="BV89" i="5" s="1"/>
  <c r="BP91" i="3"/>
  <c r="BQ90" i="3"/>
  <c r="BR90" i="3" s="1"/>
  <c r="BS90" i="3" s="1"/>
  <c r="G75" i="4" l="1"/>
  <c r="H75" i="4"/>
  <c r="G74" i="4"/>
  <c r="BU89" i="3"/>
  <c r="BV89" i="3" s="1"/>
  <c r="BQ89" i="7"/>
  <c r="BR89" i="7" s="1"/>
  <c r="BS89" i="7" s="1"/>
  <c r="BP90" i="7"/>
  <c r="BU90" i="7"/>
  <c r="BU91" i="6"/>
  <c r="BQ89" i="6"/>
  <c r="BR89" i="6" s="1"/>
  <c r="BS89" i="6" s="1"/>
  <c r="BP90" i="6"/>
  <c r="BU90" i="5"/>
  <c r="BV90" i="5" s="1"/>
  <c r="BQ89" i="5"/>
  <c r="BR89" i="5" s="1"/>
  <c r="BS89" i="5" s="1"/>
  <c r="BP90" i="5"/>
  <c r="BP92" i="3"/>
  <c r="BQ91" i="3"/>
  <c r="BR91" i="3" s="1"/>
  <c r="BS91" i="3" s="1"/>
  <c r="BU90" i="3" l="1"/>
  <c r="BV90" i="3" s="1"/>
  <c r="BU91" i="7"/>
  <c r="BP91" i="7"/>
  <c r="BQ90" i="7"/>
  <c r="BR90" i="7" s="1"/>
  <c r="BS90" i="7" s="1"/>
  <c r="BP91" i="6"/>
  <c r="BQ90" i="6"/>
  <c r="BR90" i="6" s="1"/>
  <c r="BS90" i="6" s="1"/>
  <c r="BU92" i="6"/>
  <c r="BP91" i="5"/>
  <c r="BQ90" i="5"/>
  <c r="BR90" i="5" s="1"/>
  <c r="BS90" i="5" s="1"/>
  <c r="BU91" i="5"/>
  <c r="BV91" i="5" s="1"/>
  <c r="BP93" i="3"/>
  <c r="BQ92" i="3"/>
  <c r="BR92" i="3" s="1"/>
  <c r="BS92" i="3" s="1"/>
  <c r="BU91" i="3" l="1"/>
  <c r="BV91" i="3" s="1"/>
  <c r="BP92" i="7"/>
  <c r="BQ91" i="7"/>
  <c r="BR91" i="7" s="1"/>
  <c r="BS91" i="7" s="1"/>
  <c r="BU92" i="7"/>
  <c r="BU93" i="6"/>
  <c r="BP92" i="6"/>
  <c r="BQ91" i="6"/>
  <c r="BR91" i="6" s="1"/>
  <c r="BS91" i="6" s="1"/>
  <c r="BU92" i="5"/>
  <c r="BV92" i="5" s="1"/>
  <c r="BP92" i="5"/>
  <c r="BQ91" i="5"/>
  <c r="BR91" i="5" s="1"/>
  <c r="BS91" i="5" s="1"/>
  <c r="BP94" i="3"/>
  <c r="BQ93" i="3"/>
  <c r="BR93" i="3" s="1"/>
  <c r="BS93" i="3" s="1"/>
  <c r="BU92" i="3" l="1"/>
  <c r="BV92" i="3" s="1"/>
  <c r="BU93" i="7"/>
  <c r="BP93" i="7"/>
  <c r="BQ92" i="7"/>
  <c r="BR92" i="7" s="1"/>
  <c r="BS92" i="7" s="1"/>
  <c r="BQ92" i="6"/>
  <c r="BR92" i="6" s="1"/>
  <c r="BS92" i="6" s="1"/>
  <c r="BP93" i="6"/>
  <c r="BU94" i="6"/>
  <c r="BQ92" i="5"/>
  <c r="BR92" i="5" s="1"/>
  <c r="BS92" i="5" s="1"/>
  <c r="BP93" i="5"/>
  <c r="BU93" i="5"/>
  <c r="BV93" i="5" s="1"/>
  <c r="BP95" i="3"/>
  <c r="BQ94" i="3"/>
  <c r="BR94" i="3" s="1"/>
  <c r="BS94" i="3" s="1"/>
  <c r="BU93" i="3" l="1"/>
  <c r="BV93" i="3" s="1"/>
  <c r="BQ93" i="7"/>
  <c r="BR93" i="7" s="1"/>
  <c r="BS93" i="7" s="1"/>
  <c r="BP94" i="7"/>
  <c r="BU94" i="7"/>
  <c r="BU95" i="6"/>
  <c r="BQ93" i="6"/>
  <c r="BR93" i="6" s="1"/>
  <c r="BS93" i="6" s="1"/>
  <c r="BP94" i="6"/>
  <c r="BU94" i="5"/>
  <c r="BV94" i="5" s="1"/>
  <c r="BQ93" i="5"/>
  <c r="BR93" i="5" s="1"/>
  <c r="BS93" i="5" s="1"/>
  <c r="BP94" i="5"/>
  <c r="BP96" i="3"/>
  <c r="BQ95" i="3"/>
  <c r="BR95" i="3" s="1"/>
  <c r="BS95" i="3" s="1"/>
  <c r="BU94" i="3" l="1"/>
  <c r="BV94" i="3" s="1"/>
  <c r="BU95" i="7"/>
  <c r="BP95" i="7"/>
  <c r="BQ94" i="7"/>
  <c r="BR94" i="7" s="1"/>
  <c r="BS94" i="7" s="1"/>
  <c r="BP95" i="6"/>
  <c r="BQ94" i="6"/>
  <c r="BR94" i="6" s="1"/>
  <c r="BS94" i="6" s="1"/>
  <c r="BU96" i="6"/>
  <c r="BP95" i="5"/>
  <c r="BQ94" i="5"/>
  <c r="BR94" i="5" s="1"/>
  <c r="BS94" i="5" s="1"/>
  <c r="BU95" i="5"/>
  <c r="BV95" i="5" s="1"/>
  <c r="BP97" i="3"/>
  <c r="BQ96" i="3"/>
  <c r="BR96" i="3" s="1"/>
  <c r="BS96" i="3" s="1"/>
  <c r="BU95" i="3" l="1"/>
  <c r="BV95" i="3" s="1"/>
  <c r="BP96" i="7"/>
  <c r="BQ95" i="7"/>
  <c r="BR95" i="7" s="1"/>
  <c r="BS95" i="7" s="1"/>
  <c r="BU96" i="7"/>
  <c r="BP96" i="6"/>
  <c r="BQ95" i="6"/>
  <c r="BR95" i="6" s="1"/>
  <c r="BS95" i="6" s="1"/>
  <c r="BU96" i="5"/>
  <c r="BV96" i="5" s="1"/>
  <c r="BP96" i="5"/>
  <c r="BQ95" i="5"/>
  <c r="BR95" i="5" s="1"/>
  <c r="BS95" i="5" s="1"/>
  <c r="BP98" i="3"/>
  <c r="BQ97" i="3"/>
  <c r="BR97" i="3" s="1"/>
  <c r="BS97" i="3" s="1"/>
  <c r="BU96" i="3" l="1"/>
  <c r="BV96" i="3" s="1"/>
  <c r="BP97" i="7"/>
  <c r="BQ96" i="7"/>
  <c r="BR96" i="7" s="1"/>
  <c r="BS96" i="7" s="1"/>
  <c r="BP97" i="6"/>
  <c r="BQ96" i="6"/>
  <c r="BR96" i="6" s="1"/>
  <c r="BS96" i="6" s="1"/>
  <c r="BQ96" i="5"/>
  <c r="BR96" i="5" s="1"/>
  <c r="BS96" i="5" s="1"/>
  <c r="BP97" i="5"/>
  <c r="BP99" i="3"/>
  <c r="BQ98" i="3"/>
  <c r="BR98" i="3" s="1"/>
  <c r="BS98" i="3" s="1"/>
  <c r="BQ97" i="7" l="1"/>
  <c r="BR97" i="7" s="1"/>
  <c r="BS97" i="7" s="1"/>
  <c r="BP98" i="7"/>
  <c r="BQ97" i="6"/>
  <c r="BR97" i="6" s="1"/>
  <c r="BS97" i="6" s="1"/>
  <c r="BP98" i="6"/>
  <c r="BQ97" i="5"/>
  <c r="BR97" i="5" s="1"/>
  <c r="BS97" i="5" s="1"/>
  <c r="BP98" i="5"/>
  <c r="BP100" i="3"/>
  <c r="BQ99" i="3"/>
  <c r="BR99" i="3" s="1"/>
  <c r="BS99" i="3" s="1"/>
  <c r="BP99" i="7" l="1"/>
  <c r="BQ98" i="7"/>
  <c r="BR98" i="7" s="1"/>
  <c r="BS98" i="7" s="1"/>
  <c r="BP99" i="6"/>
  <c r="BQ98" i="6"/>
  <c r="BR98" i="6" s="1"/>
  <c r="BS98" i="6" s="1"/>
  <c r="BP99" i="5"/>
  <c r="BQ98" i="5"/>
  <c r="BR98" i="5" s="1"/>
  <c r="BS98" i="5" s="1"/>
  <c r="BP101" i="3"/>
  <c r="BQ100" i="3"/>
  <c r="BR100" i="3" s="1"/>
  <c r="BS100" i="3" s="1"/>
  <c r="BQ99" i="7" l="1"/>
  <c r="BR99" i="7" s="1"/>
  <c r="BS99" i="7" s="1"/>
  <c r="BP100" i="7"/>
  <c r="BQ99" i="6"/>
  <c r="BR99" i="6" s="1"/>
  <c r="BS99" i="6" s="1"/>
  <c r="BP100" i="6"/>
  <c r="BQ99" i="5"/>
  <c r="BR99" i="5" s="1"/>
  <c r="BS99" i="5" s="1"/>
  <c r="BP100" i="5"/>
  <c r="BP102" i="3"/>
  <c r="BQ101" i="3"/>
  <c r="BR101" i="3" s="1"/>
  <c r="BS101" i="3" s="1"/>
  <c r="BP101" i="7" l="1"/>
  <c r="BQ100" i="7"/>
  <c r="BR100" i="7" s="1"/>
  <c r="BS100" i="7" s="1"/>
  <c r="BP101" i="6"/>
  <c r="BQ100" i="6"/>
  <c r="BR100" i="6" s="1"/>
  <c r="BS100" i="6" s="1"/>
  <c r="BP101" i="5"/>
  <c r="BQ100" i="5"/>
  <c r="BR100" i="5" s="1"/>
  <c r="BS100" i="5" s="1"/>
  <c r="BP103" i="3"/>
  <c r="BQ102" i="3"/>
  <c r="BR102" i="3" s="1"/>
  <c r="BS102" i="3" s="1"/>
  <c r="BQ101" i="7" l="1"/>
  <c r="BR101" i="7" s="1"/>
  <c r="BS101" i="7" s="1"/>
  <c r="BP102" i="7"/>
  <c r="BQ101" i="6"/>
  <c r="BR101" i="6" s="1"/>
  <c r="BS101" i="6" s="1"/>
  <c r="BP102" i="6"/>
  <c r="BQ101" i="5"/>
  <c r="BR101" i="5" s="1"/>
  <c r="BS101" i="5" s="1"/>
  <c r="BP102" i="5"/>
  <c r="BP104" i="3"/>
  <c r="BQ103" i="3"/>
  <c r="BR103" i="3" s="1"/>
  <c r="BS103" i="3" s="1"/>
  <c r="BP103" i="7" l="1"/>
  <c r="BQ102" i="7"/>
  <c r="BR102" i="7" s="1"/>
  <c r="BS102" i="7" s="1"/>
  <c r="BP103" i="6"/>
  <c r="BQ102" i="6"/>
  <c r="BR102" i="6" s="1"/>
  <c r="BS102" i="6" s="1"/>
  <c r="BP103" i="5"/>
  <c r="BQ102" i="5"/>
  <c r="BR102" i="5" s="1"/>
  <c r="BS102" i="5" s="1"/>
  <c r="BP105" i="3"/>
  <c r="BQ104" i="3"/>
  <c r="BR104" i="3" s="1"/>
  <c r="BS104" i="3" s="1"/>
  <c r="BQ103" i="7" l="1"/>
  <c r="BR103" i="7" s="1"/>
  <c r="BS103" i="7" s="1"/>
  <c r="BP104" i="7"/>
  <c r="BQ103" i="6"/>
  <c r="BR103" i="6" s="1"/>
  <c r="BS103" i="6" s="1"/>
  <c r="BP104" i="6"/>
  <c r="BQ103" i="5"/>
  <c r="BR103" i="5" s="1"/>
  <c r="BS103" i="5" s="1"/>
  <c r="BP104" i="5"/>
  <c r="BP106" i="3"/>
  <c r="BQ105" i="3"/>
  <c r="BR105" i="3" s="1"/>
  <c r="BS105" i="3" s="1"/>
  <c r="BP105" i="7" l="1"/>
  <c r="BQ104" i="7"/>
  <c r="BR104" i="7" s="1"/>
  <c r="BS104" i="7" s="1"/>
  <c r="BP105" i="6"/>
  <c r="BQ104" i="6"/>
  <c r="BR104" i="6" s="1"/>
  <c r="BS104" i="6" s="1"/>
  <c r="BP105" i="5"/>
  <c r="BQ104" i="5"/>
  <c r="BR104" i="5" s="1"/>
  <c r="BS104" i="5" s="1"/>
  <c r="BP107" i="3"/>
  <c r="BQ106" i="3"/>
  <c r="BR106" i="3" s="1"/>
  <c r="BS106" i="3" s="1"/>
  <c r="BQ105" i="7" l="1"/>
  <c r="BR105" i="7" s="1"/>
  <c r="BS105" i="7" s="1"/>
  <c r="BP106" i="7"/>
  <c r="BQ105" i="6"/>
  <c r="BR105" i="6" s="1"/>
  <c r="BS105" i="6" s="1"/>
  <c r="BP106" i="6"/>
  <c r="BQ105" i="5"/>
  <c r="BR105" i="5" s="1"/>
  <c r="BS105" i="5" s="1"/>
  <c r="BP106" i="5"/>
  <c r="BP108" i="3"/>
  <c r="BQ107" i="3"/>
  <c r="BR107" i="3" s="1"/>
  <c r="BS107" i="3" s="1"/>
  <c r="BP107" i="7" l="1"/>
  <c r="BQ106" i="7"/>
  <c r="BR106" i="7" s="1"/>
  <c r="BS106" i="7" s="1"/>
  <c r="BP107" i="6"/>
  <c r="BQ106" i="6"/>
  <c r="BR106" i="6" s="1"/>
  <c r="BS106" i="6" s="1"/>
  <c r="BP107" i="5"/>
  <c r="BQ106" i="5"/>
  <c r="BR106" i="5" s="1"/>
  <c r="BS106" i="5" s="1"/>
  <c r="BP109" i="3"/>
  <c r="BQ108" i="3"/>
  <c r="BR108" i="3" s="1"/>
  <c r="BS108" i="3" s="1"/>
  <c r="BQ107" i="7" l="1"/>
  <c r="BR107" i="7" s="1"/>
  <c r="BS107" i="7" s="1"/>
  <c r="BP108" i="7"/>
  <c r="BQ107" i="6"/>
  <c r="BR107" i="6" s="1"/>
  <c r="BS107" i="6" s="1"/>
  <c r="BP108" i="6"/>
  <c r="BQ107" i="5"/>
  <c r="BR107" i="5" s="1"/>
  <c r="BS107" i="5" s="1"/>
  <c r="BP108" i="5"/>
  <c r="BP110" i="3"/>
  <c r="BQ109" i="3"/>
  <c r="BR109" i="3" s="1"/>
  <c r="BS109" i="3" s="1"/>
  <c r="BP109" i="7" l="1"/>
  <c r="BQ108" i="7"/>
  <c r="BR108" i="7" s="1"/>
  <c r="BS108" i="7" s="1"/>
  <c r="BP109" i="6"/>
  <c r="BQ108" i="6"/>
  <c r="BR108" i="6" s="1"/>
  <c r="BS108" i="6" s="1"/>
  <c r="BP109" i="5"/>
  <c r="BQ108" i="5"/>
  <c r="BR108" i="5" s="1"/>
  <c r="BS108" i="5" s="1"/>
  <c r="BP111" i="3"/>
  <c r="BQ110" i="3"/>
  <c r="BR110" i="3" s="1"/>
  <c r="BS110" i="3" s="1"/>
  <c r="BQ109" i="7" l="1"/>
  <c r="BR109" i="7" s="1"/>
  <c r="BS109" i="7" s="1"/>
  <c r="BP110" i="7"/>
  <c r="BQ109" i="6"/>
  <c r="BR109" i="6" s="1"/>
  <c r="BS109" i="6" s="1"/>
  <c r="BP110" i="6"/>
  <c r="BQ109" i="5"/>
  <c r="BR109" i="5" s="1"/>
  <c r="BS109" i="5" s="1"/>
  <c r="BP110" i="5"/>
  <c r="BP112" i="3"/>
  <c r="BQ111" i="3"/>
  <c r="BR111" i="3" s="1"/>
  <c r="BS111" i="3" s="1"/>
  <c r="BP111" i="7" l="1"/>
  <c r="BQ110" i="7"/>
  <c r="BR110" i="7" s="1"/>
  <c r="BS110" i="7" s="1"/>
  <c r="BP111" i="6"/>
  <c r="BQ110" i="6"/>
  <c r="BR110" i="6" s="1"/>
  <c r="BS110" i="6" s="1"/>
  <c r="BP111" i="5"/>
  <c r="BQ110" i="5"/>
  <c r="BR110" i="5" s="1"/>
  <c r="BS110" i="5" s="1"/>
  <c r="BP113" i="3"/>
  <c r="BQ112" i="3"/>
  <c r="BR112" i="3" s="1"/>
  <c r="BS112" i="3" s="1"/>
  <c r="BQ111" i="7" l="1"/>
  <c r="BR111" i="7" s="1"/>
  <c r="BS111" i="7" s="1"/>
  <c r="BP112" i="7"/>
  <c r="BQ111" i="6"/>
  <c r="BR111" i="6" s="1"/>
  <c r="BS111" i="6" s="1"/>
  <c r="BP112" i="6"/>
  <c r="BQ111" i="5"/>
  <c r="BR111" i="5" s="1"/>
  <c r="BS111" i="5" s="1"/>
  <c r="BP112" i="5"/>
  <c r="BP114" i="3"/>
  <c r="BQ113" i="3"/>
  <c r="BR113" i="3" s="1"/>
  <c r="BS113" i="3" s="1"/>
  <c r="BP113" i="7" l="1"/>
  <c r="BQ112" i="7"/>
  <c r="BR112" i="7" s="1"/>
  <c r="BS112" i="7" s="1"/>
  <c r="BP113" i="6"/>
  <c r="BQ112" i="6"/>
  <c r="BR112" i="6" s="1"/>
  <c r="BS112" i="6" s="1"/>
  <c r="BP113" i="5"/>
  <c r="BQ112" i="5"/>
  <c r="BR112" i="5" s="1"/>
  <c r="BS112" i="5" s="1"/>
  <c r="BP115" i="3"/>
  <c r="BQ114" i="3"/>
  <c r="BR114" i="3" s="1"/>
  <c r="BS114" i="3" s="1"/>
  <c r="BQ113" i="7" l="1"/>
  <c r="BR113" i="7" s="1"/>
  <c r="BS113" i="7" s="1"/>
  <c r="BP114" i="7"/>
  <c r="BQ113" i="6"/>
  <c r="BR113" i="6" s="1"/>
  <c r="BS113" i="6" s="1"/>
  <c r="BP114" i="6"/>
  <c r="BQ113" i="5"/>
  <c r="BR113" i="5" s="1"/>
  <c r="BS113" i="5" s="1"/>
  <c r="BP114" i="5"/>
  <c r="BP116" i="3"/>
  <c r="BQ115" i="3"/>
  <c r="BR115" i="3" s="1"/>
  <c r="BS115" i="3" s="1"/>
  <c r="BP115" i="7" l="1"/>
  <c r="BQ114" i="7"/>
  <c r="BR114" i="7" s="1"/>
  <c r="BS114" i="7" s="1"/>
  <c r="BP115" i="6"/>
  <c r="BQ114" i="6"/>
  <c r="BR114" i="6" s="1"/>
  <c r="BS114" i="6" s="1"/>
  <c r="BP115" i="5"/>
  <c r="BQ114" i="5"/>
  <c r="BR114" i="5" s="1"/>
  <c r="BS114" i="5" s="1"/>
  <c r="BP117" i="3"/>
  <c r="BQ116" i="3"/>
  <c r="BR116" i="3" s="1"/>
  <c r="BS116" i="3" s="1"/>
  <c r="BQ115" i="7" l="1"/>
  <c r="BR115" i="7" s="1"/>
  <c r="BS115" i="7" s="1"/>
  <c r="BP116" i="7"/>
  <c r="BQ115" i="6"/>
  <c r="BR115" i="6" s="1"/>
  <c r="BS115" i="6" s="1"/>
  <c r="BP116" i="6"/>
  <c r="BQ115" i="5"/>
  <c r="BR115" i="5" s="1"/>
  <c r="BS115" i="5" s="1"/>
  <c r="BP116" i="5"/>
  <c r="BP118" i="3"/>
  <c r="BQ117" i="3"/>
  <c r="BR117" i="3" s="1"/>
  <c r="BS117" i="3" s="1"/>
  <c r="BP117" i="7" l="1"/>
  <c r="BQ116" i="7"/>
  <c r="BR116" i="7" s="1"/>
  <c r="BS116" i="7" s="1"/>
  <c r="BP117" i="6"/>
  <c r="BQ116" i="6"/>
  <c r="BR116" i="6" s="1"/>
  <c r="BS116" i="6" s="1"/>
  <c r="BP117" i="5"/>
  <c r="BQ116" i="5"/>
  <c r="BR116" i="5" s="1"/>
  <c r="BS116" i="5" s="1"/>
  <c r="BP119" i="3"/>
  <c r="BQ118" i="3"/>
  <c r="BR118" i="3" s="1"/>
  <c r="BS118" i="3" s="1"/>
  <c r="BQ117" i="7" l="1"/>
  <c r="BR117" i="7" s="1"/>
  <c r="BS117" i="7" s="1"/>
  <c r="BP118" i="7"/>
  <c r="BQ117" i="6"/>
  <c r="BR117" i="6" s="1"/>
  <c r="BS117" i="6" s="1"/>
  <c r="BP118" i="6"/>
  <c r="BQ117" i="5"/>
  <c r="BR117" i="5" s="1"/>
  <c r="BS117" i="5" s="1"/>
  <c r="BP118" i="5"/>
  <c r="BP120" i="3"/>
  <c r="BQ119" i="3"/>
  <c r="BR119" i="3" s="1"/>
  <c r="BS119" i="3" s="1"/>
  <c r="BP119" i="7" l="1"/>
  <c r="BQ118" i="7"/>
  <c r="BR118" i="7" s="1"/>
  <c r="BS118" i="7" s="1"/>
  <c r="BP119" i="6"/>
  <c r="BQ118" i="6"/>
  <c r="BR118" i="6" s="1"/>
  <c r="BS118" i="6" s="1"/>
  <c r="BP119" i="5"/>
  <c r="BQ118" i="5"/>
  <c r="BR118" i="5" s="1"/>
  <c r="BS118" i="5" s="1"/>
  <c r="BP121" i="3"/>
  <c r="BQ121" i="3" s="1"/>
  <c r="BR121" i="3" s="1"/>
  <c r="BS121" i="3" s="1"/>
  <c r="BQ120" i="3"/>
  <c r="BR120" i="3" s="1"/>
  <c r="BS120" i="3" s="1"/>
  <c r="BQ119" i="7" l="1"/>
  <c r="BR119" i="7" s="1"/>
  <c r="BS119" i="7" s="1"/>
  <c r="BP120" i="7"/>
  <c r="BQ119" i="6"/>
  <c r="BR119" i="6" s="1"/>
  <c r="BS119" i="6" s="1"/>
  <c r="BP120" i="6"/>
  <c r="BQ119" i="5"/>
  <c r="BR119" i="5" s="1"/>
  <c r="BS119" i="5" s="1"/>
  <c r="BP120" i="5"/>
  <c r="BP121" i="7" l="1"/>
  <c r="BQ121" i="7" s="1"/>
  <c r="BR121" i="7" s="1"/>
  <c r="BS121" i="7" s="1"/>
  <c r="BQ120" i="7"/>
  <c r="BR120" i="7" s="1"/>
  <c r="BS120" i="7" s="1"/>
  <c r="BP121" i="6"/>
  <c r="BQ121" i="6" s="1"/>
  <c r="BR121" i="6" s="1"/>
  <c r="BS121" i="6" s="1"/>
  <c r="BQ120" i="6"/>
  <c r="BR120" i="6" s="1"/>
  <c r="BS120" i="6" s="1"/>
  <c r="BP121" i="5"/>
  <c r="BQ121" i="5" s="1"/>
  <c r="BR121" i="5" s="1"/>
  <c r="BS121" i="5" s="1"/>
  <c r="BQ120" i="5"/>
  <c r="BR120" i="5" s="1"/>
  <c r="BS120" i="5" s="1"/>
  <c r="AI5" i="1" l="1"/>
  <c r="AK5" i="1"/>
  <c r="AL5" i="1"/>
  <c r="AM5" i="1"/>
  <c r="AN5" i="1"/>
  <c r="AO5" i="1"/>
  <c r="AP5" i="1"/>
  <c r="AI6" i="1"/>
  <c r="AK6" i="1"/>
  <c r="AL6" i="1"/>
  <c r="AM6" i="1"/>
  <c r="AN6" i="1"/>
  <c r="AO6" i="1"/>
  <c r="AP6" i="1"/>
  <c r="AI7" i="1"/>
  <c r="AK7" i="1"/>
  <c r="AL7" i="1"/>
  <c r="AM7" i="1"/>
  <c r="AN7" i="1"/>
  <c r="AO7" i="1"/>
  <c r="AP7" i="1"/>
  <c r="AI8" i="1"/>
  <c r="AK8" i="1"/>
  <c r="AL8" i="1"/>
  <c r="AM8" i="1"/>
  <c r="AN8" i="1"/>
  <c r="AO8" i="1"/>
  <c r="AP8" i="1"/>
  <c r="AI9" i="1"/>
  <c r="AJ9" i="1"/>
  <c r="AK9" i="1"/>
  <c r="AL9" i="1"/>
  <c r="AM9" i="1"/>
  <c r="AN9" i="1"/>
  <c r="AO9" i="1"/>
  <c r="AP9" i="1"/>
  <c r="AI10" i="1"/>
  <c r="AJ10" i="1"/>
  <c r="AK10" i="1"/>
  <c r="AL10" i="1"/>
  <c r="AM10" i="1"/>
  <c r="AN10" i="1"/>
  <c r="AO10" i="1"/>
  <c r="AP10" i="1"/>
  <c r="AI11" i="1"/>
  <c r="AJ11" i="1"/>
  <c r="AK11" i="1"/>
  <c r="AL11" i="1"/>
  <c r="AM11" i="1"/>
  <c r="AN11" i="1"/>
  <c r="AO11" i="1"/>
  <c r="AP11" i="1"/>
  <c r="AI12" i="1"/>
  <c r="AJ12" i="1"/>
  <c r="AK12" i="1"/>
  <c r="AL12" i="1"/>
  <c r="AM12" i="1"/>
  <c r="AN12" i="1"/>
  <c r="AO12" i="1"/>
  <c r="AP12" i="1"/>
  <c r="AI13" i="1"/>
  <c r="AJ13" i="1"/>
  <c r="AK13" i="1"/>
  <c r="AL13" i="1"/>
  <c r="AM13" i="1"/>
  <c r="AN13" i="1"/>
  <c r="AO13" i="1"/>
  <c r="AP13" i="1"/>
  <c r="AI14" i="1"/>
  <c r="AJ14" i="1"/>
  <c r="AK14" i="1"/>
  <c r="AL14" i="1"/>
  <c r="AM14" i="1"/>
  <c r="AN14" i="1"/>
  <c r="AO14" i="1"/>
  <c r="AP14" i="1"/>
  <c r="AI15" i="1"/>
  <c r="AJ15" i="1"/>
  <c r="AK15" i="1"/>
  <c r="AL15" i="1"/>
  <c r="AM15" i="1"/>
  <c r="AN15" i="1"/>
  <c r="AO15" i="1"/>
  <c r="AP15" i="1"/>
  <c r="AI16" i="1"/>
  <c r="AJ16" i="1"/>
  <c r="AK16" i="1"/>
  <c r="AL16" i="1"/>
  <c r="AM16" i="1"/>
  <c r="AN16" i="1"/>
  <c r="AO16" i="1"/>
  <c r="AP16" i="1"/>
  <c r="AI17" i="1"/>
  <c r="AJ17" i="1"/>
  <c r="AK17" i="1"/>
  <c r="AL17" i="1"/>
  <c r="AM17" i="1"/>
  <c r="AN17" i="1"/>
  <c r="AO17" i="1"/>
  <c r="AP17" i="1"/>
  <c r="AI4" i="1"/>
  <c r="AK4" i="1"/>
  <c r="AL4" i="1"/>
  <c r="AM4" i="1"/>
  <c r="AN4" i="1"/>
  <c r="AO4" i="1"/>
  <c r="AP4" i="1"/>
  <c r="AI108" i="1"/>
  <c r="AJ108" i="1"/>
  <c r="AK108" i="1"/>
  <c r="AL108" i="1"/>
  <c r="AM108" i="1"/>
  <c r="AN108" i="1"/>
  <c r="AO108" i="1"/>
  <c r="AP108" i="1"/>
  <c r="AP107" i="1"/>
  <c r="AO107" i="1"/>
  <c r="AN107" i="1"/>
  <c r="AM107" i="1"/>
  <c r="AL107" i="1"/>
  <c r="AK107" i="1"/>
  <c r="AJ107" i="1"/>
  <c r="AI107" i="1"/>
  <c r="AP106" i="1"/>
  <c r="AO106" i="1"/>
  <c r="AN106" i="1"/>
  <c r="AM106" i="1"/>
  <c r="AL106" i="1"/>
  <c r="AK106" i="1"/>
  <c r="AJ106" i="1"/>
  <c r="AI106" i="1"/>
  <c r="AP105" i="1"/>
  <c r="AO105" i="1"/>
  <c r="AN105" i="1"/>
  <c r="AM105" i="1"/>
  <c r="AL105" i="1"/>
  <c r="AK105" i="1"/>
  <c r="AJ105" i="1"/>
  <c r="AI105" i="1"/>
  <c r="AP104" i="1"/>
  <c r="AO104" i="1"/>
  <c r="AN104" i="1"/>
  <c r="AM104" i="1"/>
  <c r="AL104" i="1"/>
  <c r="AK104" i="1"/>
  <c r="AJ104" i="1"/>
  <c r="AI104" i="1"/>
  <c r="AP103" i="1"/>
  <c r="AO103" i="1"/>
  <c r="AN103" i="1"/>
  <c r="AM103" i="1"/>
  <c r="AL103" i="1"/>
  <c r="AK103" i="1"/>
  <c r="AJ103" i="1"/>
  <c r="AI103" i="1"/>
  <c r="AP102" i="1"/>
  <c r="AO102" i="1"/>
  <c r="AN102" i="1"/>
  <c r="AM102" i="1"/>
  <c r="AL102" i="1"/>
  <c r="AK102" i="1"/>
  <c r="AJ102" i="1"/>
  <c r="AI102" i="1"/>
  <c r="AP101" i="1"/>
  <c r="AO101" i="1"/>
  <c r="AN101" i="1"/>
  <c r="AM101" i="1"/>
  <c r="AL101" i="1"/>
  <c r="AK101" i="1"/>
  <c r="AJ101" i="1"/>
  <c r="AI101" i="1"/>
  <c r="AP100" i="1"/>
  <c r="AO100" i="1"/>
  <c r="AN100" i="1"/>
  <c r="AM100" i="1"/>
  <c r="AL100" i="1"/>
  <c r="AK100" i="1"/>
  <c r="AJ100" i="1"/>
  <c r="AI100" i="1"/>
  <c r="AP99" i="1"/>
  <c r="AO99" i="1"/>
  <c r="AN99" i="1"/>
  <c r="AM99" i="1"/>
  <c r="AL99" i="1"/>
  <c r="AK99" i="1"/>
  <c r="AJ99" i="1"/>
  <c r="AI99" i="1"/>
  <c r="AP90" i="1"/>
  <c r="AO90" i="1"/>
  <c r="AN90" i="1"/>
  <c r="AM90" i="1"/>
  <c r="AL90" i="1"/>
  <c r="AK90" i="1"/>
  <c r="AI90" i="1"/>
  <c r="AP89" i="1"/>
  <c r="AO89" i="1"/>
  <c r="AN89" i="1"/>
  <c r="AM89" i="1"/>
  <c r="AL89" i="1"/>
  <c r="AK89" i="1"/>
  <c r="AI89" i="1"/>
  <c r="AP88" i="1"/>
  <c r="AO88" i="1"/>
  <c r="AN88" i="1"/>
  <c r="AM88" i="1"/>
  <c r="AL88" i="1"/>
  <c r="AK88" i="1"/>
  <c r="AI88" i="1"/>
  <c r="AP87" i="1"/>
  <c r="AO87" i="1"/>
  <c r="AN87" i="1"/>
  <c r="AM87" i="1"/>
  <c r="AL87" i="1"/>
  <c r="AK87" i="1"/>
  <c r="AI87" i="1"/>
  <c r="AP86" i="1"/>
  <c r="AO86" i="1"/>
  <c r="AN86" i="1"/>
  <c r="AM86" i="1"/>
  <c r="AL86" i="1"/>
  <c r="AK86" i="1"/>
  <c r="AI86" i="1"/>
  <c r="AP85" i="1"/>
  <c r="AO85" i="1"/>
  <c r="AN85" i="1"/>
  <c r="AM85" i="1"/>
  <c r="AL85" i="1"/>
  <c r="AK85" i="1"/>
  <c r="AJ85" i="1"/>
  <c r="AI85" i="1"/>
  <c r="AP84" i="1"/>
  <c r="AO84" i="1"/>
  <c r="AN84" i="1"/>
  <c r="AM84" i="1"/>
  <c r="AL84" i="1"/>
  <c r="AK84" i="1"/>
  <c r="AJ84" i="1"/>
  <c r="AI84" i="1"/>
  <c r="AP83" i="1"/>
  <c r="AO83" i="1"/>
  <c r="AN83" i="1"/>
  <c r="AM83" i="1"/>
  <c r="AL83" i="1"/>
  <c r="AK83" i="1"/>
  <c r="AJ83" i="1"/>
  <c r="AI83" i="1"/>
  <c r="AP82" i="1"/>
  <c r="AO82" i="1"/>
  <c r="AN82" i="1"/>
  <c r="AM82" i="1"/>
  <c r="AL82" i="1"/>
  <c r="AK82" i="1"/>
  <c r="AJ82" i="1"/>
  <c r="AI82" i="1"/>
  <c r="AP73" i="1"/>
  <c r="AO73" i="1"/>
  <c r="AN73" i="1"/>
  <c r="AM73" i="1"/>
  <c r="AL73" i="1"/>
  <c r="AK73" i="1"/>
  <c r="AJ73" i="1"/>
  <c r="AI73" i="1"/>
  <c r="AP72" i="1"/>
  <c r="AO72" i="1"/>
  <c r="AN72" i="1"/>
  <c r="AM72" i="1"/>
  <c r="AL72" i="1"/>
  <c r="AK72" i="1"/>
  <c r="AJ72" i="1"/>
  <c r="AI72" i="1"/>
  <c r="AP71" i="1"/>
  <c r="AO71" i="1"/>
  <c r="AN71" i="1"/>
  <c r="AM71" i="1"/>
  <c r="AL71" i="1"/>
  <c r="AK71" i="1"/>
  <c r="AJ71" i="1"/>
  <c r="AI71" i="1"/>
  <c r="AP70" i="1"/>
  <c r="AO70" i="1"/>
  <c r="AN70" i="1"/>
  <c r="AM70" i="1"/>
  <c r="AL70" i="1"/>
  <c r="AK70" i="1"/>
  <c r="AJ70" i="1"/>
  <c r="AI70" i="1"/>
  <c r="AP69" i="1"/>
  <c r="AO69" i="1"/>
  <c r="AN69" i="1"/>
  <c r="AM69" i="1"/>
  <c r="AL69" i="1"/>
  <c r="AK69" i="1"/>
  <c r="AJ69" i="1"/>
  <c r="AI69" i="1"/>
  <c r="AP68" i="1"/>
  <c r="AO68" i="1"/>
  <c r="AN68" i="1"/>
  <c r="AM68" i="1"/>
  <c r="AL68" i="1"/>
  <c r="AK68" i="1"/>
  <c r="AJ68" i="1"/>
  <c r="AI68" i="1"/>
  <c r="AP67" i="1"/>
  <c r="AO67" i="1"/>
  <c r="AN67" i="1"/>
  <c r="AM67" i="1"/>
  <c r="AL67" i="1"/>
  <c r="AK67" i="1"/>
  <c r="AJ67" i="1"/>
  <c r="AI67" i="1"/>
  <c r="AP66" i="1"/>
  <c r="AO66" i="1"/>
  <c r="AN66" i="1"/>
  <c r="AM66" i="1"/>
  <c r="AL66" i="1"/>
  <c r="AK66" i="1"/>
  <c r="AJ66" i="1"/>
  <c r="AI66" i="1"/>
  <c r="AP65" i="1"/>
  <c r="AO65" i="1"/>
  <c r="AN65" i="1"/>
  <c r="AM65" i="1"/>
  <c r="AL65" i="1"/>
  <c r="AK65" i="1"/>
  <c r="AJ65" i="1"/>
  <c r="AI65" i="1"/>
  <c r="AP64" i="1"/>
  <c r="AO64" i="1"/>
  <c r="AN64" i="1"/>
  <c r="AM64" i="1"/>
  <c r="AL64" i="1"/>
  <c r="AK64" i="1"/>
  <c r="AJ64" i="1"/>
  <c r="AI64" i="1"/>
  <c r="AP56" i="1"/>
  <c r="AO56" i="1"/>
  <c r="AN56" i="1"/>
  <c r="AM56" i="1"/>
  <c r="AL56" i="1"/>
  <c r="AK56" i="1"/>
  <c r="AJ56" i="1"/>
  <c r="AI56" i="1"/>
  <c r="AP55" i="1"/>
  <c r="AO55" i="1"/>
  <c r="AN55" i="1"/>
  <c r="AM55" i="1"/>
  <c r="AL55" i="1"/>
  <c r="AK55" i="1"/>
  <c r="AJ55" i="1"/>
  <c r="AI55" i="1"/>
  <c r="AP54" i="1"/>
  <c r="AO54" i="1"/>
  <c r="AN54" i="1"/>
  <c r="AM54" i="1"/>
  <c r="AL54" i="1"/>
  <c r="AK54" i="1"/>
  <c r="AJ54" i="1"/>
  <c r="AI54" i="1"/>
  <c r="AP53" i="1"/>
  <c r="AO53" i="1"/>
  <c r="AN53" i="1"/>
  <c r="AM53" i="1"/>
  <c r="AL53" i="1"/>
  <c r="AK53" i="1"/>
  <c r="AJ53" i="1"/>
  <c r="AI53" i="1"/>
  <c r="AP52" i="1"/>
  <c r="AO52" i="1"/>
  <c r="AN52" i="1"/>
  <c r="AM52" i="1"/>
  <c r="AL52" i="1"/>
  <c r="AK52" i="1"/>
  <c r="AJ52" i="1"/>
  <c r="AI52" i="1"/>
  <c r="AP51" i="1"/>
  <c r="AO51" i="1"/>
  <c r="AN51" i="1"/>
  <c r="AM51" i="1"/>
  <c r="AL51" i="1"/>
  <c r="AK51" i="1"/>
  <c r="AJ51" i="1"/>
  <c r="AI51" i="1"/>
  <c r="AP50" i="1"/>
  <c r="AO50" i="1"/>
  <c r="AN50" i="1"/>
  <c r="AM50" i="1"/>
  <c r="AL50" i="1"/>
  <c r="AK50" i="1"/>
  <c r="AJ50" i="1"/>
  <c r="AI50" i="1"/>
  <c r="AP49" i="1"/>
  <c r="AO49" i="1"/>
  <c r="AN49" i="1"/>
  <c r="AM49" i="1"/>
  <c r="AL49" i="1"/>
  <c r="AK49" i="1"/>
  <c r="AJ49" i="1"/>
  <c r="AI49" i="1"/>
  <c r="AP48" i="1"/>
  <c r="AO48" i="1"/>
  <c r="AN48" i="1"/>
  <c r="AM48" i="1"/>
  <c r="AL48" i="1"/>
  <c r="AK48" i="1"/>
  <c r="AJ48" i="1"/>
  <c r="AI48" i="1"/>
  <c r="AP47" i="1"/>
  <c r="AO47" i="1"/>
  <c r="AN47" i="1"/>
  <c r="AM47" i="1"/>
  <c r="AL47" i="1"/>
  <c r="AK47" i="1"/>
  <c r="AJ47" i="1"/>
  <c r="AI47" i="1"/>
  <c r="AP46" i="1"/>
  <c r="AO46" i="1"/>
  <c r="AN46" i="1"/>
  <c r="AM46" i="1"/>
  <c r="AL46" i="1"/>
  <c r="AK46" i="1"/>
  <c r="AJ46" i="1"/>
  <c r="AI46" i="1"/>
  <c r="AP37" i="1"/>
  <c r="AO37" i="1"/>
  <c r="AN37" i="1"/>
  <c r="AM37" i="1"/>
  <c r="AL37" i="1"/>
  <c r="AK37" i="1"/>
  <c r="AJ37" i="1"/>
  <c r="AI37" i="1"/>
  <c r="AP36" i="1"/>
  <c r="AO36" i="1"/>
  <c r="AN36" i="1"/>
  <c r="AM36" i="1"/>
  <c r="AL36" i="1"/>
  <c r="AK36" i="1"/>
  <c r="AJ36" i="1"/>
  <c r="AI36" i="1"/>
  <c r="AP35" i="1"/>
  <c r="AO35" i="1"/>
  <c r="AN35" i="1"/>
  <c r="AM35" i="1"/>
  <c r="AL35" i="1"/>
  <c r="AK35" i="1"/>
  <c r="AJ35" i="1"/>
  <c r="AI35" i="1"/>
  <c r="AP34" i="1"/>
  <c r="AO34" i="1"/>
  <c r="AN34" i="1"/>
  <c r="AM34" i="1"/>
  <c r="AL34" i="1"/>
  <c r="AK34" i="1"/>
  <c r="AJ34" i="1"/>
  <c r="AI34" i="1"/>
  <c r="AP33" i="1"/>
  <c r="AO33" i="1"/>
  <c r="AN33" i="1"/>
  <c r="AM33" i="1"/>
  <c r="AL33" i="1"/>
  <c r="AK33" i="1"/>
  <c r="AJ33" i="1"/>
  <c r="AI33" i="1"/>
  <c r="AP32" i="1"/>
  <c r="AO32" i="1"/>
  <c r="AN32" i="1"/>
  <c r="AM32" i="1"/>
  <c r="AL32" i="1"/>
  <c r="AK32" i="1"/>
  <c r="AJ32" i="1"/>
  <c r="AI32" i="1"/>
  <c r="AP31" i="1"/>
  <c r="AO31" i="1"/>
  <c r="AN31" i="1"/>
  <c r="AM31" i="1"/>
  <c r="AL31" i="1"/>
  <c r="AK31" i="1"/>
  <c r="AJ31" i="1"/>
  <c r="AI31" i="1"/>
  <c r="AP30" i="1"/>
  <c r="AO30" i="1"/>
  <c r="AN30" i="1"/>
  <c r="AM30" i="1"/>
  <c r="AL30" i="1"/>
  <c r="AK30" i="1"/>
  <c r="AJ30" i="1"/>
  <c r="AI30" i="1"/>
  <c r="AP29" i="1"/>
  <c r="AO29" i="1"/>
  <c r="AN29" i="1"/>
  <c r="AM29" i="1"/>
  <c r="AL29" i="1"/>
  <c r="AK29" i="1"/>
  <c r="AJ29" i="1"/>
  <c r="AI29" i="1"/>
  <c r="AP28" i="1"/>
  <c r="AO28" i="1"/>
  <c r="AN28" i="1"/>
  <c r="AM28" i="1"/>
  <c r="AL28" i="1"/>
  <c r="AK28" i="1"/>
  <c r="AJ28" i="1"/>
  <c r="AI28" i="1"/>
  <c r="AP27" i="1"/>
  <c r="AO27" i="1"/>
  <c r="AN27" i="1"/>
  <c r="AM27" i="1"/>
  <c r="AL27" i="1"/>
  <c r="AK27" i="1"/>
  <c r="AJ27" i="1"/>
  <c r="AI27" i="1"/>
  <c r="AP26" i="1"/>
  <c r="AO26" i="1"/>
  <c r="AN26" i="1"/>
  <c r="AM26" i="1"/>
  <c r="AL26" i="1"/>
  <c r="AK26" i="1"/>
  <c r="AJ26" i="1"/>
  <c r="AI26" i="1"/>
  <c r="B28" i="3" l="1"/>
  <c r="B29" i="3" s="1"/>
  <c r="B30" i="3" s="1"/>
  <c r="B25" i="3"/>
  <c r="B26" i="3" s="1"/>
  <c r="AA108" i="1"/>
  <c r="AB108" i="1"/>
  <c r="AC108" i="1"/>
  <c r="AE108" i="1"/>
  <c r="AF108" i="1"/>
  <c r="AF107" i="1"/>
  <c r="AE107" i="1"/>
  <c r="AC107" i="1"/>
  <c r="AB107" i="1"/>
  <c r="AA107" i="1"/>
  <c r="AF106" i="1"/>
  <c r="AE106" i="1"/>
  <c r="AC106" i="1"/>
  <c r="AB106" i="1"/>
  <c r="AA106" i="1"/>
  <c r="AF105" i="1"/>
  <c r="AE105" i="1"/>
  <c r="AC105" i="1"/>
  <c r="AB105" i="1"/>
  <c r="AA105" i="1"/>
  <c r="AE104" i="1"/>
  <c r="AC104" i="1"/>
  <c r="AE103" i="1"/>
  <c r="AC103" i="1"/>
  <c r="AE102" i="1"/>
  <c r="AC102" i="1"/>
  <c r="AB102" i="1"/>
  <c r="AE101" i="1"/>
  <c r="AD101" i="1"/>
  <c r="AC101" i="1"/>
  <c r="AB101" i="1"/>
  <c r="AD100" i="1"/>
  <c r="AC100" i="1"/>
  <c r="AB100" i="1"/>
  <c r="O108" i="1"/>
  <c r="Y108" i="1" s="1"/>
  <c r="P108" i="1"/>
  <c r="Z108" i="1" s="1"/>
  <c r="Q108" i="1"/>
  <c r="R108" i="1"/>
  <c r="S108" i="1"/>
  <c r="T108" i="1"/>
  <c r="AD108" i="1" s="1"/>
  <c r="U108" i="1"/>
  <c r="V108" i="1"/>
  <c r="V107" i="1"/>
  <c r="U107" i="1"/>
  <c r="T107" i="1"/>
  <c r="AD107" i="1" s="1"/>
  <c r="S107" i="1"/>
  <c r="R107" i="1"/>
  <c r="Q107" i="1"/>
  <c r="P107" i="1"/>
  <c r="Z107" i="1" s="1"/>
  <c r="O107" i="1"/>
  <c r="Y107" i="1" s="1"/>
  <c r="V106" i="1"/>
  <c r="U106" i="1"/>
  <c r="T106" i="1"/>
  <c r="AD106" i="1" s="1"/>
  <c r="S106" i="1"/>
  <c r="R106" i="1"/>
  <c r="Q106" i="1"/>
  <c r="P106" i="1"/>
  <c r="Z106" i="1" s="1"/>
  <c r="O106" i="1"/>
  <c r="Y106" i="1" s="1"/>
  <c r="V105" i="1"/>
  <c r="U105" i="1"/>
  <c r="T105" i="1"/>
  <c r="AD105" i="1" s="1"/>
  <c r="S105" i="1"/>
  <c r="R105" i="1"/>
  <c r="Q105" i="1"/>
  <c r="P105" i="1"/>
  <c r="Z105" i="1" s="1"/>
  <c r="O105" i="1"/>
  <c r="Y105" i="1" s="1"/>
  <c r="V104" i="1"/>
  <c r="AF104" i="1" s="1"/>
  <c r="U104" i="1"/>
  <c r="T104" i="1"/>
  <c r="AD104" i="1" s="1"/>
  <c r="S104" i="1"/>
  <c r="R104" i="1"/>
  <c r="AB104" i="1" s="1"/>
  <c r="Q104" i="1"/>
  <c r="AA104" i="1" s="1"/>
  <c r="P104" i="1"/>
  <c r="Z104" i="1" s="1"/>
  <c r="O104" i="1"/>
  <c r="Y104" i="1" s="1"/>
  <c r="V103" i="1"/>
  <c r="AF103" i="1" s="1"/>
  <c r="U103" i="1"/>
  <c r="T103" i="1"/>
  <c r="AD103" i="1" s="1"/>
  <c r="S103" i="1"/>
  <c r="R103" i="1"/>
  <c r="AB103" i="1" s="1"/>
  <c r="Q103" i="1"/>
  <c r="P103" i="1"/>
  <c r="O103" i="1"/>
  <c r="V102" i="1"/>
  <c r="AF102" i="1" s="1"/>
  <c r="U102" i="1"/>
  <c r="T102" i="1"/>
  <c r="AD102" i="1" s="1"/>
  <c r="S102" i="1"/>
  <c r="R102" i="1"/>
  <c r="Q102" i="1"/>
  <c r="P102" i="1"/>
  <c r="O102" i="1"/>
  <c r="V101" i="1"/>
  <c r="AF101" i="1" s="1"/>
  <c r="U101" i="1"/>
  <c r="T101" i="1"/>
  <c r="S101" i="1"/>
  <c r="R101" i="1"/>
  <c r="Q101" i="1"/>
  <c r="P101" i="1"/>
  <c r="O101" i="1"/>
  <c r="V100" i="1"/>
  <c r="AF100" i="1" s="1"/>
  <c r="U100" i="1"/>
  <c r="AE100" i="1" s="1"/>
  <c r="T100" i="1"/>
  <c r="S100" i="1"/>
  <c r="R100" i="1"/>
  <c r="Q100" i="1"/>
  <c r="P100" i="1"/>
  <c r="O100" i="1"/>
  <c r="M100" i="1"/>
  <c r="V99" i="1"/>
  <c r="U99" i="1"/>
  <c r="T99" i="1"/>
  <c r="S99" i="1"/>
  <c r="R99" i="1"/>
  <c r="Q99" i="1"/>
  <c r="P99" i="1"/>
  <c r="O99" i="1"/>
  <c r="M99" i="1"/>
  <c r="C114" i="1"/>
  <c r="D114" i="1"/>
  <c r="D113" i="1"/>
  <c r="C113" i="1"/>
  <c r="D112" i="1"/>
  <c r="C112" i="1"/>
  <c r="D111" i="1"/>
  <c r="C111" i="1"/>
  <c r="D110" i="1"/>
  <c r="N106" i="1" s="1"/>
  <c r="X106" i="1" s="1"/>
  <c r="C110" i="1"/>
  <c r="D109" i="1"/>
  <c r="C109" i="1"/>
  <c r="M108" i="1" s="1"/>
  <c r="W108" i="1" s="1"/>
  <c r="D108" i="1"/>
  <c r="N107" i="1" s="1"/>
  <c r="X107" i="1" s="1"/>
  <c r="C108" i="1"/>
  <c r="M107" i="1" s="1"/>
  <c r="W107" i="1" s="1"/>
  <c r="D107" i="1"/>
  <c r="C107" i="1"/>
  <c r="AG106" i="1" s="1"/>
  <c r="D106" i="1"/>
  <c r="AH105" i="1" s="1"/>
  <c r="C106" i="1"/>
  <c r="M105" i="1" s="1"/>
  <c r="W105" i="1" s="1"/>
  <c r="C105" i="1"/>
  <c r="D105" i="1"/>
  <c r="N104" i="1" s="1"/>
  <c r="X104" i="1" s="1"/>
  <c r="D104" i="1"/>
  <c r="C104" i="1"/>
  <c r="C103" i="1"/>
  <c r="C102" i="1"/>
  <c r="C101" i="1"/>
  <c r="C100" i="1"/>
  <c r="AG99" i="1" s="1"/>
  <c r="AF90" i="1"/>
  <c r="AE90" i="1"/>
  <c r="AC90" i="1"/>
  <c r="AB90" i="1"/>
  <c r="AF89" i="1"/>
  <c r="AE89" i="1"/>
  <c r="AC89" i="1"/>
  <c r="AB89" i="1"/>
  <c r="AF88" i="1"/>
  <c r="AE88" i="1"/>
  <c r="AC88" i="1"/>
  <c r="AB88" i="1"/>
  <c r="AE87" i="1"/>
  <c r="AC87" i="1"/>
  <c r="AE86" i="1"/>
  <c r="AD86" i="1"/>
  <c r="AC86" i="1"/>
  <c r="AE85" i="1"/>
  <c r="AD85" i="1"/>
  <c r="AC85" i="1"/>
  <c r="AB85" i="1"/>
  <c r="AE84" i="1"/>
  <c r="AD84" i="1"/>
  <c r="AC84" i="1"/>
  <c r="AB84" i="1"/>
  <c r="AE83" i="1"/>
  <c r="AD83" i="1"/>
  <c r="AC83" i="1"/>
  <c r="V90" i="1"/>
  <c r="U90" i="1"/>
  <c r="T90" i="1"/>
  <c r="AD90" i="1" s="1"/>
  <c r="S90" i="1"/>
  <c r="R90" i="1"/>
  <c r="Q90" i="1"/>
  <c r="AA90" i="1" s="1"/>
  <c r="P90" i="1"/>
  <c r="Z90" i="1" s="1"/>
  <c r="O90" i="1"/>
  <c r="Y90" i="1" s="1"/>
  <c r="V89" i="1"/>
  <c r="U89" i="1"/>
  <c r="T89" i="1"/>
  <c r="AD89" i="1" s="1"/>
  <c r="S89" i="1"/>
  <c r="R89" i="1"/>
  <c r="Q89" i="1"/>
  <c r="AA89" i="1" s="1"/>
  <c r="O89" i="1"/>
  <c r="Y89" i="1" s="1"/>
  <c r="V88" i="1"/>
  <c r="U88" i="1"/>
  <c r="T88" i="1"/>
  <c r="AD88" i="1" s="1"/>
  <c r="S88" i="1"/>
  <c r="R88" i="1"/>
  <c r="Q88" i="1"/>
  <c r="AA88" i="1" s="1"/>
  <c r="O88" i="1"/>
  <c r="Y88" i="1" s="1"/>
  <c r="V87" i="1"/>
  <c r="AF87" i="1" s="1"/>
  <c r="U87" i="1"/>
  <c r="T87" i="1"/>
  <c r="AD87" i="1" s="1"/>
  <c r="S87" i="1"/>
  <c r="R87" i="1"/>
  <c r="AB87" i="1" s="1"/>
  <c r="Q87" i="1"/>
  <c r="AA87" i="1" s="1"/>
  <c r="O87" i="1"/>
  <c r="Y87" i="1" s="1"/>
  <c r="V86" i="1"/>
  <c r="AF86" i="1" s="1"/>
  <c r="U86" i="1"/>
  <c r="T86" i="1"/>
  <c r="S86" i="1"/>
  <c r="R86" i="1"/>
  <c r="AB86" i="1" s="1"/>
  <c r="Q86" i="1"/>
  <c r="AA86" i="1" s="1"/>
  <c r="P86" i="1"/>
  <c r="Z86" i="1" s="1"/>
  <c r="O86" i="1"/>
  <c r="Y86" i="1" s="1"/>
  <c r="V85" i="1"/>
  <c r="AF85" i="1" s="1"/>
  <c r="U85" i="1"/>
  <c r="T85" i="1"/>
  <c r="S85" i="1"/>
  <c r="R85" i="1"/>
  <c r="Q85" i="1"/>
  <c r="P85" i="1"/>
  <c r="O85" i="1"/>
  <c r="V84" i="1"/>
  <c r="AF84" i="1" s="1"/>
  <c r="U84" i="1"/>
  <c r="T84" i="1"/>
  <c r="S84" i="1"/>
  <c r="R84" i="1"/>
  <c r="Q84" i="1"/>
  <c r="P84" i="1"/>
  <c r="O84" i="1"/>
  <c r="V83" i="1"/>
  <c r="AF83" i="1" s="1"/>
  <c r="U83" i="1"/>
  <c r="T83" i="1"/>
  <c r="S83" i="1"/>
  <c r="R83" i="1"/>
  <c r="AB83" i="1" s="1"/>
  <c r="Q83" i="1"/>
  <c r="P83" i="1"/>
  <c r="O83" i="1"/>
  <c r="N83" i="1"/>
  <c r="V82" i="1"/>
  <c r="U82" i="1"/>
  <c r="T82" i="1"/>
  <c r="S82" i="1"/>
  <c r="R82" i="1"/>
  <c r="Q82" i="1"/>
  <c r="P82" i="1"/>
  <c r="O82" i="1"/>
  <c r="C96" i="1"/>
  <c r="D96" i="1"/>
  <c r="C95" i="1"/>
  <c r="D95" i="1"/>
  <c r="D94" i="1"/>
  <c r="F94" i="1"/>
  <c r="C94" i="1"/>
  <c r="F93" i="1"/>
  <c r="C93" i="1" s="1"/>
  <c r="D92" i="1"/>
  <c r="F92" i="1"/>
  <c r="C91" i="1"/>
  <c r="D91" i="1"/>
  <c r="D90" i="1"/>
  <c r="C90" i="1"/>
  <c r="D89" i="1"/>
  <c r="C89" i="1"/>
  <c r="D88" i="1"/>
  <c r="C88" i="1"/>
  <c r="D87" i="1"/>
  <c r="C87" i="1"/>
  <c r="M84" i="1" s="1"/>
  <c r="W84" i="1" s="1"/>
  <c r="D86" i="1"/>
  <c r="N85" i="1" s="1"/>
  <c r="C86" i="1"/>
  <c r="D85" i="1"/>
  <c r="C85" i="1"/>
  <c r="C84" i="1"/>
  <c r="D84" i="1"/>
  <c r="C83" i="1"/>
  <c r="D83" i="1"/>
  <c r="N82" i="1" s="1"/>
  <c r="B21" i="3"/>
  <c r="B22" i="3" s="1"/>
  <c r="B23" i="3" s="1"/>
  <c r="AB66" i="1"/>
  <c r="AD66" i="1"/>
  <c r="AE66" i="1"/>
  <c r="AB67" i="1"/>
  <c r="AD67" i="1"/>
  <c r="AE67" i="1"/>
  <c r="AB68" i="1"/>
  <c r="AC68" i="1"/>
  <c r="AD68" i="1"/>
  <c r="AE68" i="1"/>
  <c r="AB69" i="1"/>
  <c r="AD69" i="1"/>
  <c r="AE69" i="1"/>
  <c r="AF69" i="1"/>
  <c r="AE70" i="1"/>
  <c r="AF70" i="1"/>
  <c r="AA71" i="1"/>
  <c r="AB71" i="1"/>
  <c r="AC71" i="1"/>
  <c r="AD71" i="1"/>
  <c r="AE71" i="1"/>
  <c r="AF71" i="1"/>
  <c r="AA72" i="1"/>
  <c r="AB72" i="1"/>
  <c r="AC72" i="1"/>
  <c r="AE72" i="1"/>
  <c r="AF72" i="1"/>
  <c r="AA73" i="1"/>
  <c r="AB73" i="1"/>
  <c r="AE73" i="1"/>
  <c r="AF73" i="1"/>
  <c r="AF65" i="1"/>
  <c r="AE65" i="1"/>
  <c r="AD65" i="1"/>
  <c r="AB65" i="1"/>
  <c r="AB76" i="1" s="1"/>
  <c r="V73" i="1"/>
  <c r="U73" i="1"/>
  <c r="T73" i="1"/>
  <c r="AD73" i="1" s="1"/>
  <c r="S73" i="1"/>
  <c r="AC73" i="1" s="1"/>
  <c r="R73" i="1"/>
  <c r="Q73" i="1"/>
  <c r="P73" i="1"/>
  <c r="Z73" i="1" s="1"/>
  <c r="O73" i="1"/>
  <c r="Y73" i="1" s="1"/>
  <c r="V72" i="1"/>
  <c r="U72" i="1"/>
  <c r="T72" i="1"/>
  <c r="AD72" i="1" s="1"/>
  <c r="S72" i="1"/>
  <c r="R72" i="1"/>
  <c r="Q72" i="1"/>
  <c r="P72" i="1"/>
  <c r="Z72" i="1" s="1"/>
  <c r="O72" i="1"/>
  <c r="Y72" i="1" s="1"/>
  <c r="V71" i="1"/>
  <c r="U71" i="1"/>
  <c r="T71" i="1"/>
  <c r="S71" i="1"/>
  <c r="R71" i="1"/>
  <c r="Q71" i="1"/>
  <c r="P71" i="1"/>
  <c r="Z71" i="1" s="1"/>
  <c r="O71" i="1"/>
  <c r="Y71" i="1" s="1"/>
  <c r="V70" i="1"/>
  <c r="U70" i="1"/>
  <c r="T70" i="1"/>
  <c r="AD70" i="1" s="1"/>
  <c r="S70" i="1"/>
  <c r="AC70" i="1" s="1"/>
  <c r="R70" i="1"/>
  <c r="AB70" i="1" s="1"/>
  <c r="Q70" i="1"/>
  <c r="AA70" i="1" s="1"/>
  <c r="P70" i="1"/>
  <c r="Z70" i="1" s="1"/>
  <c r="O70" i="1"/>
  <c r="Y70" i="1" s="1"/>
  <c r="V69" i="1"/>
  <c r="U69" i="1"/>
  <c r="T69" i="1"/>
  <c r="S69" i="1"/>
  <c r="AC69" i="1" s="1"/>
  <c r="R69" i="1"/>
  <c r="Q69" i="1"/>
  <c r="AA69" i="1" s="1"/>
  <c r="P69" i="1"/>
  <c r="Z69" i="1" s="1"/>
  <c r="O69" i="1"/>
  <c r="Y69" i="1" s="1"/>
  <c r="V68" i="1"/>
  <c r="AF68" i="1" s="1"/>
  <c r="U68" i="1"/>
  <c r="T68" i="1"/>
  <c r="S68" i="1"/>
  <c r="R68" i="1"/>
  <c r="Q68" i="1"/>
  <c r="P68" i="1"/>
  <c r="O68" i="1"/>
  <c r="V67" i="1"/>
  <c r="AF67" i="1" s="1"/>
  <c r="U67" i="1"/>
  <c r="T67" i="1"/>
  <c r="S67" i="1"/>
  <c r="AC67" i="1" s="1"/>
  <c r="R67" i="1"/>
  <c r="Q67" i="1"/>
  <c r="P67" i="1"/>
  <c r="O67" i="1"/>
  <c r="V66" i="1"/>
  <c r="AF66" i="1" s="1"/>
  <c r="U66" i="1"/>
  <c r="T66" i="1"/>
  <c r="S66" i="1"/>
  <c r="AC66" i="1" s="1"/>
  <c r="R66" i="1"/>
  <c r="Q66" i="1"/>
  <c r="P66" i="1"/>
  <c r="O66" i="1"/>
  <c r="V65" i="1"/>
  <c r="U65" i="1"/>
  <c r="T65" i="1"/>
  <c r="S65" i="1"/>
  <c r="AC65" i="1" s="1"/>
  <c r="R65" i="1"/>
  <c r="Q65" i="1"/>
  <c r="P65" i="1"/>
  <c r="O65" i="1"/>
  <c r="V64" i="1"/>
  <c r="U64" i="1"/>
  <c r="T64" i="1"/>
  <c r="S64" i="1"/>
  <c r="R64" i="1"/>
  <c r="Q64" i="1"/>
  <c r="P64" i="1"/>
  <c r="O64" i="1"/>
  <c r="D79" i="1"/>
  <c r="C79" i="1"/>
  <c r="D78" i="1"/>
  <c r="C78" i="1"/>
  <c r="D77" i="1"/>
  <c r="C77" i="1"/>
  <c r="D76" i="1"/>
  <c r="C76" i="1"/>
  <c r="C75" i="1"/>
  <c r="M73" i="1" s="1"/>
  <c r="W73" i="1" s="1"/>
  <c r="D75" i="1"/>
  <c r="N72" i="1" s="1"/>
  <c r="X72" i="1" s="1"/>
  <c r="D74" i="1"/>
  <c r="N73" i="1" s="1"/>
  <c r="X73" i="1" s="1"/>
  <c r="C74" i="1"/>
  <c r="D73" i="1"/>
  <c r="C73" i="1"/>
  <c r="C72" i="1"/>
  <c r="M71" i="1" s="1"/>
  <c r="W71" i="1" s="1"/>
  <c r="D72" i="1"/>
  <c r="C71" i="1"/>
  <c r="AG70" i="1" s="1"/>
  <c r="D71" i="1"/>
  <c r="AH70" i="1" s="1"/>
  <c r="C70" i="1"/>
  <c r="D70" i="1"/>
  <c r="N69" i="1" s="1"/>
  <c r="X69" i="1" s="1"/>
  <c r="C69" i="1"/>
  <c r="D69" i="1"/>
  <c r="C68" i="1"/>
  <c r="M67" i="1" s="1"/>
  <c r="W67" i="1" s="1"/>
  <c r="D68" i="1"/>
  <c r="C67" i="1"/>
  <c r="AG66" i="1" s="1"/>
  <c r="D67" i="1"/>
  <c r="N66" i="1" s="1"/>
  <c r="C66" i="1"/>
  <c r="D66" i="1"/>
  <c r="N64" i="1" s="1"/>
  <c r="D65" i="1"/>
  <c r="AC20" i="7" s="1"/>
  <c r="C65" i="1"/>
  <c r="AL11" i="3"/>
  <c r="AI16" i="3"/>
  <c r="B17" i="3"/>
  <c r="B18" i="3" s="1"/>
  <c r="B19" i="3" s="1"/>
  <c r="B12" i="3"/>
  <c r="B13" i="3" s="1"/>
  <c r="B14" i="3" s="1"/>
  <c r="B15" i="3" s="1"/>
  <c r="B6" i="3"/>
  <c r="AF56" i="1"/>
  <c r="AE56" i="1"/>
  <c r="AC56" i="1"/>
  <c r="AB56" i="1"/>
  <c r="AA56" i="1"/>
  <c r="AF55" i="1"/>
  <c r="AE55" i="1"/>
  <c r="AC55" i="1"/>
  <c r="AB55" i="1"/>
  <c r="AA55" i="1"/>
  <c r="AF54" i="1"/>
  <c r="AE54" i="1"/>
  <c r="AC54" i="1"/>
  <c r="AB54" i="1"/>
  <c r="AF53" i="1"/>
  <c r="AE53" i="1"/>
  <c r="AC53" i="1"/>
  <c r="AB53" i="1"/>
  <c r="AE52" i="1"/>
  <c r="AC52" i="1"/>
  <c r="AE51" i="1"/>
  <c r="AD51" i="1"/>
  <c r="AC51" i="1"/>
  <c r="AE50" i="1"/>
  <c r="AC50" i="1"/>
  <c r="AB50" i="1"/>
  <c r="AE49" i="1"/>
  <c r="AD49" i="1"/>
  <c r="AC49" i="1"/>
  <c r="AB49" i="1"/>
  <c r="AE48" i="1"/>
  <c r="AD48" i="1"/>
  <c r="AC48" i="1"/>
  <c r="AB48" i="1"/>
  <c r="AD47" i="1"/>
  <c r="AC47" i="1"/>
  <c r="U27" i="1"/>
  <c r="AE27" i="1" s="1"/>
  <c r="V27" i="1"/>
  <c r="U28" i="1"/>
  <c r="AE28" i="1" s="1"/>
  <c r="V28" i="1"/>
  <c r="AF28" i="1" s="1"/>
  <c r="U29" i="1"/>
  <c r="AE29" i="1" s="1"/>
  <c r="V29" i="1"/>
  <c r="AF29" i="1" s="1"/>
  <c r="U30" i="1"/>
  <c r="V30" i="1"/>
  <c r="AF30" i="1" s="1"/>
  <c r="U31" i="1"/>
  <c r="V31" i="1"/>
  <c r="AF31" i="1" s="1"/>
  <c r="U32" i="1"/>
  <c r="V32" i="1"/>
  <c r="U33" i="1"/>
  <c r="V33" i="1"/>
  <c r="U26" i="1"/>
  <c r="V26" i="1"/>
  <c r="O46" i="1"/>
  <c r="P46" i="1"/>
  <c r="Q46" i="1"/>
  <c r="R46" i="1"/>
  <c r="S46" i="1"/>
  <c r="T46" i="1"/>
  <c r="U46" i="1"/>
  <c r="V46" i="1"/>
  <c r="O47" i="1"/>
  <c r="P47" i="1"/>
  <c r="Q47" i="1"/>
  <c r="R47" i="1"/>
  <c r="AB47" i="1" s="1"/>
  <c r="S47" i="1"/>
  <c r="T47" i="1"/>
  <c r="U47" i="1"/>
  <c r="AE47" i="1" s="1"/>
  <c r="V47" i="1"/>
  <c r="AF47" i="1" s="1"/>
  <c r="O48" i="1"/>
  <c r="P48" i="1"/>
  <c r="Q48" i="1"/>
  <c r="R48" i="1"/>
  <c r="S48" i="1"/>
  <c r="T48" i="1"/>
  <c r="U48" i="1"/>
  <c r="V48" i="1"/>
  <c r="AF48" i="1" s="1"/>
  <c r="O49" i="1"/>
  <c r="P49" i="1"/>
  <c r="Q49" i="1"/>
  <c r="R49" i="1"/>
  <c r="S49" i="1"/>
  <c r="T49" i="1"/>
  <c r="U49" i="1"/>
  <c r="V49" i="1"/>
  <c r="AF49" i="1" s="1"/>
  <c r="O50" i="1"/>
  <c r="Y50" i="1" s="1"/>
  <c r="P50" i="1"/>
  <c r="Z50" i="1" s="1"/>
  <c r="Q50" i="1"/>
  <c r="AA50" i="1" s="1"/>
  <c r="R50" i="1"/>
  <c r="S50" i="1"/>
  <c r="T50" i="1"/>
  <c r="AD50" i="1" s="1"/>
  <c r="U50" i="1"/>
  <c r="V50" i="1"/>
  <c r="AF50" i="1" s="1"/>
  <c r="O51" i="1"/>
  <c r="Y51" i="1" s="1"/>
  <c r="P51" i="1"/>
  <c r="Z51" i="1" s="1"/>
  <c r="Q51" i="1"/>
  <c r="AA51" i="1" s="1"/>
  <c r="R51" i="1"/>
  <c r="AB51" i="1" s="1"/>
  <c r="S51" i="1"/>
  <c r="T51" i="1"/>
  <c r="U51" i="1"/>
  <c r="V51" i="1"/>
  <c r="AF51" i="1" s="1"/>
  <c r="O52" i="1"/>
  <c r="Y52" i="1" s="1"/>
  <c r="P52" i="1"/>
  <c r="Z52" i="1" s="1"/>
  <c r="Q52" i="1"/>
  <c r="AA52" i="1" s="1"/>
  <c r="R52" i="1"/>
  <c r="AB52" i="1" s="1"/>
  <c r="S52" i="1"/>
  <c r="T52" i="1"/>
  <c r="AD52" i="1" s="1"/>
  <c r="U52" i="1"/>
  <c r="V52" i="1"/>
  <c r="AF52" i="1" s="1"/>
  <c r="O53" i="1"/>
  <c r="Y53" i="1" s="1"/>
  <c r="P53" i="1"/>
  <c r="Z53" i="1" s="1"/>
  <c r="Q53" i="1"/>
  <c r="AA53" i="1" s="1"/>
  <c r="R53" i="1"/>
  <c r="S53" i="1"/>
  <c r="T53" i="1"/>
  <c r="AD53" i="1" s="1"/>
  <c r="U53" i="1"/>
  <c r="V53" i="1"/>
  <c r="V56" i="1"/>
  <c r="U56" i="1"/>
  <c r="T56" i="1"/>
  <c r="AD56" i="1" s="1"/>
  <c r="S56" i="1"/>
  <c r="R56" i="1"/>
  <c r="Q56" i="1"/>
  <c r="P56" i="1"/>
  <c r="Z56" i="1" s="1"/>
  <c r="O56" i="1"/>
  <c r="Y56" i="1" s="1"/>
  <c r="V55" i="1"/>
  <c r="U55" i="1"/>
  <c r="T55" i="1"/>
  <c r="AD55" i="1" s="1"/>
  <c r="S55" i="1"/>
  <c r="R55" i="1"/>
  <c r="Q55" i="1"/>
  <c r="P55" i="1"/>
  <c r="Z55" i="1" s="1"/>
  <c r="O55" i="1"/>
  <c r="Y55" i="1" s="1"/>
  <c r="V54" i="1"/>
  <c r="U54" i="1"/>
  <c r="T54" i="1"/>
  <c r="AD54" i="1" s="1"/>
  <c r="S54" i="1"/>
  <c r="R54" i="1"/>
  <c r="Q54" i="1"/>
  <c r="AA54" i="1" s="1"/>
  <c r="P54" i="1"/>
  <c r="Z54" i="1" s="1"/>
  <c r="O54" i="1"/>
  <c r="Y54" i="1" s="1"/>
  <c r="C61" i="1"/>
  <c r="D61" i="1"/>
  <c r="C60" i="1"/>
  <c r="D60" i="1"/>
  <c r="D59" i="1"/>
  <c r="C59" i="1"/>
  <c r="D58" i="1"/>
  <c r="C58" i="1"/>
  <c r="D57" i="1"/>
  <c r="AH56" i="1" s="1"/>
  <c r="C57" i="1"/>
  <c r="D56" i="1"/>
  <c r="C56" i="1"/>
  <c r="C55" i="1"/>
  <c r="D55" i="1"/>
  <c r="D54" i="1"/>
  <c r="C54" i="1"/>
  <c r="AG53" i="1" s="1"/>
  <c r="D53" i="1"/>
  <c r="AH52" i="1" s="1"/>
  <c r="C53" i="1"/>
  <c r="D52" i="1"/>
  <c r="C52" i="1"/>
  <c r="D51" i="1"/>
  <c r="C51" i="1"/>
  <c r="C50" i="1"/>
  <c r="D50" i="1"/>
  <c r="C49" i="1"/>
  <c r="AG48" i="1" s="1"/>
  <c r="D49" i="1"/>
  <c r="C48" i="1"/>
  <c r="D48" i="1"/>
  <c r="D47" i="1"/>
  <c r="C47" i="1"/>
  <c r="AF37" i="1"/>
  <c r="AE37" i="1"/>
  <c r="AC37" i="1"/>
  <c r="AB37" i="1"/>
  <c r="AA37" i="1"/>
  <c r="AF36" i="1"/>
  <c r="AE36" i="1"/>
  <c r="AC36" i="1"/>
  <c r="AB36" i="1"/>
  <c r="AA36" i="1"/>
  <c r="AF35" i="1"/>
  <c r="AE35" i="1"/>
  <c r="AC35" i="1"/>
  <c r="AB35" i="1"/>
  <c r="AF34" i="1"/>
  <c r="AE34" i="1"/>
  <c r="AC34" i="1"/>
  <c r="AB34" i="1"/>
  <c r="AF33" i="1"/>
  <c r="AE33" i="1"/>
  <c r="AC33" i="1"/>
  <c r="AB33" i="1"/>
  <c r="AF32" i="1"/>
  <c r="AE32" i="1"/>
  <c r="AC32" i="1"/>
  <c r="AE31" i="1"/>
  <c r="AD31" i="1"/>
  <c r="AC31" i="1"/>
  <c r="AE30" i="1"/>
  <c r="AD30" i="1"/>
  <c r="AC30" i="1"/>
  <c r="AD29" i="1"/>
  <c r="AC29" i="1"/>
  <c r="AD28" i="1"/>
  <c r="AF27" i="1"/>
  <c r="AD27" i="1"/>
  <c r="AC27" i="1"/>
  <c r="V37" i="1"/>
  <c r="U37" i="1"/>
  <c r="T37" i="1"/>
  <c r="AD37" i="1" s="1"/>
  <c r="S37" i="1"/>
  <c r="R37" i="1"/>
  <c r="Q37" i="1"/>
  <c r="P37" i="1"/>
  <c r="Z37" i="1" s="1"/>
  <c r="O37" i="1"/>
  <c r="Y37" i="1" s="1"/>
  <c r="V36" i="1"/>
  <c r="U36" i="1"/>
  <c r="T36" i="1"/>
  <c r="AD36" i="1" s="1"/>
  <c r="S36" i="1"/>
  <c r="R36" i="1"/>
  <c r="Q36" i="1"/>
  <c r="P36" i="1"/>
  <c r="Z36" i="1" s="1"/>
  <c r="O36" i="1"/>
  <c r="Y36" i="1" s="1"/>
  <c r="V35" i="1"/>
  <c r="U35" i="1"/>
  <c r="T35" i="1"/>
  <c r="AD35" i="1" s="1"/>
  <c r="S35" i="1"/>
  <c r="R35" i="1"/>
  <c r="Q35" i="1"/>
  <c r="AA35" i="1" s="1"/>
  <c r="P35" i="1"/>
  <c r="Z35" i="1" s="1"/>
  <c r="O35" i="1"/>
  <c r="Y35" i="1" s="1"/>
  <c r="V34" i="1"/>
  <c r="U34" i="1"/>
  <c r="T34" i="1"/>
  <c r="AD34" i="1" s="1"/>
  <c r="S34" i="1"/>
  <c r="R34" i="1"/>
  <c r="Q34" i="1"/>
  <c r="AA34" i="1" s="1"/>
  <c r="P34" i="1"/>
  <c r="Z34" i="1" s="1"/>
  <c r="O34" i="1"/>
  <c r="Y34" i="1" s="1"/>
  <c r="T33" i="1"/>
  <c r="AD33" i="1" s="1"/>
  <c r="S33" i="1"/>
  <c r="R33" i="1"/>
  <c r="Q33" i="1"/>
  <c r="AA33" i="1" s="1"/>
  <c r="P33" i="1"/>
  <c r="Z33" i="1" s="1"/>
  <c r="O33" i="1"/>
  <c r="Y33" i="1" s="1"/>
  <c r="T32" i="1"/>
  <c r="AD32" i="1" s="1"/>
  <c r="S32" i="1"/>
  <c r="R32" i="1"/>
  <c r="AB32" i="1" s="1"/>
  <c r="Q32" i="1"/>
  <c r="AA32" i="1" s="1"/>
  <c r="P32" i="1"/>
  <c r="Z32" i="1" s="1"/>
  <c r="O32" i="1"/>
  <c r="Y32" i="1" s="1"/>
  <c r="T31" i="1"/>
  <c r="S31" i="1"/>
  <c r="R31" i="1"/>
  <c r="AB31" i="1" s="1"/>
  <c r="Q31" i="1"/>
  <c r="P31" i="1"/>
  <c r="O31" i="1"/>
  <c r="T30" i="1"/>
  <c r="S30" i="1"/>
  <c r="R30" i="1"/>
  <c r="AB30" i="1" s="1"/>
  <c r="Q30" i="1"/>
  <c r="P30" i="1"/>
  <c r="O30" i="1"/>
  <c r="T29" i="1"/>
  <c r="S29" i="1"/>
  <c r="R29" i="1"/>
  <c r="AB29" i="1" s="1"/>
  <c r="Q29" i="1"/>
  <c r="P29" i="1"/>
  <c r="O29" i="1"/>
  <c r="T28" i="1"/>
  <c r="S28" i="1"/>
  <c r="AC28" i="1" s="1"/>
  <c r="R28" i="1"/>
  <c r="AB28" i="1" s="1"/>
  <c r="Q28" i="1"/>
  <c r="P28" i="1"/>
  <c r="O28" i="1"/>
  <c r="T27" i="1"/>
  <c r="S27" i="1"/>
  <c r="R27" i="1"/>
  <c r="AB27" i="1" s="1"/>
  <c r="Q27" i="1"/>
  <c r="P27" i="1"/>
  <c r="O27" i="1"/>
  <c r="T26" i="1"/>
  <c r="S26" i="1"/>
  <c r="R26" i="1"/>
  <c r="Q26" i="1"/>
  <c r="P26" i="1"/>
  <c r="O26" i="1"/>
  <c r="C43" i="1"/>
  <c r="D43" i="1"/>
  <c r="C42" i="1"/>
  <c r="D42" i="1"/>
  <c r="D41" i="1"/>
  <c r="C41" i="1"/>
  <c r="C40" i="1"/>
  <c r="D40" i="1"/>
  <c r="D39" i="1"/>
  <c r="C39" i="1"/>
  <c r="C38" i="1"/>
  <c r="D38" i="1"/>
  <c r="D37" i="1"/>
  <c r="AH36" i="1" s="1"/>
  <c r="C37" i="1"/>
  <c r="AG36" i="1" s="1"/>
  <c r="D36" i="1"/>
  <c r="C36" i="1"/>
  <c r="D35" i="1"/>
  <c r="C35" i="1"/>
  <c r="D34" i="1"/>
  <c r="C34" i="1"/>
  <c r="D33" i="1"/>
  <c r="AH32" i="1" s="1"/>
  <c r="C33" i="1"/>
  <c r="AG32" i="1" s="1"/>
  <c r="D32" i="1"/>
  <c r="C32" i="1"/>
  <c r="D31" i="1"/>
  <c r="C31" i="1"/>
  <c r="C30" i="1"/>
  <c r="D30" i="1"/>
  <c r="D27" i="1"/>
  <c r="C29" i="1"/>
  <c r="C28" i="1"/>
  <c r="C27" i="1"/>
  <c r="AM6" i="3"/>
  <c r="AN6" i="3"/>
  <c r="AO6" i="3"/>
  <c r="AP6" i="3"/>
  <c r="AQ6" i="3"/>
  <c r="AR6" i="3"/>
  <c r="U10" i="1"/>
  <c r="AE10" i="1" s="1"/>
  <c r="U9" i="1"/>
  <c r="AE9" i="1" s="1"/>
  <c r="D6" i="1"/>
  <c r="D10" i="1"/>
  <c r="D11" i="1"/>
  <c r="D12" i="1"/>
  <c r="AH11" i="1" s="1"/>
  <c r="D13" i="1"/>
  <c r="D14" i="1"/>
  <c r="D15" i="1"/>
  <c r="D16" i="1"/>
  <c r="D17" i="1"/>
  <c r="D18" i="1"/>
  <c r="D19" i="1"/>
  <c r="D20" i="1"/>
  <c r="D21" i="1"/>
  <c r="D22" i="1"/>
  <c r="D23" i="1"/>
  <c r="D5" i="1"/>
  <c r="AB12" i="1"/>
  <c r="AB11" i="1"/>
  <c r="AA15" i="1"/>
  <c r="AA14" i="1"/>
  <c r="AA16" i="1"/>
  <c r="AB16" i="1"/>
  <c r="AC16" i="1"/>
  <c r="AE16" i="1"/>
  <c r="AA17" i="1"/>
  <c r="AB17" i="1"/>
  <c r="AC17" i="1"/>
  <c r="AE17" i="1"/>
  <c r="O16" i="1"/>
  <c r="Y16" i="1" s="1"/>
  <c r="P16" i="1"/>
  <c r="Z16" i="1" s="1"/>
  <c r="Q16" i="1"/>
  <c r="R16" i="1"/>
  <c r="S16" i="1"/>
  <c r="T16" i="1"/>
  <c r="U16" i="1"/>
  <c r="V16" i="1"/>
  <c r="AF16" i="1" s="1"/>
  <c r="O17" i="1"/>
  <c r="P17" i="1"/>
  <c r="Z17" i="1" s="1"/>
  <c r="Q17" i="1"/>
  <c r="R17" i="1"/>
  <c r="S17" i="1"/>
  <c r="T17" i="1"/>
  <c r="AD17" i="1" s="1"/>
  <c r="U17" i="1"/>
  <c r="V17" i="1"/>
  <c r="AF17" i="1" s="1"/>
  <c r="O4" i="1"/>
  <c r="Q4" i="1"/>
  <c r="R4" i="1"/>
  <c r="S4" i="1"/>
  <c r="T4" i="1"/>
  <c r="AC6" i="1"/>
  <c r="AD6" i="1"/>
  <c r="AF6" i="1"/>
  <c r="AD7" i="1"/>
  <c r="AF7" i="1"/>
  <c r="AC8" i="1"/>
  <c r="AD8" i="1"/>
  <c r="AF8" i="1"/>
  <c r="AC9" i="1"/>
  <c r="AF9" i="1"/>
  <c r="AC10" i="1"/>
  <c r="AF10" i="1"/>
  <c r="AC11" i="1"/>
  <c r="AE11" i="1"/>
  <c r="AF11" i="1"/>
  <c r="AC12" i="1"/>
  <c r="AE12" i="1"/>
  <c r="AF12" i="1"/>
  <c r="AB13" i="1"/>
  <c r="AC13" i="1"/>
  <c r="AE13" i="1"/>
  <c r="AF13" i="1"/>
  <c r="AB14" i="1"/>
  <c r="AC14" i="1"/>
  <c r="AE14" i="1"/>
  <c r="AF14" i="1"/>
  <c r="AB15" i="1"/>
  <c r="AC15" i="1"/>
  <c r="AE15" i="1"/>
  <c r="AF15" i="1"/>
  <c r="AD5" i="1"/>
  <c r="AE5" i="1"/>
  <c r="AF5" i="1"/>
  <c r="O6" i="1"/>
  <c r="Q6" i="1"/>
  <c r="R6" i="1"/>
  <c r="AB6" i="1" s="1"/>
  <c r="S6" i="1"/>
  <c r="T6" i="1"/>
  <c r="U6" i="1"/>
  <c r="AE6" i="1" s="1"/>
  <c r="O7" i="1"/>
  <c r="Q7" i="1"/>
  <c r="R7" i="1"/>
  <c r="AB7" i="1" s="1"/>
  <c r="S7" i="1"/>
  <c r="AC7" i="1" s="1"/>
  <c r="T7" i="1"/>
  <c r="U7" i="1"/>
  <c r="AE7" i="1" s="1"/>
  <c r="O8" i="1"/>
  <c r="Q8" i="1"/>
  <c r="R8" i="1"/>
  <c r="AB8" i="1" s="1"/>
  <c r="S8" i="1"/>
  <c r="T8" i="1"/>
  <c r="U8" i="1"/>
  <c r="AE8" i="1" s="1"/>
  <c r="O9" i="1"/>
  <c r="P9" i="1"/>
  <c r="Q9" i="1"/>
  <c r="R9" i="1"/>
  <c r="AB9" i="1" s="1"/>
  <c r="S9" i="1"/>
  <c r="T9" i="1"/>
  <c r="AD9" i="1" s="1"/>
  <c r="O10" i="1"/>
  <c r="P10" i="1"/>
  <c r="Q10" i="1"/>
  <c r="R10" i="1"/>
  <c r="AB10" i="1" s="1"/>
  <c r="S10" i="1"/>
  <c r="T10" i="1"/>
  <c r="AD10" i="1" s="1"/>
  <c r="O11" i="1"/>
  <c r="Y11" i="1" s="1"/>
  <c r="P11" i="1"/>
  <c r="Z11" i="1" s="1"/>
  <c r="Q11" i="1"/>
  <c r="AA11" i="1" s="1"/>
  <c r="R11" i="1"/>
  <c r="S11" i="1"/>
  <c r="T11" i="1"/>
  <c r="AD11" i="1" s="1"/>
  <c r="U11" i="1"/>
  <c r="V11" i="1"/>
  <c r="O12" i="1"/>
  <c r="Y12" i="1" s="1"/>
  <c r="P12" i="1"/>
  <c r="Z12" i="1" s="1"/>
  <c r="Q12" i="1"/>
  <c r="AA12" i="1" s="1"/>
  <c r="R12" i="1"/>
  <c r="S12" i="1"/>
  <c r="T12" i="1"/>
  <c r="AD12" i="1" s="1"/>
  <c r="U12" i="1"/>
  <c r="V12" i="1"/>
  <c r="O13" i="1"/>
  <c r="Y13" i="1" s="1"/>
  <c r="P13" i="1"/>
  <c r="Z13" i="1" s="1"/>
  <c r="Q13" i="1"/>
  <c r="AA13" i="1" s="1"/>
  <c r="R13" i="1"/>
  <c r="S13" i="1"/>
  <c r="T13" i="1"/>
  <c r="AD13" i="1" s="1"/>
  <c r="U13" i="1"/>
  <c r="V13" i="1"/>
  <c r="O14" i="1"/>
  <c r="Y14" i="1" s="1"/>
  <c r="P14" i="1"/>
  <c r="Z14" i="1" s="1"/>
  <c r="Q14" i="1"/>
  <c r="R14" i="1"/>
  <c r="S14" i="1"/>
  <c r="T14" i="1"/>
  <c r="AD14" i="1" s="1"/>
  <c r="U14" i="1"/>
  <c r="V14" i="1"/>
  <c r="O15" i="1"/>
  <c r="Y15" i="1" s="1"/>
  <c r="P15" i="1"/>
  <c r="Z15" i="1" s="1"/>
  <c r="Q15" i="1"/>
  <c r="R15" i="1"/>
  <c r="S15" i="1"/>
  <c r="T15" i="1"/>
  <c r="AD15" i="1" s="1"/>
  <c r="U15" i="1"/>
  <c r="V15" i="1"/>
  <c r="O5" i="1"/>
  <c r="Q5" i="1"/>
  <c r="R5" i="1"/>
  <c r="AB5" i="1" s="1"/>
  <c r="S5" i="1"/>
  <c r="AC5" i="1" s="1"/>
  <c r="T5" i="1"/>
  <c r="U5" i="1"/>
  <c r="C21" i="8" l="1"/>
  <c r="AE21" i="8" s="1"/>
  <c r="C26" i="8"/>
  <c r="AE26" i="8" s="1"/>
  <c r="C24" i="8"/>
  <c r="AE24" i="8" s="1"/>
  <c r="AP20" i="7"/>
  <c r="AQ20" i="7"/>
  <c r="AR20" i="7"/>
  <c r="AM20" i="7"/>
  <c r="AN20" i="7"/>
  <c r="AO20" i="7"/>
  <c r="N68" i="1"/>
  <c r="AC27" i="7"/>
  <c r="AH99" i="1"/>
  <c r="M69" i="1"/>
  <c r="W69" i="1" s="1"/>
  <c r="AG82" i="1"/>
  <c r="AH86" i="1"/>
  <c r="E30" i="7"/>
  <c r="G30" i="7"/>
  <c r="H30" i="7"/>
  <c r="J30" i="7"/>
  <c r="D30" i="7"/>
  <c r="F30" i="7"/>
  <c r="I30" i="7"/>
  <c r="AH103" i="1"/>
  <c r="M103" i="1"/>
  <c r="W103" i="1" s="1"/>
  <c r="AH17" i="1"/>
  <c r="AC10" i="7"/>
  <c r="H9" i="7"/>
  <c r="E9" i="7"/>
  <c r="I9" i="7"/>
  <c r="F9" i="7"/>
  <c r="G9" i="7"/>
  <c r="J9" i="7"/>
  <c r="D9" i="7"/>
  <c r="AH9" i="1"/>
  <c r="AC14" i="7"/>
  <c r="I13" i="7"/>
  <c r="G13" i="7"/>
  <c r="F13" i="7"/>
  <c r="J13" i="7"/>
  <c r="E13" i="7"/>
  <c r="D13" i="7"/>
  <c r="H13" i="7"/>
  <c r="AH29" i="1"/>
  <c r="AG33" i="1"/>
  <c r="AH37" i="1"/>
  <c r="AG49" i="1"/>
  <c r="AH53" i="1"/>
  <c r="AC23" i="7"/>
  <c r="I22" i="7"/>
  <c r="E22" i="7"/>
  <c r="H22" i="7"/>
  <c r="D22" i="7"/>
  <c r="G22" i="7"/>
  <c r="F22" i="7"/>
  <c r="J22" i="7"/>
  <c r="AH67" i="1"/>
  <c r="AH71" i="1"/>
  <c r="I24" i="7"/>
  <c r="J24" i="7"/>
  <c r="D24" i="7"/>
  <c r="E24" i="7"/>
  <c r="AC25" i="7"/>
  <c r="F24" i="7"/>
  <c r="G24" i="7"/>
  <c r="H24" i="7"/>
  <c r="AH83" i="1"/>
  <c r="AG87" i="1"/>
  <c r="AJ89" i="1"/>
  <c r="AJ87" i="1"/>
  <c r="AJ88" i="1"/>
  <c r="AJ90" i="1"/>
  <c r="AJ86" i="1"/>
  <c r="N84" i="1"/>
  <c r="P87" i="1"/>
  <c r="Z87" i="1" s="1"/>
  <c r="AC30" i="7"/>
  <c r="J29" i="7"/>
  <c r="H29" i="7"/>
  <c r="E29" i="7"/>
  <c r="G29" i="7"/>
  <c r="F29" i="7"/>
  <c r="I29" i="7"/>
  <c r="D29" i="7"/>
  <c r="AH102" i="1"/>
  <c r="AH106" i="1"/>
  <c r="N99" i="1"/>
  <c r="N103" i="1"/>
  <c r="AG29" i="1"/>
  <c r="AC5" i="7"/>
  <c r="AH15" i="1"/>
  <c r="AG26" i="1"/>
  <c r="AG30" i="1"/>
  <c r="AG34" i="1"/>
  <c r="N46" i="1"/>
  <c r="C16" i="9" s="1"/>
  <c r="AE16" i="9" s="1"/>
  <c r="AC16" i="7"/>
  <c r="AH46" i="1"/>
  <c r="N50" i="1"/>
  <c r="X50" i="1" s="1"/>
  <c r="D19" i="7"/>
  <c r="F19" i="7"/>
  <c r="H19" i="7"/>
  <c r="E19" i="7"/>
  <c r="J19" i="7"/>
  <c r="G19" i="7"/>
  <c r="I19" i="7"/>
  <c r="AH50" i="1"/>
  <c r="AG54" i="1"/>
  <c r="I23" i="7"/>
  <c r="D23" i="7"/>
  <c r="F23" i="7"/>
  <c r="G23" i="7"/>
  <c r="E23" i="7"/>
  <c r="H23" i="7"/>
  <c r="AJ23" i="7" s="1"/>
  <c r="J23" i="7"/>
  <c r="AL23" i="7" s="1"/>
  <c r="AH68" i="1"/>
  <c r="AG72" i="1"/>
  <c r="N70" i="1"/>
  <c r="X70" i="1" s="1"/>
  <c r="AG84" i="1"/>
  <c r="C92" i="1"/>
  <c r="AG90" i="1" s="1"/>
  <c r="P88" i="1"/>
  <c r="Z88" i="1" s="1"/>
  <c r="AG100" i="1"/>
  <c r="F27" i="7"/>
  <c r="AH27" i="7" s="1"/>
  <c r="AC28" i="7"/>
  <c r="G27" i="7"/>
  <c r="AI27" i="7" s="1"/>
  <c r="H27" i="7"/>
  <c r="J27" i="7"/>
  <c r="D27" i="7"/>
  <c r="E27" i="7"/>
  <c r="I27" i="7"/>
  <c r="AK27" i="7" s="1"/>
  <c r="AH100" i="1"/>
  <c r="AH107" i="1"/>
  <c r="N100" i="1"/>
  <c r="AC22" i="7"/>
  <c r="D21" i="7"/>
  <c r="H21" i="7"/>
  <c r="I21" i="7"/>
  <c r="E21" i="7"/>
  <c r="J21" i="7"/>
  <c r="G21" i="7"/>
  <c r="F21" i="7"/>
  <c r="AH66" i="1"/>
  <c r="AG86" i="1"/>
  <c r="N102" i="1"/>
  <c r="J10" i="7"/>
  <c r="D10" i="7"/>
  <c r="F10" i="7"/>
  <c r="AH10" i="7" s="1"/>
  <c r="G10" i="7"/>
  <c r="I10" i="7"/>
  <c r="AK10" i="7" s="1"/>
  <c r="H10" i="7"/>
  <c r="E10" i="7"/>
  <c r="AH10" i="1"/>
  <c r="AC12" i="7"/>
  <c r="F11" i="7"/>
  <c r="G11" i="7"/>
  <c r="H11" i="7"/>
  <c r="J11" i="7"/>
  <c r="D11" i="7"/>
  <c r="I11" i="7"/>
  <c r="E11" i="7"/>
  <c r="AH27" i="1"/>
  <c r="AC19" i="7"/>
  <c r="E18" i="7"/>
  <c r="I18" i="7"/>
  <c r="G18" i="7"/>
  <c r="J18" i="7"/>
  <c r="F18" i="7"/>
  <c r="D18" i="7"/>
  <c r="H18" i="7"/>
  <c r="AH49" i="1"/>
  <c r="AH16" i="1"/>
  <c r="AH33" i="1"/>
  <c r="AG50" i="1"/>
  <c r="AC29" i="7"/>
  <c r="E28" i="7"/>
  <c r="I28" i="7"/>
  <c r="J28" i="7"/>
  <c r="H28" i="7"/>
  <c r="F28" i="7"/>
  <c r="D28" i="7"/>
  <c r="G28" i="7"/>
  <c r="AH101" i="1"/>
  <c r="M104" i="1"/>
  <c r="W104" i="1" s="1"/>
  <c r="N108" i="1"/>
  <c r="X108" i="1" s="1"/>
  <c r="AH14" i="1"/>
  <c r="AG27" i="1"/>
  <c r="AC15" i="7"/>
  <c r="E14" i="7"/>
  <c r="AG14" i="7" s="1"/>
  <c r="H14" i="7"/>
  <c r="G14" i="7"/>
  <c r="J14" i="7"/>
  <c r="D14" i="7"/>
  <c r="I14" i="7"/>
  <c r="AK14" i="7" s="1"/>
  <c r="F14" i="7"/>
  <c r="AH14" i="7" s="1"/>
  <c r="AH30" i="1"/>
  <c r="AH34" i="1"/>
  <c r="N47" i="1"/>
  <c r="C17" i="9" s="1"/>
  <c r="AE17" i="9" s="1"/>
  <c r="I16" i="7"/>
  <c r="AK16" i="7" s="1"/>
  <c r="J16" i="7"/>
  <c r="AL16" i="7" s="1"/>
  <c r="D16" i="7"/>
  <c r="AC17" i="7"/>
  <c r="E16" i="7"/>
  <c r="AG16" i="7" s="1"/>
  <c r="F16" i="7"/>
  <c r="AH16" i="7" s="1"/>
  <c r="G16" i="7"/>
  <c r="AI16" i="7" s="1"/>
  <c r="H16" i="7"/>
  <c r="AJ16" i="7" s="1"/>
  <c r="AH47" i="1"/>
  <c r="AG51" i="1"/>
  <c r="AG55" i="1"/>
  <c r="F28" i="3"/>
  <c r="AH28" i="3" s="1"/>
  <c r="J25" i="3"/>
  <c r="E21" i="3"/>
  <c r="AG21" i="3" s="1"/>
  <c r="I17" i="3"/>
  <c r="H12" i="3"/>
  <c r="AJ12" i="3" s="1"/>
  <c r="G28" i="3"/>
  <c r="AI28" i="3" s="1"/>
  <c r="F21" i="3"/>
  <c r="AH21" i="3" s="1"/>
  <c r="I28" i="3"/>
  <c r="E25" i="3"/>
  <c r="AG25" i="3" s="1"/>
  <c r="H21" i="3"/>
  <c r="AJ21" i="3" s="1"/>
  <c r="D17" i="3"/>
  <c r="AF17" i="3" s="1"/>
  <c r="D28" i="3"/>
  <c r="AF28" i="3" s="1"/>
  <c r="H25" i="3"/>
  <c r="AJ25" i="3" s="1"/>
  <c r="G17" i="3"/>
  <c r="AI17" i="3" s="1"/>
  <c r="F12" i="3"/>
  <c r="AH12" i="3" s="1"/>
  <c r="E28" i="3"/>
  <c r="AG28" i="3" s="1"/>
  <c r="D21" i="3"/>
  <c r="AF21" i="3" s="1"/>
  <c r="H28" i="3"/>
  <c r="AJ28" i="3" s="1"/>
  <c r="D25" i="3"/>
  <c r="AF25" i="3" s="1"/>
  <c r="G21" i="3"/>
  <c r="AI21" i="3" s="1"/>
  <c r="E17" i="3"/>
  <c r="AG17" i="3" s="1"/>
  <c r="J28" i="3"/>
  <c r="F25" i="3"/>
  <c r="AH25" i="3" s="1"/>
  <c r="I21" i="3"/>
  <c r="F17" i="3"/>
  <c r="AH17" i="3" s="1"/>
  <c r="D12" i="3"/>
  <c r="AF12" i="3" s="1"/>
  <c r="I25" i="3"/>
  <c r="J17" i="3"/>
  <c r="G12" i="3"/>
  <c r="AI12" i="3" s="1"/>
  <c r="I12" i="3"/>
  <c r="J21" i="3"/>
  <c r="H17" i="3"/>
  <c r="AJ17" i="3" s="1"/>
  <c r="E12" i="3"/>
  <c r="AG12" i="3" s="1"/>
  <c r="J12" i="3"/>
  <c r="G25" i="3"/>
  <c r="AI25" i="3" s="1"/>
  <c r="AG68" i="1"/>
  <c r="AH72" i="1"/>
  <c r="AC26" i="7"/>
  <c r="E25" i="7"/>
  <c r="AG25" i="7" s="1"/>
  <c r="I25" i="7"/>
  <c r="AK25" i="7" s="1"/>
  <c r="D25" i="7"/>
  <c r="H25" i="7"/>
  <c r="AJ25" i="7" s="1"/>
  <c r="F25" i="7"/>
  <c r="AH25" i="7" s="1"/>
  <c r="J25" i="7"/>
  <c r="AL25" i="7" s="1"/>
  <c r="G25" i="7"/>
  <c r="AI25" i="7" s="1"/>
  <c r="AH84" i="1"/>
  <c r="M82" i="1"/>
  <c r="M86" i="1"/>
  <c r="W86" i="1" s="1"/>
  <c r="M90" i="1"/>
  <c r="W90" i="1" s="1"/>
  <c r="AG101" i="1"/>
  <c r="AH104" i="1"/>
  <c r="AG108" i="1"/>
  <c r="M101" i="1"/>
  <c r="W101" i="1" s="1"/>
  <c r="AC13" i="7"/>
  <c r="D12" i="7"/>
  <c r="H12" i="7"/>
  <c r="AJ12" i="7" s="1"/>
  <c r="G12" i="7"/>
  <c r="AI12" i="7" s="1"/>
  <c r="J12" i="7"/>
  <c r="F12" i="7"/>
  <c r="AH12" i="7" s="1"/>
  <c r="I12" i="7"/>
  <c r="E12" i="7"/>
  <c r="AH28" i="1"/>
  <c r="AC6" i="7"/>
  <c r="D5" i="7"/>
  <c r="AG46" i="1"/>
  <c r="AG67" i="1"/>
  <c r="M66" i="1"/>
  <c r="W66" i="1" s="1"/>
  <c r="AG83" i="1"/>
  <c r="M85" i="1"/>
  <c r="W85" i="1" s="1"/>
  <c r="M89" i="1"/>
  <c r="W89" i="1" s="1"/>
  <c r="AG107" i="1"/>
  <c r="W100" i="1"/>
  <c r="AH13" i="1"/>
  <c r="M28" i="1"/>
  <c r="W28" i="1" s="1"/>
  <c r="AG28" i="1"/>
  <c r="M31" i="1"/>
  <c r="W31" i="1" s="1"/>
  <c r="AG31" i="1"/>
  <c r="M35" i="1"/>
  <c r="W35" i="1" s="1"/>
  <c r="AG35" i="1"/>
  <c r="AG47" i="1"/>
  <c r="AH51" i="1"/>
  <c r="AH55" i="1"/>
  <c r="N65" i="1"/>
  <c r="AC21" i="7"/>
  <c r="E20" i="7"/>
  <c r="AG20" i="7" s="1"/>
  <c r="F20" i="7"/>
  <c r="AH20" i="7" s="1"/>
  <c r="G20" i="7"/>
  <c r="AI20" i="7" s="1"/>
  <c r="I20" i="7"/>
  <c r="AK20" i="7" s="1"/>
  <c r="J20" i="7"/>
  <c r="AL20" i="7" s="1"/>
  <c r="D20" i="7"/>
  <c r="H20" i="7"/>
  <c r="AJ20" i="7" s="1"/>
  <c r="AH69" i="1"/>
  <c r="AG73" i="1"/>
  <c r="N67" i="1"/>
  <c r="N71" i="1"/>
  <c r="X71" i="1" s="1"/>
  <c r="AB75" i="1" a="1"/>
  <c r="AB75" i="1" s="1"/>
  <c r="AG85" i="1"/>
  <c r="AG89" i="1"/>
  <c r="N86" i="1"/>
  <c r="X86" i="1" s="1"/>
  <c r="P89" i="1"/>
  <c r="Z89" i="1" s="1"/>
  <c r="AG102" i="1"/>
  <c r="AG104" i="1"/>
  <c r="AH108" i="1"/>
  <c r="N101" i="1"/>
  <c r="N105" i="1"/>
  <c r="X105" i="1" s="1"/>
  <c r="AC24" i="7"/>
  <c r="AH82" i="1"/>
  <c r="AG37" i="1"/>
  <c r="AH54" i="1"/>
  <c r="AG71" i="1"/>
  <c r="M70" i="1"/>
  <c r="W70" i="1" s="1"/>
  <c r="AH12" i="1"/>
  <c r="N26" i="1"/>
  <c r="AC11" i="7"/>
  <c r="AH26" i="1"/>
  <c r="H15" i="7"/>
  <c r="I15" i="7"/>
  <c r="D15" i="7"/>
  <c r="J15" i="7"/>
  <c r="AL15" i="7" s="1"/>
  <c r="E15" i="7"/>
  <c r="AG15" i="7" s="1"/>
  <c r="G15" i="7"/>
  <c r="AI15" i="7" s="1"/>
  <c r="F15" i="7"/>
  <c r="AH15" i="7" s="1"/>
  <c r="AH31" i="1"/>
  <c r="AH35" i="1"/>
  <c r="AC18" i="7"/>
  <c r="D17" i="7"/>
  <c r="H17" i="7"/>
  <c r="AJ17" i="7" s="1"/>
  <c r="G17" i="7"/>
  <c r="AI17" i="7" s="1"/>
  <c r="E17" i="7"/>
  <c r="I17" i="7"/>
  <c r="AK17" i="7" s="1"/>
  <c r="F17" i="7"/>
  <c r="J17" i="7"/>
  <c r="AH48" i="1"/>
  <c r="AG52" i="1"/>
  <c r="AG56" i="1"/>
  <c r="M65" i="1"/>
  <c r="W65" i="1" s="1"/>
  <c r="AG69" i="1"/>
  <c r="AH73" i="1"/>
  <c r="M68" i="1"/>
  <c r="W68" i="1" s="1"/>
  <c r="M72" i="1"/>
  <c r="W72" i="1" s="1"/>
  <c r="F26" i="7"/>
  <c r="AH26" i="7" s="1"/>
  <c r="I26" i="7"/>
  <c r="AK26" i="7" s="1"/>
  <c r="D26" i="7"/>
  <c r="J26" i="7"/>
  <c r="AL26" i="7" s="1"/>
  <c r="G26" i="7"/>
  <c r="AI26" i="7" s="1"/>
  <c r="E26" i="7"/>
  <c r="AG26" i="7" s="1"/>
  <c r="H26" i="7"/>
  <c r="AJ26" i="7" s="1"/>
  <c r="AH85" i="1"/>
  <c r="M83" i="1"/>
  <c r="W83" i="1" s="1"/>
  <c r="M87" i="1"/>
  <c r="W87" i="1" s="1"/>
  <c r="AG103" i="1"/>
  <c r="AG105" i="1"/>
  <c r="M102" i="1"/>
  <c r="W102" i="1" s="1"/>
  <c r="M106" i="1"/>
  <c r="W106" i="1" s="1"/>
  <c r="X85" i="1"/>
  <c r="C26" i="7"/>
  <c r="AE26" i="7" s="1"/>
  <c r="X83" i="1"/>
  <c r="C24" i="7"/>
  <c r="X66" i="1"/>
  <c r="C21" i="7"/>
  <c r="AE21" i="7" s="1"/>
  <c r="C16" i="6"/>
  <c r="AE16" i="6" s="1"/>
  <c r="AA101" i="1"/>
  <c r="C28" i="6"/>
  <c r="AE28" i="6" s="1"/>
  <c r="AA103" i="1"/>
  <c r="AA102" i="1"/>
  <c r="C29" i="6"/>
  <c r="AE29" i="6" s="1"/>
  <c r="AA100" i="1"/>
  <c r="C27" i="6"/>
  <c r="AE27" i="6" s="1"/>
  <c r="AA84" i="1"/>
  <c r="C25" i="6"/>
  <c r="AE25" i="6" s="1"/>
  <c r="AA85" i="1"/>
  <c r="C26" i="6"/>
  <c r="AE26" i="6" s="1"/>
  <c r="AA83" i="1"/>
  <c r="C24" i="6"/>
  <c r="AE24" i="6" s="1"/>
  <c r="AA68" i="1"/>
  <c r="C23" i="6"/>
  <c r="AE23" i="6" s="1"/>
  <c r="AA67" i="1"/>
  <c r="C22" i="6"/>
  <c r="AE22" i="6" s="1"/>
  <c r="AA66" i="1"/>
  <c r="C21" i="6"/>
  <c r="AE21" i="6" s="1"/>
  <c r="AA65" i="1"/>
  <c r="C20" i="6"/>
  <c r="AE20" i="6" s="1"/>
  <c r="AA49" i="1"/>
  <c r="C19" i="6"/>
  <c r="AE19" i="6" s="1"/>
  <c r="AA48" i="1"/>
  <c r="C18" i="6"/>
  <c r="AE18" i="6" s="1"/>
  <c r="AA47" i="1"/>
  <c r="C17" i="6"/>
  <c r="AE17" i="6" s="1"/>
  <c r="AA29" i="1"/>
  <c r="C13" i="6"/>
  <c r="AE13" i="6" s="1"/>
  <c r="AA28" i="1"/>
  <c r="C12" i="6"/>
  <c r="AE12" i="6" s="1"/>
  <c r="AA31" i="1"/>
  <c r="C15" i="6"/>
  <c r="AE15" i="6" s="1"/>
  <c r="AA30" i="1"/>
  <c r="C14" i="6"/>
  <c r="AE14" i="6" s="1"/>
  <c r="AA27" i="1"/>
  <c r="C11" i="6"/>
  <c r="AE11" i="6" s="1"/>
  <c r="AA7" i="1"/>
  <c r="C7" i="6"/>
  <c r="AA8" i="1"/>
  <c r="C8" i="6"/>
  <c r="AA9" i="1"/>
  <c r="C9" i="6"/>
  <c r="AE9" i="6" s="1"/>
  <c r="AA10" i="1"/>
  <c r="C10" i="6"/>
  <c r="AE10" i="6" s="1"/>
  <c r="AA6" i="1"/>
  <c r="C6" i="6"/>
  <c r="AA5" i="1"/>
  <c r="C5" i="6"/>
  <c r="C9" i="3"/>
  <c r="C16" i="3"/>
  <c r="AE16" i="3" s="1"/>
  <c r="M64" i="1"/>
  <c r="AH65" i="1"/>
  <c r="AH64" i="1"/>
  <c r="AG65" i="1"/>
  <c r="AG64" i="1"/>
  <c r="Z101" i="1"/>
  <c r="C28" i="3"/>
  <c r="AE28" i="3" s="1"/>
  <c r="Z102" i="1"/>
  <c r="C29" i="3"/>
  <c r="AE29" i="3" s="1"/>
  <c r="Z103" i="1"/>
  <c r="C30" i="3"/>
  <c r="AE30" i="3" s="1"/>
  <c r="Z100" i="1"/>
  <c r="C27" i="3"/>
  <c r="AE27" i="3" s="1"/>
  <c r="Z84" i="1"/>
  <c r="C25" i="3"/>
  <c r="AE25" i="3" s="1"/>
  <c r="Z85" i="1"/>
  <c r="C26" i="3"/>
  <c r="AE26" i="3" s="1"/>
  <c r="Z83" i="1"/>
  <c r="C24" i="3"/>
  <c r="AE24" i="3" s="1"/>
  <c r="Z66" i="1"/>
  <c r="C21" i="3"/>
  <c r="AE21" i="3" s="1"/>
  <c r="Z67" i="1"/>
  <c r="C22" i="3"/>
  <c r="AE22" i="3" s="1"/>
  <c r="Z68" i="1"/>
  <c r="C23" i="3"/>
  <c r="AE23" i="3" s="1"/>
  <c r="Z65" i="1"/>
  <c r="C20" i="3"/>
  <c r="AE20" i="3" s="1"/>
  <c r="Z49" i="1"/>
  <c r="C19" i="3"/>
  <c r="AE19" i="3" s="1"/>
  <c r="Z48" i="1"/>
  <c r="C18" i="3"/>
  <c r="AE18" i="3" s="1"/>
  <c r="Z47" i="1"/>
  <c r="C17" i="3"/>
  <c r="AE17" i="3" s="1"/>
  <c r="Z28" i="1"/>
  <c r="C12" i="3"/>
  <c r="AE12" i="3" s="1"/>
  <c r="Z31" i="1"/>
  <c r="C15" i="3"/>
  <c r="AE15" i="3" s="1"/>
  <c r="Z30" i="1"/>
  <c r="C14" i="3"/>
  <c r="AE14" i="3" s="1"/>
  <c r="Z29" i="1"/>
  <c r="C13" i="3"/>
  <c r="AE13" i="3" s="1"/>
  <c r="Z27" i="1"/>
  <c r="C11" i="3"/>
  <c r="AE11" i="3" s="1"/>
  <c r="Z10" i="1"/>
  <c r="C10" i="3"/>
  <c r="AE10" i="3" s="1"/>
  <c r="Y28" i="1"/>
  <c r="C12" i="5"/>
  <c r="AE12" i="5" s="1"/>
  <c r="Y65" i="1"/>
  <c r="C20" i="5"/>
  <c r="AE20" i="5" s="1"/>
  <c r="Y49" i="1"/>
  <c r="C19" i="5"/>
  <c r="AE19" i="5" s="1"/>
  <c r="Y8" i="1"/>
  <c r="C8" i="5"/>
  <c r="AE8" i="5" s="1"/>
  <c r="Y83" i="1"/>
  <c r="C24" i="5"/>
  <c r="AE24" i="5" s="1"/>
  <c r="Y102" i="1"/>
  <c r="C29" i="5"/>
  <c r="AE29" i="5" s="1"/>
  <c r="Y27" i="1"/>
  <c r="C11" i="5"/>
  <c r="AE11" i="5" s="1"/>
  <c r="Y31" i="1"/>
  <c r="C15" i="5"/>
  <c r="AE15" i="5" s="1"/>
  <c r="Y66" i="1"/>
  <c r="C21" i="5"/>
  <c r="AE21" i="5" s="1"/>
  <c r="Y47" i="1"/>
  <c r="C17" i="5"/>
  <c r="AE17" i="5" s="1"/>
  <c r="Y103" i="1"/>
  <c r="C30" i="5"/>
  <c r="AE30" i="5" s="1"/>
  <c r="Y84" i="1"/>
  <c r="C25" i="5"/>
  <c r="AE25" i="5" s="1"/>
  <c r="Y30" i="1"/>
  <c r="C14" i="5"/>
  <c r="AE14" i="5" s="1"/>
  <c r="Y67" i="1"/>
  <c r="C22" i="5"/>
  <c r="AE22" i="5" s="1"/>
  <c r="C16" i="5"/>
  <c r="AE16" i="5" s="1"/>
  <c r="Y10" i="1"/>
  <c r="C10" i="5"/>
  <c r="AE10" i="5" s="1"/>
  <c r="Y6" i="1"/>
  <c r="C6" i="5"/>
  <c r="AE6" i="5" s="1"/>
  <c r="Y85" i="1"/>
  <c r="C26" i="5"/>
  <c r="AE26" i="5" s="1"/>
  <c r="Y100" i="1"/>
  <c r="C27" i="5"/>
  <c r="AE27" i="5" s="1"/>
  <c r="Y9" i="1"/>
  <c r="C9" i="5"/>
  <c r="AE9" i="5" s="1"/>
  <c r="Y48" i="1"/>
  <c r="C18" i="5"/>
  <c r="AE18" i="5" s="1"/>
  <c r="Y29" i="1"/>
  <c r="C13" i="5"/>
  <c r="AE13" i="5" s="1"/>
  <c r="Y68" i="1"/>
  <c r="C23" i="5"/>
  <c r="AE23" i="5" s="1"/>
  <c r="Y5" i="1"/>
  <c r="C5" i="5"/>
  <c r="AE5" i="5" s="1"/>
  <c r="Y7" i="1"/>
  <c r="C7" i="5"/>
  <c r="AE7" i="5" s="1"/>
  <c r="Y101" i="1"/>
  <c r="C28" i="5"/>
  <c r="AE28" i="5" s="1"/>
  <c r="AK16" i="3"/>
  <c r="AJ16" i="3"/>
  <c r="AL16" i="3"/>
  <c r="AH16" i="3"/>
  <c r="AG16" i="3"/>
  <c r="AL27" i="3"/>
  <c r="AK27" i="3"/>
  <c r="AI27" i="3"/>
  <c r="AG27" i="3"/>
  <c r="AF27" i="3"/>
  <c r="AG20" i="3"/>
  <c r="AH24" i="3"/>
  <c r="AG24" i="3"/>
  <c r="AG11" i="3"/>
  <c r="AF5" i="3"/>
  <c r="AK11" i="3"/>
  <c r="AL24" i="3"/>
  <c r="AJ11" i="3"/>
  <c r="AF24" i="3"/>
  <c r="AK24" i="3"/>
  <c r="AM5" i="3"/>
  <c r="AI11" i="3"/>
  <c r="AJ24" i="3"/>
  <c r="AH11" i="3"/>
  <c r="AI24" i="3"/>
  <c r="AL20" i="3"/>
  <c r="AJ27" i="3"/>
  <c r="AH27" i="3"/>
  <c r="D93" i="1"/>
  <c r="N88" i="1" s="1"/>
  <c r="X88" i="1" s="1"/>
  <c r="AK20" i="3"/>
  <c r="AF20" i="3"/>
  <c r="AJ20" i="3"/>
  <c r="AI20" i="3"/>
  <c r="AH20" i="3"/>
  <c r="AB77" i="1"/>
  <c r="AF16" i="3"/>
  <c r="AF11" i="3"/>
  <c r="M51" i="1"/>
  <c r="W51" i="1" s="1"/>
  <c r="N28" i="1"/>
  <c r="M32" i="1"/>
  <c r="W32" i="1" s="1"/>
  <c r="M36" i="1"/>
  <c r="W36" i="1" s="1"/>
  <c r="M47" i="1"/>
  <c r="W47" i="1" s="1"/>
  <c r="N55" i="1"/>
  <c r="X55" i="1" s="1"/>
  <c r="N31" i="1"/>
  <c r="N27" i="1"/>
  <c r="N32" i="1"/>
  <c r="X32" i="1" s="1"/>
  <c r="N36" i="1"/>
  <c r="X36" i="1" s="1"/>
  <c r="N48" i="1"/>
  <c r="M52" i="1"/>
  <c r="W52" i="1" s="1"/>
  <c r="M54" i="1"/>
  <c r="W54" i="1" s="1"/>
  <c r="N29" i="1"/>
  <c r="M33" i="1"/>
  <c r="W33" i="1" s="1"/>
  <c r="M48" i="1"/>
  <c r="W48" i="1" s="1"/>
  <c r="N56" i="1"/>
  <c r="X56" i="1" s="1"/>
  <c r="M29" i="1"/>
  <c r="W29" i="1" s="1"/>
  <c r="N33" i="1"/>
  <c r="X33" i="1" s="1"/>
  <c r="M37" i="1"/>
  <c r="W37" i="1" s="1"/>
  <c r="N49" i="1"/>
  <c r="M53" i="1"/>
  <c r="W53" i="1" s="1"/>
  <c r="AB58" i="1" a="1"/>
  <c r="AB58" i="1" s="1"/>
  <c r="M26" i="1"/>
  <c r="M30" i="1"/>
  <c r="W30" i="1" s="1"/>
  <c r="M34" i="1"/>
  <c r="W34" i="1" s="1"/>
  <c r="M49" i="1"/>
  <c r="W49" i="1" s="1"/>
  <c r="M27" i="1"/>
  <c r="W27" i="1" s="1"/>
  <c r="N30" i="1"/>
  <c r="N34" i="1"/>
  <c r="X34" i="1" s="1"/>
  <c r="N37" i="1"/>
  <c r="X37" i="1" s="1"/>
  <c r="M46" i="1"/>
  <c r="M50" i="1"/>
  <c r="W50" i="1" s="1"/>
  <c r="N54" i="1"/>
  <c r="X54" i="1" s="1"/>
  <c r="M55" i="1"/>
  <c r="W55" i="1" s="1"/>
  <c r="N51" i="1"/>
  <c r="X51" i="1" s="1"/>
  <c r="M56" i="1"/>
  <c r="W56" i="1" s="1"/>
  <c r="N35" i="1"/>
  <c r="X35" i="1" s="1"/>
  <c r="N53" i="1"/>
  <c r="X53" i="1" s="1"/>
  <c r="N52" i="1"/>
  <c r="X52" i="1" s="1"/>
  <c r="B7" i="3"/>
  <c r="AB60" i="1"/>
  <c r="AB59" i="1"/>
  <c r="AB41" i="1"/>
  <c r="AB39" i="1" a="1"/>
  <c r="AB39" i="1" s="1"/>
  <c r="AB40" i="1"/>
  <c r="N16" i="1"/>
  <c r="X16" i="1" s="1"/>
  <c r="N17" i="1"/>
  <c r="X17" i="1" s="1"/>
  <c r="AB19" i="1" a="1"/>
  <c r="AB19" i="1" s="1"/>
  <c r="AB21" i="1"/>
  <c r="AB20" i="1"/>
  <c r="N15" i="1"/>
  <c r="X15" i="1" s="1"/>
  <c r="Y17" i="1"/>
  <c r="AD16" i="1"/>
  <c r="C18" i="8" l="1"/>
  <c r="AE18" i="8" s="1"/>
  <c r="C18" i="9"/>
  <c r="AE18" i="9" s="1"/>
  <c r="C12" i="8"/>
  <c r="AE12" i="8" s="1"/>
  <c r="C12" i="9"/>
  <c r="AE12" i="9" s="1"/>
  <c r="C11" i="8"/>
  <c r="AE11" i="8" s="1"/>
  <c r="C11" i="9"/>
  <c r="AE11" i="9" s="1"/>
  <c r="C15" i="8"/>
  <c r="AE15" i="8" s="1"/>
  <c r="C15" i="9"/>
  <c r="AE15" i="9" s="1"/>
  <c r="C13" i="8"/>
  <c r="AE13" i="8" s="1"/>
  <c r="C13" i="9"/>
  <c r="AE13" i="9" s="1"/>
  <c r="C14" i="8"/>
  <c r="AE14" i="8" s="1"/>
  <c r="C14" i="9"/>
  <c r="AE14" i="9" s="1"/>
  <c r="C19" i="8"/>
  <c r="AE19" i="8" s="1"/>
  <c r="C19" i="9"/>
  <c r="AE19" i="9" s="1"/>
  <c r="AA17" i="7"/>
  <c r="BC17" i="7" s="1"/>
  <c r="W17" i="7"/>
  <c r="AY17" i="7" s="1"/>
  <c r="X17" i="7"/>
  <c r="AZ17" i="7" s="1"/>
  <c r="Y17" i="7"/>
  <c r="BA17" i="7" s="1"/>
  <c r="Z17" i="7"/>
  <c r="BB17" i="7" s="1"/>
  <c r="AB17" i="7"/>
  <c r="BD17" i="7" s="1"/>
  <c r="Y15" i="7"/>
  <c r="BA15" i="7" s="1"/>
  <c r="W15" i="7"/>
  <c r="Z15" i="7"/>
  <c r="BB15" i="7" s="1"/>
  <c r="AA15" i="7"/>
  <c r="BC15" i="7" s="1"/>
  <c r="AB15" i="7"/>
  <c r="BD15" i="7" s="1"/>
  <c r="X15" i="7"/>
  <c r="AZ15" i="7" s="1"/>
  <c r="Y11" i="7"/>
  <c r="BA11" i="7" s="1"/>
  <c r="Z11" i="7"/>
  <c r="BB11" i="7" s="1"/>
  <c r="AA11" i="7"/>
  <c r="BC11" i="7" s="1"/>
  <c r="W11" i="7"/>
  <c r="AY11" i="7" s="1"/>
  <c r="AB11" i="7"/>
  <c r="BD11" i="7" s="1"/>
  <c r="X11" i="7"/>
  <c r="AZ11" i="7" s="1"/>
  <c r="Y23" i="7"/>
  <c r="BA23" i="7" s="1"/>
  <c r="Z23" i="7"/>
  <c r="BB23" i="7" s="1"/>
  <c r="AA23" i="7"/>
  <c r="BC23" i="7" s="1"/>
  <c r="AB23" i="7"/>
  <c r="BD23" i="7" s="1"/>
  <c r="W23" i="7"/>
  <c r="X23" i="7"/>
  <c r="AZ23" i="7" s="1"/>
  <c r="W29" i="7"/>
  <c r="AY29" i="7" s="1"/>
  <c r="X29" i="7"/>
  <c r="AZ29" i="7" s="1"/>
  <c r="Y29" i="7"/>
  <c r="BA29" i="7" s="1"/>
  <c r="Z29" i="7"/>
  <c r="BB29" i="7" s="1"/>
  <c r="AB29" i="7"/>
  <c r="BD29" i="7" s="1"/>
  <c r="AA29" i="7"/>
  <c r="BC29" i="7" s="1"/>
  <c r="AA28" i="7"/>
  <c r="BC28" i="7" s="1"/>
  <c r="AB28" i="7"/>
  <c r="BD28" i="7" s="1"/>
  <c r="Y28" i="7"/>
  <c r="BA28" i="7" s="1"/>
  <c r="W28" i="7"/>
  <c r="AY28" i="7" s="1"/>
  <c r="X28" i="7"/>
  <c r="Z28" i="7"/>
  <c r="BB28" i="7" s="1"/>
  <c r="Y19" i="7"/>
  <c r="BA19" i="7" s="1"/>
  <c r="Z19" i="7"/>
  <c r="BB19" i="7" s="1"/>
  <c r="W19" i="7"/>
  <c r="AA19" i="7"/>
  <c r="BC19" i="7" s="1"/>
  <c r="AB19" i="7"/>
  <c r="BD19" i="7" s="1"/>
  <c r="X19" i="7"/>
  <c r="AZ19" i="7" s="1"/>
  <c r="W13" i="7"/>
  <c r="AY13" i="7" s="1"/>
  <c r="X13" i="7"/>
  <c r="AZ13" i="7" s="1"/>
  <c r="Y13" i="7"/>
  <c r="BA13" i="7" s="1"/>
  <c r="Z13" i="7"/>
  <c r="BB13" i="7" s="1"/>
  <c r="AB13" i="7"/>
  <c r="BD13" i="7" s="1"/>
  <c r="AA13" i="7"/>
  <c r="BC13" i="7" s="1"/>
  <c r="W9" i="7"/>
  <c r="X9" i="7"/>
  <c r="AA9" i="7"/>
  <c r="Y9" i="7"/>
  <c r="Z9" i="7"/>
  <c r="AB9" i="7"/>
  <c r="AA20" i="7"/>
  <c r="BC20" i="7" s="1"/>
  <c r="AB20" i="7"/>
  <c r="BD20" i="7" s="1"/>
  <c r="Y20" i="7"/>
  <c r="BA20" i="7" s="1"/>
  <c r="W20" i="7"/>
  <c r="AY20" i="7" s="1"/>
  <c r="X20" i="7"/>
  <c r="AZ20" i="7" s="1"/>
  <c r="Z20" i="7"/>
  <c r="BB20" i="7" s="1"/>
  <c r="W10" i="7"/>
  <c r="X10" i="7"/>
  <c r="Y10" i="7"/>
  <c r="Z10" i="7"/>
  <c r="BB10" i="7" s="1"/>
  <c r="AA10" i="7"/>
  <c r="BC10" i="7" s="1"/>
  <c r="AB10" i="7"/>
  <c r="BD10" i="7" s="1"/>
  <c r="W25" i="7"/>
  <c r="AY25" i="7" s="1"/>
  <c r="X25" i="7"/>
  <c r="AZ25" i="7" s="1"/>
  <c r="Y25" i="7"/>
  <c r="BA25" i="7" s="1"/>
  <c r="Z25" i="7"/>
  <c r="BB25" i="7" s="1"/>
  <c r="AB25" i="7"/>
  <c r="BD25" i="7" s="1"/>
  <c r="AA25" i="7"/>
  <c r="BC25" i="7" s="1"/>
  <c r="AA16" i="7"/>
  <c r="BC16" i="7" s="1"/>
  <c r="AB16" i="7"/>
  <c r="BD16" i="7" s="1"/>
  <c r="W16" i="7"/>
  <c r="AY16" i="7" s="1"/>
  <c r="X16" i="7"/>
  <c r="AZ16" i="7" s="1"/>
  <c r="Z16" i="7"/>
  <c r="BB16" i="7" s="1"/>
  <c r="Y16" i="7"/>
  <c r="BA16" i="7" s="1"/>
  <c r="W14" i="7"/>
  <c r="AY14" i="7" s="1"/>
  <c r="X14" i="7"/>
  <c r="AZ14" i="7" s="1"/>
  <c r="Y14" i="7"/>
  <c r="BA14" i="7" s="1"/>
  <c r="Z14" i="7"/>
  <c r="BB14" i="7" s="1"/>
  <c r="AA14" i="7"/>
  <c r="BC14" i="7" s="1"/>
  <c r="AB14" i="7"/>
  <c r="BD14" i="7" s="1"/>
  <c r="W18" i="7"/>
  <c r="AY18" i="7" s="1"/>
  <c r="X18" i="7"/>
  <c r="AZ18" i="7" s="1"/>
  <c r="Y18" i="7"/>
  <c r="BA18" i="7" s="1"/>
  <c r="Z18" i="7"/>
  <c r="BB18" i="7" s="1"/>
  <c r="AA18" i="7"/>
  <c r="BC18" i="7" s="1"/>
  <c r="AB18" i="7"/>
  <c r="BD18" i="7" s="1"/>
  <c r="Y27" i="7"/>
  <c r="BA27" i="7" s="1"/>
  <c r="W27" i="7"/>
  <c r="AY27" i="7" s="1"/>
  <c r="Z27" i="7"/>
  <c r="BB27" i="7" s="1"/>
  <c r="AA27" i="7"/>
  <c r="BC27" i="7" s="1"/>
  <c r="AB27" i="7"/>
  <c r="BD27" i="7" s="1"/>
  <c r="X27" i="7"/>
  <c r="AZ27" i="7" s="1"/>
  <c r="W26" i="7"/>
  <c r="AY26" i="7" s="1"/>
  <c r="X26" i="7"/>
  <c r="AZ26" i="7" s="1"/>
  <c r="Y26" i="7"/>
  <c r="BA26" i="7" s="1"/>
  <c r="Z26" i="7"/>
  <c r="BB26" i="7" s="1"/>
  <c r="AA26" i="7"/>
  <c r="BC26" i="7" s="1"/>
  <c r="AB26" i="7"/>
  <c r="BD26" i="7" s="1"/>
  <c r="AA12" i="7"/>
  <c r="BC12" i="7" s="1"/>
  <c r="AB12" i="7"/>
  <c r="BD12" i="7" s="1"/>
  <c r="Y12" i="7"/>
  <c r="BA12" i="7" s="1"/>
  <c r="W12" i="7"/>
  <c r="AY12" i="7" s="1"/>
  <c r="X12" i="7"/>
  <c r="AZ12" i="7" s="1"/>
  <c r="Z12" i="7"/>
  <c r="BB12" i="7" s="1"/>
  <c r="W21" i="7"/>
  <c r="AY21" i="7" s="1"/>
  <c r="X21" i="7"/>
  <c r="AZ21" i="7" s="1"/>
  <c r="Y21" i="7"/>
  <c r="BA21" i="7" s="1"/>
  <c r="Z21" i="7"/>
  <c r="BB21" i="7" s="1"/>
  <c r="AA21" i="7"/>
  <c r="BC21" i="7" s="1"/>
  <c r="AB21" i="7"/>
  <c r="BD21" i="7" s="1"/>
  <c r="AA24" i="7"/>
  <c r="BC24" i="7" s="1"/>
  <c r="AB24" i="7"/>
  <c r="BD24" i="7" s="1"/>
  <c r="W24" i="7"/>
  <c r="AY24" i="7" s="1"/>
  <c r="Y24" i="7"/>
  <c r="BA24" i="7" s="1"/>
  <c r="X24" i="7"/>
  <c r="AZ24" i="7" s="1"/>
  <c r="Z24" i="7"/>
  <c r="BB24" i="7" s="1"/>
  <c r="W22" i="7"/>
  <c r="AY22" i="7" s="1"/>
  <c r="X22" i="7"/>
  <c r="AZ22" i="7" s="1"/>
  <c r="Y22" i="7"/>
  <c r="BA22" i="7" s="1"/>
  <c r="Z22" i="7"/>
  <c r="BB22" i="7" s="1"/>
  <c r="AA22" i="7"/>
  <c r="BC22" i="7" s="1"/>
  <c r="AB22" i="7"/>
  <c r="BD22" i="7" s="1"/>
  <c r="W30" i="7"/>
  <c r="X30" i="7"/>
  <c r="Y30" i="7"/>
  <c r="Z30" i="7"/>
  <c r="BB30" i="7" s="1"/>
  <c r="AA30" i="7"/>
  <c r="BC30" i="7" s="1"/>
  <c r="AB30" i="7"/>
  <c r="BD30" i="7" s="1"/>
  <c r="W5" i="7"/>
  <c r="AY5" i="7" s="1"/>
  <c r="X5" i="7"/>
  <c r="AZ5" i="7" s="1"/>
  <c r="Y5" i="7"/>
  <c r="BA5" i="7" s="1"/>
  <c r="AA5" i="7"/>
  <c r="BC5" i="7" s="1"/>
  <c r="Z5" i="7"/>
  <c r="BB5" i="7" s="1"/>
  <c r="AB5" i="7"/>
  <c r="BD5" i="7" s="1"/>
  <c r="AR13" i="7"/>
  <c r="AM13" i="7"/>
  <c r="AN13" i="7"/>
  <c r="AP13" i="7"/>
  <c r="AQ13" i="7"/>
  <c r="AO13" i="7"/>
  <c r="AN26" i="7"/>
  <c r="AO26" i="7"/>
  <c r="AP26" i="7"/>
  <c r="AQ26" i="7"/>
  <c r="AR26" i="7"/>
  <c r="AM26" i="7"/>
  <c r="AM29" i="7"/>
  <c r="AR29" i="7"/>
  <c r="AN29" i="7"/>
  <c r="AO29" i="7"/>
  <c r="AP29" i="7"/>
  <c r="AQ29" i="7"/>
  <c r="AO22" i="7"/>
  <c r="AP22" i="7"/>
  <c r="AQ22" i="7"/>
  <c r="AR22" i="7"/>
  <c r="AN22" i="7"/>
  <c r="AM22" i="7"/>
  <c r="AJ19" i="7"/>
  <c r="AQ30" i="7"/>
  <c r="AR30" i="7"/>
  <c r="AP30" i="7"/>
  <c r="AJ22" i="7"/>
  <c r="AN14" i="7"/>
  <c r="AM14" i="7"/>
  <c r="AO14" i="7"/>
  <c r="AP14" i="7"/>
  <c r="AQ14" i="7"/>
  <c r="AR14" i="7"/>
  <c r="AR18" i="7"/>
  <c r="AM18" i="7"/>
  <c r="AP18" i="7"/>
  <c r="AN18" i="7"/>
  <c r="AQ18" i="7"/>
  <c r="AO18" i="7"/>
  <c r="AI18" i="7"/>
  <c r="AH21" i="7"/>
  <c r="AG22" i="7"/>
  <c r="AM21" i="7"/>
  <c r="AN21" i="7"/>
  <c r="AO21" i="7"/>
  <c r="AP21" i="7"/>
  <c r="AQ21" i="7"/>
  <c r="AR21" i="7"/>
  <c r="AK18" i="7"/>
  <c r="AM28" i="7"/>
  <c r="AN28" i="7"/>
  <c r="AO28" i="7"/>
  <c r="AR28" i="7"/>
  <c r="AP28" i="7"/>
  <c r="AQ28" i="7"/>
  <c r="AK22" i="7"/>
  <c r="AO15" i="7"/>
  <c r="AP15" i="7"/>
  <c r="AQ15" i="7"/>
  <c r="AN15" i="7"/>
  <c r="AR15" i="7"/>
  <c r="AG18" i="7"/>
  <c r="AL21" i="7"/>
  <c r="AP23" i="7"/>
  <c r="AQ23" i="7"/>
  <c r="AN23" i="7"/>
  <c r="AO23" i="7"/>
  <c r="AR23" i="7"/>
  <c r="AQ24" i="7"/>
  <c r="AP24" i="7"/>
  <c r="AO24" i="7"/>
  <c r="AN24" i="7"/>
  <c r="AM24" i="7"/>
  <c r="AR24" i="7"/>
  <c r="AN19" i="7"/>
  <c r="AO19" i="7"/>
  <c r="AP19" i="7"/>
  <c r="AR19" i="7"/>
  <c r="AQ19" i="7"/>
  <c r="AG21" i="7"/>
  <c r="AN17" i="7"/>
  <c r="AO17" i="7"/>
  <c r="AP17" i="7"/>
  <c r="AQ17" i="7"/>
  <c r="AR17" i="7"/>
  <c r="AM17" i="7"/>
  <c r="AJ18" i="7"/>
  <c r="AP12" i="7"/>
  <c r="AN12" i="7"/>
  <c r="AO12" i="7"/>
  <c r="AQ12" i="7"/>
  <c r="AR12" i="7"/>
  <c r="AM12" i="7"/>
  <c r="AK21" i="7"/>
  <c r="AR16" i="7"/>
  <c r="AP16" i="7"/>
  <c r="AQ16" i="7"/>
  <c r="AO16" i="7"/>
  <c r="AN16" i="7"/>
  <c r="AM16" i="7"/>
  <c r="AR25" i="7"/>
  <c r="AM25" i="7"/>
  <c r="AO25" i="7"/>
  <c r="AP25" i="7"/>
  <c r="AN25" i="7"/>
  <c r="AQ25" i="7"/>
  <c r="X101" i="1"/>
  <c r="C28" i="8"/>
  <c r="AE28" i="8" s="1"/>
  <c r="X67" i="1"/>
  <c r="C22" i="8"/>
  <c r="AE22" i="8" s="1"/>
  <c r="X65" i="1"/>
  <c r="C20" i="8"/>
  <c r="AE20" i="8" s="1"/>
  <c r="X47" i="1"/>
  <c r="C17" i="8"/>
  <c r="AE17" i="8" s="1"/>
  <c r="C29" i="7"/>
  <c r="AE29" i="7" s="1"/>
  <c r="C29" i="8"/>
  <c r="AE29" i="8" s="1"/>
  <c r="C27" i="7"/>
  <c r="AE27" i="7" s="1"/>
  <c r="C27" i="8"/>
  <c r="AE27" i="8" s="1"/>
  <c r="C16" i="7"/>
  <c r="AE16" i="7" s="1"/>
  <c r="C16" i="8"/>
  <c r="AE16" i="8" s="1"/>
  <c r="X103" i="1"/>
  <c r="C30" i="8"/>
  <c r="AE30" i="8" s="1"/>
  <c r="X84" i="1"/>
  <c r="C25" i="8"/>
  <c r="AE25" i="8" s="1"/>
  <c r="X68" i="1"/>
  <c r="C23" i="8"/>
  <c r="AE23" i="8" s="1"/>
  <c r="AI30" i="7"/>
  <c r="AG30" i="7"/>
  <c r="AJ30" i="7"/>
  <c r="AK29" i="7"/>
  <c r="AH29" i="7"/>
  <c r="AL29" i="7"/>
  <c r="AJ28" i="7"/>
  <c r="AL28" i="7"/>
  <c r="AK28" i="7"/>
  <c r="AH28" i="7"/>
  <c r="AM27" i="7"/>
  <c r="AN27" i="7"/>
  <c r="AO27" i="7"/>
  <c r="AP27" i="7"/>
  <c r="AQ27" i="7"/>
  <c r="AR27" i="7"/>
  <c r="X102" i="1"/>
  <c r="AK25" i="3"/>
  <c r="C23" i="7"/>
  <c r="AE23" i="7" s="1"/>
  <c r="C22" i="7"/>
  <c r="AE22" i="7" s="1"/>
  <c r="C30" i="7"/>
  <c r="AE30" i="7" s="1"/>
  <c r="AG13" i="7"/>
  <c r="AK13" i="7"/>
  <c r="AJ13" i="7"/>
  <c r="C17" i="7"/>
  <c r="AE17" i="7" s="1"/>
  <c r="X100" i="1"/>
  <c r="W77" i="1"/>
  <c r="AP11" i="7"/>
  <c r="AQ11" i="7"/>
  <c r="AN11" i="7"/>
  <c r="AR11" i="7"/>
  <c r="AM11" i="7"/>
  <c r="AO11" i="7"/>
  <c r="AZ28" i="7"/>
  <c r="AF28" i="7"/>
  <c r="AL11" i="7"/>
  <c r="AF23" i="7"/>
  <c r="AF24" i="7"/>
  <c r="AF22" i="7"/>
  <c r="AF30" i="7"/>
  <c r="C20" i="7"/>
  <c r="AE20" i="7" s="1"/>
  <c r="AE24" i="7"/>
  <c r="AG17" i="7"/>
  <c r="AF20" i="7"/>
  <c r="AL12" i="7"/>
  <c r="AJ11" i="7"/>
  <c r="AI10" i="7"/>
  <c r="AI21" i="7"/>
  <c r="AK23" i="7"/>
  <c r="AH19" i="7"/>
  <c r="AL24" i="7"/>
  <c r="AL30" i="7"/>
  <c r="AN6" i="7"/>
  <c r="AP6" i="7"/>
  <c r="AQ6" i="7"/>
  <c r="AR6" i="7"/>
  <c r="AO6" i="7"/>
  <c r="AM6" i="7"/>
  <c r="AR10" i="7"/>
  <c r="AP10" i="7"/>
  <c r="AQ10" i="7"/>
  <c r="C28" i="7"/>
  <c r="AE28" i="7" s="1"/>
  <c r="AF25" i="7"/>
  <c r="AF10" i="7"/>
  <c r="AJ24" i="7"/>
  <c r="AF13" i="7"/>
  <c r="AF15" i="7"/>
  <c r="AF5" i="7"/>
  <c r="AF16" i="7"/>
  <c r="AF14" i="7"/>
  <c r="AL10" i="7"/>
  <c r="AK19" i="7"/>
  <c r="C25" i="7"/>
  <c r="AE25" i="7" s="1"/>
  <c r="AH89" i="1"/>
  <c r="AK15" i="7"/>
  <c r="AH88" i="1"/>
  <c r="AL14" i="7"/>
  <c r="AG28" i="7"/>
  <c r="AF18" i="7"/>
  <c r="AG11" i="7"/>
  <c r="AJ21" i="7"/>
  <c r="AF27" i="7"/>
  <c r="AG23" i="7"/>
  <c r="AI19" i="7"/>
  <c r="AI29" i="7"/>
  <c r="AH24" i="7"/>
  <c r="AL22" i="7"/>
  <c r="AL13" i="7"/>
  <c r="M88" i="1"/>
  <c r="W88" i="1" s="1"/>
  <c r="AF19" i="7"/>
  <c r="AF29" i="7"/>
  <c r="AF26" i="7"/>
  <c r="AF17" i="7"/>
  <c r="N87" i="1"/>
  <c r="X87" i="1" s="1"/>
  <c r="AF12" i="7"/>
  <c r="AG27" i="7"/>
  <c r="AN5" i="7"/>
  <c r="AR5" i="7"/>
  <c r="AP5" i="7"/>
  <c r="AM5" i="7"/>
  <c r="AO5" i="7"/>
  <c r="AQ5" i="7"/>
  <c r="AI24" i="7"/>
  <c r="AH90" i="1"/>
  <c r="AL17" i="7"/>
  <c r="AJ15" i="7"/>
  <c r="N90" i="1"/>
  <c r="X90" i="1" s="1"/>
  <c r="AG12" i="7"/>
  <c r="AI14" i="7"/>
  <c r="AH18" i="7"/>
  <c r="AK11" i="7"/>
  <c r="AG10" i="7"/>
  <c r="AF21" i="7"/>
  <c r="AL27" i="7"/>
  <c r="AG88" i="1"/>
  <c r="AI23" i="7"/>
  <c r="AL19" i="7"/>
  <c r="AG29" i="7"/>
  <c r="AH22" i="7"/>
  <c r="AH13" i="7"/>
  <c r="AK30" i="7"/>
  <c r="N89" i="1"/>
  <c r="X89" i="1" s="1"/>
  <c r="AI11" i="7"/>
  <c r="AK24" i="7"/>
  <c r="G29" i="3"/>
  <c r="AI29" i="3" s="1"/>
  <c r="F22" i="3"/>
  <c r="AH22" i="3" s="1"/>
  <c r="J18" i="3"/>
  <c r="J13" i="3"/>
  <c r="H29" i="3"/>
  <c r="AJ29" i="3" s="1"/>
  <c r="D26" i="3"/>
  <c r="AF26" i="3" s="1"/>
  <c r="G22" i="3"/>
  <c r="AI22" i="3" s="1"/>
  <c r="J29" i="3"/>
  <c r="F26" i="3"/>
  <c r="AH26" i="3" s="1"/>
  <c r="I22" i="3"/>
  <c r="E18" i="3"/>
  <c r="AG18" i="3" s="1"/>
  <c r="E13" i="3"/>
  <c r="AG13" i="3" s="1"/>
  <c r="E29" i="3"/>
  <c r="AG29" i="3" s="1"/>
  <c r="I26" i="3"/>
  <c r="D22" i="3"/>
  <c r="AF22" i="3" s="1"/>
  <c r="H18" i="3"/>
  <c r="AJ18" i="3" s="1"/>
  <c r="H13" i="3"/>
  <c r="AJ13" i="3" s="1"/>
  <c r="H26" i="3"/>
  <c r="AJ26" i="3" s="1"/>
  <c r="G18" i="3"/>
  <c r="AI18" i="3" s="1"/>
  <c r="F13" i="3"/>
  <c r="AH13" i="3" s="1"/>
  <c r="J26" i="3"/>
  <c r="I18" i="3"/>
  <c r="G13" i="3"/>
  <c r="AI13" i="3" s="1"/>
  <c r="I13" i="3"/>
  <c r="F29" i="3"/>
  <c r="AH29" i="3" s="1"/>
  <c r="E22" i="3"/>
  <c r="AG22" i="3" s="1"/>
  <c r="I29" i="3"/>
  <c r="E26" i="3"/>
  <c r="AG26" i="3" s="1"/>
  <c r="H22" i="3"/>
  <c r="AJ22" i="3" s="1"/>
  <c r="D18" i="3"/>
  <c r="AF18" i="3" s="1"/>
  <c r="G26" i="3"/>
  <c r="AI26" i="3" s="1"/>
  <c r="J22" i="3"/>
  <c r="F18" i="3"/>
  <c r="AH18" i="3" s="1"/>
  <c r="D13" i="3"/>
  <c r="AF13" i="3" s="1"/>
  <c r="D29" i="3"/>
  <c r="AF29" i="3" s="1"/>
  <c r="AH11" i="7"/>
  <c r="AH17" i="7"/>
  <c r="AK12" i="7"/>
  <c r="AJ14" i="7"/>
  <c r="AI28" i="7"/>
  <c r="AH87" i="1"/>
  <c r="AL18" i="7"/>
  <c r="AF11" i="7"/>
  <c r="AJ10" i="7"/>
  <c r="AJ27" i="7"/>
  <c r="AH23" i="7"/>
  <c r="AG19" i="7"/>
  <c r="AJ29" i="7"/>
  <c r="AG24" i="7"/>
  <c r="AI22" i="7"/>
  <c r="AI13" i="7"/>
  <c r="AH30" i="7"/>
  <c r="X48" i="1"/>
  <c r="C18" i="7"/>
  <c r="AE18" i="7" s="1"/>
  <c r="X49" i="1"/>
  <c r="C19" i="7"/>
  <c r="AE19" i="7" s="1"/>
  <c r="X29" i="1"/>
  <c r="C13" i="7"/>
  <c r="AE13" i="7" s="1"/>
  <c r="X30" i="1"/>
  <c r="C14" i="7"/>
  <c r="AE14" i="7" s="1"/>
  <c r="X28" i="1"/>
  <c r="C12" i="7"/>
  <c r="AE12" i="7" s="1"/>
  <c r="X31" i="1"/>
  <c r="C15" i="7"/>
  <c r="AE15" i="7" s="1"/>
  <c r="X27" i="1"/>
  <c r="C11" i="7"/>
  <c r="AE11" i="7" s="1"/>
  <c r="AE4" i="5"/>
  <c r="AA76" i="1"/>
  <c r="AA60" i="1"/>
  <c r="AA77" i="1"/>
  <c r="AA75" i="1" a="1"/>
  <c r="AA75" i="1" s="1"/>
  <c r="AA58" i="1" a="1"/>
  <c r="AA58" i="1" s="1"/>
  <c r="AA59" i="1"/>
  <c r="AA21" i="1"/>
  <c r="AA19" i="1" a="1"/>
  <c r="AA19" i="1" s="1"/>
  <c r="AA41" i="1"/>
  <c r="AA39" i="1" a="1"/>
  <c r="AA39" i="1" s="1"/>
  <c r="AA40" i="1"/>
  <c r="AA20" i="1"/>
  <c r="W75" i="1" a="1"/>
  <c r="W75" i="1" s="1"/>
  <c r="W76" i="1"/>
  <c r="Z60" i="1"/>
  <c r="Y59" i="1"/>
  <c r="Y41" i="1"/>
  <c r="Z40" i="1"/>
  <c r="Z58" i="1" a="1"/>
  <c r="Z58" i="1" s="1"/>
  <c r="Z75" i="1" a="1"/>
  <c r="Z75" i="1" s="1"/>
  <c r="Z39" i="1" a="1"/>
  <c r="Z39" i="1" s="1"/>
  <c r="Z76" i="1"/>
  <c r="Y60" i="1"/>
  <c r="Y75" i="1" a="1"/>
  <c r="Y75" i="1" s="1"/>
  <c r="Z41" i="1"/>
  <c r="Z59" i="1"/>
  <c r="Y20" i="1"/>
  <c r="Y39" i="1" a="1"/>
  <c r="Y39" i="1" s="1"/>
  <c r="Z77" i="1"/>
  <c r="Y40" i="1"/>
  <c r="Y58" i="1" a="1"/>
  <c r="Y58" i="1" s="1"/>
  <c r="Y76" i="1"/>
  <c r="Y77" i="1"/>
  <c r="AL12" i="3"/>
  <c r="AL28" i="3"/>
  <c r="AL25" i="3"/>
  <c r="AL17" i="3"/>
  <c r="AL21" i="3"/>
  <c r="AK17" i="3"/>
  <c r="AK28" i="3"/>
  <c r="AK12" i="3"/>
  <c r="AK21" i="3"/>
  <c r="W39" i="1" a="1"/>
  <c r="W39" i="1" s="1"/>
  <c r="W40" i="1"/>
  <c r="W60" i="1"/>
  <c r="W41" i="1"/>
  <c r="W59" i="1"/>
  <c r="W58" i="1" a="1"/>
  <c r="W58" i="1" s="1"/>
  <c r="B8" i="3"/>
  <c r="Y19" i="1" a="1"/>
  <c r="Y19" i="1" s="1"/>
  <c r="Y21" i="1"/>
  <c r="X77" i="1" l="1"/>
  <c r="X76" i="1"/>
  <c r="X75" i="1" a="1"/>
  <c r="X75" i="1" s="1"/>
  <c r="H30" i="3"/>
  <c r="AJ30" i="3" s="1"/>
  <c r="G23" i="3"/>
  <c r="AI23" i="3" s="1"/>
  <c r="I8" i="3"/>
  <c r="I30" i="3"/>
  <c r="H23" i="3"/>
  <c r="AJ23" i="3" s="1"/>
  <c r="J23" i="3"/>
  <c r="F19" i="3"/>
  <c r="AH19" i="3" s="1"/>
  <c r="G14" i="3"/>
  <c r="AI14" i="3" s="1"/>
  <c r="F30" i="3"/>
  <c r="AH30" i="3" s="1"/>
  <c r="E23" i="3"/>
  <c r="AG23" i="3" s="1"/>
  <c r="I19" i="3"/>
  <c r="J14" i="3"/>
  <c r="E30" i="3"/>
  <c r="AG30" i="3" s="1"/>
  <c r="D23" i="3"/>
  <c r="AF23" i="3" s="1"/>
  <c r="G30" i="3"/>
  <c r="AI30" i="3" s="1"/>
  <c r="F23" i="3"/>
  <c r="AH23" i="3" s="1"/>
  <c r="D8" i="3"/>
  <c r="J30" i="3"/>
  <c r="AL30" i="3" s="1"/>
  <c r="I23" i="3"/>
  <c r="D19" i="3"/>
  <c r="AF19" i="3" s="1"/>
  <c r="E19" i="3"/>
  <c r="AG19" i="3" s="1"/>
  <c r="E14" i="3"/>
  <c r="AG14" i="3" s="1"/>
  <c r="H19" i="3"/>
  <c r="AJ19" i="3" s="1"/>
  <c r="H14" i="3"/>
  <c r="AJ14" i="3" s="1"/>
  <c r="D14" i="3"/>
  <c r="AF14" i="3" s="1"/>
  <c r="J19" i="3"/>
  <c r="I14" i="3"/>
  <c r="G19" i="3"/>
  <c r="AI19" i="3" s="1"/>
  <c r="F14" i="3"/>
  <c r="AH14" i="3" s="1"/>
  <c r="D30" i="3"/>
  <c r="AF30" i="3" s="1"/>
  <c r="X58" i="1" a="1"/>
  <c r="X58" i="1" s="1"/>
  <c r="X59" i="1"/>
  <c r="X60" i="1"/>
  <c r="X40" i="1"/>
  <c r="X39" i="1" a="1"/>
  <c r="X39" i="1" s="1"/>
  <c r="X41" i="1"/>
  <c r="AL26" i="3"/>
  <c r="AL18" i="3"/>
  <c r="AL13" i="3"/>
  <c r="AL29" i="3"/>
  <c r="AL22" i="3"/>
  <c r="AK22" i="3"/>
  <c r="AK18" i="3"/>
  <c r="AK26" i="3"/>
  <c r="AK13" i="3"/>
  <c r="AK29" i="3"/>
  <c r="B9" i="3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AG10" i="1" s="1"/>
  <c r="C10" i="1"/>
  <c r="F9" i="1"/>
  <c r="H8" i="3" s="1"/>
  <c r="F8" i="1"/>
  <c r="F7" i="1"/>
  <c r="C6" i="1"/>
  <c r="C5" i="1"/>
  <c r="AG11" i="1" l="1"/>
  <c r="AG12" i="1"/>
  <c r="F8" i="3"/>
  <c r="C8" i="1"/>
  <c r="AG7" i="1" s="1"/>
  <c r="AC8" i="3"/>
  <c r="AF8" i="3" s="1"/>
  <c r="AJ7" i="1"/>
  <c r="J7" i="3"/>
  <c r="I7" i="3"/>
  <c r="D7" i="3"/>
  <c r="E7" i="3"/>
  <c r="G7" i="3"/>
  <c r="F7" i="3"/>
  <c r="H7" i="3"/>
  <c r="AG15" i="1"/>
  <c r="AG13" i="1"/>
  <c r="C7" i="1"/>
  <c r="D7" i="1"/>
  <c r="AC7" i="3"/>
  <c r="F5" i="3"/>
  <c r="AH5" i="3" s="1"/>
  <c r="G5" i="3"/>
  <c r="AI5" i="3" s="1"/>
  <c r="H5" i="3"/>
  <c r="AJ5" i="3" s="1"/>
  <c r="I5" i="3"/>
  <c r="J5" i="3"/>
  <c r="AL5" i="3" s="1"/>
  <c r="E5" i="3"/>
  <c r="AG5" i="3" s="1"/>
  <c r="AJ5" i="1"/>
  <c r="AJ4" i="1"/>
  <c r="AJ6" i="1"/>
  <c r="F6" i="3"/>
  <c r="AH6" i="3" s="1"/>
  <c r="G6" i="3"/>
  <c r="AI6" i="3" s="1"/>
  <c r="E6" i="3"/>
  <c r="AG6" i="3" s="1"/>
  <c r="I6" i="3"/>
  <c r="J6" i="3"/>
  <c r="AL6" i="3" s="1"/>
  <c r="H6" i="3"/>
  <c r="AJ6" i="3" s="1"/>
  <c r="D6" i="3"/>
  <c r="AF6" i="3" s="1"/>
  <c r="C9" i="1"/>
  <c r="AG8" i="1" s="1"/>
  <c r="AC9" i="3"/>
  <c r="AJ8" i="1"/>
  <c r="AG14" i="1"/>
  <c r="AG16" i="1"/>
  <c r="F15" i="3"/>
  <c r="AH15" i="3" s="1"/>
  <c r="D15" i="3"/>
  <c r="AF15" i="3" s="1"/>
  <c r="I15" i="3"/>
  <c r="G15" i="3"/>
  <c r="AI15" i="3" s="1"/>
  <c r="J9" i="3"/>
  <c r="H15" i="3"/>
  <c r="AJ15" i="3" s="1"/>
  <c r="J15" i="3"/>
  <c r="D9" i="3"/>
  <c r="E9" i="3"/>
  <c r="G9" i="3"/>
  <c r="H9" i="3"/>
  <c r="I9" i="3"/>
  <c r="E15" i="3"/>
  <c r="AG15" i="3" s="1"/>
  <c r="F9" i="3"/>
  <c r="M9" i="1"/>
  <c r="W9" i="1" s="1"/>
  <c r="AG9" i="1"/>
  <c r="M17" i="1"/>
  <c r="W17" i="1" s="1"/>
  <c r="AG17" i="1"/>
  <c r="E8" i="3"/>
  <c r="J8" i="3"/>
  <c r="G8" i="3"/>
  <c r="AL19" i="3"/>
  <c r="AL23" i="3"/>
  <c r="AL14" i="3"/>
  <c r="AK14" i="3"/>
  <c r="AK23" i="3"/>
  <c r="AK19" i="3"/>
  <c r="AK30" i="3"/>
  <c r="M11" i="1"/>
  <c r="W11" i="1" s="1"/>
  <c r="M10" i="1"/>
  <c r="W10" i="1" s="1"/>
  <c r="B10" i="3"/>
  <c r="M8" i="1"/>
  <c r="W8" i="1" s="1"/>
  <c r="M4" i="1"/>
  <c r="M12" i="1"/>
  <c r="W12" i="1" s="1"/>
  <c r="M13" i="1"/>
  <c r="W13" i="1" s="1"/>
  <c r="M14" i="1"/>
  <c r="W14" i="1" s="1"/>
  <c r="M15" i="1"/>
  <c r="W15" i="1" s="1"/>
  <c r="M16" i="1"/>
  <c r="W16" i="1" s="1"/>
  <c r="P5" i="1"/>
  <c r="P4" i="1"/>
  <c r="P6" i="1"/>
  <c r="AE6" i="6" s="1"/>
  <c r="D8" i="1"/>
  <c r="P7" i="1"/>
  <c r="D9" i="1"/>
  <c r="P8" i="1"/>
  <c r="Z9" i="1"/>
  <c r="N14" i="1"/>
  <c r="AJ7" i="3" l="1"/>
  <c r="AH7" i="3"/>
  <c r="AI7" i="3"/>
  <c r="AI8" i="3"/>
  <c r="AG9" i="3"/>
  <c r="AN9" i="3"/>
  <c r="AM9" i="3"/>
  <c r="AP9" i="3"/>
  <c r="AQ9" i="3"/>
  <c r="AR9" i="3"/>
  <c r="AO9" i="3"/>
  <c r="AE9" i="3"/>
  <c r="M7" i="1"/>
  <c r="W7" i="1" s="1"/>
  <c r="AG5" i="1"/>
  <c r="M6" i="1"/>
  <c r="W6" i="1" s="1"/>
  <c r="AG8" i="3"/>
  <c r="AN7" i="3"/>
  <c r="AM7" i="3"/>
  <c r="AP7" i="3"/>
  <c r="AR7" i="3"/>
  <c r="AO7" i="3"/>
  <c r="AQ7" i="3"/>
  <c r="AG7" i="3"/>
  <c r="AC9" i="7"/>
  <c r="J8" i="7"/>
  <c r="E8" i="7"/>
  <c r="I8" i="7"/>
  <c r="G8" i="7"/>
  <c r="D8" i="7"/>
  <c r="H8" i="7"/>
  <c r="F8" i="7"/>
  <c r="AH8" i="7" s="1"/>
  <c r="AH8" i="1"/>
  <c r="M5" i="1"/>
  <c r="W5" i="1" s="1"/>
  <c r="AH8" i="3"/>
  <c r="AJ9" i="3"/>
  <c r="AC7" i="7"/>
  <c r="E6" i="7"/>
  <c r="AG6" i="7" s="1"/>
  <c r="I6" i="7"/>
  <c r="AK6" i="7" s="1"/>
  <c r="G6" i="7"/>
  <c r="AI6" i="7" s="1"/>
  <c r="F6" i="7"/>
  <c r="AH6" i="7" s="1"/>
  <c r="J6" i="7"/>
  <c r="AL6" i="7" s="1"/>
  <c r="D6" i="7"/>
  <c r="H6" i="7"/>
  <c r="AJ6" i="7" s="1"/>
  <c r="AH6" i="1"/>
  <c r="I5" i="7"/>
  <c r="AK5" i="7" s="1"/>
  <c r="AH4" i="1"/>
  <c r="E5" i="7"/>
  <c r="AG5" i="7" s="1"/>
  <c r="J5" i="7"/>
  <c r="AL5" i="7" s="1"/>
  <c r="G5" i="7"/>
  <c r="AI5" i="7" s="1"/>
  <c r="AH5" i="1"/>
  <c r="F5" i="7"/>
  <c r="AH5" i="7" s="1"/>
  <c r="H5" i="7"/>
  <c r="AJ5" i="7" s="1"/>
  <c r="AF7" i="3"/>
  <c r="AG6" i="1"/>
  <c r="AK7" i="3"/>
  <c r="AG4" i="1"/>
  <c r="E10" i="3"/>
  <c r="AG10" i="3" s="1"/>
  <c r="F10" i="3"/>
  <c r="AH10" i="3" s="1"/>
  <c r="G10" i="3"/>
  <c r="D10" i="3"/>
  <c r="AF10" i="3" s="1"/>
  <c r="I10" i="3"/>
  <c r="J10" i="3"/>
  <c r="H10" i="3"/>
  <c r="AJ10" i="3" s="1"/>
  <c r="AI9" i="3"/>
  <c r="AC8" i="7"/>
  <c r="F7" i="7"/>
  <c r="J7" i="7"/>
  <c r="H7" i="7"/>
  <c r="G7" i="7"/>
  <c r="AI7" i="7" s="1"/>
  <c r="D7" i="7"/>
  <c r="I7" i="7"/>
  <c r="E7" i="7"/>
  <c r="AH7" i="1"/>
  <c r="AK8" i="3"/>
  <c r="AK6" i="3"/>
  <c r="AL7" i="3"/>
  <c r="AF9" i="3"/>
  <c r="AL8" i="3"/>
  <c r="AK5" i="3"/>
  <c r="AO8" i="3"/>
  <c r="S7" i="3" s="1"/>
  <c r="AU7" i="3" s="1"/>
  <c r="AR8" i="3"/>
  <c r="V7" i="3" s="1"/>
  <c r="AX7" i="3" s="1"/>
  <c r="AQ8" i="3"/>
  <c r="U7" i="3" s="1"/>
  <c r="AW7" i="3" s="1"/>
  <c r="AP8" i="3"/>
  <c r="T7" i="3" s="1"/>
  <c r="AV7" i="3" s="1"/>
  <c r="AM8" i="3"/>
  <c r="AN8" i="3"/>
  <c r="AJ8" i="3"/>
  <c r="C8" i="3"/>
  <c r="AE8" i="3" s="1"/>
  <c r="AE8" i="6"/>
  <c r="C7" i="3"/>
  <c r="AE7" i="3" s="1"/>
  <c r="AE7" i="6"/>
  <c r="C5" i="3"/>
  <c r="AE5" i="3" s="1"/>
  <c r="AE5" i="6"/>
  <c r="Z6" i="1"/>
  <c r="C6" i="3"/>
  <c r="AE6" i="3" s="1"/>
  <c r="AL9" i="3"/>
  <c r="AL15" i="3"/>
  <c r="AK9" i="3"/>
  <c r="AK15" i="3"/>
  <c r="AH9" i="3"/>
  <c r="N4" i="1"/>
  <c r="Z8" i="1"/>
  <c r="Z7" i="1"/>
  <c r="Z5" i="1"/>
  <c r="X14" i="1"/>
  <c r="N13" i="1"/>
  <c r="R20" i="3" l="1"/>
  <c r="Q7" i="3"/>
  <c r="AS7" i="3" s="1"/>
  <c r="AB7" i="3"/>
  <c r="U6" i="3"/>
  <c r="U11" i="3"/>
  <c r="U5" i="3"/>
  <c r="U28" i="3"/>
  <c r="U15" i="3"/>
  <c r="U8" i="3"/>
  <c r="U30" i="3"/>
  <c r="U19" i="3"/>
  <c r="U29" i="3"/>
  <c r="U10" i="3"/>
  <c r="AW10" i="3" s="1"/>
  <c r="U16" i="3"/>
  <c r="U14" i="3"/>
  <c r="U21" i="3"/>
  <c r="U13" i="3"/>
  <c r="U23" i="3"/>
  <c r="U12" i="3"/>
  <c r="U24" i="3"/>
  <c r="U17" i="3"/>
  <c r="U22" i="3"/>
  <c r="U26" i="3"/>
  <c r="U25" i="3"/>
  <c r="U27" i="3"/>
  <c r="U18" i="3"/>
  <c r="U9" i="3"/>
  <c r="U4" i="3"/>
  <c r="BK38" i="3" s="1"/>
  <c r="Z7" i="3"/>
  <c r="BB7" i="3" s="1"/>
  <c r="S6" i="3"/>
  <c r="S21" i="3"/>
  <c r="S22" i="3"/>
  <c r="S29" i="3"/>
  <c r="S9" i="3"/>
  <c r="S20" i="3"/>
  <c r="S4" i="3"/>
  <c r="BI38" i="3" s="1"/>
  <c r="S28" i="3"/>
  <c r="S15" i="3"/>
  <c r="S24" i="3"/>
  <c r="S10" i="3"/>
  <c r="AU10" i="3" s="1"/>
  <c r="S16" i="3"/>
  <c r="S26" i="3"/>
  <c r="S23" i="3"/>
  <c r="S8" i="3"/>
  <c r="S18" i="3"/>
  <c r="S17" i="3"/>
  <c r="S14" i="3"/>
  <c r="S5" i="3"/>
  <c r="S13" i="3"/>
  <c r="S27" i="3"/>
  <c r="S25" i="3"/>
  <c r="S11" i="3"/>
  <c r="S19" i="3"/>
  <c r="AT20" i="3"/>
  <c r="X20" i="3"/>
  <c r="AZ20" i="3" s="1"/>
  <c r="Y7" i="3"/>
  <c r="BA7" i="3" s="1"/>
  <c r="T6" i="3"/>
  <c r="T19" i="3"/>
  <c r="T30" i="3"/>
  <c r="T8" i="3"/>
  <c r="T4" i="3"/>
  <c r="BJ38" i="3" s="1"/>
  <c r="T11" i="3"/>
  <c r="T13" i="3"/>
  <c r="T26" i="3"/>
  <c r="T24" i="3"/>
  <c r="T5" i="3"/>
  <c r="T20" i="3"/>
  <c r="T27" i="3"/>
  <c r="T22" i="3"/>
  <c r="T16" i="3"/>
  <c r="T23" i="3"/>
  <c r="T25" i="3"/>
  <c r="T17" i="3"/>
  <c r="T12" i="3"/>
  <c r="T21" i="3"/>
  <c r="T14" i="3"/>
  <c r="T28" i="3"/>
  <c r="T18" i="3"/>
  <c r="T10" i="3"/>
  <c r="AV10" i="3" s="1"/>
  <c r="T9" i="3"/>
  <c r="T15" i="3"/>
  <c r="T29" i="3"/>
  <c r="AA7" i="3"/>
  <c r="Q5" i="3"/>
  <c r="Q22" i="3"/>
  <c r="AS22" i="3" s="1"/>
  <c r="Q27" i="3"/>
  <c r="AS27" i="3" s="1"/>
  <c r="Q20" i="3"/>
  <c r="AS20" i="3" s="1"/>
  <c r="Q6" i="3"/>
  <c r="Q12" i="3"/>
  <c r="AS12" i="3" s="1"/>
  <c r="Q19" i="3"/>
  <c r="AS19" i="3" s="1"/>
  <c r="Q21" i="3"/>
  <c r="AS21" i="3" s="1"/>
  <c r="Q14" i="3"/>
  <c r="AS14" i="3" s="1"/>
  <c r="Q25" i="3"/>
  <c r="AS25" i="3" s="1"/>
  <c r="Q13" i="3"/>
  <c r="AS13" i="3" s="1"/>
  <c r="Q11" i="3"/>
  <c r="AS11" i="3" s="1"/>
  <c r="Q29" i="3"/>
  <c r="AS29" i="3" s="1"/>
  <c r="Q24" i="3"/>
  <c r="AS24" i="3" s="1"/>
  <c r="Q8" i="3"/>
  <c r="Q26" i="3"/>
  <c r="AS26" i="3" s="1"/>
  <c r="Q16" i="3"/>
  <c r="AS16" i="3" s="1"/>
  <c r="Q28" i="3"/>
  <c r="AS28" i="3" s="1"/>
  <c r="Q17" i="3"/>
  <c r="AS17" i="3" s="1"/>
  <c r="Q9" i="3"/>
  <c r="Q4" i="3"/>
  <c r="BG38" i="3" s="1"/>
  <c r="Q18" i="3"/>
  <c r="AS18" i="3" s="1"/>
  <c r="S12" i="3"/>
  <c r="V6" i="3"/>
  <c r="V23" i="3"/>
  <c r="V28" i="3"/>
  <c r="V17" i="3"/>
  <c r="V26" i="3"/>
  <c r="V29" i="3"/>
  <c r="V9" i="3"/>
  <c r="V13" i="3"/>
  <c r="V22" i="3"/>
  <c r="V12" i="3"/>
  <c r="V19" i="3"/>
  <c r="V18" i="3"/>
  <c r="V14" i="3"/>
  <c r="V16" i="3"/>
  <c r="V21" i="3"/>
  <c r="V15" i="3"/>
  <c r="V25" i="3"/>
  <c r="V30" i="3"/>
  <c r="V4" i="3"/>
  <c r="BM38" i="3" s="1"/>
  <c r="V27" i="3"/>
  <c r="V8" i="3"/>
  <c r="V10" i="3"/>
  <c r="AX10" i="3" s="1"/>
  <c r="V5" i="3"/>
  <c r="V11" i="3"/>
  <c r="V24" i="3"/>
  <c r="W7" i="3"/>
  <c r="R6" i="3"/>
  <c r="R15" i="3"/>
  <c r="R9" i="3"/>
  <c r="R23" i="3"/>
  <c r="R21" i="3"/>
  <c r="R26" i="3"/>
  <c r="R17" i="3"/>
  <c r="R16" i="3"/>
  <c r="R29" i="3"/>
  <c r="R13" i="3"/>
  <c r="R12" i="3"/>
  <c r="R19" i="3"/>
  <c r="R5" i="3"/>
  <c r="R4" i="3"/>
  <c r="BH38" i="3" s="1"/>
  <c r="R18" i="3"/>
  <c r="R25" i="3"/>
  <c r="R22" i="3"/>
  <c r="R27" i="3"/>
  <c r="R8" i="3"/>
  <c r="R24" i="3"/>
  <c r="R11" i="3"/>
  <c r="R14" i="3"/>
  <c r="R28" i="3"/>
  <c r="V20" i="3"/>
  <c r="U20" i="3"/>
  <c r="R7" i="3"/>
  <c r="AA8" i="7"/>
  <c r="BC8" i="7" s="1"/>
  <c r="AB8" i="7"/>
  <c r="BD8" i="7" s="1"/>
  <c r="W8" i="7"/>
  <c r="AY8" i="7" s="1"/>
  <c r="Y8" i="7"/>
  <c r="BA8" i="7" s="1"/>
  <c r="X8" i="7"/>
  <c r="AZ8" i="7" s="1"/>
  <c r="Z8" i="7"/>
  <c r="BB8" i="7" s="1"/>
  <c r="W6" i="7"/>
  <c r="AY6" i="7" s="1"/>
  <c r="X6" i="7"/>
  <c r="AZ6" i="7" s="1"/>
  <c r="Y6" i="7"/>
  <c r="BA6" i="7" s="1"/>
  <c r="Z6" i="7"/>
  <c r="BB6" i="7" s="1"/>
  <c r="AA6" i="7"/>
  <c r="BC6" i="7" s="1"/>
  <c r="AB6" i="7"/>
  <c r="BD6" i="7" s="1"/>
  <c r="Y7" i="7"/>
  <c r="BA7" i="7" s="1"/>
  <c r="Z7" i="7"/>
  <c r="BB7" i="7" s="1"/>
  <c r="AA7" i="7"/>
  <c r="BC7" i="7" s="1"/>
  <c r="AB7" i="7"/>
  <c r="BD7" i="7" s="1"/>
  <c r="W7" i="7"/>
  <c r="AY7" i="7" s="1"/>
  <c r="X7" i="7"/>
  <c r="AZ7" i="7" s="1"/>
  <c r="AI8" i="7"/>
  <c r="AG4" i="3"/>
  <c r="Y10" i="3"/>
  <c r="Z10" i="3"/>
  <c r="AA10" i="3"/>
  <c r="AB10" i="3"/>
  <c r="BD7" i="3"/>
  <c r="BC7" i="3"/>
  <c r="W20" i="1"/>
  <c r="W19" i="1" a="1"/>
  <c r="W19" i="1" s="1"/>
  <c r="AF4" i="3"/>
  <c r="AJ4" i="3"/>
  <c r="AJ7" i="7"/>
  <c r="AK8" i="7"/>
  <c r="AL7" i="7"/>
  <c r="AF6" i="7"/>
  <c r="AG8" i="7"/>
  <c r="AM4" i="3"/>
  <c r="BG7" i="3" s="1"/>
  <c r="AH7" i="7"/>
  <c r="AL8" i="7"/>
  <c r="AN4" i="3"/>
  <c r="BH7" i="3" s="1"/>
  <c r="AQ8" i="7"/>
  <c r="AR8" i="7"/>
  <c r="V7" i="7" s="1"/>
  <c r="AX7" i="7" s="1"/>
  <c r="AM8" i="7"/>
  <c r="AN8" i="7"/>
  <c r="AO8" i="7"/>
  <c r="AP8" i="7"/>
  <c r="T7" i="7" s="1"/>
  <c r="AV7" i="7" s="1"/>
  <c r="AO9" i="7"/>
  <c r="AN9" i="7"/>
  <c r="AM9" i="7"/>
  <c r="AQ9" i="7"/>
  <c r="AR9" i="7"/>
  <c r="AP9" i="7"/>
  <c r="AL9" i="7"/>
  <c r="AG9" i="7"/>
  <c r="AK9" i="7"/>
  <c r="AJ9" i="7"/>
  <c r="AF9" i="7"/>
  <c r="AI9" i="7"/>
  <c r="AH9" i="7"/>
  <c r="BC9" i="7"/>
  <c r="BD9" i="7"/>
  <c r="AY9" i="7"/>
  <c r="BB9" i="7"/>
  <c r="BA9" i="7"/>
  <c r="AZ9" i="7"/>
  <c r="AG7" i="7"/>
  <c r="AP7" i="7"/>
  <c r="AQ7" i="7"/>
  <c r="AR7" i="7"/>
  <c r="AM7" i="7"/>
  <c r="AN7" i="7"/>
  <c r="AO7" i="7"/>
  <c r="AK7" i="7"/>
  <c r="AJ8" i="7"/>
  <c r="W21" i="1"/>
  <c r="AF7" i="7"/>
  <c r="AF8" i="7"/>
  <c r="AE4" i="3"/>
  <c r="AH4" i="3"/>
  <c r="AE4" i="6"/>
  <c r="AL10" i="3"/>
  <c r="AL4" i="3" s="1"/>
  <c r="AK10" i="3"/>
  <c r="AK4" i="3" s="1"/>
  <c r="AI10" i="3"/>
  <c r="AI4" i="3" s="1"/>
  <c r="Z19" i="1" a="1"/>
  <c r="Z19" i="1" s="1"/>
  <c r="Z20" i="1"/>
  <c r="Z21" i="1"/>
  <c r="X13" i="1"/>
  <c r="N12" i="1"/>
  <c r="AT21" i="3" l="1"/>
  <c r="X21" i="3"/>
  <c r="AZ21" i="3" s="1"/>
  <c r="AT28" i="3"/>
  <c r="X28" i="3"/>
  <c r="AZ28" i="3" s="1"/>
  <c r="AT18" i="3"/>
  <c r="X18" i="3"/>
  <c r="AZ18" i="3" s="1"/>
  <c r="AT17" i="3"/>
  <c r="X17" i="3"/>
  <c r="AZ17" i="3" s="1"/>
  <c r="AX24" i="3"/>
  <c r="AB24" i="3"/>
  <c r="BD24" i="3" s="1"/>
  <c r="AX25" i="3"/>
  <c r="AB25" i="3"/>
  <c r="BD25" i="3" s="1"/>
  <c r="AX22" i="3"/>
  <c r="AB22" i="3"/>
  <c r="BD22" i="3" s="1"/>
  <c r="AX6" i="3"/>
  <c r="AB6" i="3"/>
  <c r="BD6" i="3" s="1"/>
  <c r="AV21" i="3"/>
  <c r="Z21" i="3"/>
  <c r="BB21" i="3" s="1"/>
  <c r="AV20" i="3"/>
  <c r="Z20" i="3"/>
  <c r="BB20" i="3" s="1"/>
  <c r="AV30" i="3"/>
  <c r="Z30" i="3"/>
  <c r="BB30" i="3" s="1"/>
  <c r="AU25" i="3"/>
  <c r="Y25" i="3"/>
  <c r="BA25" i="3" s="1"/>
  <c r="AU23" i="3"/>
  <c r="Y23" i="3"/>
  <c r="BA23" i="3" s="1"/>
  <c r="AU20" i="3"/>
  <c r="Y20" i="3"/>
  <c r="BA20" i="3" s="1"/>
  <c r="AW9" i="3"/>
  <c r="AA9" i="3"/>
  <c r="BC9" i="3" s="1"/>
  <c r="AW12" i="3"/>
  <c r="AA12" i="3"/>
  <c r="BC12" i="3" s="1"/>
  <c r="AW19" i="3"/>
  <c r="AA19" i="3"/>
  <c r="BC19" i="3" s="1"/>
  <c r="AT5" i="3"/>
  <c r="X5" i="3"/>
  <c r="AZ5" i="3" s="1"/>
  <c r="AT14" i="3"/>
  <c r="X14" i="3"/>
  <c r="AZ14" i="3" s="1"/>
  <c r="AT26" i="3"/>
  <c r="X26" i="3"/>
  <c r="AZ26" i="3" s="1"/>
  <c r="AX11" i="3"/>
  <c r="AB11" i="3"/>
  <c r="BD11" i="3" s="1"/>
  <c r="AX15" i="3"/>
  <c r="AB15" i="3"/>
  <c r="BD15" i="3" s="1"/>
  <c r="AX13" i="3"/>
  <c r="AB13" i="3"/>
  <c r="BD13" i="3" s="1"/>
  <c r="AU12" i="3"/>
  <c r="Y12" i="3"/>
  <c r="BA12" i="3" s="1"/>
  <c r="AS8" i="3"/>
  <c r="W8" i="3"/>
  <c r="AV29" i="3"/>
  <c r="Z29" i="3"/>
  <c r="BB29" i="3" s="1"/>
  <c r="AV12" i="3"/>
  <c r="Z12" i="3"/>
  <c r="BB12" i="3" s="1"/>
  <c r="AV5" i="3"/>
  <c r="Z5" i="3"/>
  <c r="BB5" i="3" s="1"/>
  <c r="AV19" i="3"/>
  <c r="Z19" i="3"/>
  <c r="BB19" i="3" s="1"/>
  <c r="AU27" i="3"/>
  <c r="Y27" i="3"/>
  <c r="BA27" i="3" s="1"/>
  <c r="AU26" i="3"/>
  <c r="Y26" i="3"/>
  <c r="BA26" i="3" s="1"/>
  <c r="AU9" i="3"/>
  <c r="Y9" i="3"/>
  <c r="BA9" i="3" s="1"/>
  <c r="AW18" i="3"/>
  <c r="AA18" i="3"/>
  <c r="BC18" i="3" s="1"/>
  <c r="AW23" i="3"/>
  <c r="AA23" i="3"/>
  <c r="BC23" i="3" s="1"/>
  <c r="AW30" i="3"/>
  <c r="AA30" i="3"/>
  <c r="BC30" i="3" s="1"/>
  <c r="AX5" i="3"/>
  <c r="AB5" i="3"/>
  <c r="BD5" i="3" s="1"/>
  <c r="AV24" i="3"/>
  <c r="Z24" i="3"/>
  <c r="BB24" i="3" s="1"/>
  <c r="AT24" i="3"/>
  <c r="X24" i="3"/>
  <c r="AZ24" i="3" s="1"/>
  <c r="AT19" i="3"/>
  <c r="X19" i="3"/>
  <c r="AZ19" i="3" s="1"/>
  <c r="AT23" i="3"/>
  <c r="X23" i="3"/>
  <c r="AZ23" i="3" s="1"/>
  <c r="AX16" i="3"/>
  <c r="AB16" i="3"/>
  <c r="BD16" i="3" s="1"/>
  <c r="AX29" i="3"/>
  <c r="AB29" i="3"/>
  <c r="BD29" i="3" s="1"/>
  <c r="AS6" i="3"/>
  <c r="W6" i="3"/>
  <c r="AV9" i="3"/>
  <c r="Z9" i="3"/>
  <c r="BB9" i="3" s="1"/>
  <c r="AV25" i="3"/>
  <c r="Z25" i="3"/>
  <c r="BB25" i="3" s="1"/>
  <c r="AV26" i="3"/>
  <c r="Z26" i="3"/>
  <c r="BB26" i="3" s="1"/>
  <c r="AU5" i="3"/>
  <c r="Y5" i="3"/>
  <c r="BA5" i="3" s="1"/>
  <c r="AU22" i="3"/>
  <c r="Y22" i="3"/>
  <c r="BA22" i="3" s="1"/>
  <c r="AW25" i="3"/>
  <c r="AA25" i="3"/>
  <c r="BC25" i="3" s="1"/>
  <c r="AW21" i="3"/>
  <c r="AA21" i="3"/>
  <c r="BC21" i="3" s="1"/>
  <c r="AW15" i="3"/>
  <c r="AA15" i="3"/>
  <c r="BC15" i="3" s="1"/>
  <c r="AX21" i="3"/>
  <c r="AB21" i="3"/>
  <c r="BD21" i="3" s="1"/>
  <c r="AV6" i="3"/>
  <c r="Z6" i="3"/>
  <c r="BB6" i="3" s="1"/>
  <c r="AW8" i="3"/>
  <c r="AA8" i="3"/>
  <c r="BC8" i="3" s="1"/>
  <c r="AT8" i="3"/>
  <c r="X8" i="3"/>
  <c r="AZ8" i="3" s="1"/>
  <c r="AT12" i="3"/>
  <c r="X12" i="3"/>
  <c r="AZ12" i="3" s="1"/>
  <c r="AT9" i="3"/>
  <c r="X9" i="3"/>
  <c r="AZ9" i="3" s="1"/>
  <c r="AX8" i="3"/>
  <c r="AB8" i="3"/>
  <c r="BD8" i="3" s="1"/>
  <c r="AX14" i="3"/>
  <c r="AB14" i="3"/>
  <c r="BD14" i="3" s="1"/>
  <c r="AX26" i="3"/>
  <c r="AB26" i="3"/>
  <c r="BD26" i="3" s="1"/>
  <c r="AS9" i="3"/>
  <c r="W9" i="3"/>
  <c r="AV23" i="3"/>
  <c r="Z23" i="3"/>
  <c r="BB23" i="3" s="1"/>
  <c r="AV13" i="3"/>
  <c r="Z13" i="3"/>
  <c r="BB13" i="3" s="1"/>
  <c r="AU14" i="3"/>
  <c r="Y14" i="3"/>
  <c r="BA14" i="3" s="1"/>
  <c r="AU24" i="3"/>
  <c r="Y24" i="3"/>
  <c r="BA24" i="3" s="1"/>
  <c r="AU21" i="3"/>
  <c r="Y21" i="3"/>
  <c r="BA21" i="3" s="1"/>
  <c r="AW26" i="3"/>
  <c r="AA26" i="3"/>
  <c r="BC26" i="3" s="1"/>
  <c r="AW14" i="3"/>
  <c r="AA14" i="3"/>
  <c r="BC14" i="3" s="1"/>
  <c r="AW28" i="3"/>
  <c r="AA28" i="3"/>
  <c r="BC28" i="3" s="1"/>
  <c r="AT11" i="3"/>
  <c r="X11" i="3"/>
  <c r="AZ11" i="3" s="1"/>
  <c r="AU29" i="3"/>
  <c r="Y29" i="3"/>
  <c r="BA29" i="3" s="1"/>
  <c r="AT7" i="3"/>
  <c r="X7" i="3"/>
  <c r="AZ7" i="3" s="1"/>
  <c r="AT27" i="3"/>
  <c r="X27" i="3"/>
  <c r="AZ27" i="3" s="1"/>
  <c r="AT13" i="3"/>
  <c r="X13" i="3"/>
  <c r="AZ13" i="3" s="1"/>
  <c r="AT15" i="3"/>
  <c r="X15" i="3"/>
  <c r="AZ15" i="3" s="1"/>
  <c r="AX27" i="3"/>
  <c r="AB27" i="3"/>
  <c r="BD27" i="3" s="1"/>
  <c r="AX18" i="3"/>
  <c r="AB18" i="3"/>
  <c r="BD18" i="3" s="1"/>
  <c r="AX17" i="3"/>
  <c r="AB17" i="3"/>
  <c r="BD17" i="3" s="1"/>
  <c r="AV18" i="3"/>
  <c r="Z18" i="3"/>
  <c r="BB18" i="3" s="1"/>
  <c r="AV16" i="3"/>
  <c r="Z16" i="3"/>
  <c r="BB16" i="3" s="1"/>
  <c r="AV11" i="3"/>
  <c r="Z11" i="3"/>
  <c r="BB11" i="3" s="1"/>
  <c r="AU17" i="3"/>
  <c r="Y17" i="3"/>
  <c r="BA17" i="3" s="1"/>
  <c r="AU15" i="3"/>
  <c r="Y15" i="3"/>
  <c r="BA15" i="3" s="1"/>
  <c r="AU6" i="3"/>
  <c r="Y6" i="3"/>
  <c r="BA6" i="3" s="1"/>
  <c r="AW22" i="3"/>
  <c r="AA22" i="3"/>
  <c r="BC22" i="3" s="1"/>
  <c r="AW16" i="3"/>
  <c r="AA16" i="3"/>
  <c r="BC16" i="3" s="1"/>
  <c r="AW5" i="3"/>
  <c r="AA5" i="3"/>
  <c r="BC5" i="3" s="1"/>
  <c r="AV17" i="3"/>
  <c r="Z17" i="3"/>
  <c r="BB17" i="3" s="1"/>
  <c r="AU16" i="3"/>
  <c r="Y16" i="3"/>
  <c r="BA16" i="3" s="1"/>
  <c r="AW13" i="3"/>
  <c r="AA13" i="3"/>
  <c r="BC13" i="3" s="1"/>
  <c r="AW20" i="3"/>
  <c r="AA20" i="3"/>
  <c r="BC20" i="3" s="1"/>
  <c r="AT22" i="3"/>
  <c r="X22" i="3"/>
  <c r="AZ22" i="3" s="1"/>
  <c r="AT29" i="3"/>
  <c r="X29" i="3"/>
  <c r="AZ29" i="3" s="1"/>
  <c r="AT6" i="3"/>
  <c r="X6" i="3"/>
  <c r="AZ6" i="3" s="1"/>
  <c r="AX19" i="3"/>
  <c r="AB19" i="3"/>
  <c r="BD19" i="3" s="1"/>
  <c r="AX28" i="3"/>
  <c r="AB28" i="3"/>
  <c r="BD28" i="3" s="1"/>
  <c r="AV28" i="3"/>
  <c r="Z28" i="3"/>
  <c r="BB28" i="3" s="1"/>
  <c r="AV22" i="3"/>
  <c r="Z22" i="3"/>
  <c r="BB22" i="3" s="1"/>
  <c r="AU19" i="3"/>
  <c r="Y19" i="3"/>
  <c r="BA19" i="3" s="1"/>
  <c r="AU18" i="3"/>
  <c r="Y18" i="3"/>
  <c r="BA18" i="3" s="1"/>
  <c r="AU28" i="3"/>
  <c r="Y28" i="3"/>
  <c r="BA28" i="3" s="1"/>
  <c r="AW17" i="3"/>
  <c r="AA17" i="3"/>
  <c r="BC17" i="3" s="1"/>
  <c r="AW11" i="3"/>
  <c r="AA11" i="3"/>
  <c r="BC11" i="3" s="1"/>
  <c r="AX9" i="3"/>
  <c r="AB9" i="3"/>
  <c r="BD9" i="3" s="1"/>
  <c r="AV15" i="3"/>
  <c r="Z15" i="3"/>
  <c r="BB15" i="3" s="1"/>
  <c r="AU13" i="3"/>
  <c r="Y13" i="3"/>
  <c r="BA13" i="3" s="1"/>
  <c r="AW27" i="3"/>
  <c r="AA27" i="3"/>
  <c r="BC27" i="3" s="1"/>
  <c r="AX20" i="3"/>
  <c r="AB20" i="3"/>
  <c r="BD20" i="3" s="1"/>
  <c r="AT25" i="3"/>
  <c r="X25" i="3"/>
  <c r="AZ25" i="3" s="1"/>
  <c r="AT16" i="3"/>
  <c r="X16" i="3"/>
  <c r="AZ16" i="3" s="1"/>
  <c r="AX30" i="3"/>
  <c r="AB30" i="3"/>
  <c r="BD30" i="3" s="1"/>
  <c r="AX12" i="3"/>
  <c r="AB12" i="3"/>
  <c r="BD12" i="3" s="1"/>
  <c r="AX23" i="3"/>
  <c r="AB23" i="3"/>
  <c r="BD23" i="3" s="1"/>
  <c r="AS5" i="3"/>
  <c r="W5" i="3"/>
  <c r="AV14" i="3"/>
  <c r="Z14" i="3"/>
  <c r="BB14" i="3" s="1"/>
  <c r="AV27" i="3"/>
  <c r="Z27" i="3"/>
  <c r="BB27" i="3" s="1"/>
  <c r="AV8" i="3"/>
  <c r="Z8" i="3"/>
  <c r="BB8" i="3" s="1"/>
  <c r="AU11" i="3"/>
  <c r="Y11" i="3"/>
  <c r="BA11" i="3" s="1"/>
  <c r="AU8" i="3"/>
  <c r="Y8" i="3"/>
  <c r="BA8" i="3" s="1"/>
  <c r="BL38" i="3"/>
  <c r="AW24" i="3"/>
  <c r="AA24" i="3"/>
  <c r="BC24" i="3" s="1"/>
  <c r="AW29" i="3"/>
  <c r="AA29" i="3"/>
  <c r="BC29" i="3" s="1"/>
  <c r="AW6" i="3"/>
  <c r="AA6" i="3"/>
  <c r="BC6" i="3" s="1"/>
  <c r="BJ9" i="3"/>
  <c r="BI9" i="3"/>
  <c r="BH9" i="3"/>
  <c r="BG9" i="3"/>
  <c r="BM9" i="3"/>
  <c r="BK9" i="3"/>
  <c r="AI4" i="7"/>
  <c r="Q29" i="7"/>
  <c r="AS29" i="7" s="1"/>
  <c r="Q24" i="7"/>
  <c r="AS24" i="7" s="1"/>
  <c r="Q12" i="7"/>
  <c r="AS12" i="7" s="1"/>
  <c r="Q25" i="7"/>
  <c r="AS25" i="7" s="1"/>
  <c r="Q26" i="7"/>
  <c r="AS26" i="7" s="1"/>
  <c r="Q9" i="7"/>
  <c r="AS9" i="7" s="1"/>
  <c r="Q14" i="7"/>
  <c r="AS14" i="7" s="1"/>
  <c r="Q11" i="7"/>
  <c r="AS11" i="7" s="1"/>
  <c r="Q6" i="7"/>
  <c r="AS6" i="7" s="1"/>
  <c r="Q8" i="7"/>
  <c r="AS8" i="7" s="1"/>
  <c r="Q21" i="7"/>
  <c r="AS21" i="7" s="1"/>
  <c r="Q28" i="7"/>
  <c r="AS28" i="7" s="1"/>
  <c r="Q20" i="7"/>
  <c r="AS20" i="7" s="1"/>
  <c r="Q17" i="7"/>
  <c r="AS17" i="7" s="1"/>
  <c r="Q5" i="7"/>
  <c r="AS5" i="7" s="1"/>
  <c r="Q22" i="7"/>
  <c r="AS22" i="7" s="1"/>
  <c r="Q13" i="7"/>
  <c r="AS13" i="7" s="1"/>
  <c r="AM4" i="7"/>
  <c r="Q18" i="7"/>
  <c r="AS18" i="7" s="1"/>
  <c r="Q19" i="7"/>
  <c r="Q16" i="7"/>
  <c r="AS16" i="7" s="1"/>
  <c r="Q27" i="7"/>
  <c r="AS27" i="7" s="1"/>
  <c r="V24" i="7"/>
  <c r="AX24" i="7" s="1"/>
  <c r="V10" i="7"/>
  <c r="AX10" i="7" s="1"/>
  <c r="V9" i="7"/>
  <c r="AX9" i="7" s="1"/>
  <c r="V5" i="7"/>
  <c r="AX5" i="7" s="1"/>
  <c r="V13" i="7"/>
  <c r="AX13" i="7" s="1"/>
  <c r="V8" i="7"/>
  <c r="AX8" i="7" s="1"/>
  <c r="V30" i="7"/>
  <c r="AX30" i="7" s="1"/>
  <c r="V6" i="7"/>
  <c r="AX6" i="7" s="1"/>
  <c r="V15" i="7"/>
  <c r="AX15" i="7" s="1"/>
  <c r="V19" i="7"/>
  <c r="AX19" i="7" s="1"/>
  <c r="V20" i="7"/>
  <c r="AX20" i="7" s="1"/>
  <c r="V21" i="7"/>
  <c r="AX21" i="7" s="1"/>
  <c r="V22" i="7"/>
  <c r="AX22" i="7" s="1"/>
  <c r="V16" i="7"/>
  <c r="AX16" i="7" s="1"/>
  <c r="V17" i="7"/>
  <c r="AX17" i="7" s="1"/>
  <c r="V18" i="7"/>
  <c r="AX18" i="7" s="1"/>
  <c r="V26" i="7"/>
  <c r="AX26" i="7" s="1"/>
  <c r="V29" i="7"/>
  <c r="AX29" i="7" s="1"/>
  <c r="V27" i="7"/>
  <c r="AX27" i="7" s="1"/>
  <c r="V11" i="7"/>
  <c r="AX11" i="7" s="1"/>
  <c r="V25" i="7"/>
  <c r="AX25" i="7" s="1"/>
  <c r="V23" i="7"/>
  <c r="AX23" i="7" s="1"/>
  <c r="V28" i="7"/>
  <c r="AX28" i="7" s="1"/>
  <c r="V14" i="7"/>
  <c r="AX14" i="7" s="1"/>
  <c r="V12" i="7"/>
  <c r="AX12" i="7" s="1"/>
  <c r="S7" i="7"/>
  <c r="AU7" i="7" s="1"/>
  <c r="U12" i="7"/>
  <c r="AW12" i="7" s="1"/>
  <c r="U13" i="7"/>
  <c r="AW13" i="7" s="1"/>
  <c r="U10" i="7"/>
  <c r="AW10" i="7" s="1"/>
  <c r="U9" i="7"/>
  <c r="AW9" i="7" s="1"/>
  <c r="U6" i="7"/>
  <c r="AW6" i="7" s="1"/>
  <c r="U30" i="7"/>
  <c r="AW30" i="7" s="1"/>
  <c r="U21" i="7"/>
  <c r="AW21" i="7" s="1"/>
  <c r="U18" i="7"/>
  <c r="AW18" i="7" s="1"/>
  <c r="U5" i="7"/>
  <c r="AW5" i="7" s="1"/>
  <c r="U20" i="7"/>
  <c r="AW20" i="7" s="1"/>
  <c r="U17" i="7"/>
  <c r="AW17" i="7" s="1"/>
  <c r="U19" i="7"/>
  <c r="AW19" i="7" s="1"/>
  <c r="U16" i="7"/>
  <c r="AW16" i="7" s="1"/>
  <c r="U8" i="7"/>
  <c r="AW8" i="7" s="1"/>
  <c r="U15" i="7"/>
  <c r="AW15" i="7" s="1"/>
  <c r="U22" i="7"/>
  <c r="AW22" i="7" s="1"/>
  <c r="U29" i="7"/>
  <c r="AW29" i="7" s="1"/>
  <c r="U26" i="7"/>
  <c r="AW26" i="7" s="1"/>
  <c r="U27" i="7"/>
  <c r="AW27" i="7" s="1"/>
  <c r="U28" i="7"/>
  <c r="AW28" i="7" s="1"/>
  <c r="U25" i="7"/>
  <c r="AW25" i="7" s="1"/>
  <c r="U11" i="7"/>
  <c r="AW11" i="7" s="1"/>
  <c r="U23" i="7"/>
  <c r="AW23" i="7" s="1"/>
  <c r="U24" i="7"/>
  <c r="AW24" i="7" s="1"/>
  <c r="U14" i="7"/>
  <c r="AW14" i="7" s="1"/>
  <c r="R7" i="7"/>
  <c r="AT7" i="7" s="1"/>
  <c r="AP4" i="7"/>
  <c r="T15" i="7"/>
  <c r="AV15" i="7" s="1"/>
  <c r="T20" i="7"/>
  <c r="AV20" i="7" s="1"/>
  <c r="T21" i="7"/>
  <c r="AV21" i="7" s="1"/>
  <c r="T27" i="7"/>
  <c r="AV27" i="7" s="1"/>
  <c r="T16" i="7"/>
  <c r="AV16" i="7" s="1"/>
  <c r="T17" i="7"/>
  <c r="AV17" i="7" s="1"/>
  <c r="T23" i="7"/>
  <c r="AV23" i="7" s="1"/>
  <c r="T25" i="7"/>
  <c r="AV25" i="7" s="1"/>
  <c r="T29" i="7"/>
  <c r="AV29" i="7" s="1"/>
  <c r="T12" i="7"/>
  <c r="AV12" i="7" s="1"/>
  <c r="T28" i="7"/>
  <c r="AV28" i="7" s="1"/>
  <c r="T10" i="7"/>
  <c r="AV10" i="7" s="1"/>
  <c r="T9" i="7"/>
  <c r="AV9" i="7" s="1"/>
  <c r="T24" i="7"/>
  <c r="AV24" i="7" s="1"/>
  <c r="T26" i="7"/>
  <c r="AV26" i="7" s="1"/>
  <c r="T13" i="7"/>
  <c r="AV13" i="7" s="1"/>
  <c r="T11" i="7"/>
  <c r="AV11" i="7" s="1"/>
  <c r="T5" i="7"/>
  <c r="AV5" i="7" s="1"/>
  <c r="T18" i="7"/>
  <c r="AV18" i="7" s="1"/>
  <c r="T6" i="7"/>
  <c r="AV6" i="7" s="1"/>
  <c r="T8" i="7"/>
  <c r="AV8" i="7" s="1"/>
  <c r="T19" i="7"/>
  <c r="AV19" i="7" s="1"/>
  <c r="T30" i="7"/>
  <c r="AV30" i="7" s="1"/>
  <c r="T22" i="7"/>
  <c r="AV22" i="7" s="1"/>
  <c r="T14" i="7"/>
  <c r="AV14" i="7" s="1"/>
  <c r="Q7" i="7"/>
  <c r="AS7" i="7" s="1"/>
  <c r="U7" i="7"/>
  <c r="AW7" i="7" s="1"/>
  <c r="S10" i="7"/>
  <c r="S17" i="7"/>
  <c r="AU17" i="7" s="1"/>
  <c r="S18" i="7"/>
  <c r="AU18" i="7" s="1"/>
  <c r="S26" i="7"/>
  <c r="AU26" i="7" s="1"/>
  <c r="S27" i="7"/>
  <c r="AU27" i="7" s="1"/>
  <c r="S28" i="7"/>
  <c r="AU28" i="7" s="1"/>
  <c r="S11" i="7"/>
  <c r="AU11" i="7" s="1"/>
  <c r="S23" i="7"/>
  <c r="AU23" i="7" s="1"/>
  <c r="S24" i="7"/>
  <c r="AU24" i="7" s="1"/>
  <c r="S8" i="7"/>
  <c r="AU8" i="7" s="1"/>
  <c r="S12" i="7"/>
  <c r="AU12" i="7" s="1"/>
  <c r="S13" i="7"/>
  <c r="AU13" i="7" s="1"/>
  <c r="S21" i="7"/>
  <c r="AU21" i="7" s="1"/>
  <c r="S9" i="7"/>
  <c r="AU9" i="7" s="1"/>
  <c r="S6" i="7"/>
  <c r="AU6" i="7" s="1"/>
  <c r="S5" i="7"/>
  <c r="AU5" i="7" s="1"/>
  <c r="S29" i="7"/>
  <c r="AU29" i="7" s="1"/>
  <c r="S25" i="7"/>
  <c r="AU25" i="7" s="1"/>
  <c r="S19" i="7"/>
  <c r="AU19" i="7" s="1"/>
  <c r="S20" i="7"/>
  <c r="AU20" i="7" s="1"/>
  <c r="S14" i="7"/>
  <c r="AU14" i="7" s="1"/>
  <c r="S15" i="7"/>
  <c r="AU15" i="7" s="1"/>
  <c r="S16" i="7"/>
  <c r="AU16" i="7" s="1"/>
  <c r="S22" i="7"/>
  <c r="AU22" i="7" s="1"/>
  <c r="R11" i="7"/>
  <c r="AT11" i="7" s="1"/>
  <c r="R12" i="7"/>
  <c r="AT12" i="7" s="1"/>
  <c r="R14" i="7"/>
  <c r="AT14" i="7" s="1"/>
  <c r="R5" i="7"/>
  <c r="AT5" i="7" s="1"/>
  <c r="R8" i="7"/>
  <c r="AT8" i="7" s="1"/>
  <c r="R9" i="7"/>
  <c r="AT9" i="7" s="1"/>
  <c r="R19" i="7"/>
  <c r="AT19" i="7" s="1"/>
  <c r="R28" i="7"/>
  <c r="AT28" i="7" s="1"/>
  <c r="R24" i="7"/>
  <c r="AT24" i="7" s="1"/>
  <c r="R15" i="7"/>
  <c r="AT15" i="7" s="1"/>
  <c r="R6" i="7"/>
  <c r="AT6" i="7" s="1"/>
  <c r="AN4" i="7"/>
  <c r="R22" i="7"/>
  <c r="AT22" i="7" s="1"/>
  <c r="R13" i="7"/>
  <c r="AT13" i="7" s="1"/>
  <c r="R20" i="7"/>
  <c r="AT20" i="7" s="1"/>
  <c r="R18" i="7"/>
  <c r="AT18" i="7" s="1"/>
  <c r="R21" i="7"/>
  <c r="AT21" i="7" s="1"/>
  <c r="R16" i="7"/>
  <c r="AT16" i="7" s="1"/>
  <c r="R17" i="7"/>
  <c r="AT17" i="7" s="1"/>
  <c r="R27" i="7"/>
  <c r="AT27" i="7" s="1"/>
  <c r="R29" i="7"/>
  <c r="AT29" i="7" s="1"/>
  <c r="R26" i="7"/>
  <c r="AT26" i="7" s="1"/>
  <c r="R23" i="7"/>
  <c r="AT23" i="7" s="1"/>
  <c r="R25" i="7"/>
  <c r="AT25" i="7" s="1"/>
  <c r="AQ4" i="3"/>
  <c r="BK7" i="3" s="1"/>
  <c r="AP4" i="3"/>
  <c r="BJ7" i="3" s="1"/>
  <c r="AR4" i="3"/>
  <c r="BM7" i="3" s="1"/>
  <c r="AO4" i="3"/>
  <c r="BI7" i="3" s="1"/>
  <c r="AX4" i="3"/>
  <c r="BD10" i="3"/>
  <c r="BC10" i="3"/>
  <c r="BB10" i="3"/>
  <c r="BA10" i="3"/>
  <c r="AJ4" i="7"/>
  <c r="AH4" i="7"/>
  <c r="AG4" i="7"/>
  <c r="AL4" i="7"/>
  <c r="AK4" i="7"/>
  <c r="AF4" i="7"/>
  <c r="AO4" i="7"/>
  <c r="BC4" i="7"/>
  <c r="BK8" i="7" s="1"/>
  <c r="AZ4" i="7"/>
  <c r="BH8" i="7" s="1"/>
  <c r="BB4" i="7"/>
  <c r="BJ8" i="7" s="1"/>
  <c r="AR4" i="7"/>
  <c r="AY4" i="7"/>
  <c r="BG8" i="7" s="1"/>
  <c r="BD4" i="7"/>
  <c r="BM8" i="7" s="1"/>
  <c r="AQ4" i="7"/>
  <c r="BA4" i="7"/>
  <c r="BI8" i="7" s="1"/>
  <c r="X12" i="1"/>
  <c r="N11" i="1"/>
  <c r="AZ4" i="3" l="1"/>
  <c r="BH8" i="3" s="1"/>
  <c r="BB4" i="3"/>
  <c r="BJ8" i="3" s="1"/>
  <c r="BA4" i="3"/>
  <c r="BI8" i="3" s="1"/>
  <c r="BL7" i="3"/>
  <c r="BC4" i="3"/>
  <c r="BK8" i="3" s="1"/>
  <c r="BD4" i="3"/>
  <c r="BM8" i="3" s="1"/>
  <c r="BL8" i="7"/>
  <c r="BG20" i="7" s="1"/>
  <c r="BJ9" i="7"/>
  <c r="BM9" i="7"/>
  <c r="BI9" i="7"/>
  <c r="BH9" i="7"/>
  <c r="BK9" i="7"/>
  <c r="BG9" i="7"/>
  <c r="BL9" i="3"/>
  <c r="BL8" i="3"/>
  <c r="AV4" i="7"/>
  <c r="AS4" i="7"/>
  <c r="AT4" i="7"/>
  <c r="AU4" i="7"/>
  <c r="AW4" i="7"/>
  <c r="AX4" i="7"/>
  <c r="AS4" i="3"/>
  <c r="AT4" i="3"/>
  <c r="AW4" i="3"/>
  <c r="AV4" i="3"/>
  <c r="AU4" i="3"/>
  <c r="X11" i="1"/>
  <c r="N10" i="1"/>
  <c r="C10" i="9" s="1"/>
  <c r="AE10" i="9" s="1"/>
  <c r="BG21" i="7" l="1"/>
  <c r="BL9" i="7"/>
  <c r="C10" i="7"/>
  <c r="AE10" i="7" s="1"/>
  <c r="C10" i="8"/>
  <c r="AE10" i="8" s="1"/>
  <c r="X10" i="1"/>
  <c r="N9" i="1"/>
  <c r="C9" i="9" s="1"/>
  <c r="AE9" i="9" s="1"/>
  <c r="C9" i="7" l="1"/>
  <c r="AE9" i="7" s="1"/>
  <c r="C9" i="8"/>
  <c r="AE9" i="8" s="1"/>
  <c r="X9" i="1"/>
  <c r="N8" i="1"/>
  <c r="C8" i="9" s="1"/>
  <c r="AE8" i="9" s="1"/>
  <c r="C8" i="7" l="1"/>
  <c r="AE8" i="7" s="1"/>
  <c r="C8" i="8"/>
  <c r="AE8" i="8" s="1"/>
  <c r="X8" i="1"/>
  <c r="N7" i="1"/>
  <c r="C7" i="9" s="1"/>
  <c r="AE7" i="9" s="1"/>
  <c r="C7" i="7" l="1"/>
  <c r="AE7" i="7" s="1"/>
  <c r="C7" i="8"/>
  <c r="AE7" i="8" s="1"/>
  <c r="X7" i="1"/>
  <c r="N6" i="1"/>
  <c r="C6" i="9" s="1"/>
  <c r="AE6" i="9" s="1"/>
  <c r="C6" i="7" l="1"/>
  <c r="AE6" i="7" s="1"/>
  <c r="C6" i="8"/>
  <c r="AE6" i="8" s="1"/>
  <c r="X6" i="1"/>
  <c r="N5" i="1" l="1"/>
  <c r="C5" i="9" s="1"/>
  <c r="AE5" i="9" s="1"/>
  <c r="AE4" i="9" s="1"/>
  <c r="C5" i="7" l="1"/>
  <c r="AE5" i="7" s="1"/>
  <c r="AE4" i="7" s="1"/>
  <c r="C5" i="8"/>
  <c r="AE5" i="8" s="1"/>
  <c r="AE4" i="8" s="1"/>
  <c r="X5" i="1"/>
  <c r="X19" i="1" l="1" a="1"/>
  <c r="X19" i="1" s="1"/>
  <c r="X21" i="1"/>
  <c r="X20" i="1"/>
  <c r="AY8" i="3"/>
  <c r="AY9" i="3"/>
  <c r="AY7" i="3"/>
  <c r="W29" i="3"/>
  <c r="AY29" i="3" s="1"/>
  <c r="W27" i="3"/>
  <c r="AY27" i="3" s="1"/>
  <c r="W12" i="3"/>
  <c r="AY12" i="3" s="1"/>
  <c r="W18" i="3"/>
  <c r="AY18" i="3" s="1"/>
  <c r="W28" i="3"/>
  <c r="AY28" i="3" s="1"/>
  <c r="W24" i="3"/>
  <c r="AY24" i="3" s="1"/>
  <c r="W11" i="3"/>
  <c r="AY11" i="3" s="1"/>
  <c r="AY6" i="3"/>
  <c r="W25" i="3"/>
  <c r="AY25" i="3" s="1"/>
  <c r="W21" i="3"/>
  <c r="AY21" i="3" s="1"/>
  <c r="W16" i="3"/>
  <c r="AY16" i="3" s="1"/>
  <c r="W14" i="3"/>
  <c r="AY14" i="3" s="1"/>
  <c r="W19" i="3"/>
  <c r="AY19" i="3" s="1"/>
  <c r="W13" i="3"/>
  <c r="AY13" i="3" s="1"/>
  <c r="W17" i="3"/>
  <c r="W22" i="3"/>
  <c r="AY22" i="3" s="1"/>
  <c r="W20" i="3"/>
  <c r="AY20" i="3" s="1"/>
  <c r="AY5" i="3"/>
  <c r="W26" i="3"/>
  <c r="AY26" i="3" s="1"/>
  <c r="AY4" i="3" l="1"/>
  <c r="BG8" i="3" s="1"/>
  <c r="BG21" i="3" l="1"/>
  <c r="BG20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danny</author>
  </authors>
  <commentList>
    <comment ref="Q2" authorId="0" shapeId="0" xr:uid="{76DC3464-0C2A-4F13-86D1-3823AA673167}">
      <text>
        <r>
          <rPr>
            <b/>
            <sz val="9"/>
            <color indexed="81"/>
            <rFont val="Tahoma"/>
            <family val="2"/>
          </rPr>
          <t>Note:</t>
        </r>
        <r>
          <rPr>
            <sz val="9"/>
            <color indexed="81"/>
            <rFont val="Tahoma"/>
            <family val="2"/>
          </rPr>
          <t xml:space="preserve">
The overall bias estimate excludes this election's poll bias.</t>
        </r>
      </text>
    </comment>
    <comment ref="Q4" authorId="0" shapeId="0" xr:uid="{AAF643D9-4204-45C8-B142-1E055868C376}">
      <text>
        <r>
          <rPr>
            <sz val="9"/>
            <color indexed="81"/>
            <rFont val="Tahoma"/>
            <family val="2"/>
          </rPr>
          <t>Average bias in polls (Positive numbers indicate polls overestimated values, and vice versa)</t>
        </r>
      </text>
    </comment>
    <comment ref="BE12" authorId="0" shapeId="0" xr:uid="{266FC555-3B29-4E34-9A28-5102E7F18710}">
      <text>
        <r>
          <rPr>
            <b/>
            <sz val="9"/>
            <color indexed="81"/>
            <rFont val="Tahoma"/>
            <family val="2"/>
          </rPr>
          <t>To recalculate this with new data, you need to have Excel's Solver add-in, then solve to minimize $BN$13 while varying $BG$16:$BG$18.</t>
        </r>
      </text>
    </comment>
    <comment ref="BE40" authorId="0" shapeId="0" xr:uid="{9458E292-A319-4886-B443-E17CC7D50AC7}">
      <text>
        <r>
          <rPr>
            <sz val="9"/>
            <color indexed="81"/>
            <rFont val="Tahoma"/>
            <family val="2"/>
          </rPr>
          <t>i.e. how much the linear estimate of poll bias deviates from actual poll bias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danny</author>
  </authors>
  <commentList>
    <comment ref="Q2" authorId="0" shapeId="0" xr:uid="{61E6CAD6-2446-497A-BE49-384B343FAE53}">
      <text>
        <r>
          <rPr>
            <b/>
            <sz val="9"/>
            <color indexed="81"/>
            <rFont val="Tahoma"/>
            <family val="2"/>
          </rPr>
          <t>Note:</t>
        </r>
        <r>
          <rPr>
            <sz val="9"/>
            <color indexed="81"/>
            <rFont val="Tahoma"/>
            <family val="2"/>
          </rPr>
          <t xml:space="preserve">
The overall bias estimate excludes this election's poll bias.</t>
        </r>
      </text>
    </comment>
    <comment ref="Q4" authorId="0" shapeId="0" xr:uid="{9099CB1F-046F-4D2E-B4D2-E3AE4AC8B03D}">
      <text>
        <r>
          <rPr>
            <sz val="9"/>
            <color indexed="81"/>
            <rFont val="Tahoma"/>
            <family val="2"/>
          </rPr>
          <t>Average bias in polls (Positive numbers indicate polls overestimated values, and vice versa)</t>
        </r>
      </text>
    </comment>
    <comment ref="BE12" authorId="0" shapeId="0" xr:uid="{E81790DC-3874-4500-BBB5-D016BA338A27}">
      <text>
        <r>
          <rPr>
            <b/>
            <sz val="9"/>
            <color indexed="81"/>
            <rFont val="Tahoma"/>
            <family val="2"/>
          </rPr>
          <t>To recalculate this with new data, you need to have Excel's Solver add-in, then solve to minimize $BN$13 while varying $BG$16:$BG$18.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danny</author>
  </authors>
  <commentList>
    <comment ref="Q2" authorId="0" shapeId="0" xr:uid="{48C94A69-0B7C-4645-9289-52EC030B3F02}">
      <text>
        <r>
          <rPr>
            <b/>
            <sz val="9"/>
            <color indexed="81"/>
            <rFont val="Tahoma"/>
            <family val="2"/>
          </rPr>
          <t>Note:</t>
        </r>
        <r>
          <rPr>
            <sz val="9"/>
            <color indexed="81"/>
            <rFont val="Tahoma"/>
            <family val="2"/>
          </rPr>
          <t xml:space="preserve">
The overall bias estimate excludes this election's poll bias.</t>
        </r>
      </text>
    </comment>
    <comment ref="Q4" authorId="0" shapeId="0" xr:uid="{6B692352-BC68-4ED0-B83E-EC58F64BB301}">
      <text>
        <r>
          <rPr>
            <sz val="9"/>
            <color indexed="81"/>
            <rFont val="Tahoma"/>
            <family val="2"/>
          </rPr>
          <t>Average bias in polls (Positive numbers indicate polls overestimated values, and vice versa)</t>
        </r>
      </text>
    </comment>
    <comment ref="BE12" authorId="0" shapeId="0" xr:uid="{C4673E41-D979-40E1-A669-100FFD420041}">
      <text>
        <r>
          <rPr>
            <b/>
            <sz val="9"/>
            <color indexed="81"/>
            <rFont val="Tahoma"/>
            <family val="2"/>
          </rPr>
          <t>To recalculate this with new data, you need to have Excel's Solver add-in, then solve to minimize $BN$13 while varying $BG$16:$BG$18.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danny</author>
  </authors>
  <commentList>
    <comment ref="Q2" authorId="0" shapeId="0" xr:uid="{D4802CE2-060A-4F53-8295-542F795D7BD2}">
      <text>
        <r>
          <rPr>
            <b/>
            <sz val="9"/>
            <color indexed="81"/>
            <rFont val="Tahoma"/>
            <family val="2"/>
          </rPr>
          <t>Note:</t>
        </r>
        <r>
          <rPr>
            <sz val="9"/>
            <color indexed="81"/>
            <rFont val="Tahoma"/>
            <family val="2"/>
          </rPr>
          <t xml:space="preserve">
The overall bias estimate excludes this election's poll bias.</t>
        </r>
      </text>
    </comment>
    <comment ref="Q4" authorId="0" shapeId="0" xr:uid="{7CDDCF55-79C0-4EA7-8151-E0C3925227BA}">
      <text>
        <r>
          <rPr>
            <sz val="9"/>
            <color indexed="81"/>
            <rFont val="Tahoma"/>
            <family val="2"/>
          </rPr>
          <t>Average bias in polls (Positive numbers indicate polls overestimated values, and vice versa)</t>
        </r>
      </text>
    </comment>
    <comment ref="BE12" authorId="0" shapeId="0" xr:uid="{B4DC3A52-7680-441E-BE93-02D5F1815917}">
      <text>
        <r>
          <rPr>
            <b/>
            <sz val="9"/>
            <color indexed="81"/>
            <rFont val="Tahoma"/>
            <family val="2"/>
          </rPr>
          <t>To recalculate this with new data, you need to have Excel's Solver add-in, then solve to minimize $BN$13 while varying $BG$16:$BG$18.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danny</author>
  </authors>
  <commentList>
    <comment ref="Q2" authorId="0" shapeId="0" xr:uid="{AE6D29DB-24A6-40FD-A251-23186DC3BA42}">
      <text>
        <r>
          <rPr>
            <b/>
            <sz val="9"/>
            <color indexed="81"/>
            <rFont val="Tahoma"/>
            <family val="2"/>
          </rPr>
          <t>Note:</t>
        </r>
        <r>
          <rPr>
            <sz val="9"/>
            <color indexed="81"/>
            <rFont val="Tahoma"/>
            <family val="2"/>
          </rPr>
          <t xml:space="preserve">
The overall bias estimate excludes this election's poll bias.</t>
        </r>
      </text>
    </comment>
    <comment ref="Q4" authorId="0" shapeId="0" xr:uid="{48EE4E4B-7B10-4E35-B858-416F1C5884AD}">
      <text>
        <r>
          <rPr>
            <sz val="9"/>
            <color indexed="81"/>
            <rFont val="Tahoma"/>
            <family val="2"/>
          </rPr>
          <t>Average bias in polls (Positive numbers indicate polls overestimated values, and vice versa)</t>
        </r>
      </text>
    </comment>
    <comment ref="BE12" authorId="0" shapeId="0" xr:uid="{C276DE53-1B00-4642-AF36-9B4BA93FF1E9}">
      <text>
        <r>
          <rPr>
            <b/>
            <sz val="9"/>
            <color indexed="81"/>
            <rFont val="Tahoma"/>
            <family val="2"/>
          </rPr>
          <t>To recalculate this with new data, you need to have Excel's Solver add-in, then solve to minimize $BN$13 while varying $BG$16:$BG$18.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danny</author>
  </authors>
  <commentList>
    <comment ref="Q2" authorId="0" shapeId="0" xr:uid="{1A282BA8-C490-4648-954A-71086ACCEA16}">
      <text>
        <r>
          <rPr>
            <b/>
            <sz val="9"/>
            <color indexed="81"/>
            <rFont val="Tahoma"/>
            <family val="2"/>
          </rPr>
          <t>Note:</t>
        </r>
        <r>
          <rPr>
            <sz val="9"/>
            <color indexed="81"/>
            <rFont val="Tahoma"/>
            <family val="2"/>
          </rPr>
          <t xml:space="preserve">
The overall bias estimate excludes this election's poll bias.</t>
        </r>
      </text>
    </comment>
    <comment ref="Q4" authorId="0" shapeId="0" xr:uid="{7ACF0796-ACED-4D25-B369-C38ABA36A5A3}">
      <text>
        <r>
          <rPr>
            <sz val="9"/>
            <color indexed="81"/>
            <rFont val="Tahoma"/>
            <family val="2"/>
          </rPr>
          <t>Average bias in polls (Positive numbers indicate polls overestimated values, and vice versa)</t>
        </r>
      </text>
    </comment>
    <comment ref="BE12" authorId="0" shapeId="0" xr:uid="{2E27614A-EE59-45FF-9AFD-498C0B6A9D90}">
      <text>
        <r>
          <rPr>
            <b/>
            <sz val="9"/>
            <color indexed="81"/>
            <rFont val="Tahoma"/>
            <family val="2"/>
          </rPr>
          <t>To recalculate this with new data, you need to have Excel's Solver add-in, then solve to minimize $BN$13 while varying $BG$16:$BG$18.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<sst xmlns="http://schemas.openxmlformats.org/spreadsheetml/2006/main" count="982" uniqueCount="218">
  <si>
    <t>Election</t>
  </si>
  <si>
    <t>ALP</t>
  </si>
  <si>
    <t>LNP</t>
  </si>
  <si>
    <t>GRN</t>
  </si>
  <si>
    <t>ONP</t>
  </si>
  <si>
    <t>UAP</t>
  </si>
  <si>
    <t>DEM</t>
  </si>
  <si>
    <t>2019 fed</t>
  </si>
  <si>
    <t>OTH</t>
  </si>
  <si>
    <t>2016 fed</t>
  </si>
  <si>
    <t>2013 fed</t>
  </si>
  <si>
    <t>2010 fed</t>
  </si>
  <si>
    <t>2007 fed</t>
  </si>
  <si>
    <t>FF</t>
  </si>
  <si>
    <t>2004 fed</t>
  </si>
  <si>
    <t>2001 fed</t>
  </si>
  <si>
    <t>1998 fed</t>
  </si>
  <si>
    <t>xOTH</t>
  </si>
  <si>
    <t>1996 fed</t>
  </si>
  <si>
    <t>1993 fed</t>
  </si>
  <si>
    <t>1990 fed</t>
  </si>
  <si>
    <t>1987 fed</t>
  </si>
  <si>
    <t>1984 fed</t>
  </si>
  <si>
    <t>DLP</t>
  </si>
  <si>
    <t>1983 fed</t>
  </si>
  <si>
    <t>1980 fed</t>
  </si>
  <si>
    <t>1977 fed</t>
  </si>
  <si>
    <t>1975 fed</t>
  </si>
  <si>
    <t>1974 fed</t>
  </si>
  <si>
    <t>1972 fed</t>
  </si>
  <si>
    <t>Primary Values</t>
  </si>
  <si>
    <t>Year</t>
  </si>
  <si>
    <t>Forecast Length:</t>
  </si>
  <si>
    <t>Residuals</t>
  </si>
  <si>
    <t>autocorrelation</t>
  </si>
  <si>
    <t>bias</t>
  </si>
  <si>
    <t>2022 fed</t>
  </si>
  <si>
    <t>RMSE</t>
  </si>
  <si>
    <t>Trend predictions</t>
  </si>
  <si>
    <t>2 years</t>
  </si>
  <si>
    <t>Trend</t>
  </si>
  <si>
    <t>1 year</t>
  </si>
  <si>
    <t>6 months</t>
  </si>
  <si>
    <t>3 months</t>
  </si>
  <si>
    <t>1 month</t>
  </si>
  <si>
    <t>Pre-election</t>
  </si>
  <si>
    <t>Polls &amp; results</t>
  </si>
  <si>
    <t>Errors</t>
  </si>
  <si>
    <t>2019 nsw</t>
  </si>
  <si>
    <t>2017 qld</t>
  </si>
  <si>
    <t>KAP</t>
  </si>
  <si>
    <t>2015 qld</t>
  </si>
  <si>
    <t>2012 qld</t>
  </si>
  <si>
    <t>2009 qld</t>
  </si>
  <si>
    <t>2006 qld</t>
  </si>
  <si>
    <t>2004 qld</t>
  </si>
  <si>
    <t>2001 qld</t>
  </si>
  <si>
    <t>1998 qld</t>
  </si>
  <si>
    <t>1995 qld</t>
  </si>
  <si>
    <t>1992 qld</t>
  </si>
  <si>
    <t>1989 qld</t>
  </si>
  <si>
    <t>1986 qld</t>
  </si>
  <si>
    <t>1983 qld</t>
  </si>
  <si>
    <t>1980 qld</t>
  </si>
  <si>
    <t>1977 qld</t>
  </si>
  <si>
    <t>1974 qld</t>
  </si>
  <si>
    <t>1972 qld</t>
  </si>
  <si>
    <t>2020 qld</t>
  </si>
  <si>
    <t>2023 nsw</t>
  </si>
  <si>
    <t>SFF</t>
  </si>
  <si>
    <t>2015 nsw</t>
  </si>
  <si>
    <t>CD</t>
  </si>
  <si>
    <t>2011 nsw</t>
  </si>
  <si>
    <t>2007 nsw</t>
  </si>
  <si>
    <t>2003 nsw</t>
  </si>
  <si>
    <t>1999 nsw</t>
  </si>
  <si>
    <t>1995 nsw</t>
  </si>
  <si>
    <t>1991 nsw</t>
  </si>
  <si>
    <t>1988 nsw</t>
  </si>
  <si>
    <t>1984 nsw</t>
  </si>
  <si>
    <t>1981 nsw</t>
  </si>
  <si>
    <t>1978 nsw</t>
  </si>
  <si>
    <t>1976 nsw</t>
  </si>
  <si>
    <t>1973 nsw</t>
  </si>
  <si>
    <t>1971 nsw</t>
  </si>
  <si>
    <t>Average</t>
  </si>
  <si>
    <t>x</t>
  </si>
  <si>
    <t>Previous election averages</t>
  </si>
  <si>
    <t>1 day</t>
  </si>
  <si>
    <t>Result</t>
  </si>
  <si>
    <t>2022 vic</t>
  </si>
  <si>
    <t>2018 vic</t>
  </si>
  <si>
    <t>2014 vic</t>
  </si>
  <si>
    <t>2010 vic</t>
  </si>
  <si>
    <t>2006 vic</t>
  </si>
  <si>
    <t>2002 vic</t>
  </si>
  <si>
    <t>1999 vic</t>
  </si>
  <si>
    <t>1996 vic</t>
  </si>
  <si>
    <t>1992 vic</t>
  </si>
  <si>
    <t>1988 vic</t>
  </si>
  <si>
    <t>1985 vic</t>
  </si>
  <si>
    <t>1982 vic</t>
  </si>
  <si>
    <t>1979 vic</t>
  </si>
  <si>
    <t>1976 vic</t>
  </si>
  <si>
    <t>1973 vic</t>
  </si>
  <si>
    <t>1970 vic</t>
  </si>
  <si>
    <t>2017 wa</t>
  </si>
  <si>
    <t>2013 wa</t>
  </si>
  <si>
    <t>2008 wa</t>
  </si>
  <si>
    <t>2021 wa</t>
  </si>
  <si>
    <t>AC/FF</t>
  </si>
  <si>
    <t>2005 wa</t>
  </si>
  <si>
    <t>2001 wa</t>
  </si>
  <si>
    <t>X</t>
  </si>
  <si>
    <t>1996 wa</t>
  </si>
  <si>
    <t>1993 wa</t>
  </si>
  <si>
    <t>1989 wa</t>
  </si>
  <si>
    <t>1986 wa</t>
  </si>
  <si>
    <t>1983 wa</t>
  </si>
  <si>
    <t>1980 wa</t>
  </si>
  <si>
    <t>1977 wa</t>
  </si>
  <si>
    <t>1974 wa</t>
  </si>
  <si>
    <t>1971 wa</t>
  </si>
  <si>
    <t>2022 sa</t>
  </si>
  <si>
    <t>2018 sa</t>
  </si>
  <si>
    <t>2014 sa</t>
  </si>
  <si>
    <t>SAB</t>
  </si>
  <si>
    <t>2010 sa</t>
  </si>
  <si>
    <t>2006 sa</t>
  </si>
  <si>
    <t>2002 sa</t>
  </si>
  <si>
    <t>1997 sa</t>
  </si>
  <si>
    <t>1993 sa</t>
  </si>
  <si>
    <t>1989 sa</t>
  </si>
  <si>
    <t>1985 sa</t>
  </si>
  <si>
    <t>1982 sa</t>
  </si>
  <si>
    <t>1979 sa</t>
  </si>
  <si>
    <t>1977 sa</t>
  </si>
  <si>
    <t>1975 sa</t>
  </si>
  <si>
    <t>LM</t>
  </si>
  <si>
    <t>1973 sa</t>
  </si>
  <si>
    <t>1970 sa</t>
  </si>
  <si>
    <t>Combined</t>
  </si>
  <si>
    <t>2 ye/6 el</t>
  </si>
  <si>
    <t>1 ye/6 el</t>
  </si>
  <si>
    <t>6 mo/6 el</t>
  </si>
  <si>
    <t>1 yr/6 el</t>
  </si>
  <si>
    <t>6 mo/1 el</t>
  </si>
  <si>
    <t>3 mo/6 el</t>
  </si>
  <si>
    <t>1 mo/6 el</t>
  </si>
  <si>
    <t>1 day/6 el</t>
  </si>
  <si>
    <t>Log days</t>
  </si>
  <si>
    <t>6-election averages</t>
  </si>
  <si>
    <t>Days</t>
  </si>
  <si>
    <t>Poll weight</t>
  </si>
  <si>
    <t>Log Days</t>
  </si>
  <si>
    <t>Formula</t>
  </si>
  <si>
    <t>Dev. Factor</t>
  </si>
  <si>
    <t>Fed</t>
  </si>
  <si>
    <t>NSW</t>
  </si>
  <si>
    <t>Mean</t>
  </si>
  <si>
    <t>Stdev</t>
  </si>
  <si>
    <t>Vic</t>
  </si>
  <si>
    <t>Qld</t>
  </si>
  <si>
    <t>WA</t>
  </si>
  <si>
    <t>SA</t>
  </si>
  <si>
    <t>Data</t>
  </si>
  <si>
    <t>Normal</t>
  </si>
  <si>
    <t>T-dist (10df)</t>
  </si>
  <si>
    <t>T-dist (100df)</t>
  </si>
  <si>
    <t>T-dist (30df)</t>
  </si>
  <si>
    <t>T-dist (20df)</t>
  </si>
  <si>
    <t>T-dist (22 df)</t>
  </si>
  <si>
    <t>T-dist (25df)</t>
  </si>
  <si>
    <t xml:space="preserve"> - </t>
  </si>
  <si>
    <t>2 ye/1 el</t>
  </si>
  <si>
    <t>1 ye/1 el</t>
  </si>
  <si>
    <t>3 mo/1 el</t>
  </si>
  <si>
    <t>1 mo/1 el</t>
  </si>
  <si>
    <t>1 day/1 el</t>
  </si>
  <si>
    <t>1 yr/1 el</t>
  </si>
  <si>
    <t>Polls-only</t>
  </si>
  <si>
    <t>De-biased polls-only</t>
  </si>
  <si>
    <t>Polls-only debiased estimate</t>
  </si>
  <si>
    <t>Polls-only raw estimate</t>
  </si>
  <si>
    <t>"Combined"</t>
  </si>
  <si>
    <t>History only</t>
  </si>
  <si>
    <t>^ Smoothed</t>
  </si>
  <si>
    <t>↓ Interpolated</t>
  </si>
  <si>
    <t>Poll weight formula parameters:</t>
  </si>
  <si>
    <t>max poll weight:</t>
  </si>
  <si>
    <t>Log(days) for zero poll weight:</t>
  </si>
  <si>
    <t>hyperbola sharpness:</t>
  </si>
  <si>
    <t>Poll weight error:</t>
  </si>
  <si>
    <t>Poll weight from formula (use solver):</t>
  </si>
  <si>
    <t>Standard deviation gradient</t>
  </si>
  <si>
    <t>Standard deviation intercept</t>
  </si>
  <si>
    <t>2019 fed ONP</t>
  </si>
  <si>
    <t>2019 fed UAP</t>
  </si>
  <si>
    <t>2013 fed UAP</t>
  </si>
  <si>
    <t>2017 qld ONP</t>
  </si>
  <si>
    <t>2015 qld UAP</t>
  </si>
  <si>
    <t>2012 qld KAP</t>
  </si>
  <si>
    <t>2019 nsw ONP</t>
  </si>
  <si>
    <t>2017 wa ONP</t>
  </si>
  <si>
    <t>2018 sa SAB</t>
  </si>
  <si>
    <t>2006 sa DEM</t>
  </si>
  <si>
    <t>2016 fed NXT</t>
  </si>
  <si>
    <t>2016 fed UAP</t>
  </si>
  <si>
    <t>2019 nsw SFF</t>
  </si>
  <si>
    <t>2015 qld KAP</t>
  </si>
  <si>
    <t>2018 vic ONP</t>
  </si>
  <si>
    <t>Total elections:</t>
  </si>
  <si>
    <t>Elections w/ minor:</t>
  </si>
  <si>
    <t>Faded minor:</t>
  </si>
  <si>
    <t>Survived:</t>
  </si>
  <si>
    <t>Emerged:</t>
  </si>
  <si>
    <t>Faded:</t>
  </si>
  <si>
    <t>Poll bias: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</si>
</sst>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0" xfId="0" applyFill="1" applyBorder="1"/>
    <xf numFmtId="0" fontId="0" fillId="0" borderId="3" xfId="0" applyFill="1" applyBorder="1"/>
    <xf numFmtId="0" fontId="0" fillId="0" borderId="1" xfId="0" applyFill="1" applyBorder="1"/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0" xfId="0" applyAlignment="1"/>
    <xf numFmtId="0" fontId="0" fillId="0" borderId="1" xfId="0" applyBorder="1" applyAlignment="1"/>
    <xf numFmtId="0" fontId="0" fillId="0" borderId="4" xfId="0" applyBorder="1"/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2" xfId="0" applyBorder="1" applyAlignment="1">
      <alignment horizontal="center"/>
    </xf>
    <xf numFmtId="0" fontId="0" fillId="0" borderId="2" xfId="0" applyBorder="1"/>
    <xf numFmtId="0" fontId="1" fillId="0" borderId="3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164" fontId="0" fillId="0" borderId="3" xfId="0" applyNumberFormat="1" applyBorder="1"/>
    <xf numFmtId="164" fontId="0" fillId="0" borderId="0" xfId="0" applyNumberFormat="1"/>
    <xf numFmtId="165" fontId="0" fillId="0" borderId="3" xfId="0" applyNumberFormat="1" applyBorder="1"/>
    <xf numFmtId="0" fontId="5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Polls-only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'Polling Correlations - ALP'!$BG$6:$BM$6</c:f>
              <c:numCache>
                <c:formatCode>General</c:formatCode>
                <c:ptCount val="7"/>
                <c:pt idx="0">
                  <c:v>6.5930445341424369</c:v>
                </c:pt>
                <c:pt idx="1">
                  <c:v>5.8998973535824915</c:v>
                </c:pt>
                <c:pt idx="2">
                  <c:v>5.2040066870767951</c:v>
                </c:pt>
                <c:pt idx="3">
                  <c:v>4.499809670330265</c:v>
                </c:pt>
                <c:pt idx="4">
                  <c:v>3.4011973816621555</c:v>
                </c:pt>
                <c:pt idx="5">
                  <c:v>2.0471722811110502</c:v>
                </c:pt>
                <c:pt idx="6">
                  <c:v>0.69314718055994529</c:v>
                </c:pt>
              </c:numCache>
            </c:numRef>
          </c:xVal>
          <c:yVal>
            <c:numRef>
              <c:f>'Polling Correlations - ALP'!$BG$7:$BM$7</c:f>
              <c:numCache>
                <c:formatCode>General</c:formatCode>
                <c:ptCount val="7"/>
                <c:pt idx="0">
                  <c:v>5.0152735405826752</c:v>
                </c:pt>
                <c:pt idx="1">
                  <c:v>4.2333470034774914</c:v>
                </c:pt>
                <c:pt idx="2">
                  <c:v>3.5638415602642413</c:v>
                </c:pt>
                <c:pt idx="3">
                  <c:v>2.9049267757810302</c:v>
                </c:pt>
                <c:pt idx="4">
                  <c:v>2.8838745045718714</c:v>
                </c:pt>
                <c:pt idx="5">
                  <c:v>2.4442208627961723</c:v>
                </c:pt>
                <c:pt idx="6">
                  <c:v>2.0045672210204732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612-4337-9E98-6423495A4C9B}"/>
            </c:ext>
          </c:extLst>
        </c:ser>
        <c:ser>
          <c:idx val="1"/>
          <c:order val="1"/>
          <c:tx>
            <c:v>Polls+History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'Polling Correlations - ALP'!$BG$6:$BM$6</c:f>
              <c:numCache>
                <c:formatCode>General</c:formatCode>
                <c:ptCount val="7"/>
                <c:pt idx="0">
                  <c:v>6.5930445341424369</c:v>
                </c:pt>
                <c:pt idx="1">
                  <c:v>5.8998973535824915</c:v>
                </c:pt>
                <c:pt idx="2">
                  <c:v>5.2040066870767951</c:v>
                </c:pt>
                <c:pt idx="3">
                  <c:v>4.499809670330265</c:v>
                </c:pt>
                <c:pt idx="4">
                  <c:v>3.4011973816621555</c:v>
                </c:pt>
                <c:pt idx="5">
                  <c:v>2.0471722811110502</c:v>
                </c:pt>
                <c:pt idx="6">
                  <c:v>0.69314718055994529</c:v>
                </c:pt>
              </c:numCache>
            </c:numRef>
          </c:xVal>
          <c:yVal>
            <c:numRef>
              <c:f>'Polling Correlations - ALP'!$BG$8:$BM$8</c:f>
              <c:numCache>
                <c:formatCode>General</c:formatCode>
                <c:ptCount val="7"/>
                <c:pt idx="0">
                  <c:v>4.8535212741567095</c:v>
                </c:pt>
                <c:pt idx="1">
                  <c:v>4.1501943730011144</c:v>
                </c:pt>
                <c:pt idx="2">
                  <c:v>3.4187762566206006</c:v>
                </c:pt>
                <c:pt idx="3">
                  <c:v>2.9100092659182666</c:v>
                </c:pt>
                <c:pt idx="4">
                  <c:v>2.8648149235069589</c:v>
                </c:pt>
                <c:pt idx="5">
                  <c:v>2.4501767639541612</c:v>
                </c:pt>
                <c:pt idx="6">
                  <c:v>2.035538604401363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612-4337-9E98-6423495A4C9B}"/>
            </c:ext>
          </c:extLst>
        </c:ser>
        <c:ser>
          <c:idx val="2"/>
          <c:order val="2"/>
          <c:tx>
            <c:v>History Only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'Polling Correlations - ALP'!$BG$6:$BM$6</c:f>
              <c:numCache>
                <c:formatCode>General</c:formatCode>
                <c:ptCount val="7"/>
                <c:pt idx="0">
                  <c:v>6.5930445341424369</c:v>
                </c:pt>
                <c:pt idx="1">
                  <c:v>5.8998973535824915</c:v>
                </c:pt>
                <c:pt idx="2">
                  <c:v>5.2040066870767951</c:v>
                </c:pt>
                <c:pt idx="3">
                  <c:v>4.499809670330265</c:v>
                </c:pt>
                <c:pt idx="4">
                  <c:v>3.4011973816621555</c:v>
                </c:pt>
                <c:pt idx="5">
                  <c:v>2.0471722811110502</c:v>
                </c:pt>
                <c:pt idx="6">
                  <c:v>0.69314718055994529</c:v>
                </c:pt>
              </c:numCache>
            </c:numRef>
          </c:xVal>
          <c:yVal>
            <c:numRef>
              <c:f>'Polling Correlations - ALP'!$BG$9:$BM$9</c:f>
              <c:numCache>
                <c:formatCode>General</c:formatCode>
                <c:ptCount val="7"/>
                <c:pt idx="0">
                  <c:v>6.1199352599083987</c:v>
                </c:pt>
                <c:pt idx="1">
                  <c:v>6.1199352599083987</c:v>
                </c:pt>
                <c:pt idx="2">
                  <c:v>6.1199352599083987</c:v>
                </c:pt>
                <c:pt idx="3">
                  <c:v>6.1199352599083987</c:v>
                </c:pt>
                <c:pt idx="4">
                  <c:v>6.1199352599083987</c:v>
                </c:pt>
                <c:pt idx="5">
                  <c:v>6.1199352599083987</c:v>
                </c:pt>
                <c:pt idx="6">
                  <c:v>6.1199352599083987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612-4337-9E98-6423495A4C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5397584"/>
        <c:axId val="525399552"/>
      </c:scatterChart>
      <c:valAx>
        <c:axId val="525397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</a:t>
                </a:r>
                <a:r>
                  <a:rPr lang="en-US" baseline="0"/>
                  <a:t> #days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399552"/>
        <c:crosses val="autoZero"/>
        <c:crossBetween val="midCat"/>
      </c:valAx>
      <c:valAx>
        <c:axId val="525399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Standard</a:t>
                </a:r>
                <a:r>
                  <a:rPr lang="en-US" baseline="0"/>
                  <a:t> Deviation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397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'Polling Correlations - ALP'!$BF$6:$BM$6</c:f>
              <c:numCache>
                <c:formatCode>General</c:formatCode>
                <c:ptCount val="8"/>
                <c:pt idx="1">
                  <c:v>6.5930445341424369</c:v>
                </c:pt>
                <c:pt idx="2">
                  <c:v>5.8998973535824915</c:v>
                </c:pt>
                <c:pt idx="3">
                  <c:v>5.2040066870767951</c:v>
                </c:pt>
                <c:pt idx="4">
                  <c:v>4.499809670330265</c:v>
                </c:pt>
                <c:pt idx="5">
                  <c:v>3.4011973816621555</c:v>
                </c:pt>
                <c:pt idx="6">
                  <c:v>2.0471722811110502</c:v>
                </c:pt>
                <c:pt idx="7">
                  <c:v>0.69314718055994529</c:v>
                </c:pt>
              </c:numCache>
            </c:numRef>
          </c:xVal>
          <c:yVal>
            <c:numRef>
              <c:f>'Polling Correlations - ALP'!$BF$11:$BM$11</c:f>
              <c:numCache>
                <c:formatCode>General</c:formatCode>
                <c:ptCount val="8"/>
                <c:pt idx="1">
                  <c:v>0.7203144336573819</c:v>
                </c:pt>
                <c:pt idx="2">
                  <c:v>0.76390128918998546</c:v>
                </c:pt>
                <c:pt idx="3">
                  <c:v>0.81415136729873383</c:v>
                </c:pt>
                <c:pt idx="4">
                  <c:v>0.85287543977033209</c:v>
                </c:pt>
                <c:pt idx="5">
                  <c:v>0.90106942573480464</c:v>
                </c:pt>
                <c:pt idx="6">
                  <c:v>0.92175895470700886</c:v>
                </c:pt>
                <c:pt idx="7">
                  <c:v>0.94244848367921319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914-40BB-B551-543FF3F0FC04}"/>
            </c:ext>
          </c:extLst>
        </c:ser>
        <c:ser>
          <c:idx val="1"/>
          <c:order val="1"/>
          <c:tx>
            <c:v>Fit attempt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'Polling Correlations - ALP'!$BU$22:$BU$97</c:f>
              <c:numCache>
                <c:formatCode>General</c:formatCode>
                <c:ptCount val="76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</c:v>
                </c:pt>
              </c:numCache>
            </c:numRef>
          </c:xVal>
          <c:yVal>
            <c:numRef>
              <c:f>'Polling Correlations - ALP'!$BV$22:$BV$97</c:f>
              <c:numCache>
                <c:formatCode>General</c:formatCode>
                <c:ptCount val="76"/>
                <c:pt idx="0">
                  <c:v>0.9478736617736967</c:v>
                </c:pt>
                <c:pt idx="1">
                  <c:v>0.94665465240647162</c:v>
                </c:pt>
                <c:pt idx="2">
                  <c:v>0.94541076529705825</c:v>
                </c:pt>
                <c:pt idx="3">
                  <c:v>0.94414123103074987</c:v>
                </c:pt>
                <c:pt idx="4">
                  <c:v>0.94284524813389337</c:v>
                </c:pt>
                <c:pt idx="5">
                  <c:v>0.94152198138657661</c:v>
                </c:pt>
                <c:pt idx="6">
                  <c:v>0.9401705600276149</c:v>
                </c:pt>
                <c:pt idx="7">
                  <c:v>0.93879007584372931</c:v>
                </c:pt>
                <c:pt idx="8">
                  <c:v>0.93737958113410702</c:v>
                </c:pt>
                <c:pt idx="9">
                  <c:v>0.93593808654075683</c:v>
                </c:pt>
                <c:pt idx="10">
                  <c:v>0.93446455873422107</c:v>
                </c:pt>
                <c:pt idx="11">
                  <c:v>0.93295791794326877</c:v>
                </c:pt>
                <c:pt idx="12">
                  <c:v>0.93141703531615838</c:v>
                </c:pt>
                <c:pt idx="13">
                  <c:v>0.92984073009991908</c:v>
                </c:pt>
                <c:pt idx="14">
                  <c:v>0.92822776662283701</c:v>
                </c:pt>
                <c:pt idx="15">
                  <c:v>0.92657685106394116</c:v>
                </c:pt>
                <c:pt idx="16">
                  <c:v>0.92488662799173849</c:v>
                </c:pt>
                <c:pt idx="17">
                  <c:v>0.92315567665273557</c:v>
                </c:pt>
                <c:pt idx="18">
                  <c:v>0.92138250698839108</c:v>
                </c:pt>
                <c:pt idx="19">
                  <c:v>0.91956555535702589</c:v>
                </c:pt>
                <c:pt idx="20">
                  <c:v>0.91770317993487649</c:v>
                </c:pt>
                <c:pt idx="21">
                  <c:v>0.91579365576786254</c:v>
                </c:pt>
                <c:pt idx="22">
                  <c:v>0.91383516944272003</c:v>
                </c:pt>
                <c:pt idx="23">
                  <c:v>0.91182581334289847</c:v>
                </c:pt>
                <c:pt idx="24">
                  <c:v>0.90976357945097641</c:v>
                </c:pt>
                <c:pt idx="25">
                  <c:v>0.90764635265526972</c:v>
                </c:pt>
                <c:pt idx="26">
                  <c:v>0.90547190351373308</c:v>
                </c:pt>
                <c:pt idx="27">
                  <c:v>0.90323788042311337</c:v>
                </c:pt>
                <c:pt idx="28">
                  <c:v>0.90094180113553191</c:v>
                </c:pt>
                <c:pt idx="29">
                  <c:v>0.89858104355815938</c:v>
                </c:pt>
                <c:pt idx="30">
                  <c:v>0.8961528357642905</c:v>
                </c:pt>
                <c:pt idx="31">
                  <c:v>0.89365424513581682</c:v>
                </c:pt>
                <c:pt idx="32">
                  <c:v>0.89108216654768213</c:v>
                </c:pt>
                <c:pt idx="33">
                  <c:v>0.88843330949422994</c:v>
                </c:pt>
                <c:pt idx="34">
                  <c:v>0.88570418404521867</c:v>
                </c:pt>
                <c:pt idx="35">
                  <c:v>0.88289108550546846</c:v>
                </c:pt>
                <c:pt idx="36">
                  <c:v>0.87999007763635118</c:v>
                </c:pt>
                <c:pt idx="37">
                  <c:v>0.87699697427932533</c:v>
                </c:pt>
                <c:pt idx="38">
                  <c:v>0.87390731920110509</c:v>
                </c:pt>
                <c:pt idx="39">
                  <c:v>0.87071636395638596</c:v>
                </c:pt>
                <c:pt idx="40">
                  <c:v>0.86741904353684274</c:v>
                </c:pt>
                <c:pt idx="41">
                  <c:v>0.86400994954375565</c:v>
                </c:pt>
                <c:pt idx="42">
                  <c:v>0.8604833005853898</c:v>
                </c:pt>
                <c:pt idx="43">
                  <c:v>0.85683290955830937</c:v>
                </c:pt>
                <c:pt idx="44">
                  <c:v>0.85305214742311886</c:v>
                </c:pt>
                <c:pt idx="45">
                  <c:v>0.84913390302846681</c:v>
                </c:pt>
                <c:pt idx="46">
                  <c:v>0.84507053847104996</c:v>
                </c:pt>
                <c:pt idx="47">
                  <c:v>0.84085383940203251</c:v>
                </c:pt>
                <c:pt idx="48">
                  <c:v>0.83647495959959128</c:v>
                </c:pt>
                <c:pt idx="49">
                  <c:v>0.83192435902058381</c:v>
                </c:pt>
                <c:pt idx="50">
                  <c:v>0.82719173441841587</c:v>
                </c:pt>
                <c:pt idx="51">
                  <c:v>0.82226594146513921</c:v>
                </c:pt>
                <c:pt idx="52">
                  <c:v>0.81713490713880921</c:v>
                </c:pt>
                <c:pt idx="53">
                  <c:v>0.8117855309262525</c:v>
                </c:pt>
                <c:pt idx="54">
                  <c:v>0.80620357313923674</c:v>
                </c:pt>
                <c:pt idx="55">
                  <c:v>0.80037352833946473</c:v>
                </c:pt>
                <c:pt idx="56">
                  <c:v>0.79427848150333946</c:v>
                </c:pt>
                <c:pt idx="57">
                  <c:v>0.78789994411669673</c:v>
                </c:pt>
                <c:pt idx="58">
                  <c:v>0.78121766685449967</c:v>
                </c:pt>
                <c:pt idx="59">
                  <c:v>0.77420942484780508</c:v>
                </c:pt>
                <c:pt idx="60">
                  <c:v>0.76685077074077579</c:v>
                </c:pt>
                <c:pt idx="61">
                  <c:v>0.75911474975646298</c:v>
                </c:pt>
                <c:pt idx="62">
                  <c:v>0.75097156977297574</c:v>
                </c:pt>
                <c:pt idx="63">
                  <c:v>0.7423882178984893</c:v>
                </c:pt>
                <c:pt idx="64">
                  <c:v>0.73332801314208684</c:v>
                </c:pt>
                <c:pt idx="65">
                  <c:v>0.72375008239960437</c:v>
                </c:pt>
                <c:pt idx="66">
                  <c:v>0.71360874396638752</c:v>
                </c:pt>
                <c:pt idx="67">
                  <c:v>0.7028527789614607</c:v>
                </c:pt>
                <c:pt idx="68">
                  <c:v>0.69142456614372583</c:v>
                </c:pt>
                <c:pt idx="69">
                  <c:v>0.67925904927323388</c:v>
                </c:pt>
                <c:pt idx="70">
                  <c:v>0.66628249794470928</c:v>
                </c:pt>
                <c:pt idx="71">
                  <c:v>0.65241101204180352</c:v>
                </c:pt>
                <c:pt idx="72">
                  <c:v>0.63754870571726174</c:v>
                </c:pt>
                <c:pt idx="73">
                  <c:v>0.62158548781312417</c:v>
                </c:pt>
                <c:pt idx="74">
                  <c:v>0.60439433007020682</c:v>
                </c:pt>
                <c:pt idx="75">
                  <c:v>0.58775109767367528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914-40BB-B551-543FF3F0FC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5356840"/>
        <c:axId val="985352248"/>
      </c:scatterChart>
      <c:valAx>
        <c:axId val="985356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5352248"/>
        <c:crosses val="autoZero"/>
        <c:crossBetween val="midCat"/>
      </c:valAx>
      <c:valAx>
        <c:axId val="985352248"/>
        <c:scaling>
          <c:orientation val="minMax"/>
          <c:min val="0.60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53568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Poll bias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'Polling Correlations - ALP'!$BG$6:$BM$6</c:f>
              <c:numCache>
                <c:formatCode>General</c:formatCode>
                <c:ptCount val="7"/>
                <c:pt idx="0">
                  <c:v>6.5930445341424369</c:v>
                </c:pt>
                <c:pt idx="1">
                  <c:v>5.8998973535824915</c:v>
                </c:pt>
                <c:pt idx="2">
                  <c:v>5.2040066870767951</c:v>
                </c:pt>
                <c:pt idx="3">
                  <c:v>4.499809670330265</c:v>
                </c:pt>
                <c:pt idx="4">
                  <c:v>3.4011973816621555</c:v>
                </c:pt>
                <c:pt idx="5">
                  <c:v>2.0471722811110502</c:v>
                </c:pt>
                <c:pt idx="6">
                  <c:v>0.69314718055994529</c:v>
                </c:pt>
              </c:numCache>
            </c:numRef>
          </c:xVal>
          <c:yVal>
            <c:numRef>
              <c:f>'Polling Correlations - ALP'!$BG$38:$BM$38</c:f>
              <c:numCache>
                <c:formatCode>General</c:formatCode>
                <c:ptCount val="7"/>
                <c:pt idx="0">
                  <c:v>0.26515151515151492</c:v>
                </c:pt>
                <c:pt idx="1">
                  <c:v>0.46388888888888874</c:v>
                </c:pt>
                <c:pt idx="2">
                  <c:v>0.76066666666666682</c:v>
                </c:pt>
                <c:pt idx="3">
                  <c:v>0.14884615384615402</c:v>
                </c:pt>
                <c:pt idx="4">
                  <c:v>0.47224358974358971</c:v>
                </c:pt>
                <c:pt idx="5">
                  <c:v>0.59627901170048581</c:v>
                </c:pt>
                <c:pt idx="6">
                  <c:v>0.7203144336573819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EE7-4C03-89D8-CB7729B995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5397584"/>
        <c:axId val="525399552"/>
      </c:scatterChart>
      <c:valAx>
        <c:axId val="525397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</a:t>
                </a:r>
                <a:r>
                  <a:rPr lang="en-US" baseline="0"/>
                  <a:t> #days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399552"/>
        <c:crosses val="autoZero"/>
        <c:crossBetween val="midCat"/>
      </c:valAx>
      <c:valAx>
        <c:axId val="525399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Standard</a:t>
                </a:r>
                <a:r>
                  <a:rPr lang="en-US" baseline="0"/>
                  <a:t> Deviation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397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Polls-only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'Polling Correlations - LNP'!$BG$6:$BM$6</c:f>
              <c:numCache>
                <c:formatCode>General</c:formatCode>
                <c:ptCount val="7"/>
                <c:pt idx="0">
                  <c:v>6.5930445341424369</c:v>
                </c:pt>
                <c:pt idx="1">
                  <c:v>5.8998973535824915</c:v>
                </c:pt>
                <c:pt idx="2">
                  <c:v>5.2040066870767951</c:v>
                </c:pt>
                <c:pt idx="3">
                  <c:v>4.499809670330265</c:v>
                </c:pt>
                <c:pt idx="4">
                  <c:v>3.4011973816621555</c:v>
                </c:pt>
                <c:pt idx="5">
                  <c:v>2.0471722811110502</c:v>
                </c:pt>
                <c:pt idx="6">
                  <c:v>0.69314718055994529</c:v>
                </c:pt>
              </c:numCache>
            </c:numRef>
          </c:xVal>
          <c:yVal>
            <c:numRef>
              <c:f>'Polling Correlations - LNP'!$BG$7:$BM$7</c:f>
              <c:numCache>
                <c:formatCode>General</c:formatCode>
                <c:ptCount val="7"/>
                <c:pt idx="0">
                  <c:v>4.8061881933081798</c:v>
                </c:pt>
                <c:pt idx="1">
                  <c:v>4.3774005583391782</c:v>
                </c:pt>
                <c:pt idx="2">
                  <c:v>4.3142790307947818</c:v>
                </c:pt>
                <c:pt idx="3">
                  <c:v>3.896959037966623</c:v>
                </c:pt>
                <c:pt idx="4">
                  <c:v>2.9440597878079915</c:v>
                </c:pt>
                <c:pt idx="5">
                  <c:v>2.3746764655660906</c:v>
                </c:pt>
                <c:pt idx="6">
                  <c:v>1.8052931433241899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000-4FDF-8D2E-EE175261E0E0}"/>
            </c:ext>
          </c:extLst>
        </c:ser>
        <c:ser>
          <c:idx val="1"/>
          <c:order val="1"/>
          <c:tx>
            <c:v>Polls+History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'Polling Correlations - LNP'!$BG$6:$BM$6</c:f>
              <c:numCache>
                <c:formatCode>General</c:formatCode>
                <c:ptCount val="7"/>
                <c:pt idx="0">
                  <c:v>6.5930445341424369</c:v>
                </c:pt>
                <c:pt idx="1">
                  <c:v>5.8998973535824915</c:v>
                </c:pt>
                <c:pt idx="2">
                  <c:v>5.2040066870767951</c:v>
                </c:pt>
                <c:pt idx="3">
                  <c:v>4.499809670330265</c:v>
                </c:pt>
                <c:pt idx="4">
                  <c:v>3.4011973816621555</c:v>
                </c:pt>
                <c:pt idx="5">
                  <c:v>2.0471722811110502</c:v>
                </c:pt>
                <c:pt idx="6">
                  <c:v>0.69314718055994529</c:v>
                </c:pt>
              </c:numCache>
            </c:numRef>
          </c:xVal>
          <c:yVal>
            <c:numRef>
              <c:f>'Polling Correlations - LNP'!$BG$8:$BM$8</c:f>
              <c:numCache>
                <c:formatCode>General</c:formatCode>
                <c:ptCount val="7"/>
                <c:pt idx="0">
                  <c:v>4.4442195487086265</c:v>
                </c:pt>
                <c:pt idx="1">
                  <c:v>4.0458486758012979</c:v>
                </c:pt>
                <c:pt idx="2">
                  <c:v>3.7909292903225573</c:v>
                </c:pt>
                <c:pt idx="3">
                  <c:v>3.5167180616117864</c:v>
                </c:pt>
                <c:pt idx="4">
                  <c:v>2.5966247127340574</c:v>
                </c:pt>
                <c:pt idx="5">
                  <c:v>2.1416607007724258</c:v>
                </c:pt>
                <c:pt idx="6">
                  <c:v>1.6866966888107942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000-4FDF-8D2E-EE175261E0E0}"/>
            </c:ext>
          </c:extLst>
        </c:ser>
        <c:ser>
          <c:idx val="2"/>
          <c:order val="2"/>
          <c:tx>
            <c:v>History Only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'Polling Correlations - LNP'!$BG$6:$BM$6</c:f>
              <c:numCache>
                <c:formatCode>General</c:formatCode>
                <c:ptCount val="7"/>
                <c:pt idx="0">
                  <c:v>6.5930445341424369</c:v>
                </c:pt>
                <c:pt idx="1">
                  <c:v>5.8998973535824915</c:v>
                </c:pt>
                <c:pt idx="2">
                  <c:v>5.2040066870767951</c:v>
                </c:pt>
                <c:pt idx="3">
                  <c:v>4.499809670330265</c:v>
                </c:pt>
                <c:pt idx="4">
                  <c:v>3.4011973816621555</c:v>
                </c:pt>
                <c:pt idx="5">
                  <c:v>2.0471722811110502</c:v>
                </c:pt>
                <c:pt idx="6">
                  <c:v>0.69314718055994529</c:v>
                </c:pt>
              </c:numCache>
            </c:numRef>
          </c:xVal>
          <c:yVal>
            <c:numRef>
              <c:f>'Polling Correlations - LNP'!$BG$9:$BM$9</c:f>
              <c:numCache>
                <c:formatCode>General</c:formatCode>
                <c:ptCount val="7"/>
                <c:pt idx="0">
                  <c:v>5.6008553891118789</c:v>
                </c:pt>
                <c:pt idx="1">
                  <c:v>5.6008553891118789</c:v>
                </c:pt>
                <c:pt idx="2">
                  <c:v>5.6008553891118789</c:v>
                </c:pt>
                <c:pt idx="3">
                  <c:v>5.6008553891118789</c:v>
                </c:pt>
                <c:pt idx="4">
                  <c:v>5.6008553891118789</c:v>
                </c:pt>
                <c:pt idx="5">
                  <c:v>5.6008553891118789</c:v>
                </c:pt>
                <c:pt idx="6">
                  <c:v>5.6008553891118789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000-4FDF-8D2E-EE175261E0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5397584"/>
        <c:axId val="525399552"/>
      </c:scatterChart>
      <c:valAx>
        <c:axId val="525397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</a:t>
                </a:r>
                <a:r>
                  <a:rPr lang="en-US" baseline="0"/>
                  <a:t> #days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399552"/>
        <c:crosses val="autoZero"/>
        <c:crossBetween val="midCat"/>
      </c:valAx>
      <c:valAx>
        <c:axId val="525399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Standard</a:t>
                </a:r>
                <a:r>
                  <a:rPr lang="en-US" baseline="0"/>
                  <a:t> Deviation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397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'Polling Correlations - LNP'!$BF$6:$BM$6</c:f>
              <c:numCache>
                <c:formatCode>General</c:formatCode>
                <c:ptCount val="8"/>
                <c:pt idx="1">
                  <c:v>6.5930445341424369</c:v>
                </c:pt>
                <c:pt idx="2">
                  <c:v>5.8998973535824915</c:v>
                </c:pt>
                <c:pt idx="3">
                  <c:v>5.2040066870767951</c:v>
                </c:pt>
                <c:pt idx="4">
                  <c:v>4.499809670330265</c:v>
                </c:pt>
                <c:pt idx="5">
                  <c:v>3.4011973816621555</c:v>
                </c:pt>
                <c:pt idx="6">
                  <c:v>2.0471722811110502</c:v>
                </c:pt>
                <c:pt idx="7">
                  <c:v>0.69314718055994529</c:v>
                </c:pt>
              </c:numCache>
            </c:numRef>
          </c:xVal>
          <c:yVal>
            <c:numRef>
              <c:f>'Polling Correlations - LNP'!$BF$11:$BM$11</c:f>
              <c:numCache>
                <c:formatCode>General</c:formatCode>
                <c:ptCount val="8"/>
                <c:pt idx="1">
                  <c:v>0.64343257800571041</c:v>
                </c:pt>
                <c:pt idx="2">
                  <c:v>0.6824487205387797</c:v>
                </c:pt>
                <c:pt idx="3">
                  <c:v>0.73625369410741204</c:v>
                </c:pt>
                <c:pt idx="4">
                  <c:v>0.7967287051849179</c:v>
                </c:pt>
                <c:pt idx="5">
                  <c:v>0.90169185533896379</c:v>
                </c:pt>
                <c:pt idx="6">
                  <c:v>0.93439408185095307</c:v>
                </c:pt>
                <c:pt idx="7">
                  <c:v>0.96709630836294247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8C0-40C2-9954-3B9F82808C63}"/>
            </c:ext>
          </c:extLst>
        </c:ser>
        <c:ser>
          <c:idx val="1"/>
          <c:order val="1"/>
          <c:tx>
            <c:v>Fit attempt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'Polling Correlations - LNP'!$BU$22:$BU$97</c:f>
              <c:numCache>
                <c:formatCode>General</c:formatCode>
                <c:ptCount val="76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</c:v>
                </c:pt>
              </c:numCache>
            </c:numRef>
          </c:xVal>
          <c:yVal>
            <c:numRef>
              <c:f>'Polling Correlations - LNP'!$BV$22:$BV$97</c:f>
              <c:numCache>
                <c:formatCode>General</c:formatCode>
                <c:ptCount val="76"/>
                <c:pt idx="0">
                  <c:v>0.96965277121899152</c:v>
                </c:pt>
                <c:pt idx="1">
                  <c:v>0.96778344703005348</c:v>
                </c:pt>
                <c:pt idx="2">
                  <c:v>0.9658759733678719</c:v>
                </c:pt>
                <c:pt idx="3">
                  <c:v>0.9639291703518309</c:v>
                </c:pt>
                <c:pt idx="4">
                  <c:v>0.96194180893962233</c:v>
                </c:pt>
                <c:pt idx="5">
                  <c:v>0.95991260833978842</c:v>
                </c:pt>
                <c:pt idx="6">
                  <c:v>0.95784023325910694</c:v>
                </c:pt>
                <c:pt idx="7">
                  <c:v>0.95572329097238928</c:v>
                </c:pt>
                <c:pt idx="8">
                  <c:v>0.95356032820117764</c:v>
                </c:pt>
                <c:pt idx="9">
                  <c:v>0.95134982778664279</c:v>
                </c:pt>
                <c:pt idx="10">
                  <c:v>0.94909020514067388</c:v>
                </c:pt>
                <c:pt idx="11">
                  <c:v>0.94677980445771692</c:v>
                </c:pt>
                <c:pt idx="12">
                  <c:v>0.94441689466832901</c:v>
                </c:pt>
                <c:pt idx="13">
                  <c:v>0.94199966511366773</c:v>
                </c:pt>
                <c:pt idx="14">
                  <c:v>0.93952622091820059</c:v>
                </c:pt>
                <c:pt idx="15">
                  <c:v>0.93699457803578112</c:v>
                </c:pt>
                <c:pt idx="16">
                  <c:v>0.9344026579418756</c:v>
                </c:pt>
                <c:pt idx="17">
                  <c:v>0.9317482819420928</c:v>
                </c:pt>
                <c:pt idx="18">
                  <c:v>0.92902916506426647</c:v>
                </c:pt>
                <c:pt idx="19">
                  <c:v>0.92624290949809873</c:v>
                </c:pt>
                <c:pt idx="20">
                  <c:v>0.92338699754277687</c:v>
                </c:pt>
                <c:pt idx="21">
                  <c:v>0.92045878401896575</c:v>
                </c:pt>
                <c:pt idx="22">
                  <c:v>0.91745548809710831</c:v>
                </c:pt>
                <c:pt idx="23">
                  <c:v>0.91437418448896879</c:v>
                </c:pt>
                <c:pt idx="24">
                  <c:v>0.91121179394377294</c:v>
                </c:pt>
                <c:pt idx="25">
                  <c:v>0.90796507298403861</c:v>
                </c:pt>
                <c:pt idx="26">
                  <c:v>0.90463060280917629</c:v>
                </c:pt>
                <c:pt idx="27">
                  <c:v>0.9012047772870575</c:v>
                </c:pt>
                <c:pt idx="28">
                  <c:v>0.89768378994487985</c:v>
                </c:pt>
                <c:pt idx="29">
                  <c:v>0.89406361986066907</c:v>
                </c:pt>
                <c:pt idx="30">
                  <c:v>0.89034001634548066</c:v>
                </c:pt>
                <c:pt idx="31">
                  <c:v>0.88650848229362023</c:v>
                </c:pt>
                <c:pt idx="32">
                  <c:v>0.88256425606376387</c:v>
                </c:pt>
                <c:pt idx="33">
                  <c:v>0.87850229173749406</c:v>
                </c:pt>
                <c:pt idx="34">
                  <c:v>0.87431723758315516</c:v>
                </c:pt>
                <c:pt idx="35">
                  <c:v>0.87000341253175995</c:v>
                </c:pt>
                <c:pt idx="36">
                  <c:v>0.86555478044750855</c:v>
                </c:pt>
                <c:pt idx="37">
                  <c:v>0.8609649219478841</c:v>
                </c:pt>
                <c:pt idx="38">
                  <c:v>0.85622700349665881</c:v>
                </c:pt>
                <c:pt idx="39">
                  <c:v>0.85133374345686885</c:v>
                </c:pt>
                <c:pt idx="40">
                  <c:v>0.84627737474908571</c:v>
                </c:pt>
                <c:pt idx="41">
                  <c:v>0.84104960371222548</c:v>
                </c:pt>
                <c:pt idx="42">
                  <c:v>0.83564156470857665</c:v>
                </c:pt>
                <c:pt idx="43">
                  <c:v>0.83004376995041396</c:v>
                </c:pt>
                <c:pt idx="44">
                  <c:v>0.82424605395088846</c:v>
                </c:pt>
                <c:pt idx="45">
                  <c:v>0.81823751191501648</c:v>
                </c:pt>
                <c:pt idx="46">
                  <c:v>0.81200643128522332</c:v>
                </c:pt>
                <c:pt idx="47">
                  <c:v>0.80554021553732458</c:v>
                </c:pt>
                <c:pt idx="48">
                  <c:v>0.79882529918373768</c:v>
                </c:pt>
                <c:pt idx="49">
                  <c:v>0.79184705277706879</c:v>
                </c:pt>
                <c:pt idx="50">
                  <c:v>0.78458967651413314</c:v>
                </c:pt>
                <c:pt idx="51">
                  <c:v>0.77703608081189413</c:v>
                </c:pt>
                <c:pt idx="52">
                  <c:v>0.769167751955395</c:v>
                </c:pt>
                <c:pt idx="53">
                  <c:v>0.76096460059436422</c:v>
                </c:pt>
                <c:pt idx="54">
                  <c:v>0.75240479047850584</c:v>
                </c:pt>
                <c:pt idx="55">
                  <c:v>0.7434645443574982</c:v>
                </c:pt>
                <c:pt idx="56">
                  <c:v>0.73411792341280835</c:v>
                </c:pt>
                <c:pt idx="57">
                  <c:v>0.72433657591255174</c:v>
                </c:pt>
                <c:pt idx="58">
                  <c:v>0.71408944995990176</c:v>
                </c:pt>
                <c:pt idx="59">
                  <c:v>0.7033424642046836</c:v>
                </c:pt>
                <c:pt idx="60">
                  <c:v>0.6920581291617045</c:v>
                </c:pt>
                <c:pt idx="61">
                  <c:v>0.68019511027036739</c:v>
                </c:pt>
                <c:pt idx="62">
                  <c:v>0.66770772196369688</c:v>
                </c:pt>
                <c:pt idx="63">
                  <c:v>0.65454533969450368</c:v>
                </c:pt>
                <c:pt idx="64">
                  <c:v>0.64065171396591081</c:v>
                </c:pt>
                <c:pt idx="65">
                  <c:v>0.62596416676711264</c:v>
                </c:pt>
                <c:pt idx="66">
                  <c:v>0.6104126462036793</c:v>
                </c:pt>
                <c:pt idx="67">
                  <c:v>0.59391860924246209</c:v>
                </c:pt>
                <c:pt idx="68">
                  <c:v>0.57639369497116877</c:v>
                </c:pt>
                <c:pt idx="69">
                  <c:v>0.55773814106946951</c:v>
                </c:pt>
                <c:pt idx="70">
                  <c:v>0.53783888357432375</c:v>
                </c:pt>
                <c:pt idx="71">
                  <c:v>0.51656726349330562</c:v>
                </c:pt>
                <c:pt idx="72">
                  <c:v>0.49377624197792924</c:v>
                </c:pt>
                <c:pt idx="73">
                  <c:v>0.46929699664659896</c:v>
                </c:pt>
                <c:pt idx="74">
                  <c:v>0.44293473244362802</c:v>
                </c:pt>
                <c:pt idx="75">
                  <c:v>0.4174126997690355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D8C0-40C2-9954-3B9F82808C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5356840"/>
        <c:axId val="985352248"/>
      </c:scatterChart>
      <c:valAx>
        <c:axId val="985356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5352248"/>
        <c:crosses val="autoZero"/>
        <c:crossBetween val="midCat"/>
      </c:valAx>
      <c:valAx>
        <c:axId val="985352248"/>
        <c:scaling>
          <c:orientation val="minMax"/>
          <c:min val="0.60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53568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Poll bias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'Polling Correlations - LNP'!$BG$6:$BM$6</c:f>
              <c:numCache>
                <c:formatCode>General</c:formatCode>
                <c:ptCount val="7"/>
                <c:pt idx="0">
                  <c:v>6.5930445341424369</c:v>
                </c:pt>
                <c:pt idx="1">
                  <c:v>5.8998973535824915</c:v>
                </c:pt>
                <c:pt idx="2">
                  <c:v>5.2040066870767951</c:v>
                </c:pt>
                <c:pt idx="3">
                  <c:v>4.499809670330265</c:v>
                </c:pt>
                <c:pt idx="4">
                  <c:v>3.4011973816621555</c:v>
                </c:pt>
                <c:pt idx="5">
                  <c:v>2.0471722811110502</c:v>
                </c:pt>
                <c:pt idx="6">
                  <c:v>0.69314718055994529</c:v>
                </c:pt>
              </c:numCache>
            </c:numRef>
          </c:xVal>
          <c:yVal>
            <c:numRef>
              <c:f>'Polling Correlations - LNP'!$BG$38:$BM$38</c:f>
              <c:numCache>
                <c:formatCode>General</c:formatCode>
                <c:ptCount val="7"/>
                <c:pt idx="0">
                  <c:v>-1.5753030303030309</c:v>
                </c:pt>
                <c:pt idx="1">
                  <c:v>-1.4865277777777779</c:v>
                </c:pt>
                <c:pt idx="2">
                  <c:v>-1.5688</c:v>
                </c:pt>
                <c:pt idx="3">
                  <c:v>-1.64897435897436</c:v>
                </c:pt>
                <c:pt idx="4">
                  <c:v>-1.4689743589743594</c:v>
                </c:pt>
                <c:pt idx="5">
                  <c:v>-1.1212179487179488</c:v>
                </c:pt>
                <c:pt idx="6">
                  <c:v>-0.77346153846153842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3B8-41BE-BAA7-A4944A02A4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5397584"/>
        <c:axId val="525399552"/>
      </c:scatterChart>
      <c:valAx>
        <c:axId val="525397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</a:t>
                </a:r>
                <a:r>
                  <a:rPr lang="en-US" baseline="0"/>
                  <a:t> #days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399552"/>
        <c:crosses val="autoZero"/>
        <c:crossBetween val="midCat"/>
      </c:valAx>
      <c:valAx>
        <c:axId val="525399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Standard</a:t>
                </a:r>
                <a:r>
                  <a:rPr lang="en-US" baseline="0"/>
                  <a:t> Deviation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397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Polls-only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'Polling Correlations - GRN'!$BG$6:$BM$6</c:f>
              <c:numCache>
                <c:formatCode>General</c:formatCode>
                <c:ptCount val="7"/>
                <c:pt idx="0">
                  <c:v>6.5930445341424369</c:v>
                </c:pt>
                <c:pt idx="1">
                  <c:v>5.8998973535824915</c:v>
                </c:pt>
                <c:pt idx="2">
                  <c:v>5.2040066870767951</c:v>
                </c:pt>
                <c:pt idx="3">
                  <c:v>4.499809670330265</c:v>
                </c:pt>
                <c:pt idx="4">
                  <c:v>3.4011973816621555</c:v>
                </c:pt>
                <c:pt idx="5">
                  <c:v>2.0471722811110502</c:v>
                </c:pt>
                <c:pt idx="6">
                  <c:v>0.69314718055994529</c:v>
                </c:pt>
              </c:numCache>
            </c:numRef>
          </c:xVal>
          <c:yVal>
            <c:numRef>
              <c:f>'Polling Correlations - GRN'!$BG$7:$BM$7</c:f>
              <c:numCache>
                <c:formatCode>General</c:formatCode>
                <c:ptCount val="7"/>
                <c:pt idx="0">
                  <c:v>2.9311753425697491</c:v>
                </c:pt>
                <c:pt idx="1">
                  <c:v>2.2901397943745216</c:v>
                </c:pt>
                <c:pt idx="2">
                  <c:v>2.1571446147370117</c:v>
                </c:pt>
                <c:pt idx="3">
                  <c:v>2.0679128790192483</c:v>
                </c:pt>
                <c:pt idx="4">
                  <c:v>1.8575584793684163</c:v>
                </c:pt>
                <c:pt idx="5">
                  <c:v>1.7054118597148933</c:v>
                </c:pt>
                <c:pt idx="6">
                  <c:v>1.55326524006137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AE7-4364-9CAB-D4C336071FAB}"/>
            </c:ext>
          </c:extLst>
        </c:ser>
        <c:ser>
          <c:idx val="1"/>
          <c:order val="1"/>
          <c:tx>
            <c:v>Polls+History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9.6361741547012505E-2"/>
                  <c:y val="-0.1953849518810148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'Polling Correlations - GRN'!$BG$6:$BM$6</c:f>
              <c:numCache>
                <c:formatCode>General</c:formatCode>
                <c:ptCount val="7"/>
                <c:pt idx="0">
                  <c:v>6.5930445341424369</c:v>
                </c:pt>
                <c:pt idx="1">
                  <c:v>5.8998973535824915</c:v>
                </c:pt>
                <c:pt idx="2">
                  <c:v>5.2040066870767951</c:v>
                </c:pt>
                <c:pt idx="3">
                  <c:v>4.499809670330265</c:v>
                </c:pt>
                <c:pt idx="4">
                  <c:v>3.4011973816621555</c:v>
                </c:pt>
                <c:pt idx="5">
                  <c:v>2.0471722811110502</c:v>
                </c:pt>
                <c:pt idx="6">
                  <c:v>0.69314718055994529</c:v>
                </c:pt>
              </c:numCache>
            </c:numRef>
          </c:xVal>
          <c:yVal>
            <c:numRef>
              <c:f>'Polling Correlations - GRN'!$BG$8:$BM$8</c:f>
              <c:numCache>
                <c:formatCode>General</c:formatCode>
                <c:ptCount val="7"/>
                <c:pt idx="0">
                  <c:v>1.8944530897654939</c:v>
                </c:pt>
                <c:pt idx="1">
                  <c:v>1.6817665972403486</c:v>
                </c:pt>
                <c:pt idx="2">
                  <c:v>1.6049928054812506</c:v>
                </c:pt>
                <c:pt idx="3">
                  <c:v>1.5891917070738593</c:v>
                </c:pt>
                <c:pt idx="4">
                  <c:v>1.4840927379644144</c:v>
                </c:pt>
                <c:pt idx="5">
                  <c:v>1.432956564596999</c:v>
                </c:pt>
                <c:pt idx="6">
                  <c:v>1.3818203912295837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AE7-4364-9CAB-D4C336071FAB}"/>
            </c:ext>
          </c:extLst>
        </c:ser>
        <c:ser>
          <c:idx val="2"/>
          <c:order val="2"/>
          <c:tx>
            <c:v>History Only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'Polling Correlations - GRN'!$BG$6:$BM$6</c:f>
              <c:numCache>
                <c:formatCode>General</c:formatCode>
                <c:ptCount val="7"/>
                <c:pt idx="0">
                  <c:v>6.5930445341424369</c:v>
                </c:pt>
                <c:pt idx="1">
                  <c:v>5.8998973535824915</c:v>
                </c:pt>
                <c:pt idx="2">
                  <c:v>5.2040066870767951</c:v>
                </c:pt>
                <c:pt idx="3">
                  <c:v>4.499809670330265</c:v>
                </c:pt>
                <c:pt idx="4">
                  <c:v>3.4011973816621555</c:v>
                </c:pt>
                <c:pt idx="5">
                  <c:v>2.0471722811110502</c:v>
                </c:pt>
                <c:pt idx="6">
                  <c:v>0.69314718055994529</c:v>
                </c:pt>
              </c:numCache>
            </c:numRef>
          </c:xVal>
          <c:yVal>
            <c:numRef>
              <c:f>'Polling Correlations - GRN'!$BG$9:$BM$9</c:f>
              <c:numCache>
                <c:formatCode>General</c:formatCode>
                <c:ptCount val="7"/>
                <c:pt idx="0">
                  <c:v>3.992574169764211</c:v>
                </c:pt>
                <c:pt idx="1">
                  <c:v>3.992574169764211</c:v>
                </c:pt>
                <c:pt idx="2">
                  <c:v>3.992574169764211</c:v>
                </c:pt>
                <c:pt idx="3">
                  <c:v>3.992574169764211</c:v>
                </c:pt>
                <c:pt idx="4">
                  <c:v>3.992574169764211</c:v>
                </c:pt>
                <c:pt idx="5">
                  <c:v>3.992574169764211</c:v>
                </c:pt>
                <c:pt idx="6">
                  <c:v>3.992574169764211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AE7-4364-9CAB-D4C336071F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5397584"/>
        <c:axId val="525399552"/>
      </c:scatterChart>
      <c:valAx>
        <c:axId val="525397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</a:t>
                </a:r>
                <a:r>
                  <a:rPr lang="en-US" baseline="0"/>
                  <a:t> #days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399552"/>
        <c:crosses val="autoZero"/>
        <c:crossBetween val="midCat"/>
      </c:valAx>
      <c:valAx>
        <c:axId val="525399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Standard</a:t>
                </a:r>
                <a:r>
                  <a:rPr lang="en-US" baseline="0"/>
                  <a:t> Deviation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397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'Polling Correlations - GRN'!$BF$6:$BM$6</c:f>
              <c:numCache>
                <c:formatCode>General</c:formatCode>
                <c:ptCount val="8"/>
                <c:pt idx="1">
                  <c:v>6.5930445341424369</c:v>
                </c:pt>
                <c:pt idx="2">
                  <c:v>5.8998973535824915</c:v>
                </c:pt>
                <c:pt idx="3">
                  <c:v>5.2040066870767951</c:v>
                </c:pt>
                <c:pt idx="4">
                  <c:v>4.499809670330265</c:v>
                </c:pt>
                <c:pt idx="5">
                  <c:v>3.4011973816621555</c:v>
                </c:pt>
                <c:pt idx="6">
                  <c:v>2.0471722811110502</c:v>
                </c:pt>
                <c:pt idx="7">
                  <c:v>0.69314718055994529</c:v>
                </c:pt>
              </c:numCache>
            </c:numRef>
          </c:xVal>
          <c:yVal>
            <c:numRef>
              <c:f>'Polling Correlations - GRN'!$BF$11:$BM$11</c:f>
              <c:numCache>
                <c:formatCode>General</c:formatCode>
                <c:ptCount val="8"/>
                <c:pt idx="1">
                  <c:v>1.549937284371472E-2</c:v>
                </c:pt>
                <c:pt idx="2">
                  <c:v>0.21325634143915653</c:v>
                </c:pt>
                <c:pt idx="3">
                  <c:v>0.35581710514239534</c:v>
                </c:pt>
                <c:pt idx="4">
                  <c:v>0.43410210221959694</c:v>
                </c:pt>
                <c:pt idx="5">
                  <c:v>0.53662182963345906</c:v>
                </c:pt>
                <c:pt idx="6">
                  <c:v>0.58200726823923143</c:v>
                </c:pt>
                <c:pt idx="7">
                  <c:v>0.62739270684500381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16D-42E9-89A9-6475C9B8F9BD}"/>
            </c:ext>
          </c:extLst>
        </c:ser>
        <c:ser>
          <c:idx val="1"/>
          <c:order val="1"/>
          <c:tx>
            <c:v>Fit attempt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'Polling Correlations - GRN'!$BU$22:$BU$97</c:f>
              <c:numCache>
                <c:formatCode>General</c:formatCode>
                <c:ptCount val="76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</c:v>
                </c:pt>
              </c:numCache>
            </c:numRef>
          </c:xVal>
          <c:yVal>
            <c:numRef>
              <c:f>'Polling Correlations - GRN'!$BV$22:$BV$97</c:f>
              <c:numCache>
                <c:formatCode>General</c:formatCode>
                <c:ptCount val="76"/>
                <c:pt idx="0">
                  <c:v>0.66850707894141992</c:v>
                </c:pt>
                <c:pt idx="1">
                  <c:v>0.66538458430456249</c:v>
                </c:pt>
                <c:pt idx="2">
                  <c:v>0.6621983652873612</c:v>
                </c:pt>
                <c:pt idx="3">
                  <c:v>0.65894645103269167</c:v>
                </c:pt>
                <c:pt idx="4">
                  <c:v>0.65562678856438317</c:v>
                </c:pt>
                <c:pt idx="5">
                  <c:v>0.65223723846516313</c:v>
                </c:pt>
                <c:pt idx="6">
                  <c:v>0.64877557027872546</c:v>
                </c:pt>
                <c:pt idx="7">
                  <c:v>0.64523945761516011</c:v>
                </c:pt>
                <c:pt idx="8">
                  <c:v>0.64162647293716946</c:v>
                </c:pt>
                <c:pt idx="9">
                  <c:v>0.63793408200251966</c:v>
                </c:pt>
                <c:pt idx="10">
                  <c:v>0.63415963793598884</c:v>
                </c:pt>
                <c:pt idx="11">
                  <c:v>0.63030037490167068</c:v>
                </c:pt>
                <c:pt idx="12">
                  <c:v>0.62635340134384543</c:v>
                </c:pt>
                <c:pt idx="13">
                  <c:v>0.62231569276170218</c:v>
                </c:pt>
                <c:pt idx="14">
                  <c:v>0.61818408397997426</c:v>
                </c:pt>
                <c:pt idx="15">
                  <c:v>0.61395526087397045</c:v>
                </c:pt>
                <c:pt idx="16">
                  <c:v>0.60962575150353793</c:v>
                </c:pt>
                <c:pt idx="17">
                  <c:v>0.60519191660610705</c:v>
                </c:pt>
                <c:pt idx="18">
                  <c:v>0.60064993939410471</c:v>
                </c:pt>
                <c:pt idx="19">
                  <c:v>0.59599581459662088</c:v>
                </c:pt>
                <c:pt idx="20">
                  <c:v>0.59122533667919985</c:v>
                </c:pt>
                <c:pt idx="21">
                  <c:v>0.58633408716893265</c:v>
                </c:pt>
                <c:pt idx="22">
                  <c:v>0.58131742100455619</c:v>
                </c:pt>
                <c:pt idx="23">
                  <c:v>0.57617045182292315</c:v>
                </c:pt>
                <c:pt idx="24">
                  <c:v>0.57088803608387872</c:v>
                </c:pt>
                <c:pt idx="25">
                  <c:v>0.56546475592512646</c:v>
                </c:pt>
                <c:pt idx="26">
                  <c:v>0.55989490062694836</c:v>
                </c:pt>
                <c:pt idx="27">
                  <c:v>0.55417244655347786</c:v>
                </c:pt>
                <c:pt idx="28">
                  <c:v>0.54829103542241087</c:v>
                </c:pt>
                <c:pt idx="29">
                  <c:v>0.54224395073835607</c:v>
                </c:pt>
                <c:pt idx="30">
                  <c:v>0.53602409220618541</c:v>
                </c:pt>
                <c:pt idx="31">
                  <c:v>0.5296239479194591</c:v>
                </c:pt>
                <c:pt idx="32">
                  <c:v>0.52303556409488783</c:v>
                </c:pt>
                <c:pt idx="33">
                  <c:v>0.51625051209644879</c:v>
                </c:pt>
                <c:pt idx="34">
                  <c:v>0.50925985246169347</c:v>
                </c:pt>
                <c:pt idx="35">
                  <c:v>0.50205409560740721</c:v>
                </c:pt>
                <c:pt idx="36">
                  <c:v>0.4946231588514246</c:v>
                </c:pt>
                <c:pt idx="37">
                  <c:v>0.48695631934128358</c:v>
                </c:pt>
                <c:pt idx="38">
                  <c:v>0.47904216242758979</c:v>
                </c:pt>
                <c:pt idx="39">
                  <c:v>0.47086852495934861</c:v>
                </c:pt>
                <c:pt idx="40">
                  <c:v>0.46242243290883278</c:v>
                </c:pt>
                <c:pt idx="41">
                  <c:v>0.45369003265321473</c:v>
                </c:pt>
                <c:pt idx="42">
                  <c:v>0.44465651514740301</c:v>
                </c:pt>
                <c:pt idx="43">
                  <c:v>0.43530603211507146</c:v>
                </c:pt>
                <c:pt idx="44">
                  <c:v>0.42562160326015674</c:v>
                </c:pt>
                <c:pt idx="45">
                  <c:v>0.41558501335597231</c:v>
                </c:pt>
                <c:pt idx="46">
                  <c:v>0.40517669789978106</c:v>
                </c:pt>
                <c:pt idx="47">
                  <c:v>0.3943756158226015</c:v>
                </c:pt>
                <c:pt idx="48">
                  <c:v>0.38315910751168425</c:v>
                </c:pt>
                <c:pt idx="49">
                  <c:v>0.3715027361297506</c:v>
                </c:pt>
                <c:pt idx="50">
                  <c:v>0.35938010989253977</c:v>
                </c:pt>
                <c:pt idx="51">
                  <c:v>0.34676268258442222</c:v>
                </c:pt>
                <c:pt idx="52">
                  <c:v>0.33361952913846649</c:v>
                </c:pt>
                <c:pt idx="53">
                  <c:v>0.31991709256715084</c:v>
                </c:pt>
                <c:pt idx="54">
                  <c:v>0.30561889788403895</c:v>
                </c:pt>
                <c:pt idx="55">
                  <c:v>0.29068522788167772</c:v>
                </c:pt>
                <c:pt idx="56">
                  <c:v>0.2750727546973909</c:v>
                </c:pt>
                <c:pt idx="57">
                  <c:v>0.2587341199696489</c:v>
                </c:pt>
                <c:pt idx="58">
                  <c:v>0.24161745501677634</c:v>
                </c:pt>
                <c:pt idx="59">
                  <c:v>0.22366583079790991</c:v>
                </c:pt>
                <c:pt idx="60">
                  <c:v>0.2048166253681003</c:v>
                </c:pt>
                <c:pt idx="61">
                  <c:v>0.1850007940188132</c:v>
                </c:pt>
                <c:pt idx="62">
                  <c:v>0.16414202417745838</c:v>
                </c:pt>
                <c:pt idx="63">
                  <c:v>0.14215575326359797</c:v>
                </c:pt>
                <c:pt idx="64">
                  <c:v>0.11894802285452288</c:v>
                </c:pt>
                <c:pt idx="65">
                  <c:v>9.4414136422072303E-2</c:v>
                </c:pt>
                <c:pt idx="66">
                  <c:v>6.8437080199477474E-2</c:v>
                </c:pt>
                <c:pt idx="67">
                  <c:v>4.0885656933089098E-2</c:v>
                </c:pt>
                <c:pt idx="68">
                  <c:v>1.1612269712551471E-2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16D-42E9-89A9-6475C9B8F9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5356840"/>
        <c:axId val="985352248"/>
      </c:scatterChart>
      <c:valAx>
        <c:axId val="985356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5352248"/>
        <c:crosses val="autoZero"/>
        <c:crossBetween val="midCat"/>
      </c:valAx>
      <c:valAx>
        <c:axId val="985352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53568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Poll bias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'Polling Correlations - GRN'!$BG$6:$BM$6</c:f>
              <c:numCache>
                <c:formatCode>General</c:formatCode>
                <c:ptCount val="7"/>
                <c:pt idx="0">
                  <c:v>6.5930445341424369</c:v>
                </c:pt>
                <c:pt idx="1">
                  <c:v>5.8998973535824915</c:v>
                </c:pt>
                <c:pt idx="2">
                  <c:v>5.2040066870767951</c:v>
                </c:pt>
                <c:pt idx="3">
                  <c:v>4.499809670330265</c:v>
                </c:pt>
                <c:pt idx="4">
                  <c:v>3.4011973816621555</c:v>
                </c:pt>
                <c:pt idx="5">
                  <c:v>2.0471722811110502</c:v>
                </c:pt>
                <c:pt idx="6">
                  <c:v>0.69314718055994529</c:v>
                </c:pt>
              </c:numCache>
            </c:numRef>
          </c:xVal>
          <c:yVal>
            <c:numRef>
              <c:f>'Polling Correlations - GRN'!$BG$38:$BM$38</c:f>
              <c:numCache>
                <c:formatCode>General</c:formatCode>
                <c:ptCount val="7"/>
                <c:pt idx="0">
                  <c:v>1.1065079365079364</c:v>
                </c:pt>
                <c:pt idx="1">
                  <c:v>0.21625000000000019</c:v>
                </c:pt>
                <c:pt idx="2">
                  <c:v>4.7733333333333371E-2</c:v>
                </c:pt>
                <c:pt idx="3">
                  <c:v>0.2019230769230769</c:v>
                </c:pt>
                <c:pt idx="4">
                  <c:v>7.987179487179491E-2</c:v>
                </c:pt>
                <c:pt idx="5">
                  <c:v>-3.3717948717948601E-2</c:v>
                </c:pt>
                <c:pt idx="6">
                  <c:v>-0.14730769230769211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561-45B7-880E-BCEB01B651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5397584"/>
        <c:axId val="525399552"/>
      </c:scatterChart>
      <c:valAx>
        <c:axId val="525397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</a:t>
                </a:r>
                <a:r>
                  <a:rPr lang="en-US" baseline="0"/>
                  <a:t> #days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399552"/>
        <c:crosses val="autoZero"/>
        <c:crossBetween val="midCat"/>
      </c:valAx>
      <c:valAx>
        <c:axId val="525399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Standard</a:t>
                </a:r>
                <a:r>
                  <a:rPr lang="en-US" baseline="0"/>
                  <a:t> Deviation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397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Polls-only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'Polling Correlations - xOTH'!$BG$6:$BM$6</c:f>
              <c:numCache>
                <c:formatCode>General</c:formatCode>
                <c:ptCount val="7"/>
                <c:pt idx="0">
                  <c:v>6.5930445341424369</c:v>
                </c:pt>
                <c:pt idx="1">
                  <c:v>5.8998973535824915</c:v>
                </c:pt>
                <c:pt idx="2">
                  <c:v>5.2040066870767951</c:v>
                </c:pt>
                <c:pt idx="3">
                  <c:v>4.499809670330265</c:v>
                </c:pt>
                <c:pt idx="4">
                  <c:v>3.4011973816621555</c:v>
                </c:pt>
                <c:pt idx="5">
                  <c:v>2.0471722811110502</c:v>
                </c:pt>
                <c:pt idx="6">
                  <c:v>0.69314718055994529</c:v>
                </c:pt>
              </c:numCache>
            </c:numRef>
          </c:xVal>
          <c:yVal>
            <c:numRef>
              <c:f>'Polling Correlations - xOTH'!$BG$7:$BM$7</c:f>
              <c:numCache>
                <c:formatCode>General</c:formatCode>
                <c:ptCount val="7"/>
                <c:pt idx="0">
                  <c:v>3.7025831108999721</c:v>
                </c:pt>
                <c:pt idx="1">
                  <c:v>3.1045260418370542</c:v>
                </c:pt>
                <c:pt idx="2">
                  <c:v>2.8303141593718433</c:v>
                </c:pt>
                <c:pt idx="3">
                  <c:v>3.2519202742511193</c:v>
                </c:pt>
                <c:pt idx="4">
                  <c:v>2.5153245912099083</c:v>
                </c:pt>
                <c:pt idx="5">
                  <c:v>2.3407935390829957</c:v>
                </c:pt>
                <c:pt idx="6">
                  <c:v>2.1662624869560831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167-4B61-8A03-2FBE37B314C4}"/>
            </c:ext>
          </c:extLst>
        </c:ser>
        <c:ser>
          <c:idx val="1"/>
          <c:order val="1"/>
          <c:tx>
            <c:v>Polls+History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9.6361741547012505E-2"/>
                  <c:y val="-0.1953849518810148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'Polling Correlations - xOTH'!$BG$6:$BM$6</c:f>
              <c:numCache>
                <c:formatCode>General</c:formatCode>
                <c:ptCount val="7"/>
                <c:pt idx="0">
                  <c:v>6.5930445341424369</c:v>
                </c:pt>
                <c:pt idx="1">
                  <c:v>5.8998973535824915</c:v>
                </c:pt>
                <c:pt idx="2">
                  <c:v>5.2040066870767951</c:v>
                </c:pt>
                <c:pt idx="3">
                  <c:v>4.499809670330265</c:v>
                </c:pt>
                <c:pt idx="4">
                  <c:v>3.4011973816621555</c:v>
                </c:pt>
                <c:pt idx="5">
                  <c:v>2.0471722811110502</c:v>
                </c:pt>
                <c:pt idx="6">
                  <c:v>0.69314718055994529</c:v>
                </c:pt>
              </c:numCache>
            </c:numRef>
          </c:xVal>
          <c:yVal>
            <c:numRef>
              <c:f>'Polling Correlations - xOTH'!$BG$8:$BM$8</c:f>
              <c:numCache>
                <c:formatCode>General</c:formatCode>
                <c:ptCount val="7"/>
                <c:pt idx="0">
                  <c:v>2.1466391527012383</c:v>
                </c:pt>
                <c:pt idx="1">
                  <c:v>2.0441505801095552</c:v>
                </c:pt>
                <c:pt idx="2">
                  <c:v>1.966288616712927</c:v>
                </c:pt>
                <c:pt idx="3">
                  <c:v>2.0091423619433439</c:v>
                </c:pt>
                <c:pt idx="4">
                  <c:v>1.5906501291396067</c:v>
                </c:pt>
                <c:pt idx="5">
                  <c:v>1.6244875557358882</c:v>
                </c:pt>
                <c:pt idx="6">
                  <c:v>1.6583249823321697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167-4B61-8A03-2FBE37B314C4}"/>
            </c:ext>
          </c:extLst>
        </c:ser>
        <c:ser>
          <c:idx val="2"/>
          <c:order val="2"/>
          <c:tx>
            <c:v>History Only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'Polling Correlations - xOTH'!$BG$6:$BM$6</c:f>
              <c:numCache>
                <c:formatCode>General</c:formatCode>
                <c:ptCount val="7"/>
                <c:pt idx="0">
                  <c:v>6.5930445341424369</c:v>
                </c:pt>
                <c:pt idx="1">
                  <c:v>5.8998973535824915</c:v>
                </c:pt>
                <c:pt idx="2">
                  <c:v>5.2040066870767951</c:v>
                </c:pt>
                <c:pt idx="3">
                  <c:v>4.499809670330265</c:v>
                </c:pt>
                <c:pt idx="4">
                  <c:v>3.4011973816621555</c:v>
                </c:pt>
                <c:pt idx="5">
                  <c:v>2.0471722811110502</c:v>
                </c:pt>
                <c:pt idx="6">
                  <c:v>0.69314718055994529</c:v>
                </c:pt>
              </c:numCache>
            </c:numRef>
          </c:xVal>
          <c:yVal>
            <c:numRef>
              <c:f>'Polling Correlations - xOTH'!$BG$9:$BM$9</c:f>
              <c:numCache>
                <c:formatCode>General</c:formatCode>
                <c:ptCount val="7"/>
                <c:pt idx="0">
                  <c:v>2.6602279037706529</c:v>
                </c:pt>
                <c:pt idx="1">
                  <c:v>2.6602279037706529</c:v>
                </c:pt>
                <c:pt idx="2">
                  <c:v>2.6602279037706529</c:v>
                </c:pt>
                <c:pt idx="3">
                  <c:v>2.6602279037706529</c:v>
                </c:pt>
                <c:pt idx="4">
                  <c:v>2.6602279037706529</c:v>
                </c:pt>
                <c:pt idx="5">
                  <c:v>2.6602279037706529</c:v>
                </c:pt>
                <c:pt idx="6">
                  <c:v>2.6602279037706529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167-4B61-8A03-2FBE37B314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5397584"/>
        <c:axId val="525399552"/>
      </c:scatterChart>
      <c:valAx>
        <c:axId val="525397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</a:t>
                </a:r>
                <a:r>
                  <a:rPr lang="en-US" baseline="0"/>
                  <a:t> #days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399552"/>
        <c:crosses val="autoZero"/>
        <c:crossBetween val="midCat"/>
      </c:valAx>
      <c:valAx>
        <c:axId val="525399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Standard</a:t>
                </a:r>
                <a:r>
                  <a:rPr lang="en-US" baseline="0"/>
                  <a:t> Deviation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397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'Polling Correlations - xOTH'!$BF$6:$BM$6</c:f>
              <c:numCache>
                <c:formatCode>General</c:formatCode>
                <c:ptCount val="8"/>
                <c:pt idx="1">
                  <c:v>6.5930445341424369</c:v>
                </c:pt>
                <c:pt idx="2">
                  <c:v>5.8998973535824915</c:v>
                </c:pt>
                <c:pt idx="3">
                  <c:v>5.2040066870767951</c:v>
                </c:pt>
                <c:pt idx="4">
                  <c:v>4.499809670330265</c:v>
                </c:pt>
                <c:pt idx="5">
                  <c:v>3.4011973816621555</c:v>
                </c:pt>
                <c:pt idx="6">
                  <c:v>2.0471722811110502</c:v>
                </c:pt>
                <c:pt idx="7">
                  <c:v>0.69314718055994529</c:v>
                </c:pt>
              </c:numCache>
            </c:numRef>
          </c:xVal>
          <c:yVal>
            <c:numRef>
              <c:f>'Polling Correlations - xOTH'!$BF$11:$BM$11</c:f>
              <c:numCache>
                <c:formatCode>General</c:formatCode>
                <c:ptCount val="8"/>
                <c:pt idx="1">
                  <c:v>0.50344888942632893</c:v>
                </c:pt>
                <c:pt idx="2">
                  <c:v>0.49747327417920834</c:v>
                </c:pt>
                <c:pt idx="3">
                  <c:v>0.46551696811435206</c:v>
                </c:pt>
                <c:pt idx="4">
                  <c:v>0.48031007023120748</c:v>
                </c:pt>
                <c:pt idx="5">
                  <c:v>0.51179995483347873</c:v>
                </c:pt>
                <c:pt idx="6">
                  <c:v>0.54311825460042717</c:v>
                </c:pt>
                <c:pt idx="7">
                  <c:v>0.57443655436737562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3C3-47BD-8D48-B2413D007DF2}"/>
            </c:ext>
          </c:extLst>
        </c:ser>
        <c:ser>
          <c:idx val="1"/>
          <c:order val="1"/>
          <c:tx>
            <c:v>Fit attempt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'Polling Correlations - xOTH'!$BU$22:$BU$97</c:f>
              <c:numCache>
                <c:formatCode>General</c:formatCode>
                <c:ptCount val="76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</c:v>
                </c:pt>
              </c:numCache>
            </c:numRef>
          </c:xVal>
          <c:yVal>
            <c:numRef>
              <c:f>'Polling Correlations - xOTH'!$BV$22:$BV$97</c:f>
              <c:numCache>
                <c:formatCode>General</c:formatCode>
                <c:ptCount val="76"/>
                <c:pt idx="0">
                  <c:v>0.53797551208869909</c:v>
                </c:pt>
                <c:pt idx="1">
                  <c:v>0.53760244086531173</c:v>
                </c:pt>
                <c:pt idx="2">
                  <c:v>0.53722175594348776</c:v>
                </c:pt>
                <c:pt idx="3">
                  <c:v>0.53683322184801796</c:v>
                </c:pt>
                <c:pt idx="4">
                  <c:v>0.53643659329222593</c:v>
                </c:pt>
                <c:pt idx="5">
                  <c:v>0.53603161466157512</c:v>
                </c:pt>
                <c:pt idx="6">
                  <c:v>0.53561801946431464</c:v>
                </c:pt>
                <c:pt idx="7">
                  <c:v>0.53519552974668305</c:v>
                </c:pt>
                <c:pt idx="8">
                  <c:v>0.53476385546997252</c:v>
                </c:pt>
                <c:pt idx="9">
                  <c:v>0.53432269384652098</c:v>
                </c:pt>
                <c:pt idx="10">
                  <c:v>0.53387172863143728</c:v>
                </c:pt>
                <c:pt idx="11">
                  <c:v>0.53341062936657635</c:v>
                </c:pt>
                <c:pt idx="12">
                  <c:v>0.53293905057296864</c:v>
                </c:pt>
                <c:pt idx="13">
                  <c:v>0.53245663088755391</c:v>
                </c:pt>
                <c:pt idx="14">
                  <c:v>0.53196299213968756</c:v>
                </c:pt>
                <c:pt idx="15">
                  <c:v>0.53145773836245969</c:v>
                </c:pt>
                <c:pt idx="16">
                  <c:v>0.53094045473339313</c:v>
                </c:pt>
                <c:pt idx="17">
                  <c:v>0.5304107064385658</c:v>
                </c:pt>
                <c:pt idx="18">
                  <c:v>0.52986803745362077</c:v>
                </c:pt>
                <c:pt idx="19">
                  <c:v>0.52931196923447965</c:v>
                </c:pt>
                <c:pt idx="20">
                  <c:v>0.52874199930985988</c:v>
                </c:pt>
                <c:pt idx="21">
                  <c:v>0.52815759976689547</c:v>
                </c:pt>
                <c:pt idx="22">
                  <c:v>0.52755821562026517</c:v>
                </c:pt>
                <c:pt idx="23">
                  <c:v>0.52694326305424188</c:v>
                </c:pt>
                <c:pt idx="24">
                  <c:v>0.52631212752595491</c:v>
                </c:pt>
                <c:pt idx="25">
                  <c:v>0.52566416171691355</c:v>
                </c:pt>
                <c:pt idx="26">
                  <c:v>0.52499868331843857</c:v>
                </c:pt>
                <c:pt idx="27">
                  <c:v>0.52431497263507398</c:v>
                </c:pt>
                <c:pt idx="28">
                  <c:v>0.52361226998828259</c:v>
                </c:pt>
                <c:pt idx="29">
                  <c:v>0.52288977290073646</c:v>
                </c:pt>
                <c:pt idx="30">
                  <c:v>0.52214663303926045</c:v>
                </c:pt>
                <c:pt idx="31">
                  <c:v>0.52138195289194456</c:v>
                </c:pt>
                <c:pt idx="32">
                  <c:v>0.52059478215206068</c:v>
                </c:pt>
                <c:pt idx="33">
                  <c:v>0.51978411377815026</c:v>
                </c:pt>
                <c:pt idx="34">
                  <c:v>0.5189488796959395</c:v>
                </c:pt>
                <c:pt idx="35">
                  <c:v>0.51808794610350695</c:v>
                </c:pt>
                <c:pt idx="36">
                  <c:v>0.51720010833631092</c:v>
                </c:pt>
                <c:pt idx="37">
                  <c:v>0.51628408524317204</c:v>
                </c:pt>
                <c:pt idx="38">
                  <c:v>0.5153385130179966</c:v>
                </c:pt>
                <c:pt idx="39">
                  <c:v>0.51436193842478251</c:v>
                </c:pt>
                <c:pt idx="40">
                  <c:v>0.51335281134512789</c:v>
                </c:pt>
                <c:pt idx="41">
                  <c:v>0.51230947656785797</c:v>
                </c:pt>
                <c:pt idx="42">
                  <c:v>0.51123016472930283</c:v>
                </c:pt>
                <c:pt idx="43">
                  <c:v>0.51011298229992119</c:v>
                </c:pt>
                <c:pt idx="44">
                  <c:v>0.50895590049806161</c:v>
                </c:pt>
                <c:pt idx="45">
                  <c:v>0.50775674299431628</c:v>
                </c:pt>
                <c:pt idx="46">
                  <c:v>0.5065131722496915</c:v>
                </c:pt>
                <c:pt idx="47">
                  <c:v>0.50522267430715628</c:v>
                </c:pt>
                <c:pt idx="48">
                  <c:v>0.50388254182836978</c:v>
                </c:pt>
                <c:pt idx="49">
                  <c:v>0.50248985513472888</c:v>
                </c:pt>
                <c:pt idx="50">
                  <c:v>0.50104146097334235</c:v>
                </c:pt>
                <c:pt idx="51">
                  <c:v>0.49953394868291962</c:v>
                </c:pt>
                <c:pt idx="52">
                  <c:v>0.49796362338039596</c:v>
                </c:pt>
                <c:pt idx="53">
                  <c:v>0.49632647572457345</c:v>
                </c:pt>
                <c:pt idx="54">
                  <c:v>0.49461814773588902</c:v>
                </c:pt>
                <c:pt idx="55">
                  <c:v>0.49283389405881867</c:v>
                </c:pt>
                <c:pt idx="56">
                  <c:v>0.49096853794188144</c:v>
                </c:pt>
                <c:pt idx="57">
                  <c:v>0.48901642107531929</c:v>
                </c:pt>
                <c:pt idx="58">
                  <c:v>0.48697134626273031</c:v>
                </c:pt>
                <c:pt idx="59">
                  <c:v>0.4848265117031858</c:v>
                </c:pt>
                <c:pt idx="60">
                  <c:v>0.48257443541566403</c:v>
                </c:pt>
                <c:pt idx="61">
                  <c:v>0.4802068680364745</c:v>
                </c:pt>
                <c:pt idx="62">
                  <c:v>0.47771469184785398</c:v>
                </c:pt>
                <c:pt idx="63">
                  <c:v>0.47508780343282148</c:v>
                </c:pt>
                <c:pt idx="64">
                  <c:v>0.47231497677250944</c:v>
                </c:pt>
                <c:pt idx="65">
                  <c:v>0.46938370287446529</c:v>
                </c:pt>
                <c:pt idx="66">
                  <c:v>0.46628000110006557</c:v>
                </c:pt>
                <c:pt idx="67">
                  <c:v>0.46298819618782344</c:v>
                </c:pt>
                <c:pt idx="68">
                  <c:v>0.45949065346856621</c:v>
                </c:pt>
                <c:pt idx="69">
                  <c:v>0.45576746283193753</c:v>
                </c:pt>
                <c:pt idx="70">
                  <c:v>0.45179605948620027</c:v>
                </c:pt>
                <c:pt idx="71">
                  <c:v>0.44755076625455009</c:v>
                </c:pt>
                <c:pt idx="72">
                  <c:v>0.44300223779206782</c:v>
                </c:pt>
                <c:pt idx="73">
                  <c:v>0.4381167812953275</c:v>
                </c:pt>
                <c:pt idx="74">
                  <c:v>0.43285552045268416</c:v>
                </c:pt>
                <c:pt idx="75">
                  <c:v>0.42776194919865029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3C3-47BD-8D48-B2413D007D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5356840"/>
        <c:axId val="985352248"/>
      </c:scatterChart>
      <c:valAx>
        <c:axId val="985356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5352248"/>
        <c:crosses val="autoZero"/>
        <c:crossBetween val="midCat"/>
      </c:valAx>
      <c:valAx>
        <c:axId val="985352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53568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Poll bias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'Polling Correlations - xOTH'!$BG$6:$BM$6</c:f>
              <c:numCache>
                <c:formatCode>General</c:formatCode>
                <c:ptCount val="7"/>
                <c:pt idx="0">
                  <c:v>6.5930445341424369</c:v>
                </c:pt>
                <c:pt idx="1">
                  <c:v>5.8998973535824915</c:v>
                </c:pt>
                <c:pt idx="2">
                  <c:v>5.2040066870767951</c:v>
                </c:pt>
                <c:pt idx="3">
                  <c:v>4.499809670330265</c:v>
                </c:pt>
                <c:pt idx="4">
                  <c:v>3.4011973816621555</c:v>
                </c:pt>
                <c:pt idx="5">
                  <c:v>2.0471722811110502</c:v>
                </c:pt>
                <c:pt idx="6">
                  <c:v>0.69314718055994529</c:v>
                </c:pt>
              </c:numCache>
            </c:numRef>
          </c:xVal>
          <c:yVal>
            <c:numRef>
              <c:f>'Polling Correlations - xOTH'!$BG$38:$BM$38</c:f>
              <c:numCache>
                <c:formatCode>General</c:formatCode>
                <c:ptCount val="7"/>
                <c:pt idx="0">
                  <c:v>2.8241269841269863</c:v>
                </c:pt>
                <c:pt idx="1">
                  <c:v>1.9118055555555566</c:v>
                </c:pt>
                <c:pt idx="2">
                  <c:v>1.6287500000000008</c:v>
                </c:pt>
                <c:pt idx="3">
                  <c:v>1.8764102564102565</c:v>
                </c:pt>
                <c:pt idx="4">
                  <c:v>1.1972435897435911</c:v>
                </c:pt>
                <c:pt idx="5">
                  <c:v>0.99682692307692422</c:v>
                </c:pt>
                <c:pt idx="6">
                  <c:v>0.7964102564102572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E86-4213-A055-0D3BE6D387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5397584"/>
        <c:axId val="525399552"/>
      </c:scatterChart>
      <c:valAx>
        <c:axId val="525397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</a:t>
                </a:r>
                <a:r>
                  <a:rPr lang="en-US" baseline="0"/>
                  <a:t> #days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399552"/>
        <c:crosses val="autoZero"/>
        <c:crossBetween val="midCat"/>
      </c:valAx>
      <c:valAx>
        <c:axId val="525399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Standard</a:t>
                </a:r>
                <a:r>
                  <a:rPr lang="en-US" baseline="0"/>
                  <a:t> Deviation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397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Polls-only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'Polling Correlations - OTH'!$BG$6:$BM$6</c:f>
              <c:numCache>
                <c:formatCode>General</c:formatCode>
                <c:ptCount val="7"/>
                <c:pt idx="0">
                  <c:v>6.5930445341424369</c:v>
                </c:pt>
                <c:pt idx="1">
                  <c:v>5.8998973535824915</c:v>
                </c:pt>
                <c:pt idx="2">
                  <c:v>5.2040066870767951</c:v>
                </c:pt>
                <c:pt idx="3">
                  <c:v>4.499809670330265</c:v>
                </c:pt>
                <c:pt idx="4">
                  <c:v>3.4011973816621555</c:v>
                </c:pt>
                <c:pt idx="5">
                  <c:v>2.0471722811110502</c:v>
                </c:pt>
                <c:pt idx="6">
                  <c:v>0.69314718055994529</c:v>
                </c:pt>
              </c:numCache>
            </c:numRef>
          </c:xVal>
          <c:yVal>
            <c:numRef>
              <c:f>'Polling Correlations - OTH'!$BG$7:$BM$7</c:f>
              <c:numCache>
                <c:formatCode>General</c:formatCode>
                <c:ptCount val="7"/>
                <c:pt idx="0">
                  <c:v>3.8769584571293616</c:v>
                </c:pt>
                <c:pt idx="1">
                  <c:v>2.8237542320398497</c:v>
                </c:pt>
                <c:pt idx="2">
                  <c:v>3.0008589819632689</c:v>
                </c:pt>
                <c:pt idx="3">
                  <c:v>2.8868523064604883</c:v>
                </c:pt>
                <c:pt idx="4">
                  <c:v>2.8597029311977233</c:v>
                </c:pt>
                <c:pt idx="5">
                  <c:v>2.4764172271076133</c:v>
                </c:pt>
                <c:pt idx="6">
                  <c:v>2.0931315230175032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9A0-4A89-A3EE-41C8FD46396E}"/>
            </c:ext>
          </c:extLst>
        </c:ser>
        <c:ser>
          <c:idx val="1"/>
          <c:order val="1"/>
          <c:tx>
            <c:v>Polls+History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9.6361741547012505E-2"/>
                  <c:y val="-0.1953849518810148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'Polling Correlations - OTH'!$BG$6:$BM$6</c:f>
              <c:numCache>
                <c:formatCode>General</c:formatCode>
                <c:ptCount val="7"/>
                <c:pt idx="0">
                  <c:v>6.5930445341424369</c:v>
                </c:pt>
                <c:pt idx="1">
                  <c:v>5.8998973535824915</c:v>
                </c:pt>
                <c:pt idx="2">
                  <c:v>5.2040066870767951</c:v>
                </c:pt>
                <c:pt idx="3">
                  <c:v>4.499809670330265</c:v>
                </c:pt>
                <c:pt idx="4">
                  <c:v>3.4011973816621555</c:v>
                </c:pt>
                <c:pt idx="5">
                  <c:v>2.0471722811110502</c:v>
                </c:pt>
                <c:pt idx="6">
                  <c:v>0.69314718055994529</c:v>
                </c:pt>
              </c:numCache>
            </c:numRef>
          </c:xVal>
          <c:yVal>
            <c:numRef>
              <c:f>'Polling Correlations - OTH'!$BG$8:$BM$8</c:f>
              <c:numCache>
                <c:formatCode>General</c:formatCode>
                <c:ptCount val="7"/>
                <c:pt idx="0">
                  <c:v>3.8260807036843216</c:v>
                </c:pt>
                <c:pt idx="1">
                  <c:v>2.7249028506821342</c:v>
                </c:pt>
                <c:pt idx="2">
                  <c:v>2.6366298930321843</c:v>
                </c:pt>
                <c:pt idx="3">
                  <c:v>2.3734700698937732</c:v>
                </c:pt>
                <c:pt idx="4">
                  <c:v>2.3848713359277753</c:v>
                </c:pt>
                <c:pt idx="5">
                  <c:v>2.1054753684372098</c:v>
                </c:pt>
                <c:pt idx="6">
                  <c:v>1.8260794009466441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9A0-4A89-A3EE-41C8FD46396E}"/>
            </c:ext>
          </c:extLst>
        </c:ser>
        <c:ser>
          <c:idx val="2"/>
          <c:order val="2"/>
          <c:tx>
            <c:v>History Only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'Polling Correlations - OTH'!$BG$6:$BM$6</c:f>
              <c:numCache>
                <c:formatCode>General</c:formatCode>
                <c:ptCount val="7"/>
                <c:pt idx="0">
                  <c:v>6.5930445341424369</c:v>
                </c:pt>
                <c:pt idx="1">
                  <c:v>5.8998973535824915</c:v>
                </c:pt>
                <c:pt idx="2">
                  <c:v>5.2040066870767951</c:v>
                </c:pt>
                <c:pt idx="3">
                  <c:v>4.499809670330265</c:v>
                </c:pt>
                <c:pt idx="4">
                  <c:v>3.4011973816621555</c:v>
                </c:pt>
                <c:pt idx="5">
                  <c:v>2.0471722811110502</c:v>
                </c:pt>
                <c:pt idx="6">
                  <c:v>0.69314718055994529</c:v>
                </c:pt>
              </c:numCache>
            </c:numRef>
          </c:xVal>
          <c:yVal>
            <c:numRef>
              <c:f>'Polling Correlations - OTH'!$BG$9:$BM$9</c:f>
              <c:numCache>
                <c:formatCode>General</c:formatCode>
                <c:ptCount val="7"/>
                <c:pt idx="0">
                  <c:v>6.0496279552907959</c:v>
                </c:pt>
                <c:pt idx="1">
                  <c:v>6.0496279552907959</c:v>
                </c:pt>
                <c:pt idx="2">
                  <c:v>6.0496279552907959</c:v>
                </c:pt>
                <c:pt idx="3">
                  <c:v>6.0496279552907959</c:v>
                </c:pt>
                <c:pt idx="4">
                  <c:v>6.0496279552907959</c:v>
                </c:pt>
                <c:pt idx="5">
                  <c:v>6.0496279552907959</c:v>
                </c:pt>
                <c:pt idx="6">
                  <c:v>6.0496279552907959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9A0-4A89-A3EE-41C8FD4639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5397584"/>
        <c:axId val="525399552"/>
      </c:scatterChart>
      <c:valAx>
        <c:axId val="525397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</a:t>
                </a:r>
                <a:r>
                  <a:rPr lang="en-US" baseline="0"/>
                  <a:t> #days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399552"/>
        <c:crosses val="autoZero"/>
        <c:crossBetween val="midCat"/>
      </c:valAx>
      <c:valAx>
        <c:axId val="525399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Standard</a:t>
                </a:r>
                <a:r>
                  <a:rPr lang="en-US" baseline="0"/>
                  <a:t> Deviation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397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'Polling Correlations - OTH'!$BF$6:$BM$6</c:f>
              <c:numCache>
                <c:formatCode>General</c:formatCode>
                <c:ptCount val="8"/>
                <c:pt idx="1">
                  <c:v>6.5930445341424369</c:v>
                </c:pt>
                <c:pt idx="2">
                  <c:v>5.8998973535824915</c:v>
                </c:pt>
                <c:pt idx="3">
                  <c:v>5.2040066870767951</c:v>
                </c:pt>
                <c:pt idx="4">
                  <c:v>4.499809670330265</c:v>
                </c:pt>
                <c:pt idx="5">
                  <c:v>3.4011973816621555</c:v>
                </c:pt>
                <c:pt idx="6">
                  <c:v>2.0471722811110502</c:v>
                </c:pt>
                <c:pt idx="7">
                  <c:v>0.69314718055994529</c:v>
                </c:pt>
              </c:numCache>
            </c:numRef>
          </c:xVal>
          <c:yVal>
            <c:numRef>
              <c:f>'Polling Correlations - OTH'!$BF$11:$BM$11</c:f>
              <c:numCache>
                <c:formatCode>General</c:formatCode>
                <c:ptCount val="8"/>
                <c:pt idx="1">
                  <c:v>0.80720556691185752</c:v>
                </c:pt>
                <c:pt idx="2">
                  <c:v>0.81609172348185</c:v>
                </c:pt>
                <c:pt idx="3">
                  <c:v>0.81352568075810128</c:v>
                </c:pt>
                <c:pt idx="4">
                  <c:v>0.78059753704902046</c:v>
                </c:pt>
                <c:pt idx="5">
                  <c:v>0.80239308185305191</c:v>
                </c:pt>
                <c:pt idx="6">
                  <c:v>0.81970011244546315</c:v>
                </c:pt>
                <c:pt idx="7">
                  <c:v>0.83700714303787438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B43-4053-A6A7-EEFC0832EEF0}"/>
            </c:ext>
          </c:extLst>
        </c:ser>
        <c:ser>
          <c:idx val="1"/>
          <c:order val="1"/>
          <c:tx>
            <c:v>Fit attempt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'Polling Correlations - OTH'!$BU$22:$BU$97</c:f>
              <c:numCache>
                <c:formatCode>General</c:formatCode>
                <c:ptCount val="76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</c:v>
                </c:pt>
              </c:numCache>
            </c:numRef>
          </c:xVal>
          <c:yVal>
            <c:numRef>
              <c:f>'Polling Correlations - OTH'!$BV$22:$BV$97</c:f>
              <c:numCache>
                <c:formatCode>General</c:formatCode>
                <c:ptCount val="76"/>
                <c:pt idx="0">
                  <c:v>0.80827230548528206</c:v>
                </c:pt>
                <c:pt idx="1">
                  <c:v>0.8082723020067174</c:v>
                </c:pt>
                <c:pt idx="2">
                  <c:v>0.80827229845716153</c:v>
                </c:pt>
                <c:pt idx="3">
                  <c:v>0.80827229483441898</c:v>
                </c:pt>
                <c:pt idx="4">
                  <c:v>0.80827229113620269</c:v>
                </c:pt>
                <c:pt idx="5">
                  <c:v>0.80827228736012913</c:v>
                </c:pt>
                <c:pt idx="6">
                  <c:v>0.80827228350371361</c:v>
                </c:pt>
                <c:pt idx="7">
                  <c:v>0.80827227956436443</c:v>
                </c:pt>
                <c:pt idx="8">
                  <c:v>0.80827227553937719</c:v>
                </c:pt>
                <c:pt idx="9">
                  <c:v>0.80827227142592872</c:v>
                </c:pt>
                <c:pt idx="10">
                  <c:v>0.80827226722107026</c:v>
                </c:pt>
                <c:pt idx="11">
                  <c:v>0.80827226292172072</c:v>
                </c:pt>
                <c:pt idx="12">
                  <c:v>0.80827225852465856</c:v>
                </c:pt>
                <c:pt idx="13">
                  <c:v>0.80827225402651448</c:v>
                </c:pt>
                <c:pt idx="14">
                  <c:v>0.80827224942376252</c:v>
                </c:pt>
                <c:pt idx="15">
                  <c:v>0.80827224471271042</c:v>
                </c:pt>
                <c:pt idx="16">
                  <c:v>0.80827223988949048</c:v>
                </c:pt>
                <c:pt idx="17">
                  <c:v>0.8082722349500483</c:v>
                </c:pt>
                <c:pt idx="18">
                  <c:v>0.80827222989013203</c:v>
                </c:pt>
                <c:pt idx="19">
                  <c:v>0.80827222470527949</c:v>
                </c:pt>
                <c:pt idx="20">
                  <c:v>0.80827221939080562</c:v>
                </c:pt>
                <c:pt idx="21">
                  <c:v>0.80827221394178816</c:v>
                </c:pt>
                <c:pt idx="22">
                  <c:v>0.80827220835305225</c:v>
                </c:pt>
                <c:pt idx="23">
                  <c:v>0.80827220261915433</c:v>
                </c:pt>
                <c:pt idx="24">
                  <c:v>0.80827219673436446</c:v>
                </c:pt>
                <c:pt idx="25">
                  <c:v>0.80827219069264677</c:v>
                </c:pt>
                <c:pt idx="26">
                  <c:v>0.80827218448763949</c:v>
                </c:pt>
                <c:pt idx="27">
                  <c:v>0.80827217811263197</c:v>
                </c:pt>
                <c:pt idx="28">
                  <c:v>0.80827217156054088</c:v>
                </c:pt>
                <c:pt idx="29">
                  <c:v>0.80827216482388387</c:v>
                </c:pt>
                <c:pt idx="30">
                  <c:v>0.80827215789475104</c:v>
                </c:pt>
                <c:pt idx="31">
                  <c:v>0.80827215076477366</c:v>
                </c:pt>
                <c:pt idx="32">
                  <c:v>0.80827214342509113</c:v>
                </c:pt>
                <c:pt idx="33">
                  <c:v>0.80827213586631352</c:v>
                </c:pt>
                <c:pt idx="34">
                  <c:v>0.80827212807848214</c:v>
                </c:pt>
                <c:pt idx="35">
                  <c:v>0.80827212005102511</c:v>
                </c:pt>
                <c:pt idx="36">
                  <c:v>0.80827211177271008</c:v>
                </c:pt>
                <c:pt idx="37">
                  <c:v>0.80827210323159138</c:v>
                </c:pt>
                <c:pt idx="38">
                  <c:v>0.80827209441495274</c:v>
                </c:pt>
                <c:pt idx="39">
                  <c:v>0.80827208530924388</c:v>
                </c:pt>
                <c:pt idx="40">
                  <c:v>0.80827207590001149</c:v>
                </c:pt>
                <c:pt idx="41">
                  <c:v>0.80827206617182212</c:v>
                </c:pt>
                <c:pt idx="42">
                  <c:v>0.80827205610817787</c:v>
                </c:pt>
                <c:pt idx="43">
                  <c:v>0.8082720456914233</c:v>
                </c:pt>
                <c:pt idx="44">
                  <c:v>0.80827203490264177</c:v>
                </c:pt>
                <c:pt idx="45">
                  <c:v>0.80827202372154094</c:v>
                </c:pt>
                <c:pt idx="46">
                  <c:v>0.80827201212632527</c:v>
                </c:pt>
                <c:pt idx="47">
                  <c:v>0.80827200009355427</c:v>
                </c:pt>
                <c:pt idx="48">
                  <c:v>0.80827198759798435</c:v>
                </c:pt>
                <c:pt idx="49">
                  <c:v>0.8082719746123922</c:v>
                </c:pt>
                <c:pt idx="50">
                  <c:v>0.8082719611073762</c:v>
                </c:pt>
                <c:pt idx="51">
                  <c:v>0.80827194705113514</c:v>
                </c:pt>
                <c:pt idx="52">
                  <c:v>0.80827193240921746</c:v>
                </c:pt>
                <c:pt idx="53">
                  <c:v>0.80827191714423929</c:v>
                </c:pt>
                <c:pt idx="54">
                  <c:v>0.80827190121556647</c:v>
                </c:pt>
                <c:pt idx="55">
                  <c:v>0.80827188457895272</c:v>
                </c:pt>
                <c:pt idx="56">
                  <c:v>0.8082718671861292</c:v>
                </c:pt>
                <c:pt idx="57">
                  <c:v>0.80827184898433713</c:v>
                </c:pt>
                <c:pt idx="58">
                  <c:v>0.80827182991579305</c:v>
                </c:pt>
                <c:pt idx="59">
                  <c:v>0.80827180991707614</c:v>
                </c:pt>
                <c:pt idx="60">
                  <c:v>0.80827178891842333</c:v>
                </c:pt>
                <c:pt idx="61">
                  <c:v>0.80827176684291657</c:v>
                </c:pt>
                <c:pt idx="62">
                  <c:v>0.80827174360554099</c:v>
                </c:pt>
                <c:pt idx="63">
                  <c:v>0.80827171911209106</c:v>
                </c:pt>
                <c:pt idx="64">
                  <c:v>0.80827169325789394</c:v>
                </c:pt>
                <c:pt idx="65">
                  <c:v>0.80827166592631405</c:v>
                </c:pt>
                <c:pt idx="66">
                  <c:v>0.80827163698699422</c:v>
                </c:pt>
                <c:pt idx="67">
                  <c:v>0.80827160629377626</c:v>
                </c:pt>
                <c:pt idx="68">
                  <c:v>0.80827157368223213</c:v>
                </c:pt>
                <c:pt idx="69">
                  <c:v>0.80827153896671744</c:v>
                </c:pt>
                <c:pt idx="70">
                  <c:v>0.80827150193683506</c:v>
                </c:pt>
                <c:pt idx="71">
                  <c:v>0.80827146235316771</c:v>
                </c:pt>
                <c:pt idx="72">
                  <c:v>0.80827141994209561</c:v>
                </c:pt>
                <c:pt idx="73">
                  <c:v>0.80827137438946262</c:v>
                </c:pt>
                <c:pt idx="74">
                  <c:v>0.80827132533278079</c:v>
                </c:pt>
                <c:pt idx="75">
                  <c:v>0.80827127783965869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B43-4053-A6A7-EEFC0832EE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5356840"/>
        <c:axId val="985352248"/>
      </c:scatterChart>
      <c:valAx>
        <c:axId val="985356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5352248"/>
        <c:crosses val="autoZero"/>
        <c:crossBetween val="midCat"/>
      </c:valAx>
      <c:valAx>
        <c:axId val="985352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53568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Poll bias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'Polling Correlations - OTH'!$BG$6:$BM$6</c:f>
              <c:numCache>
                <c:formatCode>General</c:formatCode>
                <c:ptCount val="7"/>
                <c:pt idx="0">
                  <c:v>6.5930445341424369</c:v>
                </c:pt>
                <c:pt idx="1">
                  <c:v>5.8998973535824915</c:v>
                </c:pt>
                <c:pt idx="2">
                  <c:v>5.2040066870767951</c:v>
                </c:pt>
                <c:pt idx="3">
                  <c:v>4.499809670330265</c:v>
                </c:pt>
                <c:pt idx="4">
                  <c:v>3.4011973816621555</c:v>
                </c:pt>
                <c:pt idx="5">
                  <c:v>2.0471722811110502</c:v>
                </c:pt>
                <c:pt idx="6">
                  <c:v>0.69314718055994529</c:v>
                </c:pt>
              </c:numCache>
            </c:numRef>
          </c:xVal>
          <c:yVal>
            <c:numRef>
              <c:f>'Polling Correlations - OTH'!$BG$38:$BM$38</c:f>
              <c:numCache>
                <c:formatCode>General</c:formatCode>
                <c:ptCount val="7"/>
                <c:pt idx="0">
                  <c:v>0.90142857142857347</c:v>
                </c:pt>
                <c:pt idx="1">
                  <c:v>0.83250000000000102</c:v>
                </c:pt>
                <c:pt idx="2">
                  <c:v>0.91638888888889014</c:v>
                </c:pt>
                <c:pt idx="3">
                  <c:v>1.3382051282051295</c:v>
                </c:pt>
                <c:pt idx="4">
                  <c:v>1.0117948717948728</c:v>
                </c:pt>
                <c:pt idx="5">
                  <c:v>0.82711538461538558</c:v>
                </c:pt>
                <c:pt idx="6">
                  <c:v>0.64243589743589824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054-4D9C-B940-52A2BCC9A8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5397584"/>
        <c:axId val="525399552"/>
      </c:scatterChart>
      <c:valAx>
        <c:axId val="525397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</a:t>
                </a:r>
                <a:r>
                  <a:rPr lang="en-US" baseline="0"/>
                  <a:t> #days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399552"/>
        <c:crosses val="autoZero"/>
        <c:crossBetween val="midCat"/>
      </c:valAx>
      <c:valAx>
        <c:axId val="525399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Standard</a:t>
                </a:r>
                <a:r>
                  <a:rPr lang="en-US" baseline="0"/>
                  <a:t> Deviation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397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Polls-only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'Polling Correlations - Misc'!$BG$6:$BM$6</c:f>
              <c:numCache>
                <c:formatCode>General</c:formatCode>
                <c:ptCount val="7"/>
                <c:pt idx="0">
                  <c:v>6.5930445341424369</c:v>
                </c:pt>
                <c:pt idx="1">
                  <c:v>5.8998973535824915</c:v>
                </c:pt>
                <c:pt idx="2">
                  <c:v>5.2040066870767951</c:v>
                </c:pt>
                <c:pt idx="3">
                  <c:v>4.499809670330265</c:v>
                </c:pt>
                <c:pt idx="4">
                  <c:v>3.4011973816621555</c:v>
                </c:pt>
                <c:pt idx="5">
                  <c:v>2.0471722811110502</c:v>
                </c:pt>
                <c:pt idx="6">
                  <c:v>0.69314718055994529</c:v>
                </c:pt>
              </c:numCache>
            </c:numRef>
          </c:xVal>
          <c:yVal>
            <c:numRef>
              <c:f>'Polling Correlations - Misc'!$BG$7:$BM$7</c:f>
              <c:numCache>
                <c:formatCode>General</c:formatCode>
                <c:ptCount val="7"/>
                <c:pt idx="0">
                  <c:v>5.0183861947841368</c:v>
                </c:pt>
                <c:pt idx="1">
                  <c:v>4.6683895034107383</c:v>
                </c:pt>
                <c:pt idx="2">
                  <c:v>4.39875129587511</c:v>
                </c:pt>
                <c:pt idx="3">
                  <c:v>4.536827085089314</c:v>
                </c:pt>
                <c:pt idx="4">
                  <c:v>4.5489815710039236</c:v>
                </c:pt>
                <c:pt idx="5">
                  <c:v>3.573932293351866</c:v>
                </c:pt>
                <c:pt idx="6">
                  <c:v>2.5988830156998084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1DC-40C8-9B78-47F8B2E3C116}"/>
            </c:ext>
          </c:extLst>
        </c:ser>
        <c:ser>
          <c:idx val="1"/>
          <c:order val="1"/>
          <c:tx>
            <c:v>Polls+History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9.6361741547012505E-2"/>
                  <c:y val="-0.1953849518810148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'Polling Correlations - Misc'!$BG$6:$BM$6</c:f>
              <c:numCache>
                <c:formatCode>General</c:formatCode>
                <c:ptCount val="7"/>
                <c:pt idx="0">
                  <c:v>6.5930445341424369</c:v>
                </c:pt>
                <c:pt idx="1">
                  <c:v>5.8998973535824915</c:v>
                </c:pt>
                <c:pt idx="2">
                  <c:v>5.2040066870767951</c:v>
                </c:pt>
                <c:pt idx="3">
                  <c:v>4.499809670330265</c:v>
                </c:pt>
                <c:pt idx="4">
                  <c:v>3.4011973816621555</c:v>
                </c:pt>
                <c:pt idx="5">
                  <c:v>2.0471722811110502</c:v>
                </c:pt>
                <c:pt idx="6">
                  <c:v>0.69314718055994529</c:v>
                </c:pt>
              </c:numCache>
            </c:numRef>
          </c:xVal>
          <c:yVal>
            <c:numRef>
              <c:f>'Polling Correlations - Misc'!$BG$8:$BM$8</c:f>
              <c:numCache>
                <c:formatCode>General</c:formatCode>
                <c:ptCount val="7"/>
                <c:pt idx="0">
                  <c:v>1.1034581680037188</c:v>
                </c:pt>
                <c:pt idx="1">
                  <c:v>3.9764110732909996</c:v>
                </c:pt>
                <c:pt idx="2">
                  <c:v>1.8023042360133403</c:v>
                </c:pt>
                <c:pt idx="3">
                  <c:v>2.567077287593245</c:v>
                </c:pt>
                <c:pt idx="4">
                  <c:v>4.0701758785771567</c:v>
                </c:pt>
                <c:pt idx="5">
                  <c:v>3.2841913176015587</c:v>
                </c:pt>
                <c:pt idx="6">
                  <c:v>2.4982067566259607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1DC-40C8-9B78-47F8B2E3C116}"/>
            </c:ext>
          </c:extLst>
        </c:ser>
        <c:ser>
          <c:idx val="2"/>
          <c:order val="2"/>
          <c:tx>
            <c:v>History Only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'Polling Correlations - Misc'!$BG$6:$BM$6</c:f>
              <c:numCache>
                <c:formatCode>General</c:formatCode>
                <c:ptCount val="7"/>
                <c:pt idx="0">
                  <c:v>6.5930445341424369</c:v>
                </c:pt>
                <c:pt idx="1">
                  <c:v>5.8998973535824915</c:v>
                </c:pt>
                <c:pt idx="2">
                  <c:v>5.2040066870767951</c:v>
                </c:pt>
                <c:pt idx="3">
                  <c:v>4.499809670330265</c:v>
                </c:pt>
                <c:pt idx="4">
                  <c:v>3.4011973816621555</c:v>
                </c:pt>
                <c:pt idx="5">
                  <c:v>2.0471722811110502</c:v>
                </c:pt>
                <c:pt idx="6">
                  <c:v>0.69314718055994529</c:v>
                </c:pt>
              </c:numCache>
            </c:numRef>
          </c:xVal>
          <c:yVal>
            <c:numRef>
              <c:f>'Polling Correlations - Misc'!$BG$9:$BM$9</c:f>
              <c:numCache>
                <c:formatCode>General</c:formatCode>
                <c:ptCount val="7"/>
                <c:pt idx="0">
                  <c:v>6.7698840189200906</c:v>
                </c:pt>
                <c:pt idx="1">
                  <c:v>6.7698840189200906</c:v>
                </c:pt>
                <c:pt idx="2">
                  <c:v>6.7698840189200906</c:v>
                </c:pt>
                <c:pt idx="3">
                  <c:v>6.7698840189200906</c:v>
                </c:pt>
                <c:pt idx="4">
                  <c:v>6.7698840189200906</c:v>
                </c:pt>
                <c:pt idx="5">
                  <c:v>6.7698840189200906</c:v>
                </c:pt>
                <c:pt idx="6">
                  <c:v>6.7698840189200906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1DC-40C8-9B78-47F8B2E3C1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5397584"/>
        <c:axId val="525399552"/>
      </c:scatterChart>
      <c:valAx>
        <c:axId val="525397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</a:t>
                </a:r>
                <a:r>
                  <a:rPr lang="en-US" baseline="0"/>
                  <a:t> #days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399552"/>
        <c:crosses val="autoZero"/>
        <c:crossBetween val="midCat"/>
      </c:valAx>
      <c:valAx>
        <c:axId val="525399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Standard</a:t>
                </a:r>
                <a:r>
                  <a:rPr lang="en-US" baseline="0"/>
                  <a:t> Deviation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397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'Polling Correlations - Misc'!$BF$6:$BM$6</c:f>
              <c:numCache>
                <c:formatCode>General</c:formatCode>
                <c:ptCount val="8"/>
                <c:pt idx="1">
                  <c:v>6.5930445341424369</c:v>
                </c:pt>
                <c:pt idx="2">
                  <c:v>5.8998973535824915</c:v>
                </c:pt>
                <c:pt idx="3">
                  <c:v>5.2040066870767951</c:v>
                </c:pt>
                <c:pt idx="4">
                  <c:v>4.499809670330265</c:v>
                </c:pt>
                <c:pt idx="5">
                  <c:v>3.4011973816621555</c:v>
                </c:pt>
                <c:pt idx="6">
                  <c:v>2.0471722811110502</c:v>
                </c:pt>
                <c:pt idx="7">
                  <c:v>0.69314718055994529</c:v>
                </c:pt>
              </c:numCache>
            </c:numRef>
          </c:xVal>
          <c:yVal>
            <c:numRef>
              <c:f>'Polling Correlations - Misc'!$BF$11:$BM$11</c:f>
              <c:numCache>
                <c:formatCode>General</c:formatCode>
                <c:ptCount val="8"/>
                <c:pt idx="1">
                  <c:v>0.80720556691185752</c:v>
                </c:pt>
                <c:pt idx="2">
                  <c:v>0.81609172348185</c:v>
                </c:pt>
                <c:pt idx="3">
                  <c:v>0.81352568075810128</c:v>
                </c:pt>
                <c:pt idx="4">
                  <c:v>0.78059753704902046</c:v>
                </c:pt>
                <c:pt idx="5">
                  <c:v>0.80239308185305191</c:v>
                </c:pt>
                <c:pt idx="6">
                  <c:v>0.81970011244546315</c:v>
                </c:pt>
                <c:pt idx="7">
                  <c:v>0.83700714303787438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613-4AA4-91E7-D78CDB1119F9}"/>
            </c:ext>
          </c:extLst>
        </c:ser>
        <c:ser>
          <c:idx val="1"/>
          <c:order val="1"/>
          <c:tx>
            <c:v>Fit attempt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'Polling Correlations - Misc'!$BU$22:$BU$97</c:f>
              <c:numCache>
                <c:formatCode>General</c:formatCode>
                <c:ptCount val="76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</c:v>
                </c:pt>
              </c:numCache>
            </c:numRef>
          </c:xVal>
          <c:yVal>
            <c:numRef>
              <c:f>'Polling Correlations - Misc'!$BV$22:$BV$97</c:f>
              <c:numCache>
                <c:formatCode>General</c:formatCode>
                <c:ptCount val="76"/>
                <c:pt idx="0">
                  <c:v>0.80827230548528206</c:v>
                </c:pt>
                <c:pt idx="1">
                  <c:v>0.8082723020067174</c:v>
                </c:pt>
                <c:pt idx="2">
                  <c:v>0.80827229845716153</c:v>
                </c:pt>
                <c:pt idx="3">
                  <c:v>0.80827229483441898</c:v>
                </c:pt>
                <c:pt idx="4">
                  <c:v>0.80827229113620269</c:v>
                </c:pt>
                <c:pt idx="5">
                  <c:v>0.80827228736012913</c:v>
                </c:pt>
                <c:pt idx="6">
                  <c:v>0.80827228350371361</c:v>
                </c:pt>
                <c:pt idx="7">
                  <c:v>0.80827227956436443</c:v>
                </c:pt>
                <c:pt idx="8">
                  <c:v>0.80827227553937719</c:v>
                </c:pt>
                <c:pt idx="9">
                  <c:v>0.80827227142592872</c:v>
                </c:pt>
                <c:pt idx="10">
                  <c:v>0.80827226722107026</c:v>
                </c:pt>
                <c:pt idx="11">
                  <c:v>0.80827226292172072</c:v>
                </c:pt>
                <c:pt idx="12">
                  <c:v>0.80827225852465856</c:v>
                </c:pt>
                <c:pt idx="13">
                  <c:v>0.80827225402651448</c:v>
                </c:pt>
                <c:pt idx="14">
                  <c:v>0.80827224942376252</c:v>
                </c:pt>
                <c:pt idx="15">
                  <c:v>0.80827224471271042</c:v>
                </c:pt>
                <c:pt idx="16">
                  <c:v>0.80827223988949048</c:v>
                </c:pt>
                <c:pt idx="17">
                  <c:v>0.8082722349500483</c:v>
                </c:pt>
                <c:pt idx="18">
                  <c:v>0.80827222989013203</c:v>
                </c:pt>
                <c:pt idx="19">
                  <c:v>0.80827222470527949</c:v>
                </c:pt>
                <c:pt idx="20">
                  <c:v>0.80827221939080562</c:v>
                </c:pt>
                <c:pt idx="21">
                  <c:v>0.80827221394178816</c:v>
                </c:pt>
                <c:pt idx="22">
                  <c:v>0.80827220835305225</c:v>
                </c:pt>
                <c:pt idx="23">
                  <c:v>0.80827220261915433</c:v>
                </c:pt>
                <c:pt idx="24">
                  <c:v>0.80827219673436446</c:v>
                </c:pt>
                <c:pt idx="25">
                  <c:v>0.80827219069264677</c:v>
                </c:pt>
                <c:pt idx="26">
                  <c:v>0.80827218448763949</c:v>
                </c:pt>
                <c:pt idx="27">
                  <c:v>0.80827217811263197</c:v>
                </c:pt>
                <c:pt idx="28">
                  <c:v>0.80827217156054088</c:v>
                </c:pt>
                <c:pt idx="29">
                  <c:v>0.80827216482388387</c:v>
                </c:pt>
                <c:pt idx="30">
                  <c:v>0.80827215789475104</c:v>
                </c:pt>
                <c:pt idx="31">
                  <c:v>0.80827215076477366</c:v>
                </c:pt>
                <c:pt idx="32">
                  <c:v>0.80827214342509113</c:v>
                </c:pt>
                <c:pt idx="33">
                  <c:v>0.80827213586631352</c:v>
                </c:pt>
                <c:pt idx="34">
                  <c:v>0.80827212807848214</c:v>
                </c:pt>
                <c:pt idx="35">
                  <c:v>0.80827212005102511</c:v>
                </c:pt>
                <c:pt idx="36">
                  <c:v>0.80827211177271008</c:v>
                </c:pt>
                <c:pt idx="37">
                  <c:v>0.80827210323159138</c:v>
                </c:pt>
                <c:pt idx="38">
                  <c:v>0.80827209441495274</c:v>
                </c:pt>
                <c:pt idx="39">
                  <c:v>0.80827208530924388</c:v>
                </c:pt>
                <c:pt idx="40">
                  <c:v>0.80827207590001149</c:v>
                </c:pt>
                <c:pt idx="41">
                  <c:v>0.80827206617182212</c:v>
                </c:pt>
                <c:pt idx="42">
                  <c:v>0.80827205610817787</c:v>
                </c:pt>
                <c:pt idx="43">
                  <c:v>0.8082720456914233</c:v>
                </c:pt>
                <c:pt idx="44">
                  <c:v>0.80827203490264177</c:v>
                </c:pt>
                <c:pt idx="45">
                  <c:v>0.80827202372154094</c:v>
                </c:pt>
                <c:pt idx="46">
                  <c:v>0.80827201212632527</c:v>
                </c:pt>
                <c:pt idx="47">
                  <c:v>0.80827200009355427</c:v>
                </c:pt>
                <c:pt idx="48">
                  <c:v>0.80827198759798435</c:v>
                </c:pt>
                <c:pt idx="49">
                  <c:v>0.8082719746123922</c:v>
                </c:pt>
                <c:pt idx="50">
                  <c:v>0.8082719611073762</c:v>
                </c:pt>
                <c:pt idx="51">
                  <c:v>0.80827194705113514</c:v>
                </c:pt>
                <c:pt idx="52">
                  <c:v>0.80827193240921746</c:v>
                </c:pt>
                <c:pt idx="53">
                  <c:v>0.80827191714423929</c:v>
                </c:pt>
                <c:pt idx="54">
                  <c:v>0.80827190121556647</c:v>
                </c:pt>
                <c:pt idx="55">
                  <c:v>0.80827188457895272</c:v>
                </c:pt>
                <c:pt idx="56">
                  <c:v>0.8082718671861292</c:v>
                </c:pt>
                <c:pt idx="57">
                  <c:v>0.80827184898433713</c:v>
                </c:pt>
                <c:pt idx="58">
                  <c:v>0.80827182991579305</c:v>
                </c:pt>
                <c:pt idx="59">
                  <c:v>0.80827180991707614</c:v>
                </c:pt>
                <c:pt idx="60">
                  <c:v>0.80827178891842333</c:v>
                </c:pt>
                <c:pt idx="61">
                  <c:v>0.80827176684291657</c:v>
                </c:pt>
                <c:pt idx="62">
                  <c:v>0.80827174360554099</c:v>
                </c:pt>
                <c:pt idx="63">
                  <c:v>0.80827171911209106</c:v>
                </c:pt>
                <c:pt idx="64">
                  <c:v>0.80827169325789394</c:v>
                </c:pt>
                <c:pt idx="65">
                  <c:v>0.80827166592631405</c:v>
                </c:pt>
                <c:pt idx="66">
                  <c:v>0.80827163698699422</c:v>
                </c:pt>
                <c:pt idx="67">
                  <c:v>0.80827160629377626</c:v>
                </c:pt>
                <c:pt idx="68">
                  <c:v>0.80827157368223213</c:v>
                </c:pt>
                <c:pt idx="69">
                  <c:v>0.80827153896671744</c:v>
                </c:pt>
                <c:pt idx="70">
                  <c:v>0.80827150193683506</c:v>
                </c:pt>
                <c:pt idx="71">
                  <c:v>0.80827146235316771</c:v>
                </c:pt>
                <c:pt idx="72">
                  <c:v>0.80827141994209561</c:v>
                </c:pt>
                <c:pt idx="73">
                  <c:v>0.80827137438946262</c:v>
                </c:pt>
                <c:pt idx="74">
                  <c:v>0.80827132533278079</c:v>
                </c:pt>
                <c:pt idx="75">
                  <c:v>0.80827127783965869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613-4AA4-91E7-D78CDB1119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5356840"/>
        <c:axId val="985352248"/>
      </c:scatterChart>
      <c:valAx>
        <c:axId val="985356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5352248"/>
        <c:crosses val="autoZero"/>
        <c:crossBetween val="midCat"/>
      </c:valAx>
      <c:valAx>
        <c:axId val="985352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53568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Poll bias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'Polling Correlations - Misc'!$BG$6:$BM$6</c:f>
              <c:numCache>
                <c:formatCode>General</c:formatCode>
                <c:ptCount val="7"/>
                <c:pt idx="0">
                  <c:v>6.5930445341424369</c:v>
                </c:pt>
                <c:pt idx="1">
                  <c:v>5.8998973535824915</c:v>
                </c:pt>
                <c:pt idx="2">
                  <c:v>5.2040066870767951</c:v>
                </c:pt>
                <c:pt idx="3">
                  <c:v>4.499809670330265</c:v>
                </c:pt>
                <c:pt idx="4">
                  <c:v>3.4011973816621555</c:v>
                </c:pt>
                <c:pt idx="5">
                  <c:v>2.0471722811110502</c:v>
                </c:pt>
                <c:pt idx="6">
                  <c:v>0.69314718055994529</c:v>
                </c:pt>
              </c:numCache>
            </c:numRef>
          </c:xVal>
          <c:yVal>
            <c:numRef>
              <c:f>'Polling Correlations - Misc'!$BG$38:$BM$38</c:f>
              <c:numCache>
                <c:formatCode>General</c:formatCode>
                <c:ptCount val="7"/>
                <c:pt idx="0">
                  <c:v>5.01</c:v>
                </c:pt>
                <c:pt idx="1">
                  <c:v>3.3043333333333336</c:v>
                </c:pt>
                <c:pt idx="2">
                  <c:v>4.0238888888888891</c:v>
                </c:pt>
                <c:pt idx="3">
                  <c:v>3.5799999999999996</c:v>
                </c:pt>
                <c:pt idx="4">
                  <c:v>1.3319999999999999</c:v>
                </c:pt>
                <c:pt idx="5">
                  <c:v>1.0813030303030302</c:v>
                </c:pt>
                <c:pt idx="6">
                  <c:v>0.83060606060606057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FDD-423C-83BD-91754E8EB6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5397584"/>
        <c:axId val="525399552"/>
      </c:scatterChart>
      <c:valAx>
        <c:axId val="525397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</a:t>
                </a:r>
                <a:r>
                  <a:rPr lang="en-US" baseline="0"/>
                  <a:t> #days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399552"/>
        <c:crosses val="autoZero"/>
        <c:crossBetween val="midCat"/>
      </c:valAx>
      <c:valAx>
        <c:axId val="525399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Standard</a:t>
                </a:r>
                <a:r>
                  <a:rPr lang="en-US" baseline="0"/>
                  <a:t> Deviation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397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'Results Distribution Analysis'!$F$5:$F$75</c:f>
              <c:numCache>
                <c:formatCode>General</c:formatCode>
                <c:ptCount val="71"/>
                <c:pt idx="0">
                  <c:v>15</c:v>
                </c:pt>
                <c:pt idx="1">
                  <c:v>16</c:v>
                </c:pt>
                <c:pt idx="2">
                  <c:v>17</c:v>
                </c:pt>
                <c:pt idx="3">
                  <c:v>18</c:v>
                </c:pt>
                <c:pt idx="4">
                  <c:v>19</c:v>
                </c:pt>
                <c:pt idx="5">
                  <c:v>20</c:v>
                </c:pt>
                <c:pt idx="6">
                  <c:v>21</c:v>
                </c:pt>
                <c:pt idx="7">
                  <c:v>22</c:v>
                </c:pt>
                <c:pt idx="8">
                  <c:v>23</c:v>
                </c:pt>
                <c:pt idx="9">
                  <c:v>24</c:v>
                </c:pt>
                <c:pt idx="10">
                  <c:v>25</c:v>
                </c:pt>
                <c:pt idx="11">
                  <c:v>26</c:v>
                </c:pt>
                <c:pt idx="12">
                  <c:v>27</c:v>
                </c:pt>
                <c:pt idx="13">
                  <c:v>28</c:v>
                </c:pt>
                <c:pt idx="14">
                  <c:v>29</c:v>
                </c:pt>
                <c:pt idx="15">
                  <c:v>30</c:v>
                </c:pt>
                <c:pt idx="16">
                  <c:v>31</c:v>
                </c:pt>
                <c:pt idx="17">
                  <c:v>32</c:v>
                </c:pt>
                <c:pt idx="18">
                  <c:v>33</c:v>
                </c:pt>
                <c:pt idx="19">
                  <c:v>34</c:v>
                </c:pt>
                <c:pt idx="20">
                  <c:v>35</c:v>
                </c:pt>
                <c:pt idx="21">
                  <c:v>36</c:v>
                </c:pt>
                <c:pt idx="22">
                  <c:v>37</c:v>
                </c:pt>
                <c:pt idx="23">
                  <c:v>38</c:v>
                </c:pt>
                <c:pt idx="24">
                  <c:v>39</c:v>
                </c:pt>
                <c:pt idx="25">
                  <c:v>40</c:v>
                </c:pt>
                <c:pt idx="26">
                  <c:v>41</c:v>
                </c:pt>
                <c:pt idx="27">
                  <c:v>42</c:v>
                </c:pt>
                <c:pt idx="28">
                  <c:v>43</c:v>
                </c:pt>
                <c:pt idx="29">
                  <c:v>44</c:v>
                </c:pt>
                <c:pt idx="30">
                  <c:v>45</c:v>
                </c:pt>
                <c:pt idx="31">
                  <c:v>46</c:v>
                </c:pt>
                <c:pt idx="32">
                  <c:v>47</c:v>
                </c:pt>
                <c:pt idx="33">
                  <c:v>48</c:v>
                </c:pt>
                <c:pt idx="34">
                  <c:v>49</c:v>
                </c:pt>
                <c:pt idx="35">
                  <c:v>50</c:v>
                </c:pt>
                <c:pt idx="36">
                  <c:v>51</c:v>
                </c:pt>
                <c:pt idx="37">
                  <c:v>52</c:v>
                </c:pt>
                <c:pt idx="38">
                  <c:v>53</c:v>
                </c:pt>
                <c:pt idx="39">
                  <c:v>54</c:v>
                </c:pt>
                <c:pt idx="40">
                  <c:v>55</c:v>
                </c:pt>
                <c:pt idx="41">
                  <c:v>56</c:v>
                </c:pt>
                <c:pt idx="42">
                  <c:v>57</c:v>
                </c:pt>
                <c:pt idx="43">
                  <c:v>58</c:v>
                </c:pt>
                <c:pt idx="44">
                  <c:v>59</c:v>
                </c:pt>
                <c:pt idx="45">
                  <c:v>60</c:v>
                </c:pt>
                <c:pt idx="46">
                  <c:v>61</c:v>
                </c:pt>
                <c:pt idx="47">
                  <c:v>62</c:v>
                </c:pt>
                <c:pt idx="48">
                  <c:v>63</c:v>
                </c:pt>
                <c:pt idx="49">
                  <c:v>64</c:v>
                </c:pt>
                <c:pt idx="50">
                  <c:v>65</c:v>
                </c:pt>
                <c:pt idx="51">
                  <c:v>66</c:v>
                </c:pt>
                <c:pt idx="52">
                  <c:v>67</c:v>
                </c:pt>
                <c:pt idx="53">
                  <c:v>68</c:v>
                </c:pt>
                <c:pt idx="54">
                  <c:v>69</c:v>
                </c:pt>
                <c:pt idx="55">
                  <c:v>70</c:v>
                </c:pt>
                <c:pt idx="56">
                  <c:v>71</c:v>
                </c:pt>
                <c:pt idx="57">
                  <c:v>72</c:v>
                </c:pt>
                <c:pt idx="58">
                  <c:v>73</c:v>
                </c:pt>
                <c:pt idx="59">
                  <c:v>74</c:v>
                </c:pt>
                <c:pt idx="60">
                  <c:v>75</c:v>
                </c:pt>
                <c:pt idx="61">
                  <c:v>76</c:v>
                </c:pt>
                <c:pt idx="62">
                  <c:v>77</c:v>
                </c:pt>
                <c:pt idx="63">
                  <c:v>78</c:v>
                </c:pt>
                <c:pt idx="64">
                  <c:v>79</c:v>
                </c:pt>
                <c:pt idx="65">
                  <c:v>80</c:v>
                </c:pt>
                <c:pt idx="66">
                  <c:v>81</c:v>
                </c:pt>
                <c:pt idx="67">
                  <c:v>82</c:v>
                </c:pt>
                <c:pt idx="68">
                  <c:v>83</c:v>
                </c:pt>
                <c:pt idx="69">
                  <c:v>84</c:v>
                </c:pt>
                <c:pt idx="70">
                  <c:v>85</c:v>
                </c:pt>
              </c:numCache>
            </c:numRef>
          </c:xVal>
          <c:yVal>
            <c:numRef>
              <c:f>'Results Distribution Analysis'!$G$5:$G$75</c:f>
              <c:numCache>
                <c:formatCode>General</c:formatCode>
                <c:ptCount val="7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9.1743119266055051E-3</c:v>
                </c:pt>
                <c:pt idx="21">
                  <c:v>0</c:v>
                </c:pt>
                <c:pt idx="22">
                  <c:v>9.1743119266055051E-3</c:v>
                </c:pt>
                <c:pt idx="23">
                  <c:v>0</c:v>
                </c:pt>
                <c:pt idx="24">
                  <c:v>9.1743119266055051E-3</c:v>
                </c:pt>
                <c:pt idx="25">
                  <c:v>9.1743119266055051E-3</c:v>
                </c:pt>
                <c:pt idx="26">
                  <c:v>9.1743119266055051E-3</c:v>
                </c:pt>
                <c:pt idx="27">
                  <c:v>3.669724770642202E-2</c:v>
                </c:pt>
                <c:pt idx="28">
                  <c:v>1.834862385321101E-2</c:v>
                </c:pt>
                <c:pt idx="29">
                  <c:v>6.4220183486238536E-2</c:v>
                </c:pt>
                <c:pt idx="30">
                  <c:v>6.4220183486238536E-2</c:v>
                </c:pt>
                <c:pt idx="31">
                  <c:v>5.5045871559633031E-2</c:v>
                </c:pt>
                <c:pt idx="32">
                  <c:v>6.4220183486238536E-2</c:v>
                </c:pt>
                <c:pt idx="33">
                  <c:v>9.1743119266055051E-2</c:v>
                </c:pt>
                <c:pt idx="34">
                  <c:v>0.11009174311926606</c:v>
                </c:pt>
                <c:pt idx="35">
                  <c:v>9.1743119266055051E-2</c:v>
                </c:pt>
                <c:pt idx="36">
                  <c:v>5.5045871559633031E-2</c:v>
                </c:pt>
                <c:pt idx="37">
                  <c:v>6.4220183486238536E-2</c:v>
                </c:pt>
                <c:pt idx="38">
                  <c:v>9.1743119266055051E-2</c:v>
                </c:pt>
                <c:pt idx="39">
                  <c:v>6.4220183486238536E-2</c:v>
                </c:pt>
                <c:pt idx="40">
                  <c:v>1.834862385321101E-2</c:v>
                </c:pt>
                <c:pt idx="41">
                  <c:v>2.7522935779816515E-2</c:v>
                </c:pt>
                <c:pt idx="42">
                  <c:v>1.834862385321101E-2</c:v>
                </c:pt>
                <c:pt idx="43">
                  <c:v>9.1743119266055051E-3</c:v>
                </c:pt>
                <c:pt idx="44">
                  <c:v>0</c:v>
                </c:pt>
                <c:pt idx="45">
                  <c:v>9.1743119266055051E-3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5FE-468A-9AB0-468DDB0C4277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'Results Distribution Analysis'!$F$5:$F$75</c:f>
              <c:numCache>
                <c:formatCode>General</c:formatCode>
                <c:ptCount val="71"/>
                <c:pt idx="0">
                  <c:v>15</c:v>
                </c:pt>
                <c:pt idx="1">
                  <c:v>16</c:v>
                </c:pt>
                <c:pt idx="2">
                  <c:v>17</c:v>
                </c:pt>
                <c:pt idx="3">
                  <c:v>18</c:v>
                </c:pt>
                <c:pt idx="4">
                  <c:v>19</c:v>
                </c:pt>
                <c:pt idx="5">
                  <c:v>20</c:v>
                </c:pt>
                <c:pt idx="6">
                  <c:v>21</c:v>
                </c:pt>
                <c:pt idx="7">
                  <c:v>22</c:v>
                </c:pt>
                <c:pt idx="8">
                  <c:v>23</c:v>
                </c:pt>
                <c:pt idx="9">
                  <c:v>24</c:v>
                </c:pt>
                <c:pt idx="10">
                  <c:v>25</c:v>
                </c:pt>
                <c:pt idx="11">
                  <c:v>26</c:v>
                </c:pt>
                <c:pt idx="12">
                  <c:v>27</c:v>
                </c:pt>
                <c:pt idx="13">
                  <c:v>28</c:v>
                </c:pt>
                <c:pt idx="14">
                  <c:v>29</c:v>
                </c:pt>
                <c:pt idx="15">
                  <c:v>30</c:v>
                </c:pt>
                <c:pt idx="16">
                  <c:v>31</c:v>
                </c:pt>
                <c:pt idx="17">
                  <c:v>32</c:v>
                </c:pt>
                <c:pt idx="18">
                  <c:v>33</c:v>
                </c:pt>
                <c:pt idx="19">
                  <c:v>34</c:v>
                </c:pt>
                <c:pt idx="20">
                  <c:v>35</c:v>
                </c:pt>
                <c:pt idx="21">
                  <c:v>36</c:v>
                </c:pt>
                <c:pt idx="22">
                  <c:v>37</c:v>
                </c:pt>
                <c:pt idx="23">
                  <c:v>38</c:v>
                </c:pt>
                <c:pt idx="24">
                  <c:v>39</c:v>
                </c:pt>
                <c:pt idx="25">
                  <c:v>40</c:v>
                </c:pt>
                <c:pt idx="26">
                  <c:v>41</c:v>
                </c:pt>
                <c:pt idx="27">
                  <c:v>42</c:v>
                </c:pt>
                <c:pt idx="28">
                  <c:v>43</c:v>
                </c:pt>
                <c:pt idx="29">
                  <c:v>44</c:v>
                </c:pt>
                <c:pt idx="30">
                  <c:v>45</c:v>
                </c:pt>
                <c:pt idx="31">
                  <c:v>46</c:v>
                </c:pt>
                <c:pt idx="32">
                  <c:v>47</c:v>
                </c:pt>
                <c:pt idx="33">
                  <c:v>48</c:v>
                </c:pt>
                <c:pt idx="34">
                  <c:v>49</c:v>
                </c:pt>
                <c:pt idx="35">
                  <c:v>50</c:v>
                </c:pt>
                <c:pt idx="36">
                  <c:v>51</c:v>
                </c:pt>
                <c:pt idx="37">
                  <c:v>52</c:v>
                </c:pt>
                <c:pt idx="38">
                  <c:v>53</c:v>
                </c:pt>
                <c:pt idx="39">
                  <c:v>54</c:v>
                </c:pt>
                <c:pt idx="40">
                  <c:v>55</c:v>
                </c:pt>
                <c:pt idx="41">
                  <c:v>56</c:v>
                </c:pt>
                <c:pt idx="42">
                  <c:v>57</c:v>
                </c:pt>
                <c:pt idx="43">
                  <c:v>58</c:v>
                </c:pt>
                <c:pt idx="44">
                  <c:v>59</c:v>
                </c:pt>
                <c:pt idx="45">
                  <c:v>60</c:v>
                </c:pt>
                <c:pt idx="46">
                  <c:v>61</c:v>
                </c:pt>
                <c:pt idx="47">
                  <c:v>62</c:v>
                </c:pt>
                <c:pt idx="48">
                  <c:v>63</c:v>
                </c:pt>
                <c:pt idx="49">
                  <c:v>64</c:v>
                </c:pt>
                <c:pt idx="50">
                  <c:v>65</c:v>
                </c:pt>
                <c:pt idx="51">
                  <c:v>66</c:v>
                </c:pt>
                <c:pt idx="52">
                  <c:v>67</c:v>
                </c:pt>
                <c:pt idx="53">
                  <c:v>68</c:v>
                </c:pt>
                <c:pt idx="54">
                  <c:v>69</c:v>
                </c:pt>
                <c:pt idx="55">
                  <c:v>70</c:v>
                </c:pt>
                <c:pt idx="56">
                  <c:v>71</c:v>
                </c:pt>
                <c:pt idx="57">
                  <c:v>72</c:v>
                </c:pt>
                <c:pt idx="58">
                  <c:v>73</c:v>
                </c:pt>
                <c:pt idx="59">
                  <c:v>74</c:v>
                </c:pt>
                <c:pt idx="60">
                  <c:v>75</c:v>
                </c:pt>
                <c:pt idx="61">
                  <c:v>76</c:v>
                </c:pt>
                <c:pt idx="62">
                  <c:v>77</c:v>
                </c:pt>
                <c:pt idx="63">
                  <c:v>78</c:v>
                </c:pt>
                <c:pt idx="64">
                  <c:v>79</c:v>
                </c:pt>
                <c:pt idx="65">
                  <c:v>80</c:v>
                </c:pt>
                <c:pt idx="66">
                  <c:v>81</c:v>
                </c:pt>
                <c:pt idx="67">
                  <c:v>82</c:v>
                </c:pt>
                <c:pt idx="68">
                  <c:v>83</c:v>
                </c:pt>
                <c:pt idx="69">
                  <c:v>84</c:v>
                </c:pt>
                <c:pt idx="70">
                  <c:v>85</c:v>
                </c:pt>
              </c:numCache>
            </c:numRef>
          </c:xVal>
          <c:yVal>
            <c:numRef>
              <c:f>'Results Distribution Analysis'!$H$5:$H$75</c:f>
              <c:numCache>
                <c:formatCode>General</c:formatCode>
                <c:ptCount val="7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2.0004000800160032E-4</c:v>
                </c:pt>
                <c:pt idx="15">
                  <c:v>0</c:v>
                </c:pt>
                <c:pt idx="16">
                  <c:v>4.0008001600320064E-4</c:v>
                </c:pt>
                <c:pt idx="17">
                  <c:v>2.0004000800160032E-4</c:v>
                </c:pt>
                <c:pt idx="18">
                  <c:v>0</c:v>
                </c:pt>
                <c:pt idx="19">
                  <c:v>1.0002000400080016E-3</c:v>
                </c:pt>
                <c:pt idx="20">
                  <c:v>1.2002400480096019E-3</c:v>
                </c:pt>
                <c:pt idx="21">
                  <c:v>2.600520104020804E-3</c:v>
                </c:pt>
                <c:pt idx="22">
                  <c:v>3.2006401280256051E-3</c:v>
                </c:pt>
                <c:pt idx="23">
                  <c:v>4.8009601920384077E-3</c:v>
                </c:pt>
                <c:pt idx="24">
                  <c:v>1.0602120424084817E-2</c:v>
                </c:pt>
                <c:pt idx="25">
                  <c:v>1.3402680536107221E-2</c:v>
                </c:pt>
                <c:pt idx="26">
                  <c:v>1.7203440688137627E-2</c:v>
                </c:pt>
                <c:pt idx="27">
                  <c:v>2.8205641128225645E-2</c:v>
                </c:pt>
                <c:pt idx="28">
                  <c:v>3.8607721544308859E-2</c:v>
                </c:pt>
                <c:pt idx="29">
                  <c:v>4.2808561712342472E-2</c:v>
                </c:pt>
                <c:pt idx="30">
                  <c:v>5.7411482296459294E-2</c:v>
                </c:pt>
                <c:pt idx="31">
                  <c:v>7.1814362872574519E-2</c:v>
                </c:pt>
                <c:pt idx="32">
                  <c:v>8.3216643328665726E-2</c:v>
                </c:pt>
                <c:pt idx="33">
                  <c:v>8.7017403480696143E-2</c:v>
                </c:pt>
                <c:pt idx="34">
                  <c:v>9.1018203640728143E-2</c:v>
                </c:pt>
                <c:pt idx="35">
                  <c:v>8.3616723344668936E-2</c:v>
                </c:pt>
                <c:pt idx="36">
                  <c:v>7.8215643128625723E-2</c:v>
                </c:pt>
                <c:pt idx="37">
                  <c:v>6.8613722744548911E-2</c:v>
                </c:pt>
                <c:pt idx="38">
                  <c:v>5.5411082216443287E-2</c:v>
                </c:pt>
                <c:pt idx="39">
                  <c:v>4.9209841968393682E-2</c:v>
                </c:pt>
                <c:pt idx="40">
                  <c:v>3.5807161432286461E-2</c:v>
                </c:pt>
                <c:pt idx="41">
                  <c:v>2.3004600920184037E-2</c:v>
                </c:pt>
                <c:pt idx="42">
                  <c:v>1.7603520704140826E-2</c:v>
                </c:pt>
                <c:pt idx="43">
                  <c:v>1.1002200440088018E-2</c:v>
                </c:pt>
                <c:pt idx="44">
                  <c:v>9.0018003600720146E-3</c:v>
                </c:pt>
                <c:pt idx="45">
                  <c:v>5.4010802160432084E-3</c:v>
                </c:pt>
                <c:pt idx="46">
                  <c:v>3.6007201440288058E-3</c:v>
                </c:pt>
                <c:pt idx="47">
                  <c:v>1.4002800560112022E-3</c:v>
                </c:pt>
                <c:pt idx="48">
                  <c:v>1.6003200640128026E-3</c:v>
                </c:pt>
                <c:pt idx="49">
                  <c:v>6.0012002400480096E-4</c:v>
                </c:pt>
                <c:pt idx="50">
                  <c:v>4.0008001600320064E-4</c:v>
                </c:pt>
                <c:pt idx="51">
                  <c:v>4.0008001600320064E-4</c:v>
                </c:pt>
                <c:pt idx="52">
                  <c:v>0</c:v>
                </c:pt>
                <c:pt idx="53">
                  <c:v>2.0004000800160032E-4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5FE-468A-9AB0-468DDB0C42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4518664"/>
        <c:axId val="994515384"/>
      </c:scatterChart>
      <c:valAx>
        <c:axId val="994518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4515384"/>
        <c:crosses val="autoZero"/>
        <c:crossBetween val="midCat"/>
      </c:valAx>
      <c:valAx>
        <c:axId val="994515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45186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8.xml"/><Relationship Id="rId2" Type="http://schemas.openxmlformats.org/officeDocument/2006/relationships/chart" Target="../charts/chart17.xml"/><Relationship Id="rId1" Type="http://schemas.openxmlformats.org/officeDocument/2006/relationships/chart" Target="../charts/chart1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57</xdr:col>
      <xdr:colOff>457200</xdr:colOff>
      <xdr:row>21</xdr:row>
      <xdr:rowOff>166687</xdr:rowOff>
    </xdr:from>
    <xdr:to>
      <xdr:col>66</xdr:col>
      <xdr:colOff>152400</xdr:colOff>
      <xdr:row>36</xdr:row>
      <xdr:rowOff>52387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8CBCC7E-F5C0-4803-B236-46010C126D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67</xdr:col>
      <xdr:colOff>4762</xdr:colOff>
      <xdr:row>5</xdr:row>
      <xdr:rowOff>14287</xdr:rowOff>
    </xdr:from>
    <xdr:to>
      <xdr:col>75</xdr:col>
      <xdr:colOff>309562</xdr:colOff>
      <xdr:row>19</xdr:row>
      <xdr:rowOff>90487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DCB6B4E-E180-4D61-A847-B0BD001A47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57</xdr:col>
      <xdr:colOff>419100</xdr:colOff>
      <xdr:row>38</xdr:row>
      <xdr:rowOff>104775</xdr:rowOff>
    </xdr:from>
    <xdr:to>
      <xdr:col>66</xdr:col>
      <xdr:colOff>114300</xdr:colOff>
      <xdr:row>52</xdr:row>
      <xdr:rowOff>180975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D003CAD-13D0-493C-AC19-74D3DA04BE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57</xdr:col>
      <xdr:colOff>428625</xdr:colOff>
      <xdr:row>21</xdr:row>
      <xdr:rowOff>147637</xdr:rowOff>
    </xdr:from>
    <xdr:to>
      <xdr:col>66</xdr:col>
      <xdr:colOff>123825</xdr:colOff>
      <xdr:row>36</xdr:row>
      <xdr:rowOff>33337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C36F7D2-F959-4E73-81B9-8831919519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67</xdr:col>
      <xdr:colOff>4762</xdr:colOff>
      <xdr:row>5</xdr:row>
      <xdr:rowOff>14287</xdr:rowOff>
    </xdr:from>
    <xdr:to>
      <xdr:col>75</xdr:col>
      <xdr:colOff>309562</xdr:colOff>
      <xdr:row>19</xdr:row>
      <xdr:rowOff>90487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415E8E7-3D6C-4306-8291-5C0F27DE6B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56</xdr:col>
      <xdr:colOff>0</xdr:colOff>
      <xdr:row>39</xdr:row>
      <xdr:rowOff>0</xdr:rowOff>
    </xdr:from>
    <xdr:to>
      <xdr:col>67</xdr:col>
      <xdr:colOff>0</xdr:colOff>
      <xdr:row>53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8C6E038-4C8A-4631-91AC-D06D1E3938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57</xdr:col>
      <xdr:colOff>171450</xdr:colOff>
      <xdr:row>21</xdr:row>
      <xdr:rowOff>176212</xdr:rowOff>
    </xdr:from>
    <xdr:to>
      <xdr:col>65</xdr:col>
      <xdr:colOff>476250</xdr:colOff>
      <xdr:row>36</xdr:row>
      <xdr:rowOff>61912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28BFF9A-0C2F-4989-B596-465F16AC947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67</xdr:col>
      <xdr:colOff>4762</xdr:colOff>
      <xdr:row>5</xdr:row>
      <xdr:rowOff>14287</xdr:rowOff>
    </xdr:from>
    <xdr:to>
      <xdr:col>75</xdr:col>
      <xdr:colOff>309562</xdr:colOff>
      <xdr:row>19</xdr:row>
      <xdr:rowOff>90487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32CB523-C2CB-40E1-B4EB-9276ACC4707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56</xdr:col>
      <xdr:colOff>0</xdr:colOff>
      <xdr:row>38</xdr:row>
      <xdr:rowOff>0</xdr:rowOff>
    </xdr:from>
    <xdr:to>
      <xdr:col>67</xdr:col>
      <xdr:colOff>0</xdr:colOff>
      <xdr:row>52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A60EB0C-E22B-43BF-AC15-8560EAD2F0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57</xdr:col>
      <xdr:colOff>266700</xdr:colOff>
      <xdr:row>21</xdr:row>
      <xdr:rowOff>109537</xdr:rowOff>
    </xdr:from>
    <xdr:to>
      <xdr:col>65</xdr:col>
      <xdr:colOff>571500</xdr:colOff>
      <xdr:row>35</xdr:row>
      <xdr:rowOff>185737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CEDB8B3-B943-4A4A-AF2C-5137DD8732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67</xdr:col>
      <xdr:colOff>4762</xdr:colOff>
      <xdr:row>5</xdr:row>
      <xdr:rowOff>14287</xdr:rowOff>
    </xdr:from>
    <xdr:to>
      <xdr:col>75</xdr:col>
      <xdr:colOff>309562</xdr:colOff>
      <xdr:row>19</xdr:row>
      <xdr:rowOff>90487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E0F6FC9-7E7C-49A7-93CA-16F655E9AE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56</xdr:col>
      <xdr:colOff>0</xdr:colOff>
      <xdr:row>38</xdr:row>
      <xdr:rowOff>0</xdr:rowOff>
    </xdr:from>
    <xdr:to>
      <xdr:col>67</xdr:col>
      <xdr:colOff>0</xdr:colOff>
      <xdr:row>52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5F69CFC-6102-4F7D-8C88-AC6BDDE2C4D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57</xdr:col>
      <xdr:colOff>476250</xdr:colOff>
      <xdr:row>22</xdr:row>
      <xdr:rowOff>52387</xdr:rowOff>
    </xdr:from>
    <xdr:to>
      <xdr:col>66</xdr:col>
      <xdr:colOff>171450</xdr:colOff>
      <xdr:row>36</xdr:row>
      <xdr:rowOff>128587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39186B8-EFCA-4044-A628-715C7B5889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67</xdr:col>
      <xdr:colOff>4762</xdr:colOff>
      <xdr:row>5</xdr:row>
      <xdr:rowOff>14287</xdr:rowOff>
    </xdr:from>
    <xdr:to>
      <xdr:col>75</xdr:col>
      <xdr:colOff>309562</xdr:colOff>
      <xdr:row>19</xdr:row>
      <xdr:rowOff>90487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63EBDC0-330E-4419-94AB-9906188DE80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56</xdr:col>
      <xdr:colOff>238125</xdr:colOff>
      <xdr:row>38</xdr:row>
      <xdr:rowOff>85725</xdr:rowOff>
    </xdr:from>
    <xdr:to>
      <xdr:col>66</xdr:col>
      <xdr:colOff>238125</xdr:colOff>
      <xdr:row>52</xdr:row>
      <xdr:rowOff>161925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D9FA243-7AA7-40D6-9BDF-A549591DB2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58</xdr:col>
      <xdr:colOff>9525</xdr:colOff>
      <xdr:row>21</xdr:row>
      <xdr:rowOff>128587</xdr:rowOff>
    </xdr:from>
    <xdr:to>
      <xdr:col>66</xdr:col>
      <xdr:colOff>314325</xdr:colOff>
      <xdr:row>36</xdr:row>
      <xdr:rowOff>14287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3833129-66DE-46F7-989F-B816D848F0B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67</xdr:col>
      <xdr:colOff>4762</xdr:colOff>
      <xdr:row>5</xdr:row>
      <xdr:rowOff>14287</xdr:rowOff>
    </xdr:from>
    <xdr:to>
      <xdr:col>75</xdr:col>
      <xdr:colOff>309562</xdr:colOff>
      <xdr:row>19</xdr:row>
      <xdr:rowOff>90487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2ACF271-2424-42DF-895E-01DD42D3EB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57</xdr:col>
      <xdr:colOff>0</xdr:colOff>
      <xdr:row>38</xdr:row>
      <xdr:rowOff>0</xdr:rowOff>
    </xdr:from>
    <xdr:to>
      <xdr:col>67</xdr:col>
      <xdr:colOff>0</xdr:colOff>
      <xdr:row>52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9B07133-0002-4842-9BC2-DAA7910E13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233362</xdr:colOff>
      <xdr:row>1</xdr:row>
      <xdr:rowOff>42862</xdr:rowOff>
    </xdr:from>
    <xdr:to>
      <xdr:col>16</xdr:col>
      <xdr:colOff>538162</xdr:colOff>
      <xdr:row>15</xdr:row>
      <xdr:rowOff>119062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5760692-47DB-4823-9CA6-7835214028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14"/>
  <sheetViews>
    <sheetView workbookViewId="0">
      <selection activeCell="E10" sqref="E10"/>
    </sheetView>
  </sheetViews>
  <sheetFormatPr defaultRowHeight="15" x14ac:dyDescent="0.25"/>
  <cols>
    <col min="1" max="1" width="9.140625" customWidth="1"/>
    <col min="2" max="2" width="5.7109375" style="2" customWidth="1"/>
    <col min="3" max="11" width="6.28515625" customWidth="1"/>
    <col min="12" max="12" width="6.28515625" style="2" customWidth="1"/>
    <col min="13" max="17" width="6" customWidth="1"/>
    <col min="18" max="18" width="6.140625" customWidth="1"/>
    <col min="19" max="21" width="6" customWidth="1"/>
    <col min="22" max="22" width="6" style="2" customWidth="1"/>
    <col min="23" max="23" width="6" customWidth="1"/>
    <col min="24" max="24" width="6.7109375" customWidth="1"/>
    <col min="25" max="31" width="6" customWidth="1"/>
    <col min="32" max="32" width="6" style="2" customWidth="1"/>
    <col min="33" max="37" width="6" customWidth="1"/>
    <col min="38" max="38" width="6.140625" customWidth="1"/>
    <col min="39" max="41" width="6" customWidth="1"/>
    <col min="42" max="42" width="6" style="2" customWidth="1"/>
  </cols>
  <sheetData>
    <row r="1" spans="1:42" x14ac:dyDescent="0.25">
      <c r="A1" s="39" t="s">
        <v>32</v>
      </c>
      <c r="B1" s="39"/>
      <c r="C1" s="39"/>
      <c r="D1">
        <v>6</v>
      </c>
    </row>
    <row r="2" spans="1:42" x14ac:dyDescent="0.25">
      <c r="C2" s="36" t="s">
        <v>30</v>
      </c>
      <c r="D2" s="37"/>
      <c r="E2" s="37"/>
      <c r="F2" s="37"/>
      <c r="G2" s="37"/>
      <c r="H2" s="37"/>
      <c r="I2" s="37"/>
      <c r="J2" s="37"/>
      <c r="K2" s="37"/>
      <c r="L2" s="38"/>
      <c r="M2" s="36" t="s">
        <v>38</v>
      </c>
      <c r="N2" s="37"/>
      <c r="O2" s="37"/>
      <c r="P2" s="37"/>
      <c r="Q2" s="37"/>
      <c r="R2" s="37"/>
      <c r="S2" s="37"/>
      <c r="T2" s="37"/>
      <c r="U2" s="37"/>
      <c r="V2" s="38"/>
      <c r="W2" s="36" t="s">
        <v>33</v>
      </c>
      <c r="X2" s="37"/>
      <c r="Y2" s="37"/>
      <c r="Z2" s="37"/>
      <c r="AA2" s="37"/>
      <c r="AB2" s="37"/>
      <c r="AC2" s="37"/>
      <c r="AD2" s="37"/>
      <c r="AE2" s="37"/>
      <c r="AF2" s="38"/>
      <c r="AG2" s="36" t="s">
        <v>151</v>
      </c>
      <c r="AH2" s="37"/>
      <c r="AI2" s="37"/>
      <c r="AJ2" s="37"/>
      <c r="AK2" s="37"/>
      <c r="AL2" s="37"/>
      <c r="AM2" s="37"/>
      <c r="AN2" s="37"/>
      <c r="AO2" s="37"/>
      <c r="AP2" s="38"/>
    </row>
    <row r="3" spans="1:42" x14ac:dyDescent="0.25">
      <c r="A3" t="s">
        <v>0</v>
      </c>
      <c r="B3" s="2" t="s">
        <v>31</v>
      </c>
      <c r="C3" t="s">
        <v>8</v>
      </c>
      <c r="D3" t="s">
        <v>17</v>
      </c>
      <c r="E3" t="s">
        <v>1</v>
      </c>
      <c r="F3" t="s">
        <v>2</v>
      </c>
      <c r="G3" t="s">
        <v>3</v>
      </c>
      <c r="H3" t="s">
        <v>4</v>
      </c>
      <c r="I3" t="s">
        <v>5</v>
      </c>
      <c r="J3" t="s">
        <v>6</v>
      </c>
      <c r="K3" t="s">
        <v>13</v>
      </c>
      <c r="L3" s="2" t="s">
        <v>23</v>
      </c>
      <c r="M3" t="s">
        <v>8</v>
      </c>
      <c r="N3" t="s">
        <v>17</v>
      </c>
      <c r="O3" t="s">
        <v>1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13</v>
      </c>
      <c r="V3" s="2" t="s">
        <v>23</v>
      </c>
      <c r="W3" t="s">
        <v>8</v>
      </c>
      <c r="X3" t="s">
        <v>17</v>
      </c>
      <c r="Y3" t="s">
        <v>1</v>
      </c>
      <c r="Z3" t="s">
        <v>2</v>
      </c>
      <c r="AA3" t="s">
        <v>3</v>
      </c>
      <c r="AB3" t="s">
        <v>4</v>
      </c>
      <c r="AC3" t="s">
        <v>5</v>
      </c>
      <c r="AD3" t="s">
        <v>6</v>
      </c>
      <c r="AE3" t="s">
        <v>13</v>
      </c>
      <c r="AF3" s="2" t="s">
        <v>23</v>
      </c>
      <c r="AG3" t="s">
        <v>8</v>
      </c>
      <c r="AH3" t="s">
        <v>17</v>
      </c>
      <c r="AI3" t="s">
        <v>1</v>
      </c>
      <c r="AJ3" t="s">
        <v>2</v>
      </c>
      <c r="AK3" t="s">
        <v>3</v>
      </c>
      <c r="AL3" t="s">
        <v>4</v>
      </c>
      <c r="AM3" t="s">
        <v>5</v>
      </c>
      <c r="AN3" t="s">
        <v>6</v>
      </c>
      <c r="AO3" t="s">
        <v>13</v>
      </c>
      <c r="AP3" s="2" t="s">
        <v>23</v>
      </c>
    </row>
    <row r="4" spans="1:42" x14ac:dyDescent="0.25">
      <c r="A4" t="s">
        <v>36</v>
      </c>
      <c r="B4" s="2">
        <v>2022</v>
      </c>
      <c r="M4">
        <f t="shared" ref="M4:T4" ca="1" si="0">MAX(0,_xlfn.FORECAST.LINEAR($B4,OFFSET(C5,0,0,$D$1),OFFSET($B5,0,0,$D$1)))</f>
        <v>15.909333333333052</v>
      </c>
      <c r="N4">
        <f t="shared" ca="1" si="0"/>
        <v>10.429333333333375</v>
      </c>
      <c r="O4">
        <f t="shared" ca="1" si="0"/>
        <v>31.607333333333372</v>
      </c>
      <c r="P4">
        <f t="shared" ca="1" si="0"/>
        <v>41.120666666666637</v>
      </c>
      <c r="Q4">
        <f t="shared" ca="1" si="0"/>
        <v>11.362666666666655</v>
      </c>
      <c r="R4">
        <f t="shared" ca="1" si="0"/>
        <v>2.2839999999999918</v>
      </c>
      <c r="S4">
        <f t="shared" ca="1" si="0"/>
        <v>2.3999999999999773</v>
      </c>
      <c r="T4">
        <f t="shared" ca="1" si="0"/>
        <v>0</v>
      </c>
      <c r="W4" s="4"/>
      <c r="X4" s="3"/>
      <c r="Y4" s="3"/>
      <c r="Z4" s="3"/>
      <c r="AA4" s="3"/>
      <c r="AB4" s="3"/>
      <c r="AC4" s="3"/>
      <c r="AD4" s="3"/>
      <c r="AE4" s="3"/>
      <c r="AF4" s="5"/>
      <c r="AG4">
        <f>SUM(C5:C10)/6</f>
        <v>10.323333333333329</v>
      </c>
      <c r="AH4">
        <f t="shared" ref="AH4:AP4" si="1">SUM(D5:D10)/6</f>
        <v>7.5033333333333267</v>
      </c>
      <c r="AI4">
        <f t="shared" si="1"/>
        <v>36.758333333333333</v>
      </c>
      <c r="AJ4">
        <f t="shared" si="1"/>
        <v>43.581666666666671</v>
      </c>
      <c r="AK4">
        <f t="shared" si="1"/>
        <v>9.336666666666666</v>
      </c>
      <c r="AL4">
        <f t="shared" si="1"/>
        <v>1.0349999999999999</v>
      </c>
      <c r="AM4">
        <f t="shared" si="1"/>
        <v>1.4866666666666666</v>
      </c>
      <c r="AN4">
        <f t="shared" si="1"/>
        <v>0.32666666666666666</v>
      </c>
      <c r="AO4">
        <f t="shared" si="1"/>
        <v>1.5250000000000001</v>
      </c>
      <c r="AP4" s="2">
        <f t="shared" si="1"/>
        <v>0</v>
      </c>
    </row>
    <row r="5" spans="1:42" x14ac:dyDescent="0.25">
      <c r="A5" t="s">
        <v>7</v>
      </c>
      <c r="B5" s="2">
        <v>2019</v>
      </c>
      <c r="C5">
        <f>100-SUM(E5:G5)</f>
        <v>14.719999999999999</v>
      </c>
      <c r="D5">
        <f>100-SUM(E5:J5)</f>
        <v>8.2099999999999937</v>
      </c>
      <c r="E5">
        <v>33.44</v>
      </c>
      <c r="F5">
        <v>41.44</v>
      </c>
      <c r="G5">
        <v>10.4</v>
      </c>
      <c r="H5">
        <v>3.08</v>
      </c>
      <c r="I5">
        <v>3.43</v>
      </c>
      <c r="M5">
        <f ca="1">MAX(0,_xlfn.FORECAST.LINEAR($B5,OFFSET(C6,0,0,$D$1),OFFSET($B6,0,0,$D$1)))</f>
        <v>10.779999999999987</v>
      </c>
      <c r="N5">
        <f t="shared" ref="N5:U5" ca="1" si="2">MAX(0,_xlfn.FORECAST.LINEAR($B5,OFFSET(D6,0,0,$D$1),OFFSET($B6,0,0,$D$1)))</f>
        <v>10.807999999999993</v>
      </c>
      <c r="O5">
        <f t="shared" ca="1" si="2"/>
        <v>34.122666666666646</v>
      </c>
      <c r="P5">
        <f t="shared" ca="1" si="2"/>
        <v>43.197333333333333</v>
      </c>
      <c r="Q5">
        <f t="shared" ca="1" si="2"/>
        <v>11.899999999999864</v>
      </c>
      <c r="R5">
        <f t="shared" ca="1" si="2"/>
        <v>0</v>
      </c>
      <c r="S5" t="e">
        <f t="shared" ca="1" si="2"/>
        <v>#DIV/0!</v>
      </c>
      <c r="T5">
        <f t="shared" ca="1" si="2"/>
        <v>0</v>
      </c>
      <c r="U5">
        <f t="shared" ca="1" si="2"/>
        <v>1.3440000000000083</v>
      </c>
      <c r="V5" s="6"/>
      <c r="W5" s="4">
        <f ca="1">IF(ISBLANK(C5),NA(),C5-M5)</f>
        <v>3.9400000000000119</v>
      </c>
      <c r="X5" s="3">
        <f t="shared" ref="X5:AF5" ca="1" si="3">IF(ISBLANK(D5),NA(),D5-N5)</f>
        <v>-2.597999999999999</v>
      </c>
      <c r="Y5" s="3">
        <f t="shared" ca="1" si="3"/>
        <v>-0.68266666666664833</v>
      </c>
      <c r="Z5" s="3">
        <f t="shared" ca="1" si="3"/>
        <v>-1.7573333333333352</v>
      </c>
      <c r="AA5" s="3">
        <f t="shared" ca="1" si="3"/>
        <v>-1.4999999999998632</v>
      </c>
      <c r="AB5" s="3">
        <f t="shared" ca="1" si="3"/>
        <v>3.08</v>
      </c>
      <c r="AC5" s="3" t="e">
        <f t="shared" ca="1" si="3"/>
        <v>#DIV/0!</v>
      </c>
      <c r="AD5" s="3" t="e">
        <f t="shared" si="3"/>
        <v>#N/A</v>
      </c>
      <c r="AE5" s="3" t="e">
        <f t="shared" si="3"/>
        <v>#N/A</v>
      </c>
      <c r="AF5" s="5" t="e">
        <f t="shared" si="3"/>
        <v>#N/A</v>
      </c>
      <c r="AG5">
        <f t="shared" ref="AG5:AG17" si="4">SUM(C6:C11)/6</f>
        <v>10.249999999999995</v>
      </c>
      <c r="AH5">
        <f t="shared" ref="AH5:AH17" si="5">SUM(D6:D11)/6</f>
        <v>6.8899999999999944</v>
      </c>
      <c r="AI5">
        <f t="shared" ref="AI5:AI17" si="6">SUM(E6:E11)/6</f>
        <v>37.491666666666667</v>
      </c>
      <c r="AJ5">
        <f t="shared" ref="AJ5:AJ17" si="7">SUM(F6:F11)/6</f>
        <v>43.82833333333334</v>
      </c>
      <c r="AK5">
        <f t="shared" ref="AK5:AK17" si="8">SUM(G6:G11)/6</f>
        <v>8.43</v>
      </c>
      <c r="AL5">
        <f t="shared" ref="AL5:AL17" si="9">SUM(H6:H11)/6</f>
        <v>1.2449999999999999</v>
      </c>
      <c r="AM5">
        <f t="shared" ref="AM5:AM17" si="10">SUM(I6:I11)/6</f>
        <v>0.91500000000000004</v>
      </c>
      <c r="AN5">
        <f t="shared" ref="AN5:AN17" si="11">SUM(J6:J11)/6</f>
        <v>1.2283333333333333</v>
      </c>
      <c r="AO5">
        <f t="shared" ref="AO5:AO17" si="12">SUM(K6:K11)/6</f>
        <v>1.5250000000000001</v>
      </c>
      <c r="AP5" s="2">
        <f t="shared" ref="AP5:AP17" si="13">SUM(L6:L11)/6</f>
        <v>0</v>
      </c>
    </row>
    <row r="6" spans="1:42" x14ac:dyDescent="0.25">
      <c r="A6" t="s">
        <v>9</v>
      </c>
      <c r="B6" s="2">
        <v>2016</v>
      </c>
      <c r="C6">
        <f>100-SUM(E6:G6)</f>
        <v>13</v>
      </c>
      <c r="D6">
        <f t="shared" ref="D6:D23" si="14">100-SUM(E6:J6)</f>
        <v>11.709999999999994</v>
      </c>
      <c r="E6">
        <v>34.729999999999997</v>
      </c>
      <c r="F6">
        <v>42.04</v>
      </c>
      <c r="G6">
        <v>10.23</v>
      </c>
      <c r="H6">
        <v>1.29</v>
      </c>
      <c r="K6">
        <v>1.49</v>
      </c>
      <c r="M6">
        <f t="shared" ref="M6:M15" ca="1" si="15">MAX(0,_xlfn.FORECAST.LINEAR($B6,OFFSET(C7,0,0,$D$1),OFFSET($B7,0,0,$D$1)))</f>
        <v>5.8899999999999864</v>
      </c>
      <c r="N6">
        <f t="shared" ref="N6:N15" ca="1" si="16">MAX(0,_xlfn.FORECAST.LINEAR($B6,OFFSET(D7,0,0,$D$1),OFFSET($B7,0,0,$D$1)))</f>
        <v>7.8573333333333721</v>
      </c>
      <c r="O6">
        <f t="shared" ref="O6:O15" ca="1" si="17">MAX(0,_xlfn.FORECAST.LINEAR($B6,OFFSET(E7,0,0,$D$1),OFFSET($B7,0,0,$D$1)))</f>
        <v>35.646666666666647</v>
      </c>
      <c r="P6">
        <f t="shared" ref="P6:P15" ca="1" si="18">MAX(0,_xlfn.FORECAST.LINEAR($B6,OFFSET(F7,0,0,$D$1),OFFSET($B7,0,0,$D$1)))</f>
        <v>46.186666666666611</v>
      </c>
      <c r="Q6">
        <f t="shared" ref="Q6:Q15" ca="1" si="19">MAX(0,_xlfn.FORECAST.LINEAR($B6,OFFSET(G7,0,0,$D$1),OFFSET($B7,0,0,$D$1)))</f>
        <v>12.276666666666642</v>
      </c>
      <c r="R6">
        <f t="shared" ref="R6:R15" ca="1" si="20">MAX(0,_xlfn.FORECAST.LINEAR($B6,OFFSET(H7,0,0,$D$1),OFFSET($B7,0,0,$D$1)))</f>
        <v>0</v>
      </c>
      <c r="S6" t="e">
        <f t="shared" ref="S6:S15" ca="1" si="21">MAX(0,_xlfn.FORECAST.LINEAR($B6,OFFSET(I7,0,0,$D$1),OFFSET($B7,0,0,$D$1)))</f>
        <v>#DIV/0!</v>
      </c>
      <c r="T6">
        <f t="shared" ref="T6:T15" ca="1" si="22">MAX(0,_xlfn.FORECAST.LINEAR($B6,OFFSET(J7,0,0,$D$1),OFFSET($B7,0,0,$D$1)))</f>
        <v>0</v>
      </c>
      <c r="U6">
        <f t="shared" ref="U6:U15" ca="1" si="23">MAX(0,_xlfn.FORECAST.LINEAR($B6,OFFSET(K7,0,0,$D$1),OFFSET($B7,0,0,$D$1)))</f>
        <v>1.5300000000000153</v>
      </c>
      <c r="W6" s="4">
        <f t="shared" ref="W6:W15" ca="1" si="24">IF(ISBLANK(C6),NA(),C6-M6)</f>
        <v>7.1100000000000136</v>
      </c>
      <c r="X6" s="3">
        <f t="shared" ref="X6:X15" ca="1" si="25">IF(ISBLANK(D6),NA(),D6-N6)</f>
        <v>3.8526666666666216</v>
      </c>
      <c r="Y6" s="3">
        <f t="shared" ref="Y6:Y15" ca="1" si="26">IF(ISBLANK(E6),NA(),E6-O6)</f>
        <v>-0.91666666666665009</v>
      </c>
      <c r="Z6" s="3">
        <f t="shared" ref="Z6:Z15" ca="1" si="27">IF(ISBLANK(F6),NA(),F6-P6)</f>
        <v>-4.1466666666666114</v>
      </c>
      <c r="AA6" s="3">
        <f t="shared" ref="AA6:AA13" ca="1" si="28">IF(ISBLANK(G6),NA(),G6-Q6)</f>
        <v>-2.046666666666642</v>
      </c>
      <c r="AB6" s="3">
        <f t="shared" ref="AB6:AB15" ca="1" si="29">IF(ISBLANK(H6),NA(),H6-R6)</f>
        <v>1.29</v>
      </c>
      <c r="AC6" s="3" t="e">
        <f t="shared" ref="AC6:AC15" si="30">IF(ISBLANK(I6),NA(),I6-S6)</f>
        <v>#N/A</v>
      </c>
      <c r="AD6" s="3" t="e">
        <f t="shared" ref="AD6:AD15" si="31">IF(ISBLANK(J6),NA(),J6-T6)</f>
        <v>#N/A</v>
      </c>
      <c r="AE6" s="3">
        <f t="shared" ref="AE6:AE15" ca="1" si="32">IF(ISBLANK(K6),NA(),K6-U6)</f>
        <v>-4.0000000000015357E-2</v>
      </c>
      <c r="AF6" s="5" t="e">
        <f t="shared" ref="AF6:AF15" si="33">IF(ISBLANK(L6),NA(),L6-V6)</f>
        <v>#N/A</v>
      </c>
      <c r="AG6">
        <f t="shared" si="4"/>
        <v>11.044999999999995</v>
      </c>
      <c r="AH6">
        <f t="shared" si="5"/>
        <v>5.4733333333333301</v>
      </c>
      <c r="AI6">
        <f t="shared" si="6"/>
        <v>38.386666666666663</v>
      </c>
      <c r="AJ6">
        <f t="shared" si="7"/>
        <v>43.406666666666666</v>
      </c>
      <c r="AK6">
        <f t="shared" si="8"/>
        <v>7.1616666666666662</v>
      </c>
      <c r="AL6">
        <f t="shared" si="9"/>
        <v>2.6016666666666666</v>
      </c>
      <c r="AM6">
        <f t="shared" si="10"/>
        <v>0.91500000000000004</v>
      </c>
      <c r="AN6">
        <f t="shared" si="11"/>
        <v>2.0833333333333335</v>
      </c>
      <c r="AO6">
        <f t="shared" si="12"/>
        <v>1.2766666666666666</v>
      </c>
      <c r="AP6" s="2">
        <f t="shared" si="13"/>
        <v>0</v>
      </c>
    </row>
    <row r="7" spans="1:42" x14ac:dyDescent="0.25">
      <c r="A7" t="s">
        <v>10</v>
      </c>
      <c r="B7" s="2">
        <v>2013</v>
      </c>
      <c r="C7">
        <f>100-SUM(E7:G7)</f>
        <v>12.419999999999987</v>
      </c>
      <c r="D7">
        <f>100-SUM(E7:G7)-SUM(I7:J7)</f>
        <v>6.9299999999999873</v>
      </c>
      <c r="E7">
        <v>33.380000000000003</v>
      </c>
      <c r="F7">
        <f>32.02+8.92+4.29+0.32</f>
        <v>45.550000000000004</v>
      </c>
      <c r="G7">
        <v>8.65</v>
      </c>
      <c r="H7">
        <v>0.17</v>
      </c>
      <c r="I7">
        <v>5.49</v>
      </c>
      <c r="K7">
        <v>1.41</v>
      </c>
      <c r="M7">
        <f t="shared" ca="1" si="15"/>
        <v>4.2059302325583303</v>
      </c>
      <c r="N7">
        <f t="shared" ca="1" si="16"/>
        <v>7.0855348837209249</v>
      </c>
      <c r="O7">
        <f t="shared" ca="1" si="17"/>
        <v>39.873790697674409</v>
      </c>
      <c r="P7">
        <f t="shared" ca="1" si="18"/>
        <v>43.252395348837226</v>
      </c>
      <c r="Q7">
        <f t="shared" ca="1" si="19"/>
        <v>12.667883720930149</v>
      </c>
      <c r="R7">
        <f t="shared" ca="1" si="20"/>
        <v>0</v>
      </c>
      <c r="S7" t="e">
        <f t="shared" ca="1" si="21"/>
        <v>#DIV/0!</v>
      </c>
      <c r="T7">
        <f t="shared" ca="1" si="22"/>
        <v>0</v>
      </c>
      <c r="U7">
        <f t="shared" ca="1" si="23"/>
        <v>2.3233333333333235</v>
      </c>
      <c r="W7" s="4">
        <f t="shared" ca="1" si="24"/>
        <v>8.2140697674416572</v>
      </c>
      <c r="X7" s="3">
        <f t="shared" ca="1" si="25"/>
        <v>-0.1555348837209376</v>
      </c>
      <c r="Y7" s="3">
        <f t="shared" ca="1" si="26"/>
        <v>-6.493790697674406</v>
      </c>
      <c r="Z7" s="3">
        <f t="shared" ca="1" si="27"/>
        <v>2.2976046511627786</v>
      </c>
      <c r="AA7" s="3">
        <f t="shared" ca="1" si="28"/>
        <v>-4.0178837209301488</v>
      </c>
      <c r="AB7" s="3">
        <f t="shared" ca="1" si="29"/>
        <v>0.17</v>
      </c>
      <c r="AC7" s="3" t="e">
        <f t="shared" ca="1" si="30"/>
        <v>#DIV/0!</v>
      </c>
      <c r="AD7" s="3" t="e">
        <f t="shared" si="31"/>
        <v>#N/A</v>
      </c>
      <c r="AE7" s="3">
        <f t="shared" ca="1" si="32"/>
        <v>-0.91333333333332356</v>
      </c>
      <c r="AF7" s="5" t="e">
        <f t="shared" si="33"/>
        <v>#N/A</v>
      </c>
      <c r="AG7">
        <f t="shared" si="4"/>
        <v>10.821666666666664</v>
      </c>
      <c r="AH7">
        <f t="shared" si="5"/>
        <v>5.0383333333333313</v>
      </c>
      <c r="AI7">
        <f t="shared" si="6"/>
        <v>39.281666666666666</v>
      </c>
      <c r="AJ7">
        <f t="shared" si="7"/>
        <v>43.69</v>
      </c>
      <c r="AK7">
        <f t="shared" si="8"/>
        <v>6.206666666666667</v>
      </c>
      <c r="AL7">
        <f t="shared" si="9"/>
        <v>2.5733333333333333</v>
      </c>
      <c r="AM7">
        <f t="shared" si="10"/>
        <v>0</v>
      </c>
      <c r="AN7">
        <f t="shared" si="11"/>
        <v>3.2099999999999995</v>
      </c>
      <c r="AO7">
        <f t="shared" si="12"/>
        <v>1.0416666666666667</v>
      </c>
      <c r="AP7" s="2">
        <f t="shared" si="13"/>
        <v>0</v>
      </c>
    </row>
    <row r="8" spans="1:42" x14ac:dyDescent="0.25">
      <c r="A8" t="s">
        <v>11</v>
      </c>
      <c r="B8" s="2">
        <v>2010</v>
      </c>
      <c r="C8">
        <f t="shared" ref="C8:C15" si="34">100-SUM(E8:G8)</f>
        <v>6.5899999999999892</v>
      </c>
      <c r="D8">
        <f t="shared" si="14"/>
        <v>6.3699999999999903</v>
      </c>
      <c r="E8">
        <v>37.99</v>
      </c>
      <c r="F8">
        <f>30.46+9.12+3.43+0.31+0.34</f>
        <v>43.660000000000004</v>
      </c>
      <c r="G8">
        <v>11.76</v>
      </c>
      <c r="H8">
        <v>0.22</v>
      </c>
      <c r="K8">
        <v>2.25</v>
      </c>
      <c r="M8">
        <f t="shared" ca="1" si="15"/>
        <v>8.4934734239802765</v>
      </c>
      <c r="N8">
        <f t="shared" ca="1" si="16"/>
        <v>5.8699011124845413</v>
      </c>
      <c r="O8">
        <f t="shared" ca="1" si="17"/>
        <v>39.14101359703335</v>
      </c>
      <c r="P8">
        <f t="shared" ca="1" si="18"/>
        <v>43.05813349814585</v>
      </c>
      <c r="Q8">
        <f t="shared" ca="1" si="19"/>
        <v>9.3073794808404955</v>
      </c>
      <c r="R8">
        <f t="shared" ca="1" si="20"/>
        <v>0</v>
      </c>
      <c r="S8" t="e">
        <f t="shared" ca="1" si="21"/>
        <v>#DIV/0!</v>
      </c>
      <c r="T8">
        <f t="shared" ca="1" si="22"/>
        <v>0.49432632880098026</v>
      </c>
      <c r="U8">
        <f t="shared" ca="1" si="23"/>
        <v>1.9700000000000006</v>
      </c>
      <c r="W8" s="4">
        <f t="shared" ca="1" si="24"/>
        <v>-1.9034734239802873</v>
      </c>
      <c r="X8" s="3">
        <f t="shared" ca="1" si="25"/>
        <v>0.50009888751544906</v>
      </c>
      <c r="Y8" s="3">
        <f t="shared" ca="1" si="26"/>
        <v>-1.1510135970333479</v>
      </c>
      <c r="Z8" s="3">
        <f t="shared" ca="1" si="27"/>
        <v>0.60186650185415402</v>
      </c>
      <c r="AA8" s="3">
        <f t="shared" ca="1" si="28"/>
        <v>2.4526205191595043</v>
      </c>
      <c r="AB8" s="3">
        <f t="shared" ca="1" si="29"/>
        <v>0.22</v>
      </c>
      <c r="AC8" s="3" t="e">
        <f t="shared" si="30"/>
        <v>#N/A</v>
      </c>
      <c r="AD8" s="3" t="e">
        <f t="shared" si="31"/>
        <v>#N/A</v>
      </c>
      <c r="AE8" s="3">
        <f t="shared" ca="1" si="32"/>
        <v>0.27999999999999936</v>
      </c>
      <c r="AF8" s="5" t="e">
        <f t="shared" si="33"/>
        <v>#N/A</v>
      </c>
      <c r="AG8">
        <f t="shared" si="4"/>
        <v>11.219999999999999</v>
      </c>
      <c r="AH8">
        <f t="shared" si="5"/>
        <v>4.8483333333333336</v>
      </c>
      <c r="AI8">
        <f t="shared" si="6"/>
        <v>40.436666666666667</v>
      </c>
      <c r="AJ8">
        <f t="shared" si="7"/>
        <v>43.791666666666664</v>
      </c>
      <c r="AK8">
        <f t="shared" si="8"/>
        <v>4.5516666666666667</v>
      </c>
      <c r="AL8">
        <f t="shared" si="9"/>
        <v>2.5366666666666666</v>
      </c>
      <c r="AM8">
        <f t="shared" si="10"/>
        <v>0</v>
      </c>
      <c r="AN8">
        <f t="shared" si="11"/>
        <v>3.8349999999999995</v>
      </c>
      <c r="AO8">
        <f t="shared" si="12"/>
        <v>0.66666666666666663</v>
      </c>
      <c r="AP8" s="2">
        <f t="shared" si="13"/>
        <v>0</v>
      </c>
    </row>
    <row r="9" spans="1:42" x14ac:dyDescent="0.25">
      <c r="A9" t="s">
        <v>12</v>
      </c>
      <c r="B9" s="2">
        <v>2007</v>
      </c>
      <c r="C9">
        <f t="shared" si="34"/>
        <v>6.7399999999999949</v>
      </c>
      <c r="D9">
        <f t="shared" si="14"/>
        <v>5.7599999999999909</v>
      </c>
      <c r="E9">
        <v>43.38</v>
      </c>
      <c r="F9">
        <f>36.6+5.49</f>
        <v>42.09</v>
      </c>
      <c r="G9">
        <v>7.79</v>
      </c>
      <c r="H9">
        <v>0.26</v>
      </c>
      <c r="J9">
        <v>0.72</v>
      </c>
      <c r="K9">
        <v>1.99</v>
      </c>
      <c r="M9">
        <f t="shared" ca="1" si="15"/>
        <v>10.981212121212138</v>
      </c>
      <c r="N9">
        <f t="shared" ca="1" si="16"/>
        <v>5.1696969696969717</v>
      </c>
      <c r="O9">
        <f t="shared" ca="1" si="17"/>
        <v>36.776969696969672</v>
      </c>
      <c r="P9">
        <f t="shared" ca="1" si="18"/>
        <v>44.748030303030333</v>
      </c>
      <c r="Q9">
        <f t="shared" ca="1" si="19"/>
        <v>7.4937878787878844</v>
      </c>
      <c r="R9">
        <f t="shared" ca="1" si="20"/>
        <v>0</v>
      </c>
      <c r="S9" t="e">
        <f t="shared" ca="1" si="21"/>
        <v>#DIV/0!</v>
      </c>
      <c r="T9">
        <f t="shared" ca="1" si="22"/>
        <v>0.65757575757572795</v>
      </c>
      <c r="U9">
        <f>K9-K10</f>
        <v>-1.9999999999999796E-2</v>
      </c>
      <c r="W9" s="4">
        <f t="shared" ca="1" si="24"/>
        <v>-4.2412121212121434</v>
      </c>
      <c r="X9" s="3">
        <f t="shared" ca="1" si="25"/>
        <v>0.59030303030301923</v>
      </c>
      <c r="Y9" s="3">
        <f t="shared" ca="1" si="26"/>
        <v>6.6030303030303301</v>
      </c>
      <c r="Z9" s="3">
        <f t="shared" ca="1" si="27"/>
        <v>-2.6580303030303298</v>
      </c>
      <c r="AA9" s="3">
        <f t="shared" ca="1" si="28"/>
        <v>0.2962121212121156</v>
      </c>
      <c r="AB9" s="3">
        <f t="shared" ca="1" si="29"/>
        <v>0.26</v>
      </c>
      <c r="AC9" s="3" t="e">
        <f t="shared" si="30"/>
        <v>#N/A</v>
      </c>
      <c r="AD9" s="3">
        <f t="shared" ca="1" si="31"/>
        <v>6.2424242424272025E-2</v>
      </c>
      <c r="AE9" s="3">
        <f t="shared" si="32"/>
        <v>2.0099999999999998</v>
      </c>
      <c r="AF9" s="5" t="e">
        <f t="shared" si="33"/>
        <v>#N/A</v>
      </c>
      <c r="AG9">
        <f t="shared" si="4"/>
        <v>12.718333333333332</v>
      </c>
      <c r="AH9">
        <f t="shared" si="5"/>
        <v>4.6333333333333329</v>
      </c>
      <c r="AI9">
        <f t="shared" si="6"/>
        <v>39.78</v>
      </c>
      <c r="AJ9">
        <f t="shared" si="7"/>
        <v>44.02</v>
      </c>
      <c r="AK9">
        <f t="shared" si="8"/>
        <v>3.481666666666666</v>
      </c>
      <c r="AL9">
        <f t="shared" si="9"/>
        <v>2.4933333333333332</v>
      </c>
      <c r="AM9">
        <f t="shared" si="10"/>
        <v>0</v>
      </c>
      <c r="AN9">
        <f t="shared" si="11"/>
        <v>5.5916666666666659</v>
      </c>
      <c r="AO9">
        <f t="shared" si="12"/>
        <v>0.33499999999999996</v>
      </c>
      <c r="AP9" s="2">
        <f t="shared" si="13"/>
        <v>0</v>
      </c>
    </row>
    <row r="10" spans="1:42" x14ac:dyDescent="0.25">
      <c r="A10" t="s">
        <v>14</v>
      </c>
      <c r="B10" s="2">
        <v>2004</v>
      </c>
      <c r="C10">
        <f t="shared" si="34"/>
        <v>8.4699999999999989</v>
      </c>
      <c r="D10">
        <f t="shared" si="14"/>
        <v>6.0400000000000063</v>
      </c>
      <c r="E10">
        <v>37.630000000000003</v>
      </c>
      <c r="F10">
        <v>46.71</v>
      </c>
      <c r="G10">
        <v>7.19</v>
      </c>
      <c r="H10">
        <v>1.19</v>
      </c>
      <c r="J10">
        <v>1.24</v>
      </c>
      <c r="K10">
        <v>2.0099999999999998</v>
      </c>
      <c r="M10">
        <f t="shared" ca="1" si="15"/>
        <v>16.409270704573373</v>
      </c>
      <c r="N10">
        <f t="shared" ca="1" si="16"/>
        <v>4.7727070457354728</v>
      </c>
      <c r="O10">
        <f t="shared" ca="1" si="17"/>
        <v>36.610568603213778</v>
      </c>
      <c r="P10">
        <f t="shared" ca="1" si="18"/>
        <v>41.67414091470954</v>
      </c>
      <c r="Q10">
        <f t="shared" ca="1" si="19"/>
        <v>5.2427868852460051</v>
      </c>
      <c r="R10">
        <f t="shared" ca="1" si="20"/>
        <v>0</v>
      </c>
      <c r="S10" t="e">
        <f t="shared" ca="1" si="21"/>
        <v>#DIV/0!</v>
      </c>
      <c r="T10">
        <f t="shared" ca="1" si="22"/>
        <v>4.5424351050679661</v>
      </c>
      <c r="U10">
        <f>K10</f>
        <v>2.0099999999999998</v>
      </c>
      <c r="W10" s="4">
        <f t="shared" ca="1" si="24"/>
        <v>-7.9392707045733744</v>
      </c>
      <c r="X10" s="3">
        <f t="shared" ca="1" si="25"/>
        <v>1.2672929542645335</v>
      </c>
      <c r="Y10" s="3">
        <f t="shared" ca="1" si="26"/>
        <v>1.0194313967862243</v>
      </c>
      <c r="Z10" s="3">
        <f t="shared" ca="1" si="27"/>
        <v>5.0358590852904612</v>
      </c>
      <c r="AA10" s="3">
        <f t="shared" ca="1" si="28"/>
        <v>1.9472131147539953</v>
      </c>
      <c r="AB10" s="3">
        <f t="shared" ca="1" si="29"/>
        <v>1.19</v>
      </c>
      <c r="AC10" s="3" t="e">
        <f t="shared" si="30"/>
        <v>#N/A</v>
      </c>
      <c r="AD10" s="3">
        <f t="shared" ca="1" si="31"/>
        <v>-3.3024351050679659</v>
      </c>
      <c r="AE10" s="3">
        <f t="shared" si="32"/>
        <v>0</v>
      </c>
      <c r="AF10" s="5" t="e">
        <f t="shared" si="33"/>
        <v>#N/A</v>
      </c>
      <c r="AG10">
        <f t="shared" si="4"/>
        <v>12.673333333333332</v>
      </c>
      <c r="AH10">
        <f t="shared" si="5"/>
        <v>3.9933333333333323</v>
      </c>
      <c r="AI10">
        <f t="shared" si="6"/>
        <v>41.158333333333339</v>
      </c>
      <c r="AJ10">
        <f t="shared" si="7"/>
        <v>43.884999999999998</v>
      </c>
      <c r="AK10">
        <f t="shared" si="8"/>
        <v>2.2833333333333332</v>
      </c>
      <c r="AL10">
        <f t="shared" si="9"/>
        <v>2.2949999999999999</v>
      </c>
      <c r="AM10">
        <f t="shared" si="10"/>
        <v>0</v>
      </c>
      <c r="AN10">
        <f t="shared" si="11"/>
        <v>6.3849999999999989</v>
      </c>
      <c r="AO10">
        <f t="shared" si="12"/>
        <v>0</v>
      </c>
      <c r="AP10" s="2">
        <f t="shared" si="13"/>
        <v>6.6666666666666671E-3</v>
      </c>
    </row>
    <row r="11" spans="1:42" x14ac:dyDescent="0.25">
      <c r="A11" t="s">
        <v>15</v>
      </c>
      <c r="B11" s="2">
        <v>2001</v>
      </c>
      <c r="C11">
        <f t="shared" si="34"/>
        <v>14.280000000000001</v>
      </c>
      <c r="D11">
        <f t="shared" si="14"/>
        <v>4.5300000000000011</v>
      </c>
      <c r="E11">
        <v>37.840000000000003</v>
      </c>
      <c r="F11">
        <v>42.92</v>
      </c>
      <c r="G11">
        <v>4.96</v>
      </c>
      <c r="H11">
        <v>4.34</v>
      </c>
      <c r="J11">
        <v>5.41</v>
      </c>
      <c r="M11">
        <f t="shared" ca="1" si="15"/>
        <v>16.528976744186139</v>
      </c>
      <c r="N11">
        <f t="shared" ca="1" si="16"/>
        <v>4.9316511627907289</v>
      </c>
      <c r="O11">
        <f t="shared" ca="1" si="17"/>
        <v>37.573302325581381</v>
      </c>
      <c r="P11">
        <f t="shared" ca="1" si="18"/>
        <v>42.261558139534884</v>
      </c>
      <c r="Q11">
        <f t="shared" ca="1" si="19"/>
        <v>3.4385714285714357</v>
      </c>
      <c r="R11" t="e">
        <f t="shared" ca="1" si="20"/>
        <v>#DIV/0!</v>
      </c>
      <c r="S11" t="e">
        <f t="shared" ca="1" si="21"/>
        <v>#DIV/0!</v>
      </c>
      <c r="T11">
        <f t="shared" ca="1" si="22"/>
        <v>5.7858139534883861</v>
      </c>
      <c r="U11" t="e">
        <f t="shared" ca="1" si="23"/>
        <v>#DIV/0!</v>
      </c>
      <c r="V11" s="2">
        <f t="shared" ref="V11:V17" ca="1" si="35">MAX(0,_xlfn.FORECAST.LINEAR($B11,OFFSET(L12,0,0,$D$1),OFFSET($B12,0,0,$D$1)))</f>
        <v>0</v>
      </c>
      <c r="W11" s="4">
        <f t="shared" ca="1" si="24"/>
        <v>-2.2489767441861375</v>
      </c>
      <c r="X11" s="3">
        <f t="shared" ca="1" si="25"/>
        <v>-0.40165116279072777</v>
      </c>
      <c r="Y11" s="3">
        <f t="shared" ca="1" si="26"/>
        <v>0.26669767441862291</v>
      </c>
      <c r="Z11" s="3">
        <f t="shared" ca="1" si="27"/>
        <v>0.65844186046511766</v>
      </c>
      <c r="AA11" s="3">
        <f t="shared" ca="1" si="28"/>
        <v>1.5214285714285642</v>
      </c>
      <c r="AB11" s="3">
        <f>H11-H12</f>
        <v>-5.09</v>
      </c>
      <c r="AC11" s="3" t="e">
        <f t="shared" si="30"/>
        <v>#N/A</v>
      </c>
      <c r="AD11" s="3">
        <f t="shared" ca="1" si="31"/>
        <v>-0.37581395348838598</v>
      </c>
      <c r="AE11" s="3" t="e">
        <f t="shared" si="32"/>
        <v>#N/A</v>
      </c>
      <c r="AF11" s="5" t="e">
        <f t="shared" si="33"/>
        <v>#N/A</v>
      </c>
      <c r="AG11">
        <f t="shared" si="4"/>
        <v>11.533333333333331</v>
      </c>
      <c r="AH11">
        <f t="shared" si="5"/>
        <v>3.5699999999999981</v>
      </c>
      <c r="AI11">
        <f t="shared" si="6"/>
        <v>42.776666666666664</v>
      </c>
      <c r="AJ11">
        <f t="shared" si="7"/>
        <v>44.233333333333341</v>
      </c>
      <c r="AK11">
        <f t="shared" si="8"/>
        <v>1.4566666666666668</v>
      </c>
      <c r="AL11">
        <f t="shared" si="9"/>
        <v>1.5716666666666665</v>
      </c>
      <c r="AM11">
        <f t="shared" si="10"/>
        <v>0</v>
      </c>
      <c r="AN11">
        <f t="shared" si="11"/>
        <v>6.3916666666666666</v>
      </c>
      <c r="AO11">
        <f t="shared" si="12"/>
        <v>0</v>
      </c>
      <c r="AP11" s="2">
        <f t="shared" si="13"/>
        <v>0.10166666666666667</v>
      </c>
    </row>
    <row r="12" spans="1:42" x14ac:dyDescent="0.25">
      <c r="A12" t="s">
        <v>16</v>
      </c>
      <c r="B12" s="2">
        <v>1998</v>
      </c>
      <c r="C12">
        <f t="shared" si="34"/>
        <v>17.769999999999996</v>
      </c>
      <c r="D12">
        <f t="shared" si="14"/>
        <v>3.210000000000008</v>
      </c>
      <c r="E12">
        <v>40.1</v>
      </c>
      <c r="F12">
        <v>39.51</v>
      </c>
      <c r="G12">
        <v>2.62</v>
      </c>
      <c r="H12">
        <v>9.43</v>
      </c>
      <c r="J12">
        <v>5.13</v>
      </c>
      <c r="M12">
        <f t="shared" ca="1" si="15"/>
        <v>12.797261146496794</v>
      </c>
      <c r="N12">
        <f t="shared" ca="1" si="16"/>
        <v>5.6848407643312271</v>
      </c>
      <c r="O12">
        <f t="shared" ca="1" si="17"/>
        <v>37.913757961783404</v>
      </c>
      <c r="P12">
        <f t="shared" ca="1" si="18"/>
        <v>46.156560509554168</v>
      </c>
      <c r="Q12">
        <f t="shared" ca="1" si="19"/>
        <v>3.3316666666667061</v>
      </c>
      <c r="R12" t="e">
        <f t="shared" ca="1" si="20"/>
        <v>#DIV/0!</v>
      </c>
      <c r="S12" t="e">
        <f t="shared" ca="1" si="21"/>
        <v>#DIV/0!</v>
      </c>
      <c r="T12">
        <f t="shared" ca="1" si="22"/>
        <v>7.1124203821656238</v>
      </c>
      <c r="U12" t="e">
        <f t="shared" ca="1" si="23"/>
        <v>#DIV/0!</v>
      </c>
      <c r="V12" s="2">
        <f t="shared" ca="1" si="35"/>
        <v>0</v>
      </c>
      <c r="W12" s="4">
        <f t="shared" ca="1" si="24"/>
        <v>4.972738853503202</v>
      </c>
      <c r="X12" s="3">
        <f t="shared" ca="1" si="25"/>
        <v>-2.4748407643312191</v>
      </c>
      <c r="Y12" s="3">
        <f t="shared" ca="1" si="26"/>
        <v>2.1862420382165979</v>
      </c>
      <c r="Z12" s="3">
        <f t="shared" ca="1" si="27"/>
        <v>-6.6465605095541704</v>
      </c>
      <c r="AA12" s="3">
        <f t="shared" ca="1" si="28"/>
        <v>-0.71166666666670597</v>
      </c>
      <c r="AB12" s="3">
        <f>H12</f>
        <v>9.43</v>
      </c>
      <c r="AC12" s="3" t="e">
        <f t="shared" si="30"/>
        <v>#N/A</v>
      </c>
      <c r="AD12" s="3">
        <f t="shared" ca="1" si="31"/>
        <v>-1.9824203821656239</v>
      </c>
      <c r="AE12" s="3" t="e">
        <f t="shared" si="32"/>
        <v>#N/A</v>
      </c>
      <c r="AF12" s="5" t="e">
        <f t="shared" si="33"/>
        <v>#N/A</v>
      </c>
      <c r="AG12">
        <f t="shared" si="4"/>
        <v>9.7233333333333309</v>
      </c>
      <c r="AH12">
        <f t="shared" si="5"/>
        <v>3.3483333333333292</v>
      </c>
      <c r="AI12">
        <f t="shared" si="6"/>
        <v>44.34</v>
      </c>
      <c r="AJ12">
        <f t="shared" si="7"/>
        <v>44.916666666666664</v>
      </c>
      <c r="AK12">
        <f t="shared" si="8"/>
        <v>1.02</v>
      </c>
      <c r="AL12">
        <f t="shared" si="9"/>
        <v>0</v>
      </c>
      <c r="AM12">
        <f t="shared" si="10"/>
        <v>0</v>
      </c>
      <c r="AN12">
        <f t="shared" si="11"/>
        <v>6.375</v>
      </c>
      <c r="AO12">
        <f t="shared" si="12"/>
        <v>0</v>
      </c>
      <c r="AP12" s="2">
        <f t="shared" si="13"/>
        <v>0.13500000000000001</v>
      </c>
    </row>
    <row r="13" spans="1:42" x14ac:dyDescent="0.25">
      <c r="A13" t="s">
        <v>18</v>
      </c>
      <c r="B13" s="2">
        <v>1996</v>
      </c>
      <c r="C13">
        <f t="shared" si="34"/>
        <v>11.079999999999998</v>
      </c>
      <c r="D13">
        <f t="shared" si="14"/>
        <v>4.3199999999999932</v>
      </c>
      <c r="E13">
        <v>38.75</v>
      </c>
      <c r="F13">
        <v>47.25</v>
      </c>
      <c r="G13">
        <v>2.92</v>
      </c>
      <c r="J13">
        <v>6.76</v>
      </c>
      <c r="M13">
        <f t="shared" ca="1" si="15"/>
        <v>12.571959361393283</v>
      </c>
      <c r="N13">
        <f t="shared" ca="1" si="16"/>
        <v>5.7545137880986204</v>
      </c>
      <c r="O13">
        <f t="shared" ca="1" si="17"/>
        <v>41.831843251088458</v>
      </c>
      <c r="P13">
        <f t="shared" ca="1" si="18"/>
        <v>43.542336719883906</v>
      </c>
      <c r="Q13">
        <f t="shared" ca="1" si="19"/>
        <v>2.2900000000000205</v>
      </c>
      <c r="R13" t="e">
        <f t="shared" ca="1" si="20"/>
        <v>#DIV/0!</v>
      </c>
      <c r="S13" t="e">
        <f t="shared" ca="1" si="21"/>
        <v>#DIV/0!</v>
      </c>
      <c r="T13">
        <f t="shared" ca="1" si="22"/>
        <v>6.8174455732946342</v>
      </c>
      <c r="U13" t="e">
        <f t="shared" ca="1" si="23"/>
        <v>#DIV/0!</v>
      </c>
      <c r="V13" s="2">
        <f t="shared" ca="1" si="35"/>
        <v>0</v>
      </c>
      <c r="W13" s="4">
        <f t="shared" ca="1" si="24"/>
        <v>-1.4919593613932847</v>
      </c>
      <c r="X13" s="3">
        <f t="shared" ca="1" si="25"/>
        <v>-1.4345137880986272</v>
      </c>
      <c r="Y13" s="3">
        <f t="shared" ca="1" si="26"/>
        <v>-3.0818432510884577</v>
      </c>
      <c r="Z13" s="3">
        <f t="shared" ca="1" si="27"/>
        <v>3.707663280116094</v>
      </c>
      <c r="AA13" s="3">
        <f t="shared" ca="1" si="28"/>
        <v>0.62999999999997947</v>
      </c>
      <c r="AB13" s="3" t="e">
        <f t="shared" si="29"/>
        <v>#N/A</v>
      </c>
      <c r="AC13" s="3" t="e">
        <f t="shared" si="30"/>
        <v>#N/A</v>
      </c>
      <c r="AD13" s="3">
        <f t="shared" ca="1" si="31"/>
        <v>-5.74455732946344E-2</v>
      </c>
      <c r="AE13" s="3" t="e">
        <f t="shared" si="32"/>
        <v>#N/A</v>
      </c>
      <c r="AF13" s="5" t="e">
        <f t="shared" si="33"/>
        <v>#N/A</v>
      </c>
      <c r="AG13">
        <f t="shared" si="4"/>
        <v>9.2849999999999984</v>
      </c>
      <c r="AH13">
        <f t="shared" si="5"/>
        <v>2.9416666666666629</v>
      </c>
      <c r="AI13">
        <f t="shared" si="6"/>
        <v>45.406666666666666</v>
      </c>
      <c r="AJ13">
        <f t="shared" si="7"/>
        <v>44.774999999999999</v>
      </c>
      <c r="AK13">
        <f t="shared" si="8"/>
        <v>0.53333333333333333</v>
      </c>
      <c r="AL13">
        <f t="shared" si="9"/>
        <v>0</v>
      </c>
      <c r="AM13">
        <f t="shared" si="10"/>
        <v>0</v>
      </c>
      <c r="AN13">
        <f t="shared" si="11"/>
        <v>6.3433333333333337</v>
      </c>
      <c r="AO13">
        <f t="shared" si="12"/>
        <v>0</v>
      </c>
      <c r="AP13" s="2">
        <f t="shared" si="13"/>
        <v>0.18666666666666668</v>
      </c>
    </row>
    <row r="14" spans="1:42" x14ac:dyDescent="0.25">
      <c r="A14" t="s">
        <v>19</v>
      </c>
      <c r="B14" s="2">
        <v>1993</v>
      </c>
      <c r="C14">
        <f t="shared" si="34"/>
        <v>8.980000000000004</v>
      </c>
      <c r="D14">
        <f t="shared" si="14"/>
        <v>5.230000000000004</v>
      </c>
      <c r="E14">
        <v>44.92</v>
      </c>
      <c r="F14">
        <v>44.27</v>
      </c>
      <c r="G14">
        <v>1.83</v>
      </c>
      <c r="J14">
        <v>3.75</v>
      </c>
      <c r="M14">
        <f t="shared" ca="1" si="15"/>
        <v>11.743515981735129</v>
      </c>
      <c r="N14">
        <f t="shared" ca="1" si="16"/>
        <v>3.5565296803652586</v>
      </c>
      <c r="O14">
        <f t="shared" ca="1" si="17"/>
        <v>44.553926940639265</v>
      </c>
      <c r="P14">
        <f t="shared" ca="1" si="18"/>
        <v>42.701643835616437</v>
      </c>
      <c r="Q14" t="e">
        <f t="shared" ca="1" si="19"/>
        <v>#DIV/0!</v>
      </c>
      <c r="R14" t="e">
        <f t="shared" ca="1" si="20"/>
        <v>#DIV/0!</v>
      </c>
      <c r="S14" t="e">
        <f t="shared" ca="1" si="21"/>
        <v>#DIV/0!</v>
      </c>
      <c r="T14">
        <f t="shared" ca="1" si="22"/>
        <v>8.1869863013698705</v>
      </c>
      <c r="U14" t="e">
        <f t="shared" ca="1" si="23"/>
        <v>#DIV/0!</v>
      </c>
      <c r="V14" s="2">
        <f t="shared" ca="1" si="35"/>
        <v>0</v>
      </c>
      <c r="W14" s="4">
        <f t="shared" ca="1" si="24"/>
        <v>-2.7635159817351251</v>
      </c>
      <c r="X14" s="3">
        <f t="shared" ca="1" si="25"/>
        <v>1.6734703196347454</v>
      </c>
      <c r="Y14" s="3">
        <f t="shared" ca="1" si="26"/>
        <v>0.36607305936073686</v>
      </c>
      <c r="Z14" s="3">
        <f t="shared" ca="1" si="27"/>
        <v>1.568356164383566</v>
      </c>
      <c r="AA14" s="3">
        <f>G14-G15</f>
        <v>0.45999999999999996</v>
      </c>
      <c r="AB14" s="3" t="e">
        <f t="shared" si="29"/>
        <v>#N/A</v>
      </c>
      <c r="AC14" s="3" t="e">
        <f t="shared" si="30"/>
        <v>#N/A</v>
      </c>
      <c r="AD14" s="3">
        <f t="shared" ca="1" si="31"/>
        <v>-4.4369863013698705</v>
      </c>
      <c r="AE14" s="3" t="e">
        <f t="shared" si="32"/>
        <v>#N/A</v>
      </c>
      <c r="AF14" s="5" t="e">
        <f t="shared" si="33"/>
        <v>#N/A</v>
      </c>
      <c r="AG14">
        <f t="shared" si="4"/>
        <v>9.8283333333333331</v>
      </c>
      <c r="AH14">
        <f t="shared" si="5"/>
        <v>2.5466666666666646</v>
      </c>
      <c r="AI14">
        <f t="shared" si="6"/>
        <v>44.528333333333329</v>
      </c>
      <c r="AJ14">
        <f t="shared" si="7"/>
        <v>45.414999999999999</v>
      </c>
      <c r="AK14">
        <f t="shared" si="8"/>
        <v>0.22833333333333336</v>
      </c>
      <c r="AL14">
        <f t="shared" si="9"/>
        <v>0</v>
      </c>
      <c r="AM14">
        <f t="shared" si="10"/>
        <v>0</v>
      </c>
      <c r="AN14">
        <f t="shared" si="11"/>
        <v>7.2816666666666672</v>
      </c>
      <c r="AO14">
        <f t="shared" si="12"/>
        <v>0</v>
      </c>
      <c r="AP14" s="2">
        <f t="shared" si="13"/>
        <v>0.42499999999999999</v>
      </c>
    </row>
    <row r="15" spans="1:42" x14ac:dyDescent="0.25">
      <c r="A15" t="s">
        <v>20</v>
      </c>
      <c r="B15" s="2">
        <v>1990</v>
      </c>
      <c r="C15">
        <f t="shared" si="34"/>
        <v>15.72999999999999</v>
      </c>
      <c r="D15">
        <f t="shared" si="14"/>
        <v>4.4699999999999847</v>
      </c>
      <c r="E15">
        <v>39.44</v>
      </c>
      <c r="F15">
        <v>43.46</v>
      </c>
      <c r="G15">
        <v>1.37</v>
      </c>
      <c r="J15">
        <v>11.26</v>
      </c>
      <c r="M15">
        <f t="shared" ca="1" si="15"/>
        <v>8.1801960784313721</v>
      </c>
      <c r="N15">
        <f t="shared" ca="1" si="16"/>
        <v>1.1587254901960478</v>
      </c>
      <c r="O15">
        <f t="shared" ca="1" si="17"/>
        <v>50.055588235294181</v>
      </c>
      <c r="P15">
        <f t="shared" ca="1" si="18"/>
        <v>41.764215686274383</v>
      </c>
      <c r="Q15" t="e">
        <f t="shared" ca="1" si="19"/>
        <v>#DIV/0!</v>
      </c>
      <c r="R15" t="e">
        <f t="shared" ca="1" si="20"/>
        <v>#DIV/0!</v>
      </c>
      <c r="S15" t="e">
        <f t="shared" ca="1" si="21"/>
        <v>#DIV/0!</v>
      </c>
      <c r="T15">
        <f t="shared" ca="1" si="22"/>
        <v>3.7538775510204232</v>
      </c>
      <c r="U15" t="e">
        <f t="shared" ca="1" si="23"/>
        <v>#DIV/0!</v>
      </c>
      <c r="V15" s="2">
        <f t="shared" ca="1" si="35"/>
        <v>0</v>
      </c>
      <c r="W15" s="4">
        <f t="shared" ca="1" si="24"/>
        <v>7.5498039215686177</v>
      </c>
      <c r="X15" s="3">
        <f t="shared" ca="1" si="25"/>
        <v>3.3112745098039369</v>
      </c>
      <c r="Y15" s="3">
        <f t="shared" ca="1" si="26"/>
        <v>-10.615588235294183</v>
      </c>
      <c r="Z15" s="3">
        <f t="shared" ca="1" si="27"/>
        <v>1.6957843137256177</v>
      </c>
      <c r="AA15" s="3">
        <f>G15</f>
        <v>1.37</v>
      </c>
      <c r="AB15" s="3" t="e">
        <f t="shared" si="29"/>
        <v>#N/A</v>
      </c>
      <c r="AC15" s="3" t="e">
        <f t="shared" si="30"/>
        <v>#N/A</v>
      </c>
      <c r="AD15" s="3">
        <f t="shared" ca="1" si="31"/>
        <v>7.5061224489795766</v>
      </c>
      <c r="AE15" s="3" t="e">
        <f t="shared" si="32"/>
        <v>#N/A</v>
      </c>
      <c r="AF15" s="5" t="e">
        <f t="shared" si="33"/>
        <v>#N/A</v>
      </c>
      <c r="AG15">
        <f t="shared" si="4"/>
        <v>7.8916666666666684</v>
      </c>
      <c r="AH15">
        <f t="shared" si="5"/>
        <v>2.4866666666666668</v>
      </c>
      <c r="AI15">
        <f t="shared" si="6"/>
        <v>45.094999999999999</v>
      </c>
      <c r="AJ15">
        <f t="shared" si="7"/>
        <v>47.013333333333328</v>
      </c>
      <c r="AK15">
        <f t="shared" si="8"/>
        <v>0</v>
      </c>
      <c r="AL15">
        <f t="shared" si="9"/>
        <v>0</v>
      </c>
      <c r="AM15">
        <f t="shared" si="10"/>
        <v>0</v>
      </c>
      <c r="AN15">
        <f t="shared" si="11"/>
        <v>5.4050000000000002</v>
      </c>
      <c r="AO15">
        <f t="shared" si="12"/>
        <v>0</v>
      </c>
      <c r="AP15" s="2">
        <f t="shared" si="13"/>
        <v>0.64500000000000002</v>
      </c>
    </row>
    <row r="16" spans="1:42" x14ac:dyDescent="0.25">
      <c r="A16" t="s">
        <v>21</v>
      </c>
      <c r="B16" s="2">
        <v>1987</v>
      </c>
      <c r="C16">
        <f t="shared" ref="C16:C23" si="36">100-SUM(E16:G16)</f>
        <v>8.2000000000000028</v>
      </c>
      <c r="D16">
        <f t="shared" si="14"/>
        <v>2.2000000000000028</v>
      </c>
      <c r="E16">
        <v>45.9</v>
      </c>
      <c r="F16">
        <v>45.9</v>
      </c>
      <c r="J16">
        <v>6</v>
      </c>
      <c r="L16" s="2">
        <v>0.04</v>
      </c>
      <c r="M16">
        <f t="shared" ref="M16:U17" ca="1" si="37">MAX(0,_xlfn.FORECAST.LINEAR($B16,OFFSET(C17,0,0,$D$1),OFFSET($B17,0,0,$D$1)))</f>
        <v>8.7521689059501</v>
      </c>
      <c r="N16">
        <f t="shared" ca="1" si="37"/>
        <v>0.62420345489442752</v>
      </c>
      <c r="O16">
        <f t="shared" ca="1" si="37"/>
        <v>48.419366602687205</v>
      </c>
      <c r="P16">
        <f t="shared" ca="1" si="37"/>
        <v>42.828464491362638</v>
      </c>
      <c r="Q16" t="e">
        <f t="shared" ca="1" si="37"/>
        <v>#DIV/0!</v>
      </c>
      <c r="R16" t="e">
        <f t="shared" ca="1" si="37"/>
        <v>#DIV/0!</v>
      </c>
      <c r="S16" t="e">
        <f t="shared" ca="1" si="37"/>
        <v>#DIV/0!</v>
      </c>
      <c r="T16">
        <f t="shared" ca="1" si="37"/>
        <v>3.0715000000000146</v>
      </c>
      <c r="U16" t="e">
        <f t="shared" ca="1" si="37"/>
        <v>#DIV/0!</v>
      </c>
      <c r="V16" s="2">
        <f t="shared" ca="1" si="35"/>
        <v>0</v>
      </c>
      <c r="W16" s="4">
        <f t="shared" ref="W16:AF17" ca="1" si="38">IF(ISBLANK(C16),NA(),C16-M16)</f>
        <v>-0.55216890595009716</v>
      </c>
      <c r="X16" s="3">
        <f t="shared" ca="1" si="38"/>
        <v>1.5757965451055753</v>
      </c>
      <c r="Y16" s="3">
        <f t="shared" ca="1" si="38"/>
        <v>-2.5193666026872066</v>
      </c>
      <c r="Z16" s="3">
        <f t="shared" ca="1" si="38"/>
        <v>3.0715355086373606</v>
      </c>
      <c r="AA16" s="3" t="e">
        <f t="shared" si="38"/>
        <v>#N/A</v>
      </c>
      <c r="AB16" s="3" t="e">
        <f t="shared" si="38"/>
        <v>#N/A</v>
      </c>
      <c r="AC16" s="3" t="e">
        <f t="shared" si="38"/>
        <v>#N/A</v>
      </c>
      <c r="AD16" s="3">
        <f t="shared" ca="1" si="38"/>
        <v>2.9284999999999854</v>
      </c>
      <c r="AE16" s="3" t="e">
        <f t="shared" si="38"/>
        <v>#N/A</v>
      </c>
      <c r="AF16" s="5">
        <f t="shared" ca="1" si="38"/>
        <v>0.04</v>
      </c>
      <c r="AG16">
        <f t="shared" si="4"/>
        <v>7.3533333333333344</v>
      </c>
      <c r="AH16">
        <f t="shared" si="5"/>
        <v>2.9483333333333328</v>
      </c>
      <c r="AI16">
        <f t="shared" si="6"/>
        <v>45.661666666666669</v>
      </c>
      <c r="AJ16">
        <f t="shared" si="7"/>
        <v>46.985000000000007</v>
      </c>
      <c r="AK16">
        <f t="shared" si="8"/>
        <v>0</v>
      </c>
      <c r="AL16">
        <f t="shared" si="9"/>
        <v>0</v>
      </c>
      <c r="AM16">
        <f t="shared" si="10"/>
        <v>0</v>
      </c>
      <c r="AN16">
        <f t="shared" si="11"/>
        <v>4.4050000000000002</v>
      </c>
      <c r="AO16">
        <f t="shared" si="12"/>
        <v>0</v>
      </c>
      <c r="AP16" s="2">
        <f t="shared" si="13"/>
        <v>0.875</v>
      </c>
    </row>
    <row r="17" spans="1:42" x14ac:dyDescent="0.25">
      <c r="A17" t="s">
        <v>22</v>
      </c>
      <c r="B17" s="2">
        <v>1984</v>
      </c>
      <c r="C17">
        <f t="shared" si="36"/>
        <v>7.4399999999999977</v>
      </c>
      <c r="D17">
        <f t="shared" si="14"/>
        <v>1.9899999999999949</v>
      </c>
      <c r="E17">
        <v>47.55</v>
      </c>
      <c r="F17">
        <v>45.01</v>
      </c>
      <c r="J17">
        <v>5.45</v>
      </c>
      <c r="L17" s="2">
        <v>0.56999999999999995</v>
      </c>
      <c r="M17">
        <f t="shared" ca="1" si="37"/>
        <v>8.1754325955734259</v>
      </c>
      <c r="N17">
        <f t="shared" ca="1" si="37"/>
        <v>5.9798792756510011E-2</v>
      </c>
      <c r="O17">
        <f t="shared" ca="1" si="37"/>
        <v>45.724949698189121</v>
      </c>
      <c r="P17">
        <f t="shared" ca="1" si="37"/>
        <v>46.099617706237439</v>
      </c>
      <c r="Q17" t="e">
        <f t="shared" ca="1" si="37"/>
        <v>#DIV/0!</v>
      </c>
      <c r="R17" t="e">
        <f t="shared" ca="1" si="37"/>
        <v>#DIV/0!</v>
      </c>
      <c r="S17" t="e">
        <f t="shared" ca="1" si="37"/>
        <v>#DIV/0!</v>
      </c>
      <c r="T17">
        <f t="shared" ca="1" si="37"/>
        <v>4.0933333333334758</v>
      </c>
      <c r="U17" t="e">
        <f t="shared" ca="1" si="37"/>
        <v>#DIV/0!</v>
      </c>
      <c r="V17" s="2">
        <f t="shared" ca="1" si="35"/>
        <v>0</v>
      </c>
      <c r="W17" s="4">
        <f t="shared" ca="1" si="38"/>
        <v>-0.73543259557342822</v>
      </c>
      <c r="X17" s="3">
        <f t="shared" ca="1" si="38"/>
        <v>1.9302012072434849</v>
      </c>
      <c r="Y17" s="3">
        <f t="shared" ca="1" si="38"/>
        <v>1.8250503018108759</v>
      </c>
      <c r="Z17" s="3">
        <f t="shared" ca="1" si="38"/>
        <v>-1.0896177062374406</v>
      </c>
      <c r="AA17" s="3" t="e">
        <f t="shared" si="38"/>
        <v>#N/A</v>
      </c>
      <c r="AB17" s="3" t="e">
        <f t="shared" si="38"/>
        <v>#N/A</v>
      </c>
      <c r="AC17" s="3" t="e">
        <f t="shared" si="38"/>
        <v>#N/A</v>
      </c>
      <c r="AD17" s="3">
        <f t="shared" ca="1" si="38"/>
        <v>1.3566666666665244</v>
      </c>
      <c r="AE17" s="3" t="e">
        <f t="shared" si="38"/>
        <v>#N/A</v>
      </c>
      <c r="AF17" s="5">
        <f t="shared" ca="1" si="38"/>
        <v>0.56999999999999995</v>
      </c>
      <c r="AG17">
        <f t="shared" si="4"/>
        <v>7.6016666666666692</v>
      </c>
      <c r="AH17">
        <f t="shared" si="5"/>
        <v>4.1050000000000013</v>
      </c>
      <c r="AI17">
        <f t="shared" si="6"/>
        <v>46.001666666666665</v>
      </c>
      <c r="AJ17">
        <f t="shared" si="7"/>
        <v>46.396666666666668</v>
      </c>
      <c r="AK17">
        <f t="shared" si="8"/>
        <v>0</v>
      </c>
      <c r="AL17">
        <f t="shared" si="9"/>
        <v>0</v>
      </c>
      <c r="AM17">
        <f t="shared" si="10"/>
        <v>0</v>
      </c>
      <c r="AN17">
        <f t="shared" si="11"/>
        <v>3.4966666666666675</v>
      </c>
      <c r="AO17">
        <f t="shared" si="12"/>
        <v>0</v>
      </c>
      <c r="AP17" s="2">
        <f t="shared" si="13"/>
        <v>1.655</v>
      </c>
    </row>
    <row r="18" spans="1:42" x14ac:dyDescent="0.25">
      <c r="A18" t="s">
        <v>24</v>
      </c>
      <c r="B18" s="2">
        <v>1983</v>
      </c>
      <c r="C18">
        <f t="shared" si="36"/>
        <v>6.9099999999999966</v>
      </c>
      <c r="D18">
        <f t="shared" si="14"/>
        <v>1.8799999999999955</v>
      </c>
      <c r="E18">
        <v>49.48</v>
      </c>
      <c r="F18">
        <v>43.61</v>
      </c>
      <c r="J18">
        <v>5.03</v>
      </c>
      <c r="L18" s="2">
        <v>0.2</v>
      </c>
    </row>
    <row r="19" spans="1:42" x14ac:dyDescent="0.25">
      <c r="A19" t="s">
        <v>25</v>
      </c>
      <c r="B19" s="2">
        <v>1980</v>
      </c>
      <c r="C19">
        <f t="shared" si="36"/>
        <v>8.4500000000000028</v>
      </c>
      <c r="D19">
        <f t="shared" si="14"/>
        <v>1.8799999999999955</v>
      </c>
      <c r="E19">
        <v>45.15</v>
      </c>
      <c r="F19">
        <v>46.4</v>
      </c>
      <c r="J19">
        <v>6.57</v>
      </c>
      <c r="L19" s="2">
        <v>0.31</v>
      </c>
      <c r="T19" s="34" t="s">
        <v>34</v>
      </c>
      <c r="U19" s="34"/>
      <c r="V19" s="35"/>
      <c r="W19" cm="1">
        <f t="array" aca="1" ref="W19" ca="1">INDEX(LINEST(W6:W17,W5:W16),1)</f>
        <v>0.28124884496046404</v>
      </c>
      <c r="X19" cm="1">
        <f t="array" aca="1" ref="X19" ca="1">INDEX(LINEST(X6:X17,X5:X16),1)</f>
        <v>2.0254396423727807E-2</v>
      </c>
      <c r="Y19" cm="1">
        <f t="array" aca="1" ref="Y19" ca="1">INDEX(LINEST(Y6:Y17,Y5:Y16),1)</f>
        <v>4.29741425261638E-2</v>
      </c>
      <c r="Z19" cm="1">
        <f t="array" aca="1" ref="Z19" ca="1">INDEX(LINEST(Z6:Z17,Z5:Z16),1)</f>
        <v>-0.24813237748009134</v>
      </c>
      <c r="AA19" cm="1">
        <f t="array" aca="1" ref="AA19" ca="1">INDEX(LINEST(AA6:AA15,AA5:AA14),1)</f>
        <v>0.14737280604417469</v>
      </c>
      <c r="AB19" cm="1">
        <f t="array" aca="1" ref="AB19" ca="1">INDEX(LINEST(AB6:AB12,AB5:AB11),1)</f>
        <v>-1.3177412305803269</v>
      </c>
      <c r="AN19" s="34" t="s">
        <v>34</v>
      </c>
      <c r="AO19" s="34"/>
      <c r="AP19" s="35"/>
    </row>
    <row r="20" spans="1:42" x14ac:dyDescent="0.25">
      <c r="A20" t="s">
        <v>26</v>
      </c>
      <c r="B20" s="2">
        <v>1977</v>
      </c>
      <c r="C20">
        <f t="shared" si="36"/>
        <v>12.240000000000009</v>
      </c>
      <c r="D20">
        <f t="shared" si="14"/>
        <v>2.8600000000000136</v>
      </c>
      <c r="E20">
        <v>39.65</v>
      </c>
      <c r="F20">
        <v>48.11</v>
      </c>
      <c r="J20">
        <v>9.3800000000000008</v>
      </c>
      <c r="L20" s="2">
        <v>1.43</v>
      </c>
      <c r="T20" s="34" t="s">
        <v>35</v>
      </c>
      <c r="U20" s="34"/>
      <c r="V20" s="35"/>
      <c r="W20">
        <f ca="1">AVERAGE(W5:W15)</f>
        <v>1.0180185641302864</v>
      </c>
      <c r="X20">
        <f ca="1">AVERAGE(X5:X15)</f>
        <v>0.37550597902243593</v>
      </c>
      <c r="Y20">
        <f ca="1">AVERAGE(Y5:Y15)</f>
        <v>-1.1363722402373801</v>
      </c>
      <c r="Z20">
        <f ca="1">AVERAGE(Z5:Z15)</f>
        <v>3.2453185855758383E-2</v>
      </c>
      <c r="AA20">
        <f ca="1">AVERAGE(AA5:AA13)</f>
        <v>-0.158749191967689</v>
      </c>
      <c r="AB20">
        <f ca="1">AVERAGE(AB5:AB12)</f>
        <v>1.3187499999999999</v>
      </c>
      <c r="AN20" s="34" t="s">
        <v>35</v>
      </c>
      <c r="AO20" s="34"/>
      <c r="AP20" s="35"/>
    </row>
    <row r="21" spans="1:42" x14ac:dyDescent="0.25">
      <c r="A21" t="s">
        <v>27</v>
      </c>
      <c r="B21" s="2">
        <v>1975</v>
      </c>
      <c r="C21">
        <f t="shared" si="36"/>
        <v>4.1099999999999994</v>
      </c>
      <c r="D21">
        <f t="shared" si="14"/>
        <v>4.1099999999999994</v>
      </c>
      <c r="E21">
        <v>42.84</v>
      </c>
      <c r="F21">
        <v>53.05</v>
      </c>
      <c r="L21" s="2">
        <v>1.32</v>
      </c>
      <c r="T21" s="34" t="s">
        <v>37</v>
      </c>
      <c r="U21" s="34"/>
      <c r="V21" s="35"/>
      <c r="W21">
        <f ca="1">SQRT(SUMSQ(W5:W17)/COUNT(W5:W17))</f>
        <v>4.9278177029348882</v>
      </c>
      <c r="X21">
        <f ca="1">SQRT(SUMSQ(X5:X17)/COUNT(X5:X17))</f>
        <v>2.0026764218243271</v>
      </c>
      <c r="Y21">
        <f ca="1">SQRT(SUMSQ(Y5:Y17)/COUNT(Y5:Y17))</f>
        <v>4.1721696118379379</v>
      </c>
      <c r="Z21">
        <f ca="1">SQRT(SUMSQ(Z5:Z17)/COUNT(Z5:Z17))</f>
        <v>3.1945072936553078</v>
      </c>
      <c r="AA21">
        <f ca="1">SQRT(SUMSQ(AA5:AA13)/COUNT(AA5:AA13))</f>
        <v>1.9915118859741887</v>
      </c>
      <c r="AB21">
        <f ca="1">SQRT(SUMSQ(AB5:AB12)/COUNT(AB5:AB12))</f>
        <v>3.9928764694139987</v>
      </c>
      <c r="AN21" s="34" t="s">
        <v>37</v>
      </c>
      <c r="AO21" s="34"/>
      <c r="AP21" s="35"/>
    </row>
    <row r="22" spans="1:42" x14ac:dyDescent="0.25">
      <c r="A22" t="s">
        <v>28</v>
      </c>
      <c r="B22" s="2">
        <v>1974</v>
      </c>
      <c r="C22">
        <f t="shared" si="36"/>
        <v>4.9699999999999989</v>
      </c>
      <c r="D22">
        <f t="shared" si="14"/>
        <v>4.9699999999999989</v>
      </c>
      <c r="E22">
        <v>49.3</v>
      </c>
      <c r="F22">
        <v>45.73</v>
      </c>
      <c r="L22" s="2">
        <v>1.42</v>
      </c>
    </row>
    <row r="23" spans="1:42" x14ac:dyDescent="0.25">
      <c r="A23" t="s">
        <v>29</v>
      </c>
      <c r="B23" s="2">
        <v>1972</v>
      </c>
      <c r="C23">
        <f t="shared" si="36"/>
        <v>8.9300000000000068</v>
      </c>
      <c r="D23">
        <f t="shared" si="14"/>
        <v>8.9300000000000068</v>
      </c>
      <c r="E23">
        <v>49.59</v>
      </c>
      <c r="F23">
        <v>41.48</v>
      </c>
      <c r="L23" s="2">
        <v>5.25</v>
      </c>
    </row>
    <row r="25" spans="1:42" x14ac:dyDescent="0.25">
      <c r="C25" t="s">
        <v>8</v>
      </c>
      <c r="D25" t="s">
        <v>17</v>
      </c>
      <c r="E25" t="s">
        <v>1</v>
      </c>
      <c r="F25" t="s">
        <v>2</v>
      </c>
      <c r="G25" t="s">
        <v>3</v>
      </c>
      <c r="H25" t="s">
        <v>4</v>
      </c>
      <c r="I25" t="s">
        <v>5</v>
      </c>
      <c r="J25" t="s">
        <v>6</v>
      </c>
      <c r="K25" s="6" t="s">
        <v>50</v>
      </c>
      <c r="L25" s="2" t="s">
        <v>13</v>
      </c>
      <c r="M25" t="s">
        <v>8</v>
      </c>
      <c r="N25" t="s">
        <v>17</v>
      </c>
      <c r="O25" t="s">
        <v>1</v>
      </c>
      <c r="P25" t="s">
        <v>2</v>
      </c>
      <c r="Q25" t="s">
        <v>3</v>
      </c>
      <c r="R25" t="s">
        <v>4</v>
      </c>
      <c r="S25" t="s">
        <v>5</v>
      </c>
      <c r="T25" t="s">
        <v>6</v>
      </c>
      <c r="U25" t="s">
        <v>50</v>
      </c>
      <c r="V25" s="2" t="s">
        <v>13</v>
      </c>
      <c r="W25" t="s">
        <v>8</v>
      </c>
      <c r="X25" t="s">
        <v>17</v>
      </c>
      <c r="Y25" t="s">
        <v>1</v>
      </c>
      <c r="Z25" t="s">
        <v>2</v>
      </c>
      <c r="AA25" t="s">
        <v>3</v>
      </c>
      <c r="AB25" t="s">
        <v>4</v>
      </c>
      <c r="AC25" t="s">
        <v>5</v>
      </c>
      <c r="AD25" t="s">
        <v>6</v>
      </c>
      <c r="AE25" t="s">
        <v>13</v>
      </c>
      <c r="AF25" s="2" t="s">
        <v>23</v>
      </c>
      <c r="AG25" t="s">
        <v>8</v>
      </c>
      <c r="AH25" t="s">
        <v>17</v>
      </c>
      <c r="AI25" t="s">
        <v>1</v>
      </c>
      <c r="AJ25" t="s">
        <v>2</v>
      </c>
      <c r="AK25" t="s">
        <v>3</v>
      </c>
      <c r="AL25" t="s">
        <v>4</v>
      </c>
      <c r="AM25" t="s">
        <v>5</v>
      </c>
      <c r="AN25" t="s">
        <v>6</v>
      </c>
      <c r="AO25" t="s">
        <v>50</v>
      </c>
      <c r="AP25" s="2" t="s">
        <v>13</v>
      </c>
    </row>
    <row r="26" spans="1:42" x14ac:dyDescent="0.25">
      <c r="A26" t="s">
        <v>67</v>
      </c>
      <c r="B26" s="2">
        <v>2020</v>
      </c>
      <c r="K26" s="6"/>
      <c r="M26">
        <f ca="1">MAX(0,_xlfn.FORECAST.LINEAR($B26,OFFSET(C27,0,0,$D$1),OFFSET($B27,0,0,$D$1)))</f>
        <v>20.182097812097709</v>
      </c>
      <c r="N26">
        <f t="shared" ref="N26:N37" ca="1" si="39">MAX(0,_xlfn.FORECAST.LINEAR($B26,OFFSET(D27,0,0,$D$1),OFFSET($B27,0,0,$D$1)))</f>
        <v>5.7275160875160793</v>
      </c>
      <c r="O26">
        <f t="shared" ref="O26:O37" ca="1" si="40">MAX(0,_xlfn.FORECAST.LINEAR($B26,OFFSET(E27,0,0,$D$1),OFFSET($B27,0,0,$D$1)))</f>
        <v>28.933166023165995</v>
      </c>
      <c r="P26">
        <f t="shared" ref="P26:P37" ca="1" si="41">MAX(0,_xlfn.FORECAST.LINEAR($B26,OFFSET(F27,0,0,$D$1),OFFSET($B27,0,0,$D$1)))</f>
        <v>41.106975546975548</v>
      </c>
      <c r="Q26">
        <f t="shared" ref="Q26:Q37" ca="1" si="42">MAX(0,_xlfn.FORECAST.LINEAR($B26,OFFSET(G27,0,0,$D$1),OFFSET($B27,0,0,$D$1)))</f>
        <v>9.7777606177606344</v>
      </c>
      <c r="R26">
        <f t="shared" ref="R26:R37" ca="1" si="43">MAX(0,_xlfn.FORECAST.LINEAR($B26,OFFSET(H27,0,0,$D$1),OFFSET($B27,0,0,$D$1)))</f>
        <v>7.7298069498068571</v>
      </c>
      <c r="S26" t="e">
        <f t="shared" ref="S26:S37" ca="1" si="44">MAX(0,_xlfn.FORECAST.LINEAR($B26,OFFSET(I27,0,0,$D$1),OFFSET($B27,0,0,$D$1)))</f>
        <v>#DIV/0!</v>
      </c>
      <c r="T26" t="e">
        <f t="shared" ref="T26:T37" ca="1" si="45">MAX(0,_xlfn.FORECAST.LINEAR($B26,OFFSET(J27,0,0,$D$1),OFFSET($B27,0,0,$D$1)))</f>
        <v>#DIV/0!</v>
      </c>
      <c r="U26">
        <f ca="1">MAX(0,_xlfn.FORECAST.LINEAR($B26,OFFSET(K27,0,0,$D$1),OFFSET($B27,0,0,$D$1)))</f>
        <v>0</v>
      </c>
      <c r="V26">
        <f ca="1">MAX(0,_xlfn.FORECAST.LINEAR($B26,OFFSET(L27,0,0,$D$1),OFFSET($B27,0,0,$D$1)))</f>
        <v>0.82099999999999795</v>
      </c>
      <c r="W26" s="4"/>
      <c r="X26" s="3"/>
      <c r="Y26" s="3"/>
      <c r="Z26" s="3"/>
      <c r="AA26" s="3"/>
      <c r="AB26" s="3"/>
      <c r="AC26" s="3"/>
      <c r="AD26" s="3"/>
      <c r="AE26" s="3"/>
      <c r="AF26" s="5"/>
      <c r="AG26">
        <f>AVERAGE(C27:C32)</f>
        <v>12.588333333333333</v>
      </c>
      <c r="AH26">
        <f t="shared" ref="AH26:AH37" si="46">AVERAGE(D27:D32)</f>
        <v>6.156666666666669</v>
      </c>
      <c r="AI26">
        <f t="shared" ref="AI26:AI37" si="47">AVERAGE(E27:E32)</f>
        <v>39.29</v>
      </c>
      <c r="AJ26">
        <f t="shared" ref="AJ26:AJ37" si="48">AVERAGE(F27:F32)</f>
        <v>39.94166666666667</v>
      </c>
      <c r="AK26">
        <f t="shared" ref="AK26:AK37" si="49">AVERAGE(G27:G32)</f>
        <v>8.18</v>
      </c>
      <c r="AL26">
        <f t="shared" ref="AL26:AL37" si="50">AVERAGE(H27:H32)</f>
        <v>3.4350000000000001</v>
      </c>
      <c r="AM26">
        <f t="shared" ref="AM26:AM37" si="51">AVERAGE(I27:I32)</f>
        <v>5.1100000000000003</v>
      </c>
      <c r="AN26">
        <f t="shared" ref="AN26:AN37" si="52">AVERAGE(J27:J32)</f>
        <v>0.04</v>
      </c>
      <c r="AO26">
        <f t="shared" ref="AO26:AO37" si="53">AVERAGE(K27:K32)</f>
        <v>5.26</v>
      </c>
      <c r="AP26" s="2">
        <f t="shared" ref="AP26:AP37" si="54">AVERAGE(L27:L32)</f>
        <v>1.3149999999999999</v>
      </c>
    </row>
    <row r="27" spans="1:42" x14ac:dyDescent="0.25">
      <c r="A27" t="s">
        <v>49</v>
      </c>
      <c r="B27" s="2">
        <v>2017</v>
      </c>
      <c r="C27">
        <f t="shared" ref="C27:C43" si="55">100-SUM(E27:G27)</f>
        <v>20.879999999999995</v>
      </c>
      <c r="D27">
        <f>100-SUM(E27:K27)</f>
        <v>4.8299999999999983</v>
      </c>
      <c r="E27">
        <v>35.43</v>
      </c>
      <c r="F27">
        <v>33.69</v>
      </c>
      <c r="G27">
        <v>10</v>
      </c>
      <c r="H27">
        <v>13.73</v>
      </c>
      <c r="K27" s="6">
        <v>2.3199999999999998</v>
      </c>
      <c r="M27">
        <f ca="1">MAX(0,_xlfn.FORECAST.LINEAR($B27,OFFSET(C28,0,0,$D$1),OFFSET($B28,0,0,$D$1)))</f>
        <v>10.859666254635329</v>
      </c>
      <c r="N27">
        <f t="shared" ca="1" si="39"/>
        <v>5.3640173053151443</v>
      </c>
      <c r="O27">
        <f t="shared" ca="1" si="40"/>
        <v>29.854091470951971</v>
      </c>
      <c r="P27">
        <f t="shared" ca="1" si="41"/>
        <v>49.373992583436575</v>
      </c>
      <c r="Q27">
        <f t="shared" ca="1" si="42"/>
        <v>9.9122496909765232</v>
      </c>
      <c r="R27">
        <f t="shared" ca="1" si="43"/>
        <v>0</v>
      </c>
      <c r="S27" t="e">
        <f t="shared" ca="1" si="44"/>
        <v>#DIV/0!</v>
      </c>
      <c r="T27">
        <f t="shared" ca="1" si="45"/>
        <v>0</v>
      </c>
      <c r="U27">
        <f t="shared" ref="U27:U33" ca="1" si="56">MAX(0,_xlfn.FORECAST.LINEAR($B27,OFFSET(K28,0,0,$D$1),OFFSET($B28,0,0,$D$1)))</f>
        <v>0</v>
      </c>
      <c r="V27">
        <f t="shared" ref="V27:V33" ca="1" si="57">MAX(0,_xlfn.FORECAST.LINEAR($B27,OFFSET(L28,0,0,$D$1),OFFSET($B28,0,0,$D$1)))</f>
        <v>0.97699999999998965</v>
      </c>
      <c r="W27" s="4">
        <f ca="1">IF(ISBLANK(C27),NA(),C27-M27)</f>
        <v>10.020333745364667</v>
      </c>
      <c r="X27" s="3">
        <f t="shared" ref="X27:X37" ca="1" si="58">IF(ISBLANK(D27),NA(),D27-N27)</f>
        <v>-0.53401730531514602</v>
      </c>
      <c r="Y27" s="3">
        <f t="shared" ref="Y27:Y37" ca="1" si="59">IF(ISBLANK(E27),NA(),E27-O27)</f>
        <v>5.5759085290480286</v>
      </c>
      <c r="Z27" s="3">
        <f t="shared" ref="Z27:Z37" ca="1" si="60">IF(ISBLANK(F27),NA(),F27-P27)</f>
        <v>-15.683992583436577</v>
      </c>
      <c r="AA27" s="3">
        <f t="shared" ref="AA27:AA35" ca="1" si="61">IF(ISBLANK(G27),NA(),G27-Q27)</f>
        <v>8.7750309023476802E-2</v>
      </c>
      <c r="AB27" s="3">
        <f t="shared" ref="AB27:AB32" ca="1" si="62">IF(ISBLANK(H27),NA(),H27-R27)</f>
        <v>13.73</v>
      </c>
      <c r="AC27" s="3" t="e">
        <f t="shared" ref="AC27:AC37" si="63">IF(ISBLANK(I27),NA(),I27-S27)</f>
        <v>#N/A</v>
      </c>
      <c r="AD27" s="3" t="e">
        <f t="shared" ref="AD27:AD37" si="64">IF(ISBLANK(J27),NA(),J27-T27)</f>
        <v>#N/A</v>
      </c>
      <c r="AE27" s="3">
        <f t="shared" ref="AE27:AE37" ca="1" si="65">IF(ISBLANK(K27),NA(),K27-U27)</f>
        <v>2.3199999999999998</v>
      </c>
      <c r="AF27" s="5" t="e">
        <f t="shared" ref="AF27:AF37" si="66">IF(ISBLANK(L27),NA(),L27-V27)</f>
        <v>#N/A</v>
      </c>
      <c r="AG27">
        <f t="shared" ref="AG27:AG37" si="67">AVERAGE(C28:C33)</f>
        <v>12.446666666666667</v>
      </c>
      <c r="AH27">
        <f t="shared" si="46"/>
        <v>7.1850000000000023</v>
      </c>
      <c r="AI27">
        <f t="shared" si="47"/>
        <v>41.548333333333332</v>
      </c>
      <c r="AJ27">
        <f t="shared" si="48"/>
        <v>39.073333333333331</v>
      </c>
      <c r="AK27">
        <f t="shared" si="49"/>
        <v>6.9316666666666658</v>
      </c>
      <c r="AL27">
        <f t="shared" si="50"/>
        <v>2.5950000000000002</v>
      </c>
      <c r="AM27">
        <f t="shared" si="51"/>
        <v>5.1100000000000003</v>
      </c>
      <c r="AN27">
        <f t="shared" si="52"/>
        <v>0.19</v>
      </c>
      <c r="AO27">
        <f t="shared" si="53"/>
        <v>6.7299999999999995</v>
      </c>
      <c r="AP27" s="2">
        <f t="shared" si="54"/>
        <v>1.3149999999999999</v>
      </c>
    </row>
    <row r="28" spans="1:42" x14ac:dyDescent="0.25">
      <c r="A28" t="s">
        <v>51</v>
      </c>
      <c r="B28" s="2">
        <v>2015</v>
      </c>
      <c r="C28">
        <f t="shared" si="55"/>
        <v>12.780000000000001</v>
      </c>
      <c r="D28">
        <f>100-SUM(E28:G28,I28)</f>
        <v>7.6700000000000017</v>
      </c>
      <c r="E28">
        <v>37.47</v>
      </c>
      <c r="F28">
        <v>41.32</v>
      </c>
      <c r="G28">
        <v>8.43</v>
      </c>
      <c r="H28">
        <v>0.92</v>
      </c>
      <c r="I28">
        <v>5.1100000000000003</v>
      </c>
      <c r="K28" s="6">
        <v>1.93</v>
      </c>
      <c r="L28" s="2">
        <v>1.19</v>
      </c>
      <c r="M28">
        <f t="shared" ref="M28:M37" ca="1" si="68">MAX(0,_xlfn.FORECAST.LINEAR($B28,OFFSET(C29,0,0,$D$1),OFFSET($B29,0,0,$D$1)))</f>
        <v>4.8889393939393813</v>
      </c>
      <c r="N28">
        <f t="shared" ca="1" si="39"/>
        <v>6.1457575757575782</v>
      </c>
      <c r="O28">
        <f t="shared" ca="1" si="40"/>
        <v>33.264090909090783</v>
      </c>
      <c r="P28">
        <f t="shared" ca="1" si="41"/>
        <v>51.316363636363349</v>
      </c>
      <c r="Q28">
        <f t="shared" ca="1" si="42"/>
        <v>10.530606060606033</v>
      </c>
      <c r="R28">
        <f t="shared" ca="1" si="43"/>
        <v>0</v>
      </c>
      <c r="S28" t="e">
        <f t="shared" ca="1" si="44"/>
        <v>#DIV/0!</v>
      </c>
      <c r="T28">
        <f t="shared" ca="1" si="45"/>
        <v>0</v>
      </c>
      <c r="U28" t="e">
        <f t="shared" ca="1" si="56"/>
        <v>#DIV/0!</v>
      </c>
      <c r="V28">
        <f t="shared" ca="1" si="57"/>
        <v>0.82666666666665378</v>
      </c>
      <c r="W28" s="4">
        <f t="shared" ref="W28:W37" ca="1" si="69">IF(ISBLANK(C28),NA(),C28-M28)</f>
        <v>7.8910606060606199</v>
      </c>
      <c r="X28" s="3">
        <f t="shared" ca="1" si="58"/>
        <v>1.5242424242424235</v>
      </c>
      <c r="Y28" s="3">
        <f t="shared" ca="1" si="59"/>
        <v>4.2059090909092163</v>
      </c>
      <c r="Z28" s="3">
        <f t="shared" ca="1" si="60"/>
        <v>-9.9963636363633483</v>
      </c>
      <c r="AA28" s="3">
        <f t="shared" ca="1" si="61"/>
        <v>-2.1006060606060331</v>
      </c>
      <c r="AB28" s="3">
        <f t="shared" ca="1" si="62"/>
        <v>0.92</v>
      </c>
      <c r="AC28" s="3" t="e">
        <f t="shared" ca="1" si="63"/>
        <v>#DIV/0!</v>
      </c>
      <c r="AD28" s="3" t="e">
        <f t="shared" si="64"/>
        <v>#N/A</v>
      </c>
      <c r="AE28" s="3" t="e">
        <f t="shared" ca="1" si="65"/>
        <v>#DIV/0!</v>
      </c>
      <c r="AF28" s="5">
        <f t="shared" ca="1" si="66"/>
        <v>0.36333333333334616</v>
      </c>
      <c r="AG28">
        <f t="shared" si="67"/>
        <v>14.903333333333334</v>
      </c>
      <c r="AH28">
        <f t="shared" si="46"/>
        <v>6.4450000000000029</v>
      </c>
      <c r="AI28">
        <f t="shared" si="47"/>
        <v>41.78</v>
      </c>
      <c r="AJ28">
        <f t="shared" si="48"/>
        <v>37.396666666666668</v>
      </c>
      <c r="AK28">
        <f t="shared" si="49"/>
        <v>5.919999999999999</v>
      </c>
      <c r="AL28">
        <f t="shared" si="50"/>
        <v>6.2216666666666667</v>
      </c>
      <c r="AM28" t="e">
        <f t="shared" si="51"/>
        <v>#DIV/0!</v>
      </c>
      <c r="AN28">
        <f t="shared" si="52"/>
        <v>0.66333333333333344</v>
      </c>
      <c r="AO28">
        <f t="shared" si="53"/>
        <v>11.53</v>
      </c>
      <c r="AP28" s="2">
        <f t="shared" si="54"/>
        <v>1.3566666666666667</v>
      </c>
    </row>
    <row r="29" spans="1:42" x14ac:dyDescent="0.25">
      <c r="A29" t="s">
        <v>52</v>
      </c>
      <c r="B29" s="2">
        <v>2012</v>
      </c>
      <c r="C29">
        <f t="shared" si="55"/>
        <v>16.150000000000006</v>
      </c>
      <c r="D29">
        <f>100-SUM(E29:G29,K29)</f>
        <v>4.6200000000000045</v>
      </c>
      <c r="E29">
        <v>26.66</v>
      </c>
      <c r="F29">
        <v>49.66</v>
      </c>
      <c r="G29">
        <v>7.53</v>
      </c>
      <c r="H29">
        <v>0.1</v>
      </c>
      <c r="K29" s="6">
        <v>11.53</v>
      </c>
      <c r="L29" s="2">
        <v>1.36</v>
      </c>
      <c r="M29">
        <f t="shared" ca="1" si="68"/>
        <v>7.5975030902347953</v>
      </c>
      <c r="N29">
        <f t="shared" ca="1" si="39"/>
        <v>8.6402843016069255</v>
      </c>
      <c r="O29">
        <f t="shared" ca="1" si="40"/>
        <v>46.550000000000011</v>
      </c>
      <c r="P29">
        <f t="shared" ca="1" si="41"/>
        <v>35.831149567367163</v>
      </c>
      <c r="Q29">
        <f t="shared" ca="1" si="42"/>
        <v>10.02134734239803</v>
      </c>
      <c r="R29">
        <f t="shared" ca="1" si="43"/>
        <v>0</v>
      </c>
      <c r="S29" t="e">
        <f t="shared" ca="1" si="44"/>
        <v>#DIV/0!</v>
      </c>
      <c r="T29">
        <f t="shared" ca="1" si="45"/>
        <v>0</v>
      </c>
      <c r="U29" t="e">
        <f t="shared" ca="1" si="56"/>
        <v>#DIV/0!</v>
      </c>
      <c r="V29">
        <f t="shared" ca="1" si="57"/>
        <v>0</v>
      </c>
      <c r="W29" s="4">
        <f t="shared" ca="1" si="69"/>
        <v>8.5524969097652104</v>
      </c>
      <c r="X29" s="3">
        <f t="shared" ca="1" si="58"/>
        <v>-4.020284301606921</v>
      </c>
      <c r="Y29" s="3">
        <f t="shared" ca="1" si="59"/>
        <v>-19.890000000000011</v>
      </c>
      <c r="Z29" s="3">
        <f t="shared" ca="1" si="60"/>
        <v>13.828850432632834</v>
      </c>
      <c r="AA29" s="3">
        <f t="shared" ca="1" si="61"/>
        <v>-2.4913473423980301</v>
      </c>
      <c r="AB29" s="3">
        <f t="shared" ca="1" si="62"/>
        <v>0.1</v>
      </c>
      <c r="AC29" s="3" t="e">
        <f t="shared" si="63"/>
        <v>#N/A</v>
      </c>
      <c r="AD29" s="3" t="e">
        <f t="shared" si="64"/>
        <v>#N/A</v>
      </c>
      <c r="AE29" s="3" t="e">
        <f t="shared" ca="1" si="65"/>
        <v>#DIV/0!</v>
      </c>
      <c r="AF29" s="5">
        <f t="shared" ca="1" si="66"/>
        <v>1.36</v>
      </c>
      <c r="AG29">
        <f t="shared" si="67"/>
        <v>13.086666666666666</v>
      </c>
      <c r="AH29">
        <f t="shared" si="46"/>
        <v>6.3416666666666686</v>
      </c>
      <c r="AI29">
        <f t="shared" si="47"/>
        <v>44.484999999999992</v>
      </c>
      <c r="AJ29">
        <f t="shared" si="48"/>
        <v>37.285000000000004</v>
      </c>
      <c r="AK29">
        <f t="shared" si="49"/>
        <v>5.1433333333333326</v>
      </c>
      <c r="AL29">
        <f t="shared" si="50"/>
        <v>7.4459999999999997</v>
      </c>
      <c r="AM29" t="e">
        <f t="shared" si="51"/>
        <v>#DIV/0!</v>
      </c>
      <c r="AN29">
        <f t="shared" si="52"/>
        <v>0.81</v>
      </c>
      <c r="AO29" t="e">
        <f t="shared" si="53"/>
        <v>#DIV/0!</v>
      </c>
      <c r="AP29" s="2">
        <f t="shared" si="54"/>
        <v>1.355</v>
      </c>
    </row>
    <row r="30" spans="1:42" x14ac:dyDescent="0.25">
      <c r="A30" t="s">
        <v>53</v>
      </c>
      <c r="B30" s="2">
        <v>2009</v>
      </c>
      <c r="C30">
        <f t="shared" si="55"/>
        <v>7.7800000000000011</v>
      </c>
      <c r="D30">
        <f t="shared" ref="D30:D37" si="70">100-SUM(E30:K30)</f>
        <v>7.4000000000000057</v>
      </c>
      <c r="E30">
        <v>42.25</v>
      </c>
      <c r="F30">
        <v>41.6</v>
      </c>
      <c r="G30">
        <v>8.3699999999999992</v>
      </c>
      <c r="H30">
        <v>0.38</v>
      </c>
      <c r="L30" s="2">
        <v>0.82</v>
      </c>
      <c r="M30">
        <f t="shared" ca="1" si="68"/>
        <v>14.527534883720932</v>
      </c>
      <c r="N30">
        <f t="shared" ca="1" si="39"/>
        <v>7.670372093023218</v>
      </c>
      <c r="O30">
        <f t="shared" ca="1" si="40"/>
        <v>46.832232558139538</v>
      </c>
      <c r="P30">
        <f t="shared" ca="1" si="41"/>
        <v>30.157186046511697</v>
      </c>
      <c r="Q30">
        <f t="shared" ca="1" si="42"/>
        <v>8.4830465116278901</v>
      </c>
      <c r="R30">
        <f t="shared" ca="1" si="43"/>
        <v>0</v>
      </c>
      <c r="S30" t="e">
        <f t="shared" ca="1" si="44"/>
        <v>#DIV/0!</v>
      </c>
      <c r="T30">
        <f t="shared" ca="1" si="45"/>
        <v>0.16766666666666197</v>
      </c>
      <c r="U30" t="e">
        <f t="shared" ca="1" si="56"/>
        <v>#DIV/0!</v>
      </c>
      <c r="V30" t="e">
        <f t="shared" ca="1" si="57"/>
        <v>#DIV/0!</v>
      </c>
      <c r="W30" s="4">
        <f t="shared" ca="1" si="69"/>
        <v>-6.747534883720931</v>
      </c>
      <c r="X30" s="3">
        <f t="shared" ca="1" si="58"/>
        <v>-0.2703720930232123</v>
      </c>
      <c r="Y30" s="3">
        <f t="shared" ca="1" si="59"/>
        <v>-4.5822325581395376</v>
      </c>
      <c r="Z30" s="3">
        <f t="shared" ca="1" si="60"/>
        <v>11.442813953488304</v>
      </c>
      <c r="AA30" s="3">
        <f t="shared" ca="1" si="61"/>
        <v>-0.11304651162789092</v>
      </c>
      <c r="AB30" s="3">
        <f t="shared" ca="1" si="62"/>
        <v>0.38</v>
      </c>
      <c r="AC30" s="3" t="e">
        <f t="shared" si="63"/>
        <v>#N/A</v>
      </c>
      <c r="AD30" s="3" t="e">
        <f t="shared" si="64"/>
        <v>#N/A</v>
      </c>
      <c r="AE30" s="3" t="e">
        <f t="shared" si="65"/>
        <v>#N/A</v>
      </c>
      <c r="AF30" s="5" t="e">
        <f t="shared" ca="1" si="66"/>
        <v>#DIV/0!</v>
      </c>
      <c r="AG30">
        <f t="shared" si="67"/>
        <v>12.866666666666667</v>
      </c>
      <c r="AH30">
        <f t="shared" si="46"/>
        <v>6.1300000000000026</v>
      </c>
      <c r="AI30">
        <f t="shared" si="47"/>
        <v>45.564999999999998</v>
      </c>
      <c r="AJ30">
        <f t="shared" si="48"/>
        <v>37.71</v>
      </c>
      <c r="AK30">
        <f t="shared" si="49"/>
        <v>3.8583333333333329</v>
      </c>
      <c r="AL30">
        <f t="shared" si="50"/>
        <v>9.2124999999999986</v>
      </c>
      <c r="AM30" t="e">
        <f t="shared" si="51"/>
        <v>#DIV/0!</v>
      </c>
      <c r="AN30">
        <f t="shared" si="52"/>
        <v>0.71400000000000008</v>
      </c>
      <c r="AO30" t="e">
        <f t="shared" si="53"/>
        <v>#DIV/0!</v>
      </c>
      <c r="AP30" s="2">
        <f t="shared" si="54"/>
        <v>1.89</v>
      </c>
    </row>
    <row r="31" spans="1:42" x14ac:dyDescent="0.25">
      <c r="A31" t="s">
        <v>54</v>
      </c>
      <c r="B31" s="2">
        <v>2006</v>
      </c>
      <c r="C31">
        <f t="shared" si="55"/>
        <v>7.1700000000000017</v>
      </c>
      <c r="D31">
        <f t="shared" si="70"/>
        <v>6.5700000000000074</v>
      </c>
      <c r="E31">
        <v>46.92</v>
      </c>
      <c r="F31">
        <v>37.92</v>
      </c>
      <c r="G31">
        <v>7.99</v>
      </c>
      <c r="H31">
        <v>0.6</v>
      </c>
      <c r="L31" s="2">
        <v>1.89</v>
      </c>
      <c r="M31">
        <f t="shared" ca="1" si="68"/>
        <v>21.039142857142906</v>
      </c>
      <c r="N31">
        <f t="shared" ca="1" si="39"/>
        <v>7.8507619047618959</v>
      </c>
      <c r="O31">
        <f t="shared" ca="1" si="40"/>
        <v>44.337523809523816</v>
      </c>
      <c r="P31">
        <f t="shared" ca="1" si="41"/>
        <v>28.676857142856989</v>
      </c>
      <c r="Q31">
        <f t="shared" ca="1" si="42"/>
        <v>5.9464761904762327</v>
      </c>
      <c r="R31">
        <f t="shared" ca="1" si="43"/>
        <v>0</v>
      </c>
      <c r="S31" t="e">
        <f t="shared" ca="1" si="44"/>
        <v>#DIV/0!</v>
      </c>
      <c r="T31">
        <f t="shared" ca="1" si="45"/>
        <v>0.52838095238094951</v>
      </c>
      <c r="U31" t="e">
        <f t="shared" ca="1" si="56"/>
        <v>#DIV/0!</v>
      </c>
      <c r="V31" t="e">
        <f t="shared" ca="1" si="57"/>
        <v>#DIV/0!</v>
      </c>
      <c r="W31" s="4">
        <f t="shared" ca="1" si="69"/>
        <v>-13.869142857142904</v>
      </c>
      <c r="X31" s="3">
        <f t="shared" ca="1" si="58"/>
        <v>-1.2807619047618886</v>
      </c>
      <c r="Y31" s="3">
        <f t="shared" ca="1" si="59"/>
        <v>2.5824761904761857</v>
      </c>
      <c r="Z31" s="3">
        <f t="shared" ca="1" si="60"/>
        <v>9.2431428571430132</v>
      </c>
      <c r="AA31" s="3">
        <f t="shared" ca="1" si="61"/>
        <v>2.0435238095237676</v>
      </c>
      <c r="AB31" s="3">
        <f t="shared" ca="1" si="62"/>
        <v>0.6</v>
      </c>
      <c r="AC31" s="3" t="e">
        <f t="shared" si="63"/>
        <v>#N/A</v>
      </c>
      <c r="AD31" s="3" t="e">
        <f t="shared" si="64"/>
        <v>#N/A</v>
      </c>
      <c r="AE31" s="3" t="e">
        <f t="shared" si="65"/>
        <v>#N/A</v>
      </c>
      <c r="AF31" s="5" t="e">
        <f t="shared" ca="1" si="66"/>
        <v>#DIV/0!</v>
      </c>
      <c r="AG31">
        <f t="shared" si="67"/>
        <v>12.373333333333333</v>
      </c>
      <c r="AH31">
        <f t="shared" si="46"/>
        <v>5.666666666666667</v>
      </c>
      <c r="AI31">
        <f t="shared" si="47"/>
        <v>46.131666666666668</v>
      </c>
      <c r="AJ31">
        <f t="shared" si="48"/>
        <v>38.913333333333334</v>
      </c>
      <c r="AK31">
        <f t="shared" si="49"/>
        <v>2.5816666666666666</v>
      </c>
      <c r="AL31">
        <f t="shared" si="50"/>
        <v>12.083333333333334</v>
      </c>
      <c r="AM31" t="e">
        <f t="shared" si="51"/>
        <v>#DIV/0!</v>
      </c>
      <c r="AN31">
        <f t="shared" si="52"/>
        <v>0.66500000000000004</v>
      </c>
      <c r="AO31" t="e">
        <f t="shared" si="53"/>
        <v>#DIV/0!</v>
      </c>
      <c r="AP31" s="2" t="e">
        <f t="shared" si="54"/>
        <v>#DIV/0!</v>
      </c>
    </row>
    <row r="32" spans="1:42" x14ac:dyDescent="0.25">
      <c r="A32" t="s">
        <v>55</v>
      </c>
      <c r="B32" s="2">
        <v>2004</v>
      </c>
      <c r="C32">
        <f t="shared" si="55"/>
        <v>10.769999999999996</v>
      </c>
      <c r="D32">
        <f t="shared" si="70"/>
        <v>5.8499999999999943</v>
      </c>
      <c r="E32">
        <v>47.01</v>
      </c>
      <c r="F32">
        <v>35.46</v>
      </c>
      <c r="G32">
        <v>6.76</v>
      </c>
      <c r="H32">
        <v>4.88</v>
      </c>
      <c r="J32">
        <v>0.04</v>
      </c>
      <c r="M32">
        <f t="shared" ca="1" si="68"/>
        <v>26.618666666666286</v>
      </c>
      <c r="N32">
        <f t="shared" ca="1" si="39"/>
        <v>9.1739999999999782</v>
      </c>
      <c r="O32">
        <f t="shared" ca="1" si="40"/>
        <v>44.991333333333337</v>
      </c>
      <c r="P32">
        <f t="shared" ca="1" si="41"/>
        <v>24.850000000000364</v>
      </c>
      <c r="Q32">
        <f t="shared" ca="1" si="42"/>
        <v>3.5640000000000214</v>
      </c>
      <c r="R32">
        <f t="shared" ca="1" si="43"/>
        <v>0</v>
      </c>
      <c r="S32" t="e">
        <f t="shared" ca="1" si="44"/>
        <v>#DIV/0!</v>
      </c>
      <c r="T32">
        <f t="shared" ca="1" si="45"/>
        <v>1.0673333333333375</v>
      </c>
      <c r="U32" t="e">
        <f t="shared" ca="1" si="56"/>
        <v>#DIV/0!</v>
      </c>
      <c r="V32" t="e">
        <f t="shared" ca="1" si="57"/>
        <v>#DIV/0!</v>
      </c>
      <c r="W32" s="4">
        <f t="shared" ca="1" si="69"/>
        <v>-15.84866666666629</v>
      </c>
      <c r="X32" s="3">
        <f t="shared" ca="1" si="58"/>
        <v>-3.3239999999999839</v>
      </c>
      <c r="Y32" s="3">
        <f t="shared" ca="1" si="59"/>
        <v>2.0186666666666611</v>
      </c>
      <c r="Z32" s="3">
        <f t="shared" ca="1" si="60"/>
        <v>10.609999999999637</v>
      </c>
      <c r="AA32" s="3">
        <f t="shared" ca="1" si="61"/>
        <v>3.1959999999999784</v>
      </c>
      <c r="AB32" s="3">
        <f t="shared" ca="1" si="62"/>
        <v>4.88</v>
      </c>
      <c r="AC32" s="3" t="e">
        <f t="shared" si="63"/>
        <v>#N/A</v>
      </c>
      <c r="AD32" s="3">
        <f t="shared" ca="1" si="64"/>
        <v>-1.0273333333333374</v>
      </c>
      <c r="AE32" s="3" t="e">
        <f t="shared" si="65"/>
        <v>#N/A</v>
      </c>
      <c r="AF32" s="5" t="e">
        <f t="shared" si="66"/>
        <v>#N/A</v>
      </c>
      <c r="AG32">
        <f t="shared" si="67"/>
        <v>11.001666666666665</v>
      </c>
      <c r="AH32">
        <f t="shared" si="46"/>
        <v>5.0100000000000007</v>
      </c>
      <c r="AI32">
        <f t="shared" si="47"/>
        <v>45.183333333333337</v>
      </c>
      <c r="AJ32">
        <f t="shared" si="48"/>
        <v>42.359999999999992</v>
      </c>
      <c r="AK32">
        <f t="shared" si="49"/>
        <v>1.7459999999999998</v>
      </c>
      <c r="AL32">
        <f t="shared" si="50"/>
        <v>15.684999999999999</v>
      </c>
      <c r="AM32" t="e">
        <f t="shared" si="51"/>
        <v>#DIV/0!</v>
      </c>
      <c r="AN32">
        <f t="shared" si="52"/>
        <v>0.76333333333333331</v>
      </c>
      <c r="AO32" t="e">
        <f t="shared" si="53"/>
        <v>#DIV/0!</v>
      </c>
      <c r="AP32" s="2" t="e">
        <f t="shared" si="54"/>
        <v>#DIV/0!</v>
      </c>
    </row>
    <row r="33" spans="1:42" x14ac:dyDescent="0.25">
      <c r="A33" t="s">
        <v>56</v>
      </c>
      <c r="B33" s="2">
        <v>2001</v>
      </c>
      <c r="C33">
        <f t="shared" si="55"/>
        <v>20.03</v>
      </c>
      <c r="D33">
        <f t="shared" si="70"/>
        <v>11</v>
      </c>
      <c r="E33">
        <v>48.98</v>
      </c>
      <c r="F33">
        <v>28.48</v>
      </c>
      <c r="G33">
        <v>2.5099999999999998</v>
      </c>
      <c r="H33">
        <v>8.69</v>
      </c>
      <c r="J33">
        <v>0.34</v>
      </c>
      <c r="M33">
        <f t="shared" ca="1" si="68"/>
        <v>21.724666666666963</v>
      </c>
      <c r="N33">
        <f t="shared" ca="1" si="39"/>
        <v>5.1926666666666961</v>
      </c>
      <c r="O33">
        <f t="shared" ca="1" si="40"/>
        <v>42.101999999999919</v>
      </c>
      <c r="P33">
        <f t="shared" ca="1" si="41"/>
        <v>33.062666666666701</v>
      </c>
      <c r="Q33">
        <f t="shared" ca="1" si="42"/>
        <v>3.6299999999999955</v>
      </c>
      <c r="R33" t="e">
        <f t="shared" ca="1" si="43"/>
        <v>#DIV/0!</v>
      </c>
      <c r="S33" t="e">
        <f t="shared" ca="1" si="44"/>
        <v>#DIV/0!</v>
      </c>
      <c r="T33">
        <f t="shared" ca="1" si="45"/>
        <v>1.4120000000000061</v>
      </c>
      <c r="U33" t="e">
        <f t="shared" ca="1" si="56"/>
        <v>#DIV/0!</v>
      </c>
      <c r="V33" t="e">
        <f t="shared" ca="1" si="57"/>
        <v>#DIV/0!</v>
      </c>
      <c r="W33" s="4">
        <f t="shared" ca="1" si="69"/>
        <v>-1.6946666666669614</v>
      </c>
      <c r="X33" s="3">
        <f t="shared" ca="1" si="58"/>
        <v>5.8073333333333039</v>
      </c>
      <c r="Y33" s="3">
        <f t="shared" ca="1" si="59"/>
        <v>6.8780000000000783</v>
      </c>
      <c r="Z33" s="3">
        <f t="shared" ca="1" si="60"/>
        <v>-4.5826666666667002</v>
      </c>
      <c r="AA33" s="3">
        <f t="shared" ca="1" si="61"/>
        <v>-1.1199999999999957</v>
      </c>
      <c r="AB33" s="3">
        <f>H33-H34</f>
        <v>-13.99</v>
      </c>
      <c r="AC33" s="3" t="e">
        <f t="shared" si="63"/>
        <v>#N/A</v>
      </c>
      <c r="AD33" s="3">
        <f t="shared" ca="1" si="64"/>
        <v>-1.0720000000000061</v>
      </c>
      <c r="AE33" s="3" t="e">
        <f t="shared" si="65"/>
        <v>#N/A</v>
      </c>
      <c r="AF33" s="5" t="e">
        <f t="shared" si="66"/>
        <v>#N/A</v>
      </c>
      <c r="AG33">
        <f t="shared" si="67"/>
        <v>8.0316666666666663</v>
      </c>
      <c r="AH33">
        <f t="shared" si="46"/>
        <v>3.4066666666666685</v>
      </c>
      <c r="AI33">
        <f t="shared" si="47"/>
        <v>44.349999999999994</v>
      </c>
      <c r="AJ33">
        <f t="shared" si="48"/>
        <v>46.581666666666671</v>
      </c>
      <c r="AK33">
        <f t="shared" si="49"/>
        <v>1.5550000000000002</v>
      </c>
      <c r="AL33">
        <f t="shared" si="50"/>
        <v>22.68</v>
      </c>
      <c r="AM33" t="e">
        <f t="shared" si="51"/>
        <v>#DIV/0!</v>
      </c>
      <c r="AN33">
        <f t="shared" si="52"/>
        <v>0.84500000000000008</v>
      </c>
      <c r="AO33" t="e">
        <f t="shared" si="53"/>
        <v>#DIV/0!</v>
      </c>
      <c r="AP33" s="2" t="e">
        <f t="shared" si="54"/>
        <v>#DIV/0!</v>
      </c>
    </row>
    <row r="34" spans="1:42" x14ac:dyDescent="0.25">
      <c r="A34" s="8" t="s">
        <v>57</v>
      </c>
      <c r="B34" s="9">
        <v>1998</v>
      </c>
      <c r="C34">
        <f t="shared" si="55"/>
        <v>27.519999999999996</v>
      </c>
      <c r="D34">
        <f t="shared" si="70"/>
        <v>3.230000000000004</v>
      </c>
      <c r="E34">
        <v>38.86</v>
      </c>
      <c r="F34">
        <v>31.26</v>
      </c>
      <c r="G34">
        <v>2.36</v>
      </c>
      <c r="H34">
        <v>22.68</v>
      </c>
      <c r="J34">
        <v>1.61</v>
      </c>
      <c r="M34">
        <f t="shared" ca="1" si="68"/>
        <v>6.2953333333333603</v>
      </c>
      <c r="N34">
        <f t="shared" ca="1" si="39"/>
        <v>5.7246666666666783</v>
      </c>
      <c r="O34">
        <f t="shared" ca="1" si="40"/>
        <v>47.813333333333276</v>
      </c>
      <c r="P34">
        <f t="shared" ca="1" si="41"/>
        <v>43.582000000000107</v>
      </c>
      <c r="Q34">
        <f t="shared" ca="1" si="42"/>
        <v>3.8266666666667106</v>
      </c>
      <c r="R34" t="e">
        <f t="shared" ca="1" si="43"/>
        <v>#DIV/0!</v>
      </c>
      <c r="S34" t="e">
        <f t="shared" ca="1" si="44"/>
        <v>#DIV/0!</v>
      </c>
      <c r="T34">
        <f t="shared" ca="1" si="45"/>
        <v>0.57066666666666777</v>
      </c>
      <c r="U34" t="e">
        <f t="shared" ref="U34:V37" ca="1" si="71">MAX(0,_xlfn.FORECAST.LINEAR($B34,OFFSET(K35,0,0,$D$1),OFFSET($B35,0,0,$D$1)))</f>
        <v>#DIV/0!</v>
      </c>
      <c r="V34" s="2" t="e">
        <f t="shared" ca="1" si="71"/>
        <v>#DIV/0!</v>
      </c>
      <c r="W34" s="4">
        <f t="shared" ca="1" si="69"/>
        <v>21.224666666666636</v>
      </c>
      <c r="X34" s="3">
        <f t="shared" ca="1" si="58"/>
        <v>-2.4946666666666744</v>
      </c>
      <c r="Y34" s="3">
        <f t="shared" ca="1" si="59"/>
        <v>-8.9533333333332763</v>
      </c>
      <c r="Z34" s="3">
        <f t="shared" ca="1" si="60"/>
        <v>-12.322000000000106</v>
      </c>
      <c r="AA34" s="3">
        <f t="shared" ca="1" si="61"/>
        <v>-1.4666666666667107</v>
      </c>
      <c r="AB34" s="3">
        <f>H34</f>
        <v>22.68</v>
      </c>
      <c r="AC34" s="3" t="e">
        <f t="shared" si="63"/>
        <v>#N/A</v>
      </c>
      <c r="AD34" s="3">
        <f t="shared" ca="1" si="64"/>
        <v>1.0393333333333323</v>
      </c>
      <c r="AE34" s="3" t="e">
        <f t="shared" si="65"/>
        <v>#N/A</v>
      </c>
      <c r="AF34" s="5" t="e">
        <f t="shared" si="66"/>
        <v>#N/A</v>
      </c>
      <c r="AG34">
        <f t="shared" si="67"/>
        <v>4.0533333333333346</v>
      </c>
      <c r="AH34">
        <f t="shared" si="46"/>
        <v>3.2466666666666697</v>
      </c>
      <c r="AI34">
        <f t="shared" si="47"/>
        <v>44.788333333333327</v>
      </c>
      <c r="AJ34">
        <f t="shared" si="48"/>
        <v>50.515000000000008</v>
      </c>
      <c r="AK34">
        <f t="shared" si="49"/>
        <v>1.2866666666666668</v>
      </c>
      <c r="AL34" t="e">
        <f t="shared" si="50"/>
        <v>#DIV/0!</v>
      </c>
      <c r="AM34" t="e">
        <f t="shared" si="51"/>
        <v>#DIV/0!</v>
      </c>
      <c r="AN34">
        <f t="shared" si="52"/>
        <v>0.80666666666666664</v>
      </c>
      <c r="AO34" t="e">
        <f t="shared" si="53"/>
        <v>#DIV/0!</v>
      </c>
      <c r="AP34" s="2" t="e">
        <f t="shared" si="54"/>
        <v>#DIV/0!</v>
      </c>
    </row>
    <row r="35" spans="1:42" x14ac:dyDescent="0.25">
      <c r="A35" s="8" t="s">
        <v>58</v>
      </c>
      <c r="B35" s="2">
        <v>1995</v>
      </c>
      <c r="C35">
        <f t="shared" si="55"/>
        <v>5.25</v>
      </c>
      <c r="D35">
        <f t="shared" si="70"/>
        <v>4</v>
      </c>
      <c r="E35">
        <v>42.89</v>
      </c>
      <c r="F35">
        <v>48.99</v>
      </c>
      <c r="G35">
        <v>2.87</v>
      </c>
      <c r="J35">
        <v>1.25</v>
      </c>
      <c r="M35">
        <f t="shared" ca="1" si="68"/>
        <v>5.0093333333333305</v>
      </c>
      <c r="N35">
        <f t="shared" ca="1" si="39"/>
        <v>5.0906666666666638</v>
      </c>
      <c r="O35">
        <f t="shared" ca="1" si="40"/>
        <v>50.111333333333278</v>
      </c>
      <c r="P35">
        <f t="shared" ca="1" si="41"/>
        <v>44.285333333333256</v>
      </c>
      <c r="Q35">
        <f t="shared" ca="1" si="42"/>
        <v>0.98999999999998067</v>
      </c>
      <c r="R35" t="e">
        <f t="shared" ca="1" si="43"/>
        <v>#DIV/0!</v>
      </c>
      <c r="S35" t="e">
        <f t="shared" ca="1" si="44"/>
        <v>#DIV/0!</v>
      </c>
      <c r="T35">
        <f t="shared" ca="1" si="45"/>
        <v>0</v>
      </c>
      <c r="U35" t="e">
        <f t="shared" ca="1" si="71"/>
        <v>#DIV/0!</v>
      </c>
      <c r="V35" s="2" t="e">
        <f t="shared" ca="1" si="71"/>
        <v>#DIV/0!</v>
      </c>
      <c r="W35" s="4">
        <f t="shared" ca="1" si="69"/>
        <v>0.24066666666666947</v>
      </c>
      <c r="X35" s="3">
        <f t="shared" ca="1" si="58"/>
        <v>-1.0906666666666638</v>
      </c>
      <c r="Y35" s="3">
        <f t="shared" ca="1" si="59"/>
        <v>-7.221333333333277</v>
      </c>
      <c r="Z35" s="3">
        <f t="shared" ca="1" si="60"/>
        <v>4.7046666666667463</v>
      </c>
      <c r="AA35" s="3">
        <f t="shared" ca="1" si="61"/>
        <v>1.8800000000000194</v>
      </c>
      <c r="AB35" s="3" t="e">
        <f>IF(ISBLANK(H35),NA(),H35-R35)</f>
        <v>#N/A</v>
      </c>
      <c r="AC35" s="3" t="e">
        <f t="shared" si="63"/>
        <v>#N/A</v>
      </c>
      <c r="AD35" s="3">
        <f t="shared" ca="1" si="64"/>
        <v>1.25</v>
      </c>
      <c r="AE35" s="3" t="e">
        <f t="shared" si="65"/>
        <v>#N/A</v>
      </c>
      <c r="AF35" s="5" t="e">
        <f t="shared" si="66"/>
        <v>#N/A</v>
      </c>
      <c r="AG35">
        <f t="shared" si="67"/>
        <v>3.9783333333333366</v>
      </c>
      <c r="AH35">
        <f t="shared" si="46"/>
        <v>3.1116666666666717</v>
      </c>
      <c r="AI35">
        <f t="shared" si="47"/>
        <v>44.778333333333336</v>
      </c>
      <c r="AJ35">
        <f t="shared" si="48"/>
        <v>51.07833333333334</v>
      </c>
      <c r="AK35">
        <f t="shared" si="49"/>
        <v>0.495</v>
      </c>
      <c r="AL35" t="e">
        <f t="shared" si="50"/>
        <v>#DIV/0!</v>
      </c>
      <c r="AM35" t="e">
        <f t="shared" si="51"/>
        <v>#DIV/0!</v>
      </c>
      <c r="AN35">
        <f t="shared" si="52"/>
        <v>0.8666666666666667</v>
      </c>
      <c r="AO35" t="e">
        <f t="shared" si="53"/>
        <v>#DIV/0!</v>
      </c>
      <c r="AP35" s="2" t="e">
        <f t="shared" si="54"/>
        <v>#DIV/0!</v>
      </c>
    </row>
    <row r="36" spans="1:42" x14ac:dyDescent="0.25">
      <c r="A36" s="8" t="s">
        <v>59</v>
      </c>
      <c r="B36" s="2">
        <v>1992</v>
      </c>
      <c r="C36">
        <f t="shared" si="55"/>
        <v>6.460000000000008</v>
      </c>
      <c r="D36">
        <f t="shared" si="70"/>
        <v>6.1300000000000097</v>
      </c>
      <c r="E36">
        <v>48.73</v>
      </c>
      <c r="F36">
        <v>44.15</v>
      </c>
      <c r="G36">
        <v>0.66</v>
      </c>
      <c r="J36">
        <v>0.33</v>
      </c>
      <c r="M36">
        <f t="shared" ca="1" si="68"/>
        <v>2.5180000000000291</v>
      </c>
      <c r="N36">
        <f t="shared" ca="1" si="39"/>
        <v>1.8453333333333148</v>
      </c>
      <c r="O36">
        <f t="shared" ca="1" si="40"/>
        <v>49.602666666666664</v>
      </c>
      <c r="P36">
        <f t="shared" ca="1" si="41"/>
        <v>47.659333333333279</v>
      </c>
      <c r="Q36" t="e">
        <f t="shared" ca="1" si="42"/>
        <v>#DIV/0!</v>
      </c>
      <c r="R36" t="e">
        <f t="shared" ca="1" si="43"/>
        <v>#DIV/0!</v>
      </c>
      <c r="S36" t="e">
        <f t="shared" ca="1" si="44"/>
        <v>#DIV/0!</v>
      </c>
      <c r="T36">
        <f t="shared" ca="1" si="45"/>
        <v>3.4999999999996589E-2</v>
      </c>
      <c r="U36" t="e">
        <f t="shared" ca="1" si="71"/>
        <v>#DIV/0!</v>
      </c>
      <c r="V36" s="2" t="e">
        <f t="shared" ca="1" si="71"/>
        <v>#DIV/0!</v>
      </c>
      <c r="W36" s="4">
        <f t="shared" ca="1" si="69"/>
        <v>3.9419999999999789</v>
      </c>
      <c r="X36" s="3">
        <f t="shared" ca="1" si="58"/>
        <v>4.2846666666666948</v>
      </c>
      <c r="Y36" s="3">
        <f t="shared" ca="1" si="59"/>
        <v>-0.87266666666666737</v>
      </c>
      <c r="Z36" s="3">
        <f t="shared" ca="1" si="60"/>
        <v>-3.5093333333332808</v>
      </c>
      <c r="AA36" s="3">
        <f>G36-G37</f>
        <v>0.33</v>
      </c>
      <c r="AB36" s="3" t="e">
        <f>IF(ISBLANK(H36),NA(),H36-R36)</f>
        <v>#N/A</v>
      </c>
      <c r="AC36" s="3" t="e">
        <f t="shared" si="63"/>
        <v>#N/A</v>
      </c>
      <c r="AD36" s="3">
        <f t="shared" ca="1" si="64"/>
        <v>0.29500000000000343</v>
      </c>
      <c r="AE36" s="3" t="e">
        <f t="shared" si="65"/>
        <v>#N/A</v>
      </c>
      <c r="AF36" s="5" t="e">
        <f t="shared" si="66"/>
        <v>#N/A</v>
      </c>
      <c r="AG36">
        <f t="shared" si="67"/>
        <v>3.7350000000000017</v>
      </c>
      <c r="AH36">
        <f t="shared" si="46"/>
        <v>2.9233333333333369</v>
      </c>
      <c r="AI36">
        <f t="shared" si="47"/>
        <v>42.661666666666669</v>
      </c>
      <c r="AJ36">
        <f t="shared" si="48"/>
        <v>53.548333333333325</v>
      </c>
      <c r="AK36">
        <f t="shared" si="49"/>
        <v>0.33</v>
      </c>
      <c r="AL36" t="e">
        <f t="shared" si="50"/>
        <v>#DIV/0!</v>
      </c>
      <c r="AM36" t="e">
        <f t="shared" si="51"/>
        <v>#DIV/0!</v>
      </c>
      <c r="AN36">
        <f t="shared" si="52"/>
        <v>0.97399999999999998</v>
      </c>
      <c r="AO36" t="e">
        <f t="shared" si="53"/>
        <v>#DIV/0!</v>
      </c>
      <c r="AP36" s="2" t="e">
        <f t="shared" si="54"/>
        <v>#DIV/0!</v>
      </c>
    </row>
    <row r="37" spans="1:42" x14ac:dyDescent="0.25">
      <c r="A37" s="8" t="s">
        <v>60</v>
      </c>
      <c r="B37" s="2">
        <v>1989</v>
      </c>
      <c r="C37">
        <f t="shared" si="55"/>
        <v>4.2099999999999937</v>
      </c>
      <c r="D37">
        <f t="shared" si="70"/>
        <v>3.789999999999992</v>
      </c>
      <c r="E37">
        <v>50.32</v>
      </c>
      <c r="F37">
        <v>45.14</v>
      </c>
      <c r="G37">
        <v>0.33</v>
      </c>
      <c r="J37">
        <v>0.42</v>
      </c>
      <c r="M37">
        <f t="shared" ca="1" si="68"/>
        <v>0</v>
      </c>
      <c r="N37">
        <f t="shared" ca="1" si="39"/>
        <v>0</v>
      </c>
      <c r="O37">
        <f t="shared" ca="1" si="40"/>
        <v>41.902534883720932</v>
      </c>
      <c r="P37">
        <f t="shared" ca="1" si="41"/>
        <v>58.398697674418599</v>
      </c>
      <c r="Q37" t="e">
        <f t="shared" ca="1" si="42"/>
        <v>#DIV/0!</v>
      </c>
      <c r="R37" t="e">
        <f t="shared" ca="1" si="43"/>
        <v>#DIV/0!</v>
      </c>
      <c r="S37" t="e">
        <f t="shared" ca="1" si="44"/>
        <v>#DIV/0!</v>
      </c>
      <c r="T37">
        <f t="shared" ca="1" si="45"/>
        <v>0.24000000000000909</v>
      </c>
      <c r="U37" t="e">
        <f t="shared" ca="1" si="71"/>
        <v>#DIV/0!</v>
      </c>
      <c r="V37" s="2" t="e">
        <f t="shared" ca="1" si="71"/>
        <v>#DIV/0!</v>
      </c>
      <c r="W37" s="4">
        <f t="shared" ca="1" si="69"/>
        <v>4.2099999999999937</v>
      </c>
      <c r="X37" s="3">
        <f t="shared" ca="1" si="58"/>
        <v>3.789999999999992</v>
      </c>
      <c r="Y37" s="3">
        <f t="shared" ca="1" si="59"/>
        <v>8.4174651162790681</v>
      </c>
      <c r="Z37" s="3">
        <f t="shared" ca="1" si="60"/>
        <v>-13.258697674418599</v>
      </c>
      <c r="AA37" s="3">
        <f>G37</f>
        <v>0.33</v>
      </c>
      <c r="AB37" s="3" t="e">
        <f>IF(ISBLANK(H37),NA(),H37-R37)</f>
        <v>#N/A</v>
      </c>
      <c r="AC37" s="3" t="e">
        <f t="shared" si="63"/>
        <v>#N/A</v>
      </c>
      <c r="AD37" s="3">
        <f t="shared" ca="1" si="64"/>
        <v>0.17999999999999089</v>
      </c>
      <c r="AE37" s="3" t="e">
        <f t="shared" si="65"/>
        <v>#N/A</v>
      </c>
      <c r="AF37" s="5" t="e">
        <f t="shared" si="66"/>
        <v>#N/A</v>
      </c>
      <c r="AG37">
        <f t="shared" si="67"/>
        <v>4.8700000000000045</v>
      </c>
      <c r="AH37">
        <f t="shared" si="46"/>
        <v>4.1283333333333401</v>
      </c>
      <c r="AI37">
        <f t="shared" si="47"/>
        <v>42.06666666666667</v>
      </c>
      <c r="AJ37">
        <f t="shared" si="48"/>
        <v>53.063333333333333</v>
      </c>
      <c r="AK37" t="e">
        <f t="shared" si="49"/>
        <v>#DIV/0!</v>
      </c>
      <c r="AL37" t="e">
        <f t="shared" si="50"/>
        <v>#DIV/0!</v>
      </c>
      <c r="AM37" t="e">
        <f t="shared" si="51"/>
        <v>#DIV/0!</v>
      </c>
      <c r="AN37">
        <f t="shared" si="52"/>
        <v>1.1125</v>
      </c>
      <c r="AO37" t="e">
        <f t="shared" si="53"/>
        <v>#DIV/0!</v>
      </c>
      <c r="AP37" s="2" t="e">
        <f t="shared" si="54"/>
        <v>#DIV/0!</v>
      </c>
    </row>
    <row r="38" spans="1:42" x14ac:dyDescent="0.25">
      <c r="A38" s="8" t="s">
        <v>61</v>
      </c>
      <c r="B38" s="2">
        <v>1986</v>
      </c>
      <c r="C38">
        <f t="shared" si="55"/>
        <v>2.539999999999992</v>
      </c>
      <c r="D38">
        <f t="shared" ref="D38:D43" si="72">100-SUM(E38:K38)</f>
        <v>1.9099999999999966</v>
      </c>
      <c r="E38">
        <v>41.32</v>
      </c>
      <c r="F38">
        <v>56.14</v>
      </c>
      <c r="J38">
        <v>0.63</v>
      </c>
      <c r="W38" s="4"/>
      <c r="X38" s="3"/>
      <c r="Y38" s="3"/>
      <c r="Z38" s="3"/>
      <c r="AA38" s="3"/>
      <c r="AB38" s="3"/>
      <c r="AC38" s="3"/>
      <c r="AD38" s="3"/>
      <c r="AE38" s="3"/>
      <c r="AF38" s="5"/>
    </row>
    <row r="39" spans="1:42" x14ac:dyDescent="0.25">
      <c r="A39" s="8" t="s">
        <v>62</v>
      </c>
      <c r="B39" s="2">
        <v>1983</v>
      </c>
      <c r="C39">
        <f t="shared" si="55"/>
        <v>2.210000000000008</v>
      </c>
      <c r="D39">
        <f t="shared" si="72"/>
        <v>1.3800000000000097</v>
      </c>
      <c r="E39">
        <v>43.98</v>
      </c>
      <c r="F39">
        <v>53.81</v>
      </c>
      <c r="J39">
        <v>0.83</v>
      </c>
      <c r="T39" s="34" t="s">
        <v>34</v>
      </c>
      <c r="U39" s="34"/>
      <c r="V39" s="35"/>
      <c r="W39" cm="1">
        <f t="array" aca="1" ref="W39" ca="1">INDEX(LINEST(W28:W37,W27:W36),1)</f>
        <v>0.34462668509548661</v>
      </c>
      <c r="X39" cm="1">
        <f t="array" aca="1" ref="X39" ca="1">INDEX(LINEST(X28:X37,X27:X36),1)</f>
        <v>-0.22399612448170869</v>
      </c>
      <c r="Y39" cm="1">
        <f t="array" aca="1" ref="Y39" ca="1">INDEX(LINEST(Y28:Y37,Y27:Y36),1)</f>
        <v>8.0369719973065207E-3</v>
      </c>
      <c r="Z39" cm="1">
        <f t="array" aca="1" ref="Z39" ca="1">INDEX(LINEST(Z28:Z37,Z27:Z36),1)</f>
        <v>0.33416110640489377</v>
      </c>
      <c r="AA39" cm="1">
        <f t="array" aca="1" ref="AA39" ca="1">INDEX(LINEST(AA28:AA37,AA27:AA36),1)</f>
        <v>0.2386388415415627</v>
      </c>
      <c r="AB39" cm="1">
        <f t="array" aca="1" ref="AB39" ca="1">INDEX(LINEST(AB28:AB34,AB27:AB33),1)</f>
        <v>-0.95342648367329508</v>
      </c>
      <c r="AC39" s="3"/>
      <c r="AD39" s="3"/>
      <c r="AE39" s="3"/>
      <c r="AF39" s="5"/>
    </row>
    <row r="40" spans="1:42" x14ac:dyDescent="0.25">
      <c r="A40" s="8" t="s">
        <v>63</v>
      </c>
      <c r="B40" s="2">
        <v>1980</v>
      </c>
      <c r="C40">
        <f t="shared" si="55"/>
        <v>3.6500000000000057</v>
      </c>
      <c r="D40">
        <f t="shared" si="72"/>
        <v>2.2700000000000102</v>
      </c>
      <c r="E40">
        <v>41.49</v>
      </c>
      <c r="F40">
        <v>54.86</v>
      </c>
      <c r="J40">
        <v>1.38</v>
      </c>
      <c r="T40" s="34" t="s">
        <v>35</v>
      </c>
      <c r="U40" s="34"/>
      <c r="V40" s="35"/>
      <c r="W40">
        <f ca="1">AVERAGE(W27:W37)</f>
        <v>1.6292012291206079</v>
      </c>
      <c r="X40">
        <f ca="1">AVERAGE(X27:X37)</f>
        <v>0.21740668056381132</v>
      </c>
      <c r="Y40">
        <f ca="1">AVERAGE(Y27:Y37)</f>
        <v>-1.0764672998266847</v>
      </c>
      <c r="Z40">
        <f ca="1">AVERAGE(Z27:Z37)</f>
        <v>-0.86577999857164334</v>
      </c>
      <c r="AA40">
        <f ca="1">AVERAGE(AA27:AA37)</f>
        <v>5.2327957931689248E-2</v>
      </c>
      <c r="AB40">
        <f ca="1">AVERAGE(AB27:AB34)</f>
        <v>3.6624999999999996</v>
      </c>
      <c r="AN40" s="34"/>
      <c r="AO40" s="34"/>
      <c r="AP40" s="35"/>
    </row>
    <row r="41" spans="1:42" x14ac:dyDescent="0.25">
      <c r="A41" s="8" t="s">
        <v>64</v>
      </c>
      <c r="B41" s="2">
        <v>1977</v>
      </c>
      <c r="C41">
        <f t="shared" si="55"/>
        <v>4.8000000000000114</v>
      </c>
      <c r="D41">
        <f t="shared" si="72"/>
        <v>3.1900000000000119</v>
      </c>
      <c r="E41">
        <v>42.83</v>
      </c>
      <c r="F41">
        <v>52.37</v>
      </c>
      <c r="J41">
        <v>1.61</v>
      </c>
      <c r="T41" s="34" t="s">
        <v>37</v>
      </c>
      <c r="U41" s="34"/>
      <c r="V41" s="35"/>
      <c r="W41">
        <f ca="1">SQRT(SUMSQ(W27:W37)/COUNT(W27:W37))</f>
        <v>10.494862247894932</v>
      </c>
      <c r="X41">
        <f ca="1">SQRT(SUMSQ(X27:X37)/COUNT(X27:X37))</f>
        <v>3.0953646853114059</v>
      </c>
      <c r="Y41">
        <f ca="1">SQRT(SUMSQ(Y27:Y37)/COUNT(Y27:Y37))</f>
        <v>8.1316752371733418</v>
      </c>
      <c r="Z41">
        <f ca="1">SQRT(SUMSQ(Z27:Z37)/COUNT(Z27:Z37))</f>
        <v>10.656507552305673</v>
      </c>
      <c r="AA41">
        <f ca="1">SQRT(SUMSQ(AA27:AA37)/COUNT(AA27:AA37))</f>
        <v>1.7106073802774153</v>
      </c>
      <c r="AB41">
        <f ca="1">SQRT(SUMSQ(AB27:AB34)/COUNT(AB27:AB34))</f>
        <v>10.745874789890305</v>
      </c>
      <c r="AN41" s="34"/>
      <c r="AO41" s="34"/>
      <c r="AP41" s="35"/>
    </row>
    <row r="42" spans="1:42" x14ac:dyDescent="0.25">
      <c r="A42" s="8" t="s">
        <v>65</v>
      </c>
      <c r="B42" s="2">
        <v>1974</v>
      </c>
      <c r="C42">
        <f t="shared" si="55"/>
        <v>5</v>
      </c>
      <c r="D42">
        <f t="shared" si="72"/>
        <v>5</v>
      </c>
      <c r="E42">
        <v>36.03</v>
      </c>
      <c r="F42">
        <v>58.97</v>
      </c>
    </row>
    <row r="43" spans="1:42" x14ac:dyDescent="0.25">
      <c r="A43" t="s">
        <v>66</v>
      </c>
      <c r="B43" s="2">
        <v>1972</v>
      </c>
      <c r="C43">
        <f t="shared" si="55"/>
        <v>11.02000000000001</v>
      </c>
      <c r="D43">
        <f t="shared" si="72"/>
        <v>11.02000000000001</v>
      </c>
      <c r="E43">
        <v>46.75</v>
      </c>
      <c r="F43">
        <v>42.23</v>
      </c>
    </row>
    <row r="45" spans="1:42" x14ac:dyDescent="0.25">
      <c r="C45" t="s">
        <v>8</v>
      </c>
      <c r="D45" t="s">
        <v>17</v>
      </c>
      <c r="E45" t="s">
        <v>1</v>
      </c>
      <c r="F45" t="s">
        <v>2</v>
      </c>
      <c r="G45" t="s">
        <v>3</v>
      </c>
      <c r="H45" t="s">
        <v>4</v>
      </c>
      <c r="I45" t="s">
        <v>5</v>
      </c>
      <c r="J45" t="s">
        <v>6</v>
      </c>
      <c r="K45" s="6" t="s">
        <v>69</v>
      </c>
      <c r="L45" s="2" t="s">
        <v>71</v>
      </c>
      <c r="M45" t="s">
        <v>8</v>
      </c>
      <c r="N45" t="s">
        <v>17</v>
      </c>
      <c r="O45" t="s">
        <v>1</v>
      </c>
      <c r="P45" t="s">
        <v>2</v>
      </c>
      <c r="Q45" t="s">
        <v>3</v>
      </c>
      <c r="R45" t="s">
        <v>4</v>
      </c>
      <c r="S45" t="s">
        <v>5</v>
      </c>
      <c r="T45" t="s">
        <v>6</v>
      </c>
      <c r="U45" t="s">
        <v>69</v>
      </c>
      <c r="V45" s="2" t="s">
        <v>71</v>
      </c>
      <c r="W45" t="s">
        <v>8</v>
      </c>
      <c r="X45" t="s">
        <v>17</v>
      </c>
      <c r="Y45" t="s">
        <v>1</v>
      </c>
      <c r="Z45" t="s">
        <v>2</v>
      </c>
      <c r="AA45" t="s">
        <v>3</v>
      </c>
      <c r="AB45" t="s">
        <v>4</v>
      </c>
      <c r="AC45" t="s">
        <v>5</v>
      </c>
      <c r="AD45" t="s">
        <v>6</v>
      </c>
      <c r="AE45" t="s">
        <v>69</v>
      </c>
      <c r="AF45" s="2" t="s">
        <v>71</v>
      </c>
      <c r="AG45" t="s">
        <v>8</v>
      </c>
      <c r="AH45" t="s">
        <v>17</v>
      </c>
      <c r="AI45" t="s">
        <v>1</v>
      </c>
      <c r="AJ45" t="s">
        <v>2</v>
      </c>
      <c r="AK45" t="s">
        <v>3</v>
      </c>
      <c r="AL45" t="s">
        <v>4</v>
      </c>
      <c r="AM45" t="s">
        <v>5</v>
      </c>
      <c r="AN45" t="s">
        <v>6</v>
      </c>
      <c r="AO45" t="s">
        <v>69</v>
      </c>
      <c r="AP45" s="2" t="s">
        <v>71</v>
      </c>
    </row>
    <row r="46" spans="1:42" x14ac:dyDescent="0.25">
      <c r="A46" t="s">
        <v>68</v>
      </c>
      <c r="B46" s="2">
        <v>2023</v>
      </c>
      <c r="M46">
        <f t="shared" ref="M46:M53" ca="1" si="73">MAX(0,_xlfn.FORECAST.LINEAR($B46,OFFSET(C47,0,0,$D$1),OFFSET($B47,0,0,$D$1)))</f>
        <v>10.837333333333277</v>
      </c>
      <c r="N46">
        <f t="shared" ref="N46:N53" ca="1" si="74">MAX(0,_xlfn.FORECAST.LINEAR($B46,OFFSET(D47,0,0,$D$1),OFFSET($B47,0,0,$D$1)))</f>
        <v>11.552</v>
      </c>
      <c r="O46">
        <f t="shared" ref="O46:O53" ca="1" si="75">MAX(0,_xlfn.FORECAST.LINEAR($B46,OFFSET(E47,0,0,$D$1),OFFSET($B47,0,0,$D$1)))</f>
        <v>27.761999999999944</v>
      </c>
      <c r="P46">
        <f t="shared" ref="P46:P53" ca="1" si="76">MAX(0,_xlfn.FORECAST.LINEAR($B46,OFFSET(F47,0,0,$D$1),OFFSET($B47,0,0,$D$1)))</f>
        <v>49.273999999999887</v>
      </c>
      <c r="Q46">
        <f t="shared" ref="Q46:Q53" ca="1" si="77">MAX(0,_xlfn.FORECAST.LINEAR($B46,OFFSET(G47,0,0,$D$1),OFFSET($B47,0,0,$D$1)))</f>
        <v>12.126666666666608</v>
      </c>
      <c r="R46">
        <f t="shared" ref="R46:R53" ca="1" si="78">MAX(0,_xlfn.FORECAST.LINEAR($B46,OFFSET(H47,0,0,$D$1),OFFSET($B47,0,0,$D$1)))</f>
        <v>0</v>
      </c>
      <c r="S46" t="e">
        <f t="shared" ref="S46:S53" ca="1" si="79">MAX(0,_xlfn.FORECAST.LINEAR($B46,OFFSET(I47,0,0,$D$1),OFFSET($B47,0,0,$D$1)))</f>
        <v>#DIV/0!</v>
      </c>
      <c r="T46">
        <f t="shared" ref="T46:T53" ca="1" si="80">MAX(0,_xlfn.FORECAST.LINEAR($B46,OFFSET(J47,0,0,$D$1),OFFSET($B47,0,0,$D$1)))</f>
        <v>0</v>
      </c>
      <c r="U46" t="e">
        <f t="shared" ref="U46:U53" ca="1" si="81">MAX(0,_xlfn.FORECAST.LINEAR($B46,OFFSET(K47,0,0,$D$1),OFFSET($B47,0,0,$D$1)))</f>
        <v>#DIV/0!</v>
      </c>
      <c r="V46" s="2">
        <f t="shared" ref="V46:V53" ca="1" si="82">MAX(0,_xlfn.FORECAST.LINEAR($B46,OFFSET(L47,0,0,$D$1),OFFSET($B47,0,0,$D$1)))</f>
        <v>2.3146666666666675</v>
      </c>
      <c r="W46" s="4"/>
      <c r="X46" s="3"/>
      <c r="Y46" s="3"/>
      <c r="Z46" s="3"/>
      <c r="AA46" s="3"/>
      <c r="AB46" s="3"/>
      <c r="AC46" s="3"/>
      <c r="AD46" s="3"/>
      <c r="AE46" s="3"/>
      <c r="AF46" s="5"/>
      <c r="AG46">
        <f>AVERAGE(C47:C52)</f>
        <v>14.748333333333333</v>
      </c>
      <c r="AH46">
        <f t="shared" ref="AH46:AH56" si="83">AVERAGE(D47:D52)</f>
        <v>11.875</v>
      </c>
      <c r="AI46">
        <f t="shared" ref="AI46:AI56" si="84">AVERAGE(E47:E52)</f>
        <v>36.134999999999998</v>
      </c>
      <c r="AJ46">
        <f t="shared" ref="AJ46:AJ56" si="85">AVERAGE(F47:F52)</f>
        <v>40.580000000000005</v>
      </c>
      <c r="AK46">
        <f t="shared" ref="AK46:AK56" si="86">AVERAGE(G47:G52)</f>
        <v>8.5366666666666671</v>
      </c>
      <c r="AL46">
        <f t="shared" ref="AL46:AL56" si="87">AVERAGE(H47:H52)</f>
        <v>3.3033333333333332</v>
      </c>
      <c r="AM46" t="e">
        <f t="shared" ref="AM46:AM56" si="88">AVERAGE(I47:I52)</f>
        <v>#DIV/0!</v>
      </c>
      <c r="AN46">
        <f t="shared" ref="AN46:AN56" si="89">AVERAGE(J47:J52)</f>
        <v>1.9350000000000001</v>
      </c>
      <c r="AO46">
        <f t="shared" ref="AO46:AO56" si="90">AVERAGE(K47:K52)</f>
        <v>3.46</v>
      </c>
      <c r="AP46" s="2">
        <f t="shared" ref="AP46:AP56" si="91">AVERAGE(L47:L52)</f>
        <v>2.1416666666666671</v>
      </c>
    </row>
    <row r="47" spans="1:42" x14ac:dyDescent="0.25">
      <c r="A47" t="s">
        <v>48</v>
      </c>
      <c r="B47" s="2">
        <v>2019</v>
      </c>
      <c r="C47">
        <f t="shared" ref="C47:C61" si="92">100-SUM(E47:G47)</f>
        <v>15.539999999999992</v>
      </c>
      <c r="D47">
        <f t="shared" ref="D47:D61" si="93">100-SUM(E47:K47)</f>
        <v>10.980000000000004</v>
      </c>
      <c r="E47">
        <v>33.31</v>
      </c>
      <c r="F47">
        <v>41.58</v>
      </c>
      <c r="G47">
        <v>9.57</v>
      </c>
      <c r="H47">
        <v>1.1000000000000001</v>
      </c>
      <c r="K47">
        <v>3.46</v>
      </c>
      <c r="L47" s="2">
        <v>0.8</v>
      </c>
      <c r="M47">
        <f t="shared" ca="1" si="73"/>
        <v>10.990666666666641</v>
      </c>
      <c r="N47">
        <f t="shared" ca="1" si="74"/>
        <v>13.042666666666662</v>
      </c>
      <c r="O47">
        <f t="shared" ca="1" si="75"/>
        <v>28.501999999999953</v>
      </c>
      <c r="P47">
        <f t="shared" ca="1" si="76"/>
        <v>47.287333333333436</v>
      </c>
      <c r="Q47">
        <f t="shared" ca="1" si="77"/>
        <v>13.220000000000027</v>
      </c>
      <c r="R47">
        <f t="shared" ca="1" si="78"/>
        <v>0</v>
      </c>
      <c r="S47" t="e">
        <f t="shared" ca="1" si="79"/>
        <v>#DIV/0!</v>
      </c>
      <c r="T47">
        <f t="shared" ca="1" si="80"/>
        <v>0</v>
      </c>
      <c r="U47" t="e">
        <f t="shared" ca="1" si="81"/>
        <v>#DIV/0!</v>
      </c>
      <c r="V47" s="2">
        <f t="shared" ca="1" si="82"/>
        <v>3.8769999999999811</v>
      </c>
      <c r="W47" s="4">
        <f ca="1">IF(ISBLANK(C47),NA(),C47-M47)</f>
        <v>4.549333333333351</v>
      </c>
      <c r="X47" s="3">
        <f t="shared" ref="X47:X56" ca="1" si="94">IF(ISBLANK(D47),NA(),D47-N47)</f>
        <v>-2.062666666666658</v>
      </c>
      <c r="Y47" s="3">
        <f t="shared" ref="Y47:Y56" ca="1" si="95">IF(ISBLANK(E47),NA(),E47-O47)</f>
        <v>4.8080000000000496</v>
      </c>
      <c r="Z47" s="3">
        <f t="shared" ref="Z47:Z56" ca="1" si="96">IF(ISBLANK(F47),NA(),F47-P47)</f>
        <v>-5.7073333333334375</v>
      </c>
      <c r="AA47" s="3">
        <f t="shared" ref="AA47:AA55" ca="1" si="97">IF(ISBLANK(G47),NA(),G47-Q47)</f>
        <v>-3.650000000000027</v>
      </c>
      <c r="AB47" s="3">
        <f t="shared" ref="AB47:AB52" ca="1" si="98">IF(ISBLANK(H47),NA(),H47-R47)</f>
        <v>1.1000000000000001</v>
      </c>
      <c r="AC47" s="3" t="e">
        <f t="shared" ref="AC47:AC56" si="99">IF(ISBLANK(I47),NA(),I47-S47)</f>
        <v>#N/A</v>
      </c>
      <c r="AD47" s="3" t="e">
        <f t="shared" ref="AD47:AD56" si="100">IF(ISBLANK(J47),NA(),J47-T47)</f>
        <v>#N/A</v>
      </c>
      <c r="AE47" s="3" t="e">
        <f t="shared" ref="AE47:AE56" ca="1" si="101">IF(ISBLANK(K47),NA(),K47-U47)</f>
        <v>#DIV/0!</v>
      </c>
      <c r="AF47" s="5">
        <f t="shared" ref="AF47:AF56" ca="1" si="102">IF(ISBLANK(L47),NA(),L47-V47)</f>
        <v>-3.0769999999999813</v>
      </c>
      <c r="AG47">
        <f t="shared" ref="AG47:AG56" si="103">AVERAGE(C48:C53)</f>
        <v>14.196666666666671</v>
      </c>
      <c r="AH47">
        <f t="shared" si="83"/>
        <v>11.66666666666667</v>
      </c>
      <c r="AI47">
        <f t="shared" si="84"/>
        <v>37.46</v>
      </c>
      <c r="AJ47">
        <f t="shared" si="85"/>
        <v>40.973333333333336</v>
      </c>
      <c r="AK47">
        <f t="shared" si="86"/>
        <v>7.37</v>
      </c>
      <c r="AL47">
        <f t="shared" si="87"/>
        <v>4.4050000000000002</v>
      </c>
      <c r="AM47" t="e">
        <f t="shared" si="88"/>
        <v>#DIV/0!</v>
      </c>
      <c r="AN47">
        <f t="shared" si="89"/>
        <v>2.1233333333333335</v>
      </c>
      <c r="AO47" t="e">
        <f t="shared" si="90"/>
        <v>#DIV/0!</v>
      </c>
      <c r="AP47" s="2">
        <f t="shared" si="91"/>
        <v>2.41</v>
      </c>
    </row>
    <row r="48" spans="1:42" x14ac:dyDescent="0.25">
      <c r="A48" t="s">
        <v>70</v>
      </c>
      <c r="B48" s="2">
        <v>2015</v>
      </c>
      <c r="C48">
        <f t="shared" si="92"/>
        <v>10</v>
      </c>
      <c r="D48">
        <f t="shared" si="93"/>
        <v>10</v>
      </c>
      <c r="E48">
        <v>34.08</v>
      </c>
      <c r="F48">
        <v>45.63</v>
      </c>
      <c r="G48">
        <v>10.29</v>
      </c>
      <c r="L48" s="2">
        <v>3.24</v>
      </c>
      <c r="M48">
        <f t="shared" ca="1" si="73"/>
        <v>14.116666666666646</v>
      </c>
      <c r="N48">
        <f t="shared" ca="1" si="74"/>
        <v>14.919333333333384</v>
      </c>
      <c r="O48">
        <f t="shared" ca="1" si="75"/>
        <v>30.901333333333469</v>
      </c>
      <c r="P48">
        <f t="shared" ca="1" si="76"/>
        <v>42.015999999999991</v>
      </c>
      <c r="Q48">
        <f t="shared" ca="1" si="77"/>
        <v>12.965999999999894</v>
      </c>
      <c r="R48">
        <f t="shared" ca="1" si="78"/>
        <v>0</v>
      </c>
      <c r="S48" t="e">
        <f t="shared" ca="1" si="79"/>
        <v>#DIV/0!</v>
      </c>
      <c r="T48">
        <f t="shared" ca="1" si="80"/>
        <v>0</v>
      </c>
      <c r="U48" t="e">
        <f t="shared" ca="1" si="81"/>
        <v>#DIV/0!</v>
      </c>
      <c r="V48" s="2">
        <f t="shared" ca="1" si="82"/>
        <v>3.6100000000000136</v>
      </c>
      <c r="W48" s="4">
        <f t="shared" ref="W48:W56" ca="1" si="104">IF(ISBLANK(C48),NA(),C48-M48)</f>
        <v>-4.1166666666666458</v>
      </c>
      <c r="X48" s="3">
        <f t="shared" ca="1" si="94"/>
        <v>-4.919333333333384</v>
      </c>
      <c r="Y48" s="3">
        <f t="shared" ca="1" si="95"/>
        <v>3.1786666666665297</v>
      </c>
      <c r="Z48" s="3">
        <f t="shared" ca="1" si="96"/>
        <v>3.6140000000000114</v>
      </c>
      <c r="AA48" s="3">
        <f t="shared" ca="1" si="97"/>
        <v>-2.6759999999998954</v>
      </c>
      <c r="AB48" s="3" t="e">
        <f t="shared" si="98"/>
        <v>#N/A</v>
      </c>
      <c r="AC48" s="3" t="e">
        <f t="shared" si="99"/>
        <v>#N/A</v>
      </c>
      <c r="AD48" s="3" t="e">
        <f t="shared" si="100"/>
        <v>#N/A</v>
      </c>
      <c r="AE48" s="3" t="e">
        <f t="shared" si="101"/>
        <v>#N/A</v>
      </c>
      <c r="AF48" s="5">
        <f t="shared" ca="1" si="102"/>
        <v>-0.37000000000001343</v>
      </c>
      <c r="AG48">
        <f t="shared" si="103"/>
        <v>15.151666666666671</v>
      </c>
      <c r="AH48">
        <f t="shared" si="83"/>
        <v>11.728333333333337</v>
      </c>
      <c r="AI48">
        <f t="shared" si="84"/>
        <v>38.288333333333334</v>
      </c>
      <c r="AJ48">
        <f t="shared" si="85"/>
        <v>40.814999999999998</v>
      </c>
      <c r="AK48">
        <f t="shared" si="86"/>
        <v>5.7449999999999983</v>
      </c>
      <c r="AL48">
        <f t="shared" si="87"/>
        <v>4.4050000000000002</v>
      </c>
      <c r="AM48" t="e">
        <f t="shared" si="88"/>
        <v>#DIV/0!</v>
      </c>
      <c r="AN48">
        <f t="shared" si="89"/>
        <v>2.9325000000000001</v>
      </c>
      <c r="AO48" t="e">
        <f t="shared" si="90"/>
        <v>#DIV/0!</v>
      </c>
      <c r="AP48" s="2">
        <f t="shared" si="91"/>
        <v>2.2025000000000001</v>
      </c>
    </row>
    <row r="49" spans="1:42" x14ac:dyDescent="0.25">
      <c r="A49" t="s">
        <v>72</v>
      </c>
      <c r="B49" s="2">
        <v>2011</v>
      </c>
      <c r="C49">
        <f t="shared" si="92"/>
        <v>13.030000000000001</v>
      </c>
      <c r="D49">
        <f t="shared" si="93"/>
        <v>13.030000000000001</v>
      </c>
      <c r="E49">
        <v>25.55</v>
      </c>
      <c r="F49">
        <v>51.14</v>
      </c>
      <c r="G49">
        <v>10.28</v>
      </c>
      <c r="L49" s="2">
        <v>3.12</v>
      </c>
      <c r="M49">
        <f t="shared" ca="1" si="73"/>
        <v>16.977329073482451</v>
      </c>
      <c r="N49">
        <f t="shared" ca="1" si="74"/>
        <v>14.438990415335411</v>
      </c>
      <c r="O49">
        <f t="shared" ca="1" si="75"/>
        <v>41.860255591054312</v>
      </c>
      <c r="P49">
        <f t="shared" ca="1" si="76"/>
        <v>30.005565495207748</v>
      </c>
      <c r="Q49">
        <f t="shared" ca="1" si="77"/>
        <v>11.587999999999965</v>
      </c>
      <c r="R49">
        <f t="shared" ca="1" si="78"/>
        <v>0</v>
      </c>
      <c r="S49" t="e">
        <f t="shared" ca="1" si="79"/>
        <v>#DIV/0!</v>
      </c>
      <c r="T49">
        <f t="shared" ca="1" si="80"/>
        <v>0.80913636363635533</v>
      </c>
      <c r="U49" t="e">
        <f t="shared" ca="1" si="81"/>
        <v>#DIV/0!</v>
      </c>
      <c r="V49" s="2">
        <f t="shared" ca="1" si="82"/>
        <v>2.8766666666666652</v>
      </c>
      <c r="W49" s="4">
        <f t="shared" ca="1" si="104"/>
        <v>-3.9473290734824502</v>
      </c>
      <c r="X49" s="3">
        <f t="shared" ca="1" si="94"/>
        <v>-1.4089904153354098</v>
      </c>
      <c r="Y49" s="3">
        <f t="shared" ca="1" si="95"/>
        <v>-16.310255591054311</v>
      </c>
      <c r="Z49" s="3">
        <f t="shared" ca="1" si="96"/>
        <v>21.134434504792253</v>
      </c>
      <c r="AA49" s="3">
        <f t="shared" ca="1" si="97"/>
        <v>-1.3079999999999661</v>
      </c>
      <c r="AB49" s="3" t="e">
        <f t="shared" si="98"/>
        <v>#N/A</v>
      </c>
      <c r="AC49" s="3" t="e">
        <f t="shared" si="99"/>
        <v>#N/A</v>
      </c>
      <c r="AD49" s="3" t="e">
        <f t="shared" si="100"/>
        <v>#N/A</v>
      </c>
      <c r="AE49" s="3" t="e">
        <f t="shared" si="101"/>
        <v>#N/A</v>
      </c>
      <c r="AF49" s="5">
        <f t="shared" ca="1" si="102"/>
        <v>0.24333333333333496</v>
      </c>
      <c r="AG49">
        <f t="shared" si="103"/>
        <v>14.976666666666672</v>
      </c>
      <c r="AH49">
        <f t="shared" si="83"/>
        <v>11.25166666666667</v>
      </c>
      <c r="AI49">
        <f t="shared" si="84"/>
        <v>40.443333333333335</v>
      </c>
      <c r="AJ49">
        <f t="shared" si="85"/>
        <v>40.548333333333332</v>
      </c>
      <c r="AK49">
        <f t="shared" si="86"/>
        <v>4.8379999999999992</v>
      </c>
      <c r="AL49">
        <f t="shared" si="87"/>
        <v>4.4050000000000002</v>
      </c>
      <c r="AM49" t="e">
        <f t="shared" si="88"/>
        <v>#DIV/0!</v>
      </c>
      <c r="AN49">
        <f t="shared" si="89"/>
        <v>2.7080000000000002</v>
      </c>
      <c r="AO49" t="e">
        <f t="shared" si="90"/>
        <v>#DIV/0!</v>
      </c>
      <c r="AP49" s="2">
        <f t="shared" si="91"/>
        <v>1.8966666666666667</v>
      </c>
    </row>
    <row r="50" spans="1:42" x14ac:dyDescent="0.25">
      <c r="A50" t="s">
        <v>73</v>
      </c>
      <c r="B50" s="2">
        <v>2007</v>
      </c>
      <c r="C50">
        <f t="shared" si="92"/>
        <v>15.079999999999998</v>
      </c>
      <c r="D50">
        <f t="shared" si="93"/>
        <v>14.539999999999992</v>
      </c>
      <c r="E50">
        <v>38.979999999999997</v>
      </c>
      <c r="F50">
        <v>36.99</v>
      </c>
      <c r="G50">
        <v>8.9499999999999993</v>
      </c>
      <c r="J50">
        <v>0.54</v>
      </c>
      <c r="L50" s="2">
        <v>2.4700000000000002</v>
      </c>
      <c r="M50">
        <f t="shared" ca="1" si="73"/>
        <v>19.276818181818271</v>
      </c>
      <c r="N50">
        <f t="shared" ca="1" si="74"/>
        <v>13.559705882353001</v>
      </c>
      <c r="O50">
        <f t="shared" ca="1" si="75"/>
        <v>40.375802139037432</v>
      </c>
      <c r="P50">
        <f t="shared" ca="1" si="76"/>
        <v>32.065187165775342</v>
      </c>
      <c r="Q50">
        <f t="shared" ca="1" si="77"/>
        <v>9.9200000000000728</v>
      </c>
      <c r="R50">
        <f t="shared" ca="1" si="78"/>
        <v>0</v>
      </c>
      <c r="S50" t="e">
        <f t="shared" ca="1" si="79"/>
        <v>#DIV/0!</v>
      </c>
      <c r="T50">
        <f t="shared" ca="1" si="80"/>
        <v>3.7294169096209941</v>
      </c>
      <c r="U50" t="e">
        <f t="shared" ca="1" si="81"/>
        <v>#DIV/0!</v>
      </c>
      <c r="V50" s="2">
        <f t="shared" ca="1" si="82"/>
        <v>1.9699999999999989</v>
      </c>
      <c r="W50" s="4">
        <f t="shared" ca="1" si="104"/>
        <v>-4.1968181818182728</v>
      </c>
      <c r="X50" s="3">
        <f t="shared" ca="1" si="94"/>
        <v>0.98029411764699148</v>
      </c>
      <c r="Y50" s="3">
        <f t="shared" ca="1" si="95"/>
        <v>-1.3958021390374356</v>
      </c>
      <c r="Z50" s="3">
        <f t="shared" ca="1" si="96"/>
        <v>4.9248128342246602</v>
      </c>
      <c r="AA50" s="3">
        <f t="shared" ca="1" si="97"/>
        <v>-0.97000000000007347</v>
      </c>
      <c r="AB50" s="3" t="e">
        <f t="shared" si="98"/>
        <v>#N/A</v>
      </c>
      <c r="AC50" s="3" t="e">
        <f t="shared" si="99"/>
        <v>#N/A</v>
      </c>
      <c r="AD50" s="3">
        <f t="shared" ca="1" si="100"/>
        <v>-3.1894169096209941</v>
      </c>
      <c r="AE50" s="3" t="e">
        <f t="shared" si="101"/>
        <v>#N/A</v>
      </c>
      <c r="AF50" s="5">
        <f t="shared" ca="1" si="102"/>
        <v>0.50000000000000133</v>
      </c>
      <c r="AG50">
        <f t="shared" si="103"/>
        <v>13.835000000000003</v>
      </c>
      <c r="AH50">
        <f t="shared" si="83"/>
        <v>9.7250000000000032</v>
      </c>
      <c r="AI50">
        <f t="shared" si="84"/>
        <v>42.074999999999996</v>
      </c>
      <c r="AJ50">
        <f t="shared" si="85"/>
        <v>41.55</v>
      </c>
      <c r="AK50">
        <f t="shared" si="86"/>
        <v>3.8099999999999996</v>
      </c>
      <c r="AL50">
        <f t="shared" si="87"/>
        <v>4.4050000000000002</v>
      </c>
      <c r="AM50" t="e">
        <f t="shared" si="88"/>
        <v>#DIV/0!</v>
      </c>
      <c r="AN50">
        <f t="shared" si="89"/>
        <v>3.1700000000000004</v>
      </c>
      <c r="AO50" t="e">
        <f t="shared" si="90"/>
        <v>#DIV/0!</v>
      </c>
      <c r="AP50" s="2">
        <f t="shared" si="91"/>
        <v>1.6099999999999999</v>
      </c>
    </row>
    <row r="51" spans="1:42" x14ac:dyDescent="0.25">
      <c r="A51" t="s">
        <v>74</v>
      </c>
      <c r="B51" s="2">
        <v>2003</v>
      </c>
      <c r="C51">
        <f t="shared" si="92"/>
        <v>14.719999999999999</v>
      </c>
      <c r="D51">
        <f t="shared" si="93"/>
        <v>13.439999999999998</v>
      </c>
      <c r="E51">
        <v>42.68</v>
      </c>
      <c r="F51">
        <v>34.35</v>
      </c>
      <c r="G51">
        <v>8.25</v>
      </c>
      <c r="H51">
        <v>1.28</v>
      </c>
      <c r="L51" s="2">
        <v>1.73</v>
      </c>
      <c r="M51">
        <f t="shared" ca="1" si="73"/>
        <v>21.686378299120179</v>
      </c>
      <c r="N51">
        <f t="shared" ca="1" si="74"/>
        <v>12.598005865102664</v>
      </c>
      <c r="O51">
        <f t="shared" ca="1" si="75"/>
        <v>35.017741935483855</v>
      </c>
      <c r="P51">
        <f t="shared" ca="1" si="76"/>
        <v>39.160791788856329</v>
      </c>
      <c r="Q51">
        <f t="shared" ca="1" si="77"/>
        <v>5.6700000000000728</v>
      </c>
      <c r="R51" t="e">
        <f t="shared" ca="1" si="78"/>
        <v>#DIV/0!</v>
      </c>
      <c r="S51" t="e">
        <f t="shared" ca="1" si="79"/>
        <v>#DIV/0!</v>
      </c>
      <c r="T51">
        <f t="shared" ca="1" si="80"/>
        <v>3.7113782991202271</v>
      </c>
      <c r="U51" t="e">
        <f t="shared" ca="1" si="81"/>
        <v>#DIV/0!</v>
      </c>
      <c r="V51" s="2" t="e">
        <f t="shared" ca="1" si="82"/>
        <v>#DIV/0!</v>
      </c>
      <c r="W51" s="4">
        <f t="shared" ca="1" si="104"/>
        <v>-6.9663782991201799</v>
      </c>
      <c r="X51" s="3">
        <f t="shared" ca="1" si="94"/>
        <v>0.84199413489733388</v>
      </c>
      <c r="Y51" s="3">
        <f t="shared" ca="1" si="95"/>
        <v>7.6622580645161449</v>
      </c>
      <c r="Z51" s="3">
        <f t="shared" ca="1" si="96"/>
        <v>-4.8107917888563279</v>
      </c>
      <c r="AA51" s="3">
        <f t="shared" ca="1" si="97"/>
        <v>2.5799999999999272</v>
      </c>
      <c r="AB51" s="3" t="e">
        <f t="shared" ca="1" si="98"/>
        <v>#DIV/0!</v>
      </c>
      <c r="AC51" s="3" t="e">
        <f t="shared" si="99"/>
        <v>#N/A</v>
      </c>
      <c r="AD51" s="3" t="e">
        <f t="shared" si="100"/>
        <v>#N/A</v>
      </c>
      <c r="AE51" s="3" t="e">
        <f t="shared" si="101"/>
        <v>#N/A</v>
      </c>
      <c r="AF51" s="5" t="e">
        <f t="shared" ca="1" si="102"/>
        <v>#DIV/0!</v>
      </c>
      <c r="AG51">
        <f t="shared" si="103"/>
        <v>12.288333333333336</v>
      </c>
      <c r="AH51">
        <f t="shared" si="83"/>
        <v>7.986666666666669</v>
      </c>
      <c r="AI51">
        <f t="shared" si="84"/>
        <v>44.25</v>
      </c>
      <c r="AJ51">
        <f t="shared" si="85"/>
        <v>42.29666666666666</v>
      </c>
      <c r="AK51">
        <f t="shared" si="86"/>
        <v>2.3299999999999996</v>
      </c>
      <c r="AL51">
        <f t="shared" si="87"/>
        <v>7.53</v>
      </c>
      <c r="AM51" t="e">
        <f t="shared" si="88"/>
        <v>#DIV/0!</v>
      </c>
      <c r="AN51">
        <f t="shared" si="89"/>
        <v>3.0466666666666669</v>
      </c>
      <c r="AO51" t="e">
        <f t="shared" si="90"/>
        <v>#DIV/0!</v>
      </c>
      <c r="AP51" s="2">
        <f t="shared" si="91"/>
        <v>1.49</v>
      </c>
    </row>
    <row r="52" spans="1:42" x14ac:dyDescent="0.25">
      <c r="A52" t="s">
        <v>75</v>
      </c>
      <c r="B52" s="2">
        <v>1999</v>
      </c>
      <c r="C52">
        <f t="shared" si="92"/>
        <v>20.120000000000005</v>
      </c>
      <c r="D52">
        <f t="shared" si="93"/>
        <v>9.2600000000000051</v>
      </c>
      <c r="E52">
        <v>42.21</v>
      </c>
      <c r="F52">
        <v>33.79</v>
      </c>
      <c r="G52">
        <v>3.88</v>
      </c>
      <c r="H52">
        <v>7.53</v>
      </c>
      <c r="J52">
        <v>3.33</v>
      </c>
      <c r="L52" s="2">
        <v>1.49</v>
      </c>
      <c r="M52">
        <f t="shared" ca="1" si="73"/>
        <v>17.19091207888232</v>
      </c>
      <c r="N52">
        <f t="shared" ca="1" si="74"/>
        <v>13.565612161051831</v>
      </c>
      <c r="O52">
        <f t="shared" ca="1" si="75"/>
        <v>31.554478225144067</v>
      </c>
      <c r="P52">
        <f t="shared" ca="1" si="76"/>
        <v>49.134798685291685</v>
      </c>
      <c r="Q52">
        <f t="shared" ca="1" si="77"/>
        <v>4.6000000000000227</v>
      </c>
      <c r="R52" t="e">
        <f t="shared" ca="1" si="78"/>
        <v>#DIV/0!</v>
      </c>
      <c r="S52" t="e">
        <f t="shared" ca="1" si="79"/>
        <v>#DIV/0!</v>
      </c>
      <c r="T52">
        <f t="shared" ca="1" si="80"/>
        <v>3.6252999178307306</v>
      </c>
      <c r="U52" t="e">
        <f t="shared" ca="1" si="81"/>
        <v>#DIV/0!</v>
      </c>
      <c r="V52" s="2" t="e">
        <f t="shared" ca="1" si="82"/>
        <v>#DIV/0!</v>
      </c>
      <c r="W52" s="4">
        <f t="shared" ca="1" si="104"/>
        <v>2.9290879211176843</v>
      </c>
      <c r="X52" s="3">
        <f t="shared" ca="1" si="94"/>
        <v>-4.3056121610518261</v>
      </c>
      <c r="Y52" s="3">
        <f t="shared" ca="1" si="95"/>
        <v>10.655521774855934</v>
      </c>
      <c r="Z52" s="3">
        <f t="shared" ca="1" si="96"/>
        <v>-15.344798685291686</v>
      </c>
      <c r="AA52" s="3">
        <f t="shared" ca="1" si="97"/>
        <v>-0.72000000000002284</v>
      </c>
      <c r="AB52" s="3" t="e">
        <f t="shared" ca="1" si="98"/>
        <v>#DIV/0!</v>
      </c>
      <c r="AC52" s="3" t="e">
        <f t="shared" si="99"/>
        <v>#N/A</v>
      </c>
      <c r="AD52" s="3">
        <f t="shared" ca="1" si="100"/>
        <v>-0.29529991783073051</v>
      </c>
      <c r="AE52" s="3" t="e">
        <f t="shared" si="101"/>
        <v>#N/A</v>
      </c>
      <c r="AF52" s="5" t="e">
        <f t="shared" ca="1" si="102"/>
        <v>#DIV/0!</v>
      </c>
      <c r="AG52">
        <f t="shared" si="103"/>
        <v>9.826666666666668</v>
      </c>
      <c r="AH52">
        <f t="shared" si="83"/>
        <v>6.8933333333333335</v>
      </c>
      <c r="AI52">
        <f t="shared" si="84"/>
        <v>46.843333333333334</v>
      </c>
      <c r="AJ52">
        <f t="shared" si="85"/>
        <v>42.811666666666667</v>
      </c>
      <c r="AK52">
        <f t="shared" si="86"/>
        <v>1.5549999999999999</v>
      </c>
      <c r="AL52" t="e">
        <f t="shared" si="87"/>
        <v>#DIV/0!</v>
      </c>
      <c r="AM52" t="e">
        <f t="shared" si="88"/>
        <v>#DIV/0!</v>
      </c>
      <c r="AN52">
        <f t="shared" si="89"/>
        <v>2.9333333333333331</v>
      </c>
      <c r="AO52" t="e">
        <f t="shared" si="90"/>
        <v>#DIV/0!</v>
      </c>
      <c r="AP52" s="2" t="e">
        <f t="shared" si="91"/>
        <v>#DIV/0!</v>
      </c>
    </row>
    <row r="53" spans="1:42" x14ac:dyDescent="0.25">
      <c r="A53" t="s">
        <v>76</v>
      </c>
      <c r="B53" s="2">
        <v>1995</v>
      </c>
      <c r="C53">
        <f t="shared" si="92"/>
        <v>12.230000000000018</v>
      </c>
      <c r="D53">
        <f t="shared" si="93"/>
        <v>9.7300000000000182</v>
      </c>
      <c r="E53">
        <v>41.26</v>
      </c>
      <c r="F53">
        <v>43.94</v>
      </c>
      <c r="G53">
        <v>2.57</v>
      </c>
      <c r="J53">
        <v>2.5</v>
      </c>
      <c r="M53">
        <f t="shared" ca="1" si="73"/>
        <v>17.645476190476302</v>
      </c>
      <c r="N53">
        <f t="shared" ca="1" si="74"/>
        <v>12.509523809523898</v>
      </c>
      <c r="O53">
        <f t="shared" ca="1" si="75"/>
        <v>34.33047619047602</v>
      </c>
      <c r="P53">
        <f t="shared" ca="1" si="76"/>
        <v>47.62547619047632</v>
      </c>
      <c r="Q53" t="e">
        <f t="shared" ca="1" si="77"/>
        <v>#DIV/0!</v>
      </c>
      <c r="R53" t="e">
        <f t="shared" ca="1" si="78"/>
        <v>#DIV/0!</v>
      </c>
      <c r="S53" t="e">
        <f t="shared" ca="1" si="79"/>
        <v>#DIV/0!</v>
      </c>
      <c r="T53">
        <f t="shared" ca="1" si="80"/>
        <v>4.5274908424908062</v>
      </c>
      <c r="U53" t="e">
        <f t="shared" ca="1" si="81"/>
        <v>#DIV/0!</v>
      </c>
      <c r="V53" s="2" t="e">
        <f t="shared" ca="1" si="82"/>
        <v>#DIV/0!</v>
      </c>
      <c r="W53" s="4">
        <f t="shared" ca="1" si="104"/>
        <v>-5.4154761904762836</v>
      </c>
      <c r="X53" s="3">
        <f t="shared" ca="1" si="94"/>
        <v>-2.7795238095238801</v>
      </c>
      <c r="Y53" s="3">
        <f t="shared" ca="1" si="95"/>
        <v>6.9295238095239782</v>
      </c>
      <c r="Z53" s="3">
        <f t="shared" ca="1" si="96"/>
        <v>-3.6854761904763222</v>
      </c>
      <c r="AA53" s="3" t="e">
        <f t="shared" ca="1" si="97"/>
        <v>#DIV/0!</v>
      </c>
      <c r="AB53" s="3">
        <f>H53-H54</f>
        <v>0</v>
      </c>
      <c r="AC53" s="3" t="e">
        <f t="shared" si="99"/>
        <v>#N/A</v>
      </c>
      <c r="AD53" s="3">
        <f t="shared" ca="1" si="100"/>
        <v>-2.0274908424908062</v>
      </c>
      <c r="AE53" s="3" t="e">
        <f t="shared" si="101"/>
        <v>#N/A</v>
      </c>
      <c r="AF53" s="5" t="e">
        <f t="shared" si="102"/>
        <v>#N/A</v>
      </c>
      <c r="AG53">
        <f t="shared" si="103"/>
        <v>8.4433333333333334</v>
      </c>
      <c r="AH53">
        <f t="shared" si="83"/>
        <v>5.926666666666665</v>
      </c>
      <c r="AI53">
        <f t="shared" si="84"/>
        <v>48.258333333333333</v>
      </c>
      <c r="AJ53">
        <f t="shared" si="85"/>
        <v>43.208333333333336</v>
      </c>
      <c r="AK53">
        <f t="shared" si="86"/>
        <v>0.54</v>
      </c>
      <c r="AL53" t="e">
        <f t="shared" si="87"/>
        <v>#DIV/0!</v>
      </c>
      <c r="AM53" t="e">
        <f t="shared" si="88"/>
        <v>#DIV/0!</v>
      </c>
      <c r="AN53">
        <f t="shared" si="89"/>
        <v>3.02</v>
      </c>
      <c r="AO53" t="e">
        <f t="shared" si="90"/>
        <v>#DIV/0!</v>
      </c>
      <c r="AP53" s="2" t="e">
        <f t="shared" si="91"/>
        <v>#DIV/0!</v>
      </c>
    </row>
    <row r="54" spans="1:42" x14ac:dyDescent="0.25">
      <c r="A54" t="s">
        <v>77</v>
      </c>
      <c r="B54" s="2">
        <v>1991</v>
      </c>
      <c r="C54">
        <f t="shared" si="92"/>
        <v>15.730000000000004</v>
      </c>
      <c r="D54">
        <f t="shared" si="93"/>
        <v>10.370000000000005</v>
      </c>
      <c r="E54">
        <v>39.049999999999997</v>
      </c>
      <c r="F54">
        <v>44.68</v>
      </c>
      <c r="G54">
        <v>0.54</v>
      </c>
      <c r="J54">
        <v>5.36</v>
      </c>
      <c r="M54">
        <f t="shared" ref="M54:V56" ca="1" si="105">MAX(0,_xlfn.FORECAST.LINEAR($B54,OFFSET(C55,0,0,$D$1),OFFSET($B55,0,0,$D$1)))</f>
        <v>9.3089999999999975</v>
      </c>
      <c r="N54">
        <f t="shared" ca="1" si="105"/>
        <v>5.998266666666666</v>
      </c>
      <c r="O54">
        <f t="shared" ca="1" si="105"/>
        <v>44.769000000000005</v>
      </c>
      <c r="P54">
        <f t="shared" ca="1" si="105"/>
        <v>45.922000000000025</v>
      </c>
      <c r="Q54" t="e">
        <f t="shared" ca="1" si="105"/>
        <v>#DIV/0!</v>
      </c>
      <c r="R54" t="e">
        <f t="shared" ca="1" si="105"/>
        <v>#DIV/0!</v>
      </c>
      <c r="S54" t="e">
        <f t="shared" ca="1" si="105"/>
        <v>#DIV/0!</v>
      </c>
      <c r="T54">
        <f t="shared" ca="1" si="105"/>
        <v>1.866164383561653</v>
      </c>
      <c r="U54" t="e">
        <f t="shared" ca="1" si="105"/>
        <v>#DIV/0!</v>
      </c>
      <c r="V54" s="2" t="e">
        <f t="shared" ca="1" si="105"/>
        <v>#DIV/0!</v>
      </c>
      <c r="W54" s="4">
        <f t="shared" ca="1" si="104"/>
        <v>6.4210000000000065</v>
      </c>
      <c r="X54" s="3">
        <f t="shared" ca="1" si="94"/>
        <v>4.3717333333333386</v>
      </c>
      <c r="Y54" s="3">
        <f t="shared" ca="1" si="95"/>
        <v>-5.7190000000000083</v>
      </c>
      <c r="Z54" s="3">
        <f t="shared" ca="1" si="96"/>
        <v>-1.2420000000000258</v>
      </c>
      <c r="AA54" s="3" t="e">
        <f t="shared" ca="1" si="97"/>
        <v>#DIV/0!</v>
      </c>
      <c r="AB54" s="3">
        <f>H54</f>
        <v>0</v>
      </c>
      <c r="AC54" s="3" t="e">
        <f t="shared" si="99"/>
        <v>#N/A</v>
      </c>
      <c r="AD54" s="3">
        <f t="shared" ca="1" si="100"/>
        <v>3.4938356164383473</v>
      </c>
      <c r="AE54" s="3" t="e">
        <f t="shared" si="101"/>
        <v>#N/A</v>
      </c>
      <c r="AF54" s="5" t="e">
        <f t="shared" si="102"/>
        <v>#N/A</v>
      </c>
      <c r="AG54">
        <f t="shared" si="103"/>
        <v>7.9450000000000003</v>
      </c>
      <c r="AH54">
        <f t="shared" si="83"/>
        <v>6.3216666666666654</v>
      </c>
      <c r="AI54">
        <f t="shared" si="84"/>
        <v>48.905000000000001</v>
      </c>
      <c r="AJ54">
        <f t="shared" si="85"/>
        <v>43.15</v>
      </c>
      <c r="AK54" t="e">
        <f t="shared" si="86"/>
        <v>#DIV/0!</v>
      </c>
      <c r="AL54" t="e">
        <f t="shared" si="87"/>
        <v>#DIV/0!</v>
      </c>
      <c r="AM54" t="e">
        <f t="shared" si="88"/>
        <v>#DIV/0!</v>
      </c>
      <c r="AN54">
        <f t="shared" si="89"/>
        <v>2.4350000000000001</v>
      </c>
      <c r="AO54" t="e">
        <f t="shared" si="90"/>
        <v>#DIV/0!</v>
      </c>
      <c r="AP54" s="2" t="e">
        <f t="shared" si="91"/>
        <v>#DIV/0!</v>
      </c>
    </row>
    <row r="55" spans="1:42" x14ac:dyDescent="0.25">
      <c r="A55" t="s">
        <v>78</v>
      </c>
      <c r="B55" s="2">
        <v>1988</v>
      </c>
      <c r="C55">
        <f t="shared" si="92"/>
        <v>11.980000000000004</v>
      </c>
      <c r="D55">
        <f t="shared" si="93"/>
        <v>10.170000000000002</v>
      </c>
      <c r="E55">
        <v>38.479999999999997</v>
      </c>
      <c r="F55">
        <v>49.54</v>
      </c>
      <c r="J55">
        <v>1.81</v>
      </c>
      <c r="M55">
        <f t="shared" ca="1" si="105"/>
        <v>3.9370126227209994</v>
      </c>
      <c r="N55">
        <f t="shared" ca="1" si="105"/>
        <v>0</v>
      </c>
      <c r="O55">
        <f t="shared" ca="1" si="105"/>
        <v>57.333253856942292</v>
      </c>
      <c r="P55">
        <f t="shared" ca="1" si="105"/>
        <v>38.729733520336595</v>
      </c>
      <c r="Q55" t="e">
        <f t="shared" ca="1" si="105"/>
        <v>#DIV/0!</v>
      </c>
      <c r="R55" t="e">
        <f t="shared" ca="1" si="105"/>
        <v>#DIV/0!</v>
      </c>
      <c r="S55" t="e">
        <f t="shared" ca="1" si="105"/>
        <v>#DIV/0!</v>
      </c>
      <c r="T55">
        <f t="shared" ca="1" si="105"/>
        <v>2.8766666666666652</v>
      </c>
      <c r="U55" t="e">
        <f t="shared" ca="1" si="105"/>
        <v>#DIV/0!</v>
      </c>
      <c r="V55" s="2" t="e">
        <f t="shared" ca="1" si="105"/>
        <v>#DIV/0!</v>
      </c>
      <c r="W55" s="4">
        <f t="shared" ca="1" si="104"/>
        <v>8.0429873772790046</v>
      </c>
      <c r="X55" s="3">
        <f t="shared" ca="1" si="94"/>
        <v>10.170000000000002</v>
      </c>
      <c r="Y55" s="3">
        <f t="shared" ca="1" si="95"/>
        <v>-18.853253856942295</v>
      </c>
      <c r="Z55" s="3">
        <f t="shared" ca="1" si="96"/>
        <v>10.810266479663404</v>
      </c>
      <c r="AA55" s="3" t="e">
        <f t="shared" si="97"/>
        <v>#N/A</v>
      </c>
      <c r="AB55" s="3" t="e">
        <f>IF(ISBLANK(H55),NA(),H55-R55)</f>
        <v>#N/A</v>
      </c>
      <c r="AC55" s="3" t="e">
        <f t="shared" si="99"/>
        <v>#N/A</v>
      </c>
      <c r="AD55" s="3">
        <f t="shared" ca="1" si="100"/>
        <v>-1.0666666666666651</v>
      </c>
      <c r="AE55" s="3" t="e">
        <f t="shared" si="101"/>
        <v>#N/A</v>
      </c>
      <c r="AF55" s="5" t="e">
        <f t="shared" si="102"/>
        <v>#N/A</v>
      </c>
      <c r="AG55">
        <f t="shared" si="103"/>
        <v>7.7133333333333338</v>
      </c>
      <c r="AH55">
        <f t="shared" si="83"/>
        <v>6.3916666666666657</v>
      </c>
      <c r="AI55">
        <f t="shared" si="84"/>
        <v>49.995000000000005</v>
      </c>
      <c r="AJ55">
        <f t="shared" si="85"/>
        <v>42.291666666666664</v>
      </c>
      <c r="AK55" t="e">
        <f t="shared" si="86"/>
        <v>#DIV/0!</v>
      </c>
      <c r="AL55" t="e">
        <f t="shared" si="87"/>
        <v>#DIV/0!</v>
      </c>
      <c r="AM55" t="e">
        <f t="shared" si="88"/>
        <v>#DIV/0!</v>
      </c>
      <c r="AN55">
        <f t="shared" si="89"/>
        <v>2.6433333333333331</v>
      </c>
      <c r="AO55" t="e">
        <f t="shared" si="90"/>
        <v>#DIV/0!</v>
      </c>
      <c r="AP55" s="2" t="e">
        <f t="shared" si="91"/>
        <v>#DIV/0!</v>
      </c>
    </row>
    <row r="56" spans="1:42" x14ac:dyDescent="0.25">
      <c r="A56" t="s">
        <v>79</v>
      </c>
      <c r="B56" s="2">
        <v>1984</v>
      </c>
      <c r="C56">
        <f t="shared" si="92"/>
        <v>8.2299999999999898</v>
      </c>
      <c r="D56">
        <f t="shared" si="93"/>
        <v>5.3799999999999955</v>
      </c>
      <c r="E56">
        <v>48.77</v>
      </c>
      <c r="F56">
        <v>43</v>
      </c>
      <c r="J56">
        <v>2.85</v>
      </c>
      <c r="M56">
        <f t="shared" ca="1" si="105"/>
        <v>1.6480254777068239</v>
      </c>
      <c r="N56">
        <f t="shared" ca="1" si="105"/>
        <v>0</v>
      </c>
      <c r="O56">
        <f t="shared" ca="1" si="105"/>
        <v>62.062101910828005</v>
      </c>
      <c r="P56">
        <f t="shared" ca="1" si="105"/>
        <v>36.289872611464943</v>
      </c>
      <c r="Q56" t="e">
        <f t="shared" ca="1" si="105"/>
        <v>#DIV/0!</v>
      </c>
      <c r="R56" t="e">
        <f t="shared" ca="1" si="105"/>
        <v>#DIV/0!</v>
      </c>
      <c r="S56" t="e">
        <f t="shared" ca="1" si="105"/>
        <v>#DIV/0!</v>
      </c>
      <c r="T56">
        <f t="shared" ca="1" si="105"/>
        <v>2.2099999999999795</v>
      </c>
      <c r="U56" t="e">
        <f t="shared" ca="1" si="105"/>
        <v>#DIV/0!</v>
      </c>
      <c r="V56" s="2" t="e">
        <f t="shared" ca="1" si="105"/>
        <v>#DIV/0!</v>
      </c>
      <c r="W56" s="4">
        <f t="shared" ca="1" si="104"/>
        <v>6.5819745222931658</v>
      </c>
      <c r="X56" s="3">
        <f t="shared" ca="1" si="94"/>
        <v>5.3799999999999955</v>
      </c>
      <c r="Y56" s="3">
        <f t="shared" ca="1" si="95"/>
        <v>-13.292101910828002</v>
      </c>
      <c r="Z56" s="3">
        <f t="shared" ca="1" si="96"/>
        <v>6.7101273885350565</v>
      </c>
      <c r="AA56" s="3">
        <f>G56-G57</f>
        <v>0</v>
      </c>
      <c r="AB56" s="3" t="e">
        <f>IF(ISBLANK(H56),NA(),H56-R56)</f>
        <v>#N/A</v>
      </c>
      <c r="AC56" s="3" t="e">
        <f t="shared" si="99"/>
        <v>#N/A</v>
      </c>
      <c r="AD56" s="3">
        <f t="shared" ca="1" si="100"/>
        <v>0.64000000000002055</v>
      </c>
      <c r="AE56" s="3" t="e">
        <f t="shared" si="101"/>
        <v>#N/A</v>
      </c>
      <c r="AF56" s="5" t="e">
        <f t="shared" si="102"/>
        <v>#N/A</v>
      </c>
      <c r="AG56">
        <f t="shared" si="103"/>
        <v>7.6100000000000021</v>
      </c>
      <c r="AH56">
        <f t="shared" si="83"/>
        <v>6.5939999999999994</v>
      </c>
      <c r="AI56">
        <f t="shared" si="84"/>
        <v>50.24</v>
      </c>
      <c r="AJ56">
        <f t="shared" si="85"/>
        <v>42.15</v>
      </c>
      <c r="AK56" t="e">
        <f t="shared" si="86"/>
        <v>#DIV/0!</v>
      </c>
      <c r="AL56" t="e">
        <f t="shared" si="87"/>
        <v>#DIV/0!</v>
      </c>
      <c r="AM56" t="e">
        <f t="shared" si="88"/>
        <v>#DIV/0!</v>
      </c>
      <c r="AN56">
        <f t="shared" si="89"/>
        <v>2.54</v>
      </c>
      <c r="AO56" t="e">
        <f t="shared" si="90"/>
        <v>#DIV/0!</v>
      </c>
      <c r="AP56" s="2" t="e">
        <f t="shared" si="91"/>
        <v>#DIV/0!</v>
      </c>
    </row>
    <row r="57" spans="1:42" x14ac:dyDescent="0.25">
      <c r="A57" t="s">
        <v>80</v>
      </c>
      <c r="B57" s="2">
        <v>1981</v>
      </c>
      <c r="C57">
        <f t="shared" si="92"/>
        <v>5.4399999999999977</v>
      </c>
      <c r="D57">
        <f t="shared" si="93"/>
        <v>3.0099999999999909</v>
      </c>
      <c r="E57">
        <v>55.73</v>
      </c>
      <c r="F57">
        <v>38.83</v>
      </c>
      <c r="J57">
        <v>2.4300000000000002</v>
      </c>
      <c r="W57" s="4"/>
      <c r="X57" s="3"/>
      <c r="Y57" s="3"/>
      <c r="Z57" s="3"/>
      <c r="AA57" s="3"/>
      <c r="AB57" s="3"/>
      <c r="AC57" s="3"/>
      <c r="AD57" s="3"/>
      <c r="AE57" s="3"/>
      <c r="AF57" s="5"/>
    </row>
    <row r="58" spans="1:42" x14ac:dyDescent="0.25">
      <c r="A58" t="s">
        <v>81</v>
      </c>
      <c r="B58" s="2">
        <v>1978</v>
      </c>
      <c r="C58">
        <f t="shared" si="92"/>
        <v>5.3499999999999943</v>
      </c>
      <c r="D58">
        <f t="shared" si="93"/>
        <v>2.6999999999999886</v>
      </c>
      <c r="E58">
        <v>57.77</v>
      </c>
      <c r="F58">
        <v>36.880000000000003</v>
      </c>
      <c r="J58">
        <v>2.65</v>
      </c>
      <c r="T58" s="34" t="s">
        <v>34</v>
      </c>
      <c r="U58" s="34"/>
      <c r="V58" s="35"/>
      <c r="W58" cm="1">
        <f t="array" aca="1" ref="W58" ca="1">INDEX(LINEST(W48:W56,W47:W55),1)</f>
        <v>0.29219269773633227</v>
      </c>
      <c r="X58" cm="1">
        <f t="array" aca="1" ref="X58" ca="1">INDEX(LINEST(X48:X56,X47:X55),1)</f>
        <v>0.61421464080189336</v>
      </c>
      <c r="Y58" cm="1">
        <f t="array" aca="1" ref="Y58" ca="1">INDEX(LINEST(Y48:Y56,Y47:Y55),1)</f>
        <v>0.46917624447567152</v>
      </c>
      <c r="Z58" cm="1">
        <f t="array" aca="1" ref="Z58" ca="1">INDEX(LINEST(Z48:Z56,Z47:Z55),1)</f>
        <v>0.34168786649231042</v>
      </c>
      <c r="AA58" t="e" cm="1">
        <f t="array" aca="1" ref="AA58" ca="1">INDEX(LINEST(AA48:AA56,AA47:AA55),1)</f>
        <v>#VALUE!</v>
      </c>
      <c r="AB58" t="e" cm="1">
        <f t="array" aca="1" ref="AB58" ca="1">INDEX(LINEST(AB48:AB56,AB47:AB55),1)</f>
        <v>#VALUE!</v>
      </c>
      <c r="AN58" s="8"/>
      <c r="AO58" s="8"/>
      <c r="AP58" s="9"/>
    </row>
    <row r="59" spans="1:42" x14ac:dyDescent="0.25">
      <c r="A59" t="s">
        <v>82</v>
      </c>
      <c r="B59" s="2">
        <v>1976</v>
      </c>
      <c r="C59">
        <f t="shared" si="92"/>
        <v>3.9300000000000068</v>
      </c>
      <c r="D59">
        <f t="shared" si="93"/>
        <v>3.9300000000000068</v>
      </c>
      <c r="E59">
        <v>49.75</v>
      </c>
      <c r="F59">
        <v>46.32</v>
      </c>
      <c r="T59" s="34" t="s">
        <v>35</v>
      </c>
      <c r="U59" s="34"/>
      <c r="V59" s="35"/>
      <c r="W59">
        <f t="shared" ref="W59:AB59" ca="1" si="106">AVERAGE(W47:W56)</f>
        <v>0.38817147424593801</v>
      </c>
      <c r="X59">
        <f t="shared" ca="1" si="106"/>
        <v>0.62678951999665034</v>
      </c>
      <c r="Y59">
        <f t="shared" ca="1" si="106"/>
        <v>-2.2336443182299415</v>
      </c>
      <c r="Z59">
        <f t="shared" ca="1" si="106"/>
        <v>1.6403241209257586</v>
      </c>
      <c r="AA59" t="e">
        <f t="shared" ca="1" si="106"/>
        <v>#DIV/0!</v>
      </c>
      <c r="AB59" t="e">
        <f t="shared" ca="1" si="106"/>
        <v>#N/A</v>
      </c>
      <c r="AN59" s="8"/>
      <c r="AO59" s="8"/>
      <c r="AP59" s="9"/>
    </row>
    <row r="60" spans="1:42" x14ac:dyDescent="0.25">
      <c r="A60" t="s">
        <v>83</v>
      </c>
      <c r="B60" s="2">
        <v>1973</v>
      </c>
      <c r="C60">
        <f t="shared" si="92"/>
        <v>12.740000000000009</v>
      </c>
      <c r="D60">
        <f t="shared" si="93"/>
        <v>12.740000000000009</v>
      </c>
      <c r="E60">
        <v>42.93</v>
      </c>
      <c r="F60">
        <v>44.33</v>
      </c>
      <c r="T60" s="34" t="s">
        <v>37</v>
      </c>
      <c r="U60" s="34"/>
      <c r="V60" s="35"/>
      <c r="W60">
        <f t="shared" ref="W60:AB60" ca="1" si="107">SQRT(SUMSQ(W47:W56)/COUNT(W47:W56))</f>
        <v>5.5363951130380311</v>
      </c>
      <c r="X60">
        <f t="shared" ca="1" si="107"/>
        <v>4.5810372179224856</v>
      </c>
      <c r="Y60">
        <f t="shared" ca="1" si="107"/>
        <v>10.422544052222642</v>
      </c>
      <c r="Z60">
        <f t="shared" ca="1" si="107"/>
        <v>9.7579315793737962</v>
      </c>
      <c r="AA60" t="e">
        <f t="shared" ca="1" si="107"/>
        <v>#DIV/0!</v>
      </c>
      <c r="AB60" t="e">
        <f t="shared" ca="1" si="107"/>
        <v>#N/A</v>
      </c>
      <c r="AN60" s="8"/>
      <c r="AO60" s="8"/>
      <c r="AP60" s="9"/>
    </row>
    <row r="61" spans="1:42" x14ac:dyDescent="0.25">
      <c r="A61" t="s">
        <v>84</v>
      </c>
      <c r="B61" s="2">
        <v>1971</v>
      </c>
      <c r="C61">
        <f t="shared" si="92"/>
        <v>10.590000000000003</v>
      </c>
      <c r="D61">
        <f t="shared" si="93"/>
        <v>10.590000000000003</v>
      </c>
      <c r="E61">
        <v>45.02</v>
      </c>
      <c r="F61">
        <v>44.39</v>
      </c>
    </row>
    <row r="63" spans="1:42" x14ac:dyDescent="0.25">
      <c r="C63" t="s">
        <v>8</v>
      </c>
      <c r="D63" t="s">
        <v>17</v>
      </c>
      <c r="E63" t="s">
        <v>1</v>
      </c>
      <c r="F63" t="s">
        <v>2</v>
      </c>
      <c r="G63" t="s">
        <v>3</v>
      </c>
      <c r="H63" t="s">
        <v>4</v>
      </c>
      <c r="I63" t="s">
        <v>23</v>
      </c>
      <c r="J63" t="s">
        <v>6</v>
      </c>
      <c r="K63" s="6" t="s">
        <v>69</v>
      </c>
      <c r="L63" s="2" t="s">
        <v>13</v>
      </c>
      <c r="M63" t="s">
        <v>8</v>
      </c>
      <c r="N63" t="s">
        <v>17</v>
      </c>
      <c r="O63" t="s">
        <v>1</v>
      </c>
      <c r="P63" t="s">
        <v>2</v>
      </c>
      <c r="Q63" t="s">
        <v>3</v>
      </c>
      <c r="R63" t="s">
        <v>4</v>
      </c>
      <c r="S63" t="s">
        <v>5</v>
      </c>
      <c r="T63" t="s">
        <v>6</v>
      </c>
      <c r="U63" t="s">
        <v>69</v>
      </c>
      <c r="V63" s="2" t="s">
        <v>71</v>
      </c>
      <c r="W63" t="s">
        <v>8</v>
      </c>
      <c r="X63" t="s">
        <v>17</v>
      </c>
      <c r="Y63" t="s">
        <v>1</v>
      </c>
      <c r="Z63" t="s">
        <v>2</v>
      </c>
      <c r="AA63" t="s">
        <v>3</v>
      </c>
      <c r="AB63" t="s">
        <v>4</v>
      </c>
      <c r="AC63" t="s">
        <v>5</v>
      </c>
      <c r="AD63" t="s">
        <v>6</v>
      </c>
      <c r="AE63" t="s">
        <v>69</v>
      </c>
      <c r="AF63" s="2" t="s">
        <v>71</v>
      </c>
      <c r="AG63" t="s">
        <v>8</v>
      </c>
      <c r="AH63" t="s">
        <v>17</v>
      </c>
      <c r="AI63" t="s">
        <v>1</v>
      </c>
      <c r="AJ63" t="s">
        <v>2</v>
      </c>
      <c r="AK63" t="s">
        <v>3</v>
      </c>
      <c r="AL63" t="s">
        <v>4</v>
      </c>
      <c r="AM63" t="s">
        <v>5</v>
      </c>
      <c r="AN63" t="s">
        <v>6</v>
      </c>
      <c r="AO63" t="s">
        <v>69</v>
      </c>
      <c r="AP63" s="2" t="s">
        <v>71</v>
      </c>
    </row>
    <row r="64" spans="1:42" x14ac:dyDescent="0.25">
      <c r="A64" t="s">
        <v>90</v>
      </c>
      <c r="B64" s="2">
        <v>2022</v>
      </c>
      <c r="M64">
        <f t="shared" ref="M64:M73" ca="1" si="108">MAX(0,_xlfn.FORECAST.LINEAR($B64,OFFSET(C65,0,0,$D$1),OFFSET($B65,0,0,$D$1)))</f>
        <v>11.509872204472799</v>
      </c>
      <c r="N64">
        <f t="shared" ref="N64:N73" ca="1" si="109">MAX(0,_xlfn.FORECAST.LINEAR($B64,OFFSET(D65,0,0,$D$1),OFFSET($B65,0,0,$D$1)))</f>
        <v>11.020888178913765</v>
      </c>
      <c r="O64">
        <f t="shared" ref="O64:O73" ca="1" si="110">MAX(0,_xlfn.FORECAST.LINEAR($B64,OFFSET(E65,0,0,$D$1),OFFSET($B65,0,0,$D$1)))</f>
        <v>37.177878594249137</v>
      </c>
      <c r="P64">
        <f t="shared" ref="P64:P73" ca="1" si="111">MAX(0,_xlfn.FORECAST.LINEAR($B64,OFFSET(F65,0,0,$D$1),OFFSET($B65,0,0,$D$1)))</f>
        <v>36.926939297124591</v>
      </c>
      <c r="Q64">
        <f t="shared" ref="Q64:Q73" ca="1" si="112">MAX(0,_xlfn.FORECAST.LINEAR($B64,OFFSET(G65,0,0,$D$1),OFFSET($B65,0,0,$D$1)))</f>
        <v>14.385309904153246</v>
      </c>
      <c r="R64" t="e">
        <f t="shared" ref="R64:R73" ca="1" si="113">MAX(0,_xlfn.FORECAST.LINEAR($B64,OFFSET(H65,0,0,$D$1),OFFSET($B65,0,0,$D$1)))</f>
        <v>#DIV/0!</v>
      </c>
      <c r="S64">
        <f t="shared" ref="S64:S73" ca="1" si="114">MAX(0,_xlfn.FORECAST.LINEAR($B64,OFFSET(I65,0,0,$D$1),OFFSET($B65,0,0,$D$1)))</f>
        <v>0.68791536050157021</v>
      </c>
      <c r="T64" t="e">
        <f t="shared" ref="T64:T73" ca="1" si="115">MAX(0,_xlfn.FORECAST.LINEAR($B64,OFFSET(J65,0,0,$D$1),OFFSET($B65,0,0,$D$1)))</f>
        <v>#DIV/0!</v>
      </c>
      <c r="U64" t="e">
        <f t="shared" ref="U64:U73" ca="1" si="116">MAX(0,_xlfn.FORECAST.LINEAR($B64,OFFSET(K65,0,0,$D$1),OFFSET($B65,0,0,$D$1)))</f>
        <v>#DIV/0!</v>
      </c>
      <c r="V64" s="2">
        <f t="shared" ref="V64:V73" ca="1" si="117">MAX(0,_xlfn.FORECAST.LINEAR($B64,OFFSET(L65,0,0,$D$1),OFFSET($B65,0,0,$D$1)))</f>
        <v>0</v>
      </c>
      <c r="AG64">
        <f>AVERAGE(C65:C70)</f>
        <v>7.5150000000000006</v>
      </c>
      <c r="AH64">
        <f t="shared" ref="AH64:AH73" si="118">AVERAGE(D65:D70)</f>
        <v>7.0999999999999988</v>
      </c>
      <c r="AI64">
        <f t="shared" ref="AI64:AI73" si="119">AVERAGE(E65:E70)</f>
        <v>42.298333333333339</v>
      </c>
      <c r="AJ64">
        <f t="shared" ref="AJ64:AJ73" si="120">AVERAGE(F65:F70)</f>
        <v>41.133333333333333</v>
      </c>
      <c r="AK64">
        <f t="shared" ref="AK64:AK73" si="121">AVERAGE(G65:G70)</f>
        <v>9.0533333333333328</v>
      </c>
      <c r="AL64">
        <f t="shared" ref="AL64:AL73" si="122">AVERAGE(H65:H70)</f>
        <v>0.28999999999999998</v>
      </c>
      <c r="AM64">
        <f t="shared" ref="AM64:AM73" si="123">AVERAGE(I65:I70)</f>
        <v>0.38400000000000001</v>
      </c>
      <c r="AN64">
        <f t="shared" ref="AN64:AN73" si="124">AVERAGE(J65:J70)</f>
        <v>0.28000000000000003</v>
      </c>
      <c r="AO64" t="e">
        <f t="shared" ref="AO64:AO73" si="125">AVERAGE(K65:K70)</f>
        <v>#DIV/0!</v>
      </c>
      <c r="AP64" s="2">
        <f t="shared" ref="AP64:AP73" si="126">AVERAGE(L65:L70)</f>
        <v>2.5633333333333335</v>
      </c>
    </row>
    <row r="65" spans="1:42" x14ac:dyDescent="0.25">
      <c r="A65" t="s">
        <v>91</v>
      </c>
      <c r="B65" s="2">
        <v>2018</v>
      </c>
      <c r="C65">
        <f t="shared" ref="C65:C79" si="127">100-SUM(E65:G65)</f>
        <v>11.240000000000009</v>
      </c>
      <c r="D65">
        <f t="shared" ref="D65:D79" si="128">100-SUM(E65:K65)</f>
        <v>10.550000000000011</v>
      </c>
      <c r="E65">
        <v>42.86</v>
      </c>
      <c r="F65">
        <v>35.19</v>
      </c>
      <c r="G65">
        <v>10.71</v>
      </c>
      <c r="I65">
        <v>0.69</v>
      </c>
      <c r="M65">
        <f t="shared" ca="1" si="108"/>
        <v>8.7901799856011849</v>
      </c>
      <c r="N65">
        <f t="shared" ca="1" si="109"/>
        <v>8.4196184305255883</v>
      </c>
      <c r="O65">
        <f t="shared" ca="1" si="110"/>
        <v>35.85866810655159</v>
      </c>
      <c r="P65">
        <f t="shared" ca="1" si="111"/>
        <v>39.036652267818567</v>
      </c>
      <c r="Q65">
        <f t="shared" ca="1" si="112"/>
        <v>15.321850828729112</v>
      </c>
      <c r="R65" t="e">
        <f t="shared" ca="1" si="113"/>
        <v>#DIV/0!</v>
      </c>
      <c r="S65">
        <f t="shared" ca="1" si="114"/>
        <v>0.48547495682210595</v>
      </c>
      <c r="T65" t="e">
        <f t="shared" ca="1" si="115"/>
        <v>#DIV/0!</v>
      </c>
      <c r="U65" t="e">
        <f t="shared" ca="1" si="116"/>
        <v>#DIV/0!</v>
      </c>
      <c r="V65" s="2">
        <f t="shared" ca="1" si="117"/>
        <v>0</v>
      </c>
      <c r="W65" s="4">
        <f t="shared" ref="W65:AF65" ca="1" si="129">IF(ISBLANK(C65),NA(),C65-M65)</f>
        <v>2.4498200143988242</v>
      </c>
      <c r="X65" s="3">
        <f t="shared" ca="1" si="129"/>
        <v>2.130381569474423</v>
      </c>
      <c r="Y65" s="3">
        <f t="shared" ca="1" si="129"/>
        <v>7.001331893448409</v>
      </c>
      <c r="Z65" s="3">
        <f t="shared" ca="1" si="129"/>
        <v>-3.8466522678185697</v>
      </c>
      <c r="AA65" s="3">
        <f t="shared" ca="1" si="129"/>
        <v>-4.6118508287291107</v>
      </c>
      <c r="AB65" s="3" t="e">
        <f t="shared" si="129"/>
        <v>#N/A</v>
      </c>
      <c r="AC65" s="3">
        <f t="shared" ca="1" si="129"/>
        <v>0.20452504317789399</v>
      </c>
      <c r="AD65" s="3" t="e">
        <f t="shared" si="129"/>
        <v>#N/A</v>
      </c>
      <c r="AE65" s="3" t="e">
        <f t="shared" si="129"/>
        <v>#N/A</v>
      </c>
      <c r="AF65" s="5" t="e">
        <f t="shared" si="129"/>
        <v>#N/A</v>
      </c>
      <c r="AG65">
        <f t="shared" ref="AG65:AG73" si="130">AVERAGE(C66:C71)</f>
        <v>6.673333333333332</v>
      </c>
      <c r="AH65">
        <f t="shared" si="118"/>
        <v>6.3733333333333304</v>
      </c>
      <c r="AI65">
        <f t="shared" si="119"/>
        <v>42.343333333333334</v>
      </c>
      <c r="AJ65">
        <f t="shared" si="120"/>
        <v>43.715000000000003</v>
      </c>
      <c r="AK65">
        <f t="shared" si="121"/>
        <v>8.7220000000000013</v>
      </c>
      <c r="AL65">
        <f t="shared" si="122"/>
        <v>0.28999999999999998</v>
      </c>
      <c r="AM65">
        <f t="shared" si="123"/>
        <v>0.3075</v>
      </c>
      <c r="AN65">
        <f t="shared" si="124"/>
        <v>0.28000000000000003</v>
      </c>
      <c r="AO65" t="e">
        <f t="shared" si="125"/>
        <v>#DIV/0!</v>
      </c>
      <c r="AP65" s="2">
        <f t="shared" si="126"/>
        <v>2.5633333333333335</v>
      </c>
    </row>
    <row r="66" spans="1:42" x14ac:dyDescent="0.25">
      <c r="A66" t="s">
        <v>92</v>
      </c>
      <c r="B66" s="2">
        <v>2014</v>
      </c>
      <c r="C66">
        <f t="shared" si="127"/>
        <v>8.4200000000000017</v>
      </c>
      <c r="D66">
        <f t="shared" si="128"/>
        <v>8.3400000000000034</v>
      </c>
      <c r="E66">
        <v>38.1</v>
      </c>
      <c r="F66">
        <v>42</v>
      </c>
      <c r="G66">
        <v>11.48</v>
      </c>
      <c r="I66">
        <v>0.08</v>
      </c>
      <c r="L66" s="2">
        <v>1.1100000000000001</v>
      </c>
      <c r="M66">
        <f t="shared" ca="1" si="108"/>
        <v>6.1079323597232928</v>
      </c>
      <c r="N66">
        <f t="shared" ca="1" si="109"/>
        <v>5.4812298232129422</v>
      </c>
      <c r="O66">
        <f t="shared" ca="1" si="110"/>
        <v>41.145026902382796</v>
      </c>
      <c r="P66">
        <f t="shared" ca="1" si="111"/>
        <v>37.441137586471996</v>
      </c>
      <c r="Q66">
        <f t="shared" ca="1" si="112"/>
        <v>15.704509090909141</v>
      </c>
      <c r="R66" t="e">
        <f t="shared" ca="1" si="113"/>
        <v>#DIV/0!</v>
      </c>
      <c r="S66">
        <f t="shared" ca="1" si="114"/>
        <v>1.1093298969072123</v>
      </c>
      <c r="T66">
        <f t="shared" ca="1" si="115"/>
        <v>0.4728571428571442</v>
      </c>
      <c r="U66" t="e">
        <f t="shared" ca="1" si="116"/>
        <v>#DIV/0!</v>
      </c>
      <c r="V66" s="2">
        <f t="shared" ca="1" si="117"/>
        <v>0.28999999999996362</v>
      </c>
      <c r="W66" s="4">
        <f t="shared" ref="W66:W73" ca="1" si="131">IF(ISBLANK(C66),NA(),C66-M66)</f>
        <v>2.3120676402767089</v>
      </c>
      <c r="X66" s="3">
        <f t="shared" ref="X66:X73" ca="1" si="132">IF(ISBLANK(D66),NA(),D66-N66)</f>
        <v>2.8587701767870612</v>
      </c>
      <c r="Y66" s="3">
        <f t="shared" ref="Y66:Y73" ca="1" si="133">IF(ISBLANK(E66),NA(),E66-O66)</f>
        <v>-3.0450269023827943</v>
      </c>
      <c r="Z66" s="3">
        <f t="shared" ref="Z66:Z73" ca="1" si="134">IF(ISBLANK(F66),NA(),F66-P66)</f>
        <v>4.5588624135280043</v>
      </c>
      <c r="AA66" s="3">
        <f t="shared" ref="AA66:AA73" ca="1" si="135">IF(ISBLANK(G66),NA(),G66-Q66)</f>
        <v>-4.224509090909141</v>
      </c>
      <c r="AB66" s="3" t="e">
        <f t="shared" ref="AB66:AB73" si="136">IF(ISBLANK(H66),NA(),H66-R66)</f>
        <v>#N/A</v>
      </c>
      <c r="AC66" s="3">
        <f t="shared" ref="AC66:AC73" ca="1" si="137">IF(ISBLANK(I66),NA(),I66-S66)</f>
        <v>-1.0293298969072122</v>
      </c>
      <c r="AD66" s="3" t="e">
        <f t="shared" ref="AD66:AD73" si="138">IF(ISBLANK(J66),NA(),J66-T66)</f>
        <v>#N/A</v>
      </c>
      <c r="AE66" s="3" t="e">
        <f t="shared" ref="AE66:AE73" si="139">IF(ISBLANK(K66),NA(),K66-U66)</f>
        <v>#N/A</v>
      </c>
      <c r="AF66" s="5">
        <f t="shared" ref="AF66:AF73" ca="1" si="140">IF(ISBLANK(L66),NA(),L66-V66)</f>
        <v>0.82000000000003648</v>
      </c>
      <c r="AG66">
        <f t="shared" si="130"/>
        <v>6.8699999999999974</v>
      </c>
      <c r="AH66">
        <f t="shared" si="118"/>
        <v>6.5516666666666623</v>
      </c>
      <c r="AI66">
        <f t="shared" si="119"/>
        <v>42.395000000000003</v>
      </c>
      <c r="AJ66">
        <f t="shared" si="120"/>
        <v>45.38</v>
      </c>
      <c r="AK66">
        <f t="shared" si="121"/>
        <v>8.0325000000000006</v>
      </c>
      <c r="AL66">
        <f t="shared" si="122"/>
        <v>0.28999999999999998</v>
      </c>
      <c r="AM66">
        <f t="shared" si="123"/>
        <v>0.38333333333333336</v>
      </c>
      <c r="AN66">
        <f t="shared" si="124"/>
        <v>0.23500000000000001</v>
      </c>
      <c r="AO66" t="e">
        <f t="shared" si="125"/>
        <v>#DIV/0!</v>
      </c>
      <c r="AP66" s="2">
        <f t="shared" si="126"/>
        <v>3.29</v>
      </c>
    </row>
    <row r="67" spans="1:42" x14ac:dyDescent="0.25">
      <c r="A67" t="s">
        <v>93</v>
      </c>
      <c r="B67" s="2">
        <v>2010</v>
      </c>
      <c r="C67">
        <f t="shared" si="127"/>
        <v>7.7599999999999909</v>
      </c>
      <c r="D67">
        <f t="shared" si="128"/>
        <v>6.8699999999999903</v>
      </c>
      <c r="E67">
        <v>36.25</v>
      </c>
      <c r="F67">
        <v>44.78</v>
      </c>
      <c r="G67">
        <v>11.21</v>
      </c>
      <c r="I67">
        <v>0.89</v>
      </c>
      <c r="L67" s="2">
        <v>2.29</v>
      </c>
      <c r="M67">
        <f t="shared" ca="1" si="108"/>
        <v>5.9381091468101488</v>
      </c>
      <c r="N67">
        <f t="shared" ca="1" si="109"/>
        <v>6.217671022290542</v>
      </c>
      <c r="O67">
        <f t="shared" ca="1" si="110"/>
        <v>45.306518063028449</v>
      </c>
      <c r="P67">
        <f t="shared" ca="1" si="111"/>
        <v>37.11159877017667</v>
      </c>
      <c r="Q67">
        <f t="shared" ca="1" si="112"/>
        <v>16.215810810811035</v>
      </c>
      <c r="R67" t="e">
        <f t="shared" ca="1" si="113"/>
        <v>#DIV/0!</v>
      </c>
      <c r="S67">
        <f t="shared" ca="1" si="114"/>
        <v>1.0276073619632342E-2</v>
      </c>
      <c r="T67">
        <f t="shared" ca="1" si="115"/>
        <v>0</v>
      </c>
      <c r="U67" t="e">
        <f t="shared" ca="1" si="116"/>
        <v>#DIV/0!</v>
      </c>
      <c r="V67" s="2" t="e">
        <f t="shared" ca="1" si="117"/>
        <v>#DIV/0!</v>
      </c>
      <c r="W67" s="4">
        <f t="shared" ca="1" si="131"/>
        <v>1.8218908531898421</v>
      </c>
      <c r="X67" s="3">
        <f t="shared" ca="1" si="132"/>
        <v>0.65232897770944831</v>
      </c>
      <c r="Y67" s="3">
        <f t="shared" ca="1" si="133"/>
        <v>-9.0565180630284488</v>
      </c>
      <c r="Z67" s="3">
        <f t="shared" ca="1" si="134"/>
        <v>7.6684012298233313</v>
      </c>
      <c r="AA67" s="3">
        <f t="shared" ca="1" si="135"/>
        <v>-5.0058108108110346</v>
      </c>
      <c r="AB67" s="3" t="e">
        <f t="shared" si="136"/>
        <v>#N/A</v>
      </c>
      <c r="AC67" s="3">
        <f t="shared" ca="1" si="137"/>
        <v>0.87972392638036767</v>
      </c>
      <c r="AD67" s="3" t="e">
        <f t="shared" si="138"/>
        <v>#N/A</v>
      </c>
      <c r="AE67" s="3" t="e">
        <f t="shared" si="139"/>
        <v>#N/A</v>
      </c>
      <c r="AF67" s="5" t="e">
        <f t="shared" ca="1" si="140"/>
        <v>#DIV/0!</v>
      </c>
      <c r="AG67">
        <f t="shared" si="130"/>
        <v>6.44</v>
      </c>
      <c r="AH67">
        <f t="shared" si="118"/>
        <v>6.0533333333333319</v>
      </c>
      <c r="AI67">
        <f t="shared" si="119"/>
        <v>44.111666666666672</v>
      </c>
      <c r="AJ67">
        <f t="shared" si="120"/>
        <v>45.961666666666673</v>
      </c>
      <c r="AK67">
        <f t="shared" si="121"/>
        <v>6.9733333333333327</v>
      </c>
      <c r="AL67">
        <f t="shared" si="122"/>
        <v>0.28999999999999998</v>
      </c>
      <c r="AM67">
        <f t="shared" si="123"/>
        <v>0.17</v>
      </c>
      <c r="AN67">
        <f t="shared" si="124"/>
        <v>0.50666666666666671</v>
      </c>
      <c r="AO67" t="e">
        <f t="shared" si="125"/>
        <v>#DIV/0!</v>
      </c>
      <c r="AP67" s="2">
        <f t="shared" si="126"/>
        <v>4.29</v>
      </c>
    </row>
    <row r="68" spans="1:42" x14ac:dyDescent="0.25">
      <c r="A68" t="s">
        <v>94</v>
      </c>
      <c r="B68" s="2">
        <v>2006</v>
      </c>
      <c r="C68">
        <f t="shared" si="127"/>
        <v>7.3000000000000114</v>
      </c>
      <c r="D68">
        <f t="shared" si="128"/>
        <v>7.3000000000000114</v>
      </c>
      <c r="E68">
        <v>43.06</v>
      </c>
      <c r="F68">
        <v>39.6</v>
      </c>
      <c r="G68">
        <v>10.039999999999999</v>
      </c>
      <c r="L68" s="2">
        <v>4.29</v>
      </c>
      <c r="M68">
        <f t="shared" ca="1" si="108"/>
        <v>7.0657187499999736</v>
      </c>
      <c r="N68">
        <f t="shared" ca="1" si="109"/>
        <v>6.8603906250000364</v>
      </c>
      <c r="O68">
        <f t="shared" ca="1" si="110"/>
        <v>44.231687500000021</v>
      </c>
      <c r="P68">
        <f t="shared" ca="1" si="111"/>
        <v>41.847046874999933</v>
      </c>
      <c r="Q68">
        <f t="shared" ca="1" si="112"/>
        <v>21.170000000000073</v>
      </c>
      <c r="R68" t="e">
        <f t="shared" ca="1" si="113"/>
        <v>#DIV/0!</v>
      </c>
      <c r="S68">
        <f t="shared" ca="1" si="114"/>
        <v>5.7024539877300384E-2</v>
      </c>
      <c r="T68">
        <f t="shared" ca="1" si="115"/>
        <v>0</v>
      </c>
      <c r="U68" t="e">
        <f t="shared" ca="1" si="116"/>
        <v>#DIV/0!</v>
      </c>
      <c r="V68" s="2" t="e">
        <f t="shared" ca="1" si="117"/>
        <v>#DIV/0!</v>
      </c>
      <c r="W68" s="4">
        <f t="shared" ca="1" si="131"/>
        <v>0.23428125000003774</v>
      </c>
      <c r="X68" s="3">
        <f t="shared" ca="1" si="132"/>
        <v>0.43960937499997499</v>
      </c>
      <c r="Y68" s="3">
        <f t="shared" ca="1" si="133"/>
        <v>-1.1716875000000186</v>
      </c>
      <c r="Z68" s="3">
        <f t="shared" ca="1" si="134"/>
        <v>-2.2470468749999313</v>
      </c>
      <c r="AA68" s="3">
        <f t="shared" ca="1" si="135"/>
        <v>-11.130000000000074</v>
      </c>
      <c r="AB68" s="3" t="e">
        <f t="shared" si="136"/>
        <v>#N/A</v>
      </c>
      <c r="AC68" s="3" t="e">
        <f t="shared" si="137"/>
        <v>#N/A</v>
      </c>
      <c r="AD68" s="3" t="e">
        <f t="shared" si="138"/>
        <v>#N/A</v>
      </c>
      <c r="AE68" s="3" t="e">
        <f t="shared" si="139"/>
        <v>#N/A</v>
      </c>
      <c r="AF68" s="5" t="e">
        <f t="shared" ca="1" si="140"/>
        <v>#DIV/0!</v>
      </c>
      <c r="AG68">
        <f t="shared" si="130"/>
        <v>5.3633333333333324</v>
      </c>
      <c r="AH68">
        <f t="shared" si="118"/>
        <v>4.9766666666666639</v>
      </c>
      <c r="AI68">
        <f t="shared" si="119"/>
        <v>45.27</v>
      </c>
      <c r="AJ68">
        <f t="shared" si="120"/>
        <v>47.553333333333335</v>
      </c>
      <c r="AK68">
        <f t="shared" si="121"/>
        <v>5.44</v>
      </c>
      <c r="AL68">
        <f t="shared" si="122"/>
        <v>0.28999999999999998</v>
      </c>
      <c r="AM68">
        <f t="shared" si="123"/>
        <v>0.17</v>
      </c>
      <c r="AN68">
        <f t="shared" si="124"/>
        <v>0.50666666666666671</v>
      </c>
      <c r="AO68" t="e">
        <f t="shared" si="125"/>
        <v>#DIV/0!</v>
      </c>
      <c r="AP68" s="2" t="e">
        <f t="shared" si="126"/>
        <v>#DIV/0!</v>
      </c>
    </row>
    <row r="69" spans="1:42" x14ac:dyDescent="0.25">
      <c r="A69" t="s">
        <v>95</v>
      </c>
      <c r="B69" s="2">
        <v>2002</v>
      </c>
      <c r="C69">
        <f t="shared" si="127"/>
        <v>4.1099999999999994</v>
      </c>
      <c r="D69">
        <f t="shared" si="128"/>
        <v>4.0699999999999932</v>
      </c>
      <c r="E69">
        <v>47.95</v>
      </c>
      <c r="F69">
        <v>38.21</v>
      </c>
      <c r="G69">
        <v>9.73</v>
      </c>
      <c r="I69">
        <v>0.04</v>
      </c>
      <c r="M69">
        <f t="shared" ca="1" si="108"/>
        <v>7.5987499999999955</v>
      </c>
      <c r="N69">
        <f t="shared" ca="1" si="109"/>
        <v>8.6232031250000318</v>
      </c>
      <c r="O69">
        <f t="shared" ca="1" si="110"/>
        <v>40.761093749999986</v>
      </c>
      <c r="P69">
        <f t="shared" ca="1" si="111"/>
        <v>50.903437499999995</v>
      </c>
      <c r="Q69" t="e">
        <f t="shared" ca="1" si="112"/>
        <v>#DIV/0!</v>
      </c>
      <c r="R69" t="e">
        <f t="shared" ca="1" si="113"/>
        <v>#DIV/0!</v>
      </c>
      <c r="S69">
        <f t="shared" ca="1" si="114"/>
        <v>0.18952914798206244</v>
      </c>
      <c r="T69">
        <f t="shared" ca="1" si="115"/>
        <v>0</v>
      </c>
      <c r="U69" t="e">
        <f t="shared" ca="1" si="116"/>
        <v>#DIV/0!</v>
      </c>
      <c r="V69" s="2" t="e">
        <f t="shared" ca="1" si="117"/>
        <v>#DIV/0!</v>
      </c>
      <c r="W69" s="4">
        <f t="shared" ca="1" si="131"/>
        <v>-3.488749999999996</v>
      </c>
      <c r="X69" s="3">
        <f t="shared" ca="1" si="132"/>
        <v>-4.5532031250000387</v>
      </c>
      <c r="Y69" s="3">
        <f t="shared" ca="1" si="133"/>
        <v>7.1889062500000165</v>
      </c>
      <c r="Z69" s="3">
        <f t="shared" ca="1" si="134"/>
        <v>-12.693437499999995</v>
      </c>
      <c r="AA69" s="3" t="e">
        <f t="shared" ca="1" si="135"/>
        <v>#DIV/0!</v>
      </c>
      <c r="AB69" s="3" t="e">
        <f t="shared" si="136"/>
        <v>#N/A</v>
      </c>
      <c r="AC69" s="3">
        <f t="shared" ca="1" si="137"/>
        <v>-0.14952914798206243</v>
      </c>
      <c r="AD69" s="3" t="e">
        <f t="shared" si="138"/>
        <v>#N/A</v>
      </c>
      <c r="AE69" s="3" t="e">
        <f t="shared" si="139"/>
        <v>#N/A</v>
      </c>
      <c r="AF69" s="5" t="e">
        <f t="shared" si="140"/>
        <v>#N/A</v>
      </c>
      <c r="AG69">
        <f t="shared" si="130"/>
        <v>5.7933333333333321</v>
      </c>
      <c r="AH69">
        <f t="shared" si="118"/>
        <v>4.4733333333333318</v>
      </c>
      <c r="AI69">
        <f t="shared" si="119"/>
        <v>45.613333333333337</v>
      </c>
      <c r="AJ69">
        <f t="shared" si="120"/>
        <v>48.401666666666671</v>
      </c>
      <c r="AK69">
        <f t="shared" si="121"/>
        <v>1.1499999999999999</v>
      </c>
      <c r="AL69">
        <f t="shared" si="122"/>
        <v>0.28999999999999998</v>
      </c>
      <c r="AM69">
        <f t="shared" si="123"/>
        <v>0.27</v>
      </c>
      <c r="AN69">
        <f t="shared" si="124"/>
        <v>1.7050000000000001</v>
      </c>
      <c r="AO69" t="e">
        <f t="shared" si="125"/>
        <v>#DIV/0!</v>
      </c>
      <c r="AP69" s="2" t="e">
        <f t="shared" si="126"/>
        <v>#DIV/0!</v>
      </c>
    </row>
    <row r="70" spans="1:42" x14ac:dyDescent="0.25">
      <c r="A70" t="s">
        <v>96</v>
      </c>
      <c r="B70" s="2">
        <v>1999</v>
      </c>
      <c r="C70">
        <f t="shared" si="127"/>
        <v>6.2599999999999909</v>
      </c>
      <c r="D70">
        <f t="shared" si="128"/>
        <v>5.4699999999999847</v>
      </c>
      <c r="E70">
        <v>45.57</v>
      </c>
      <c r="F70">
        <v>47.02</v>
      </c>
      <c r="G70">
        <v>1.1499999999999999</v>
      </c>
      <c r="H70">
        <v>0.28999999999999998</v>
      </c>
      <c r="I70">
        <v>0.22</v>
      </c>
      <c r="J70">
        <v>0.28000000000000003</v>
      </c>
      <c r="M70">
        <f t="shared" ca="1" si="108"/>
        <v>6.7566666666666606</v>
      </c>
      <c r="N70">
        <f t="shared" ca="1" si="109"/>
        <v>8.9646000000000186</v>
      </c>
      <c r="O70">
        <f t="shared" ca="1" si="110"/>
        <v>40.448266666666541</v>
      </c>
      <c r="P70">
        <f t="shared" ca="1" si="111"/>
        <v>52.795066666666685</v>
      </c>
      <c r="Q70" t="e">
        <f t="shared" ca="1" si="112"/>
        <v>#DIV/0!</v>
      </c>
      <c r="R70" t="e">
        <f t="shared" ca="1" si="113"/>
        <v>#DIV/0!</v>
      </c>
      <c r="S70">
        <f t="shared" ca="1" si="114"/>
        <v>0</v>
      </c>
      <c r="T70">
        <f t="shared" ca="1" si="115"/>
        <v>0</v>
      </c>
      <c r="U70" t="e">
        <f t="shared" ca="1" si="116"/>
        <v>#DIV/0!</v>
      </c>
      <c r="V70" s="2" t="e">
        <f t="shared" ca="1" si="117"/>
        <v>#DIV/0!</v>
      </c>
      <c r="W70" s="4">
        <f t="shared" ca="1" si="131"/>
        <v>-0.4966666666666697</v>
      </c>
      <c r="X70" s="3">
        <f t="shared" ca="1" si="132"/>
        <v>-3.4946000000000339</v>
      </c>
      <c r="Y70" s="3">
        <f t="shared" ca="1" si="133"/>
        <v>5.1217333333334594</v>
      </c>
      <c r="Z70" s="3">
        <f t="shared" ca="1" si="134"/>
        <v>-5.7750666666666817</v>
      </c>
      <c r="AA70" s="3" t="e">
        <f t="shared" ca="1" si="135"/>
        <v>#DIV/0!</v>
      </c>
      <c r="AB70" s="3" t="e">
        <f t="shared" ca="1" si="136"/>
        <v>#DIV/0!</v>
      </c>
      <c r="AC70" s="3">
        <f t="shared" ca="1" si="137"/>
        <v>0.22</v>
      </c>
      <c r="AD70" s="3">
        <f t="shared" ca="1" si="138"/>
        <v>0.28000000000000003</v>
      </c>
      <c r="AE70" s="3" t="e">
        <f t="shared" si="139"/>
        <v>#N/A</v>
      </c>
      <c r="AF70" s="5" t="e">
        <f t="shared" si="140"/>
        <v>#N/A</v>
      </c>
      <c r="AG70">
        <f t="shared" si="130"/>
        <v>6.0366666666666662</v>
      </c>
      <c r="AH70">
        <f t="shared" si="118"/>
        <v>3.8699999999999997</v>
      </c>
      <c r="AI70">
        <f t="shared" si="119"/>
        <v>45.556666666666665</v>
      </c>
      <c r="AJ70">
        <f t="shared" si="120"/>
        <v>48.406666666666666</v>
      </c>
      <c r="AK70" t="e">
        <f t="shared" si="121"/>
        <v>#DIV/0!</v>
      </c>
      <c r="AL70" t="e">
        <f t="shared" si="122"/>
        <v>#DIV/0!</v>
      </c>
      <c r="AM70">
        <f t="shared" si="123"/>
        <v>0.3666666666666667</v>
      </c>
      <c r="AN70">
        <f t="shared" si="124"/>
        <v>2.9750000000000001</v>
      </c>
      <c r="AO70" t="e">
        <f t="shared" si="125"/>
        <v>#DIV/0!</v>
      </c>
      <c r="AP70" s="2" t="e">
        <f t="shared" si="126"/>
        <v>#DIV/0!</v>
      </c>
    </row>
    <row r="71" spans="1:42" x14ac:dyDescent="0.25">
      <c r="A71" t="s">
        <v>97</v>
      </c>
      <c r="B71" s="2">
        <v>1996</v>
      </c>
      <c r="C71">
        <f t="shared" si="127"/>
        <v>6.1899999999999977</v>
      </c>
      <c r="D71">
        <f t="shared" si="128"/>
        <v>6.1899999999999977</v>
      </c>
      <c r="E71">
        <v>43.13</v>
      </c>
      <c r="F71">
        <v>50.68</v>
      </c>
      <c r="M71">
        <f t="shared" ca="1" si="108"/>
        <v>7.2633076923077056</v>
      </c>
      <c r="N71">
        <f t="shared" ca="1" si="109"/>
        <v>8.1785576923075496</v>
      </c>
      <c r="O71">
        <f t="shared" ca="1" si="110"/>
        <v>43.217153846153849</v>
      </c>
      <c r="P71">
        <f t="shared" ca="1" si="111"/>
        <v>49.51953846153846</v>
      </c>
      <c r="Q71" t="e">
        <f t="shared" ca="1" si="112"/>
        <v>#DIV/0!</v>
      </c>
      <c r="R71" t="e">
        <f t="shared" ca="1" si="113"/>
        <v>#DIV/0!</v>
      </c>
      <c r="S71">
        <f t="shared" ca="1" si="114"/>
        <v>0</v>
      </c>
      <c r="T71">
        <f t="shared" ca="1" si="115"/>
        <v>0</v>
      </c>
      <c r="U71" t="e">
        <f t="shared" ca="1" si="116"/>
        <v>#DIV/0!</v>
      </c>
      <c r="V71" s="2" t="e">
        <f t="shared" ca="1" si="117"/>
        <v>#DIV/0!</v>
      </c>
      <c r="W71" s="4">
        <f t="shared" ca="1" si="131"/>
        <v>-1.0733076923077078</v>
      </c>
      <c r="X71" s="3">
        <f t="shared" ca="1" si="132"/>
        <v>-1.9885576923075519</v>
      </c>
      <c r="Y71" s="3">
        <f t="shared" ca="1" si="133"/>
        <v>-8.7153846153846359E-2</v>
      </c>
      <c r="Z71" s="3">
        <f t="shared" ca="1" si="134"/>
        <v>1.16046153846154</v>
      </c>
      <c r="AA71" s="3" t="e">
        <f t="shared" si="135"/>
        <v>#N/A</v>
      </c>
      <c r="AB71" s="3" t="e">
        <f t="shared" si="136"/>
        <v>#N/A</v>
      </c>
      <c r="AC71" s="3" t="e">
        <f t="shared" si="137"/>
        <v>#N/A</v>
      </c>
      <c r="AD71" s="3" t="e">
        <f t="shared" si="138"/>
        <v>#N/A</v>
      </c>
      <c r="AE71" s="3" t="e">
        <f t="shared" si="139"/>
        <v>#N/A</v>
      </c>
      <c r="AF71" s="5" t="e">
        <f t="shared" si="140"/>
        <v>#N/A</v>
      </c>
      <c r="AG71">
        <f t="shared" si="130"/>
        <v>5.7766666666666664</v>
      </c>
      <c r="AH71">
        <f t="shared" si="118"/>
        <v>3.1799999999999997</v>
      </c>
      <c r="AI71">
        <f t="shared" si="119"/>
        <v>45.44</v>
      </c>
      <c r="AJ71">
        <f t="shared" si="120"/>
        <v>48.783333333333331</v>
      </c>
      <c r="AK71" t="e">
        <f t="shared" si="121"/>
        <v>#DIV/0!</v>
      </c>
      <c r="AL71" t="e">
        <f t="shared" si="122"/>
        <v>#DIV/0!</v>
      </c>
      <c r="AM71">
        <f t="shared" si="123"/>
        <v>0.92</v>
      </c>
      <c r="AN71">
        <f t="shared" si="124"/>
        <v>2.9750000000000001</v>
      </c>
      <c r="AO71" t="e">
        <f t="shared" si="125"/>
        <v>#DIV/0!</v>
      </c>
      <c r="AP71" s="2" t="e">
        <f t="shared" si="126"/>
        <v>#DIV/0!</v>
      </c>
    </row>
    <row r="72" spans="1:42" x14ac:dyDescent="0.25">
      <c r="A72" t="s">
        <v>98</v>
      </c>
      <c r="B72" s="2">
        <v>1992</v>
      </c>
      <c r="C72">
        <f t="shared" si="127"/>
        <v>9.5999999999999943</v>
      </c>
      <c r="D72">
        <f t="shared" si="128"/>
        <v>9.4099999999999966</v>
      </c>
      <c r="E72">
        <v>38.409999999999997</v>
      </c>
      <c r="F72">
        <v>51.99</v>
      </c>
      <c r="J72">
        <v>0.19</v>
      </c>
      <c r="M72">
        <f t="shared" ca="1" si="108"/>
        <v>1.8114285714285643</v>
      </c>
      <c r="N72">
        <f t="shared" ca="1" si="109"/>
        <v>2.3750476190476277</v>
      </c>
      <c r="O72">
        <f t="shared" ca="1" si="110"/>
        <v>51.692666666666696</v>
      </c>
      <c r="P72">
        <f t="shared" ca="1" si="111"/>
        <v>46.495904761904796</v>
      </c>
      <c r="Q72" t="e">
        <f t="shared" ca="1" si="112"/>
        <v>#DIV/0!</v>
      </c>
      <c r="R72" t="e">
        <f t="shared" ca="1" si="113"/>
        <v>#DIV/0!</v>
      </c>
      <c r="S72">
        <f t="shared" ca="1" si="114"/>
        <v>0</v>
      </c>
      <c r="T72">
        <f t="shared" ca="1" si="115"/>
        <v>0</v>
      </c>
      <c r="U72" t="e">
        <f t="shared" ca="1" si="116"/>
        <v>#DIV/0!</v>
      </c>
      <c r="V72" s="2" t="e">
        <f t="shared" ca="1" si="117"/>
        <v>#DIV/0!</v>
      </c>
      <c r="W72" s="4">
        <f t="shared" ca="1" si="131"/>
        <v>7.78857142857143</v>
      </c>
      <c r="X72" s="3">
        <f t="shared" ca="1" si="132"/>
        <v>7.0349523809523689</v>
      </c>
      <c r="Y72" s="3">
        <f t="shared" ca="1" si="133"/>
        <v>-13.282666666666699</v>
      </c>
      <c r="Z72" s="3">
        <f t="shared" ca="1" si="134"/>
        <v>5.4940952380952055</v>
      </c>
      <c r="AA72" s="3" t="e">
        <f t="shared" si="135"/>
        <v>#N/A</v>
      </c>
      <c r="AB72" s="3" t="e">
        <f t="shared" si="136"/>
        <v>#N/A</v>
      </c>
      <c r="AC72" s="3" t="e">
        <f t="shared" si="137"/>
        <v>#N/A</v>
      </c>
      <c r="AD72" s="3">
        <f t="shared" ca="1" si="138"/>
        <v>0.19</v>
      </c>
      <c r="AE72" s="3" t="e">
        <f t="shared" si="139"/>
        <v>#N/A</v>
      </c>
      <c r="AF72" s="5" t="e">
        <f t="shared" si="140"/>
        <v>#N/A</v>
      </c>
      <c r="AG72">
        <f t="shared" si="130"/>
        <v>5.8583333333333343</v>
      </c>
      <c r="AH72">
        <f t="shared" si="118"/>
        <v>1.9949999999999999</v>
      </c>
      <c r="AI72">
        <f t="shared" si="119"/>
        <v>45.973333333333329</v>
      </c>
      <c r="AJ72">
        <f t="shared" si="120"/>
        <v>48.168333333333329</v>
      </c>
      <c r="AK72" t="e">
        <f t="shared" si="121"/>
        <v>#DIV/0!</v>
      </c>
      <c r="AL72" t="e">
        <f t="shared" si="122"/>
        <v>#DIV/0!</v>
      </c>
      <c r="AM72">
        <f t="shared" si="123"/>
        <v>2.294</v>
      </c>
      <c r="AN72">
        <f t="shared" si="124"/>
        <v>3.9033333333333338</v>
      </c>
      <c r="AO72" t="e">
        <f t="shared" si="125"/>
        <v>#DIV/0!</v>
      </c>
      <c r="AP72" s="2" t="e">
        <f t="shared" si="126"/>
        <v>#DIV/0!</v>
      </c>
    </row>
    <row r="73" spans="1:42" x14ac:dyDescent="0.25">
      <c r="A73" t="s">
        <v>99</v>
      </c>
      <c r="B73" s="2">
        <v>1988</v>
      </c>
      <c r="C73">
        <f t="shared" si="127"/>
        <v>5.1800000000000068</v>
      </c>
      <c r="D73">
        <f t="shared" si="128"/>
        <v>3.8800000000000097</v>
      </c>
      <c r="E73">
        <v>46.55</v>
      </c>
      <c r="F73">
        <v>48.27</v>
      </c>
      <c r="I73">
        <v>0.25</v>
      </c>
      <c r="J73">
        <v>1.05</v>
      </c>
      <c r="M73">
        <f t="shared" ca="1" si="108"/>
        <v>1.1173333333335904</v>
      </c>
      <c r="N73">
        <f t="shared" ca="1" si="109"/>
        <v>2.2199999999999704</v>
      </c>
      <c r="O73">
        <f t="shared" ca="1" si="110"/>
        <v>52.213333333333367</v>
      </c>
      <c r="P73">
        <f t="shared" ca="1" si="111"/>
        <v>46.669333333333384</v>
      </c>
      <c r="Q73" t="e">
        <f t="shared" ca="1" si="112"/>
        <v>#DIV/0!</v>
      </c>
      <c r="R73" t="e">
        <f t="shared" ca="1" si="113"/>
        <v>#DIV/0!</v>
      </c>
      <c r="S73">
        <f t="shared" ca="1" si="114"/>
        <v>0</v>
      </c>
      <c r="T73">
        <f t="shared" ca="1" si="115"/>
        <v>5.18</v>
      </c>
      <c r="U73" t="e">
        <f t="shared" ca="1" si="116"/>
        <v>#DIV/0!</v>
      </c>
      <c r="V73" s="2" t="e">
        <f t="shared" ca="1" si="117"/>
        <v>#DIV/0!</v>
      </c>
      <c r="W73" s="4">
        <f t="shared" ca="1" si="131"/>
        <v>4.0626666666664164</v>
      </c>
      <c r="X73" s="3">
        <f t="shared" ca="1" si="132"/>
        <v>1.6600000000000392</v>
      </c>
      <c r="Y73" s="3">
        <f t="shared" ca="1" si="133"/>
        <v>-5.6633333333333695</v>
      </c>
      <c r="Z73" s="3">
        <f t="shared" ca="1" si="134"/>
        <v>1.6006666666666192</v>
      </c>
      <c r="AA73" s="3" t="e">
        <f t="shared" si="135"/>
        <v>#N/A</v>
      </c>
      <c r="AB73" s="3" t="e">
        <f t="shared" si="136"/>
        <v>#N/A</v>
      </c>
      <c r="AC73" s="3">
        <f t="shared" ca="1" si="137"/>
        <v>0.25</v>
      </c>
      <c r="AD73" s="3">
        <f t="shared" ca="1" si="138"/>
        <v>-4.13</v>
      </c>
      <c r="AE73" s="3" t="e">
        <f t="shared" si="139"/>
        <v>#N/A</v>
      </c>
      <c r="AF73" s="5" t="e">
        <f t="shared" si="140"/>
        <v>#N/A</v>
      </c>
      <c r="AG73">
        <f t="shared" si="130"/>
        <v>6.7883333333333313</v>
      </c>
      <c r="AH73">
        <f t="shared" si="118"/>
        <v>0.92499999999999716</v>
      </c>
      <c r="AI73">
        <f t="shared" si="119"/>
        <v>45.118333333333339</v>
      </c>
      <c r="AJ73">
        <f t="shared" si="120"/>
        <v>48.093333333333334</v>
      </c>
      <c r="AK73" t="e">
        <f t="shared" si="121"/>
        <v>#DIV/0!</v>
      </c>
      <c r="AL73" t="e">
        <f t="shared" si="122"/>
        <v>#DIV/0!</v>
      </c>
      <c r="AM73">
        <f t="shared" si="123"/>
        <v>4.9040000000000008</v>
      </c>
      <c r="AN73">
        <f t="shared" si="124"/>
        <v>5.33</v>
      </c>
      <c r="AO73" t="e">
        <f t="shared" si="125"/>
        <v>#DIV/0!</v>
      </c>
      <c r="AP73" s="2" t="e">
        <f t="shared" si="126"/>
        <v>#DIV/0!</v>
      </c>
    </row>
    <row r="74" spans="1:42" x14ac:dyDescent="0.25">
      <c r="A74" t="s">
        <v>100</v>
      </c>
      <c r="B74" s="2">
        <v>1985</v>
      </c>
      <c r="C74">
        <f t="shared" si="127"/>
        <v>0.84000000000000341</v>
      </c>
      <c r="D74">
        <f t="shared" si="128"/>
        <v>0.84000000000000341</v>
      </c>
      <c r="E74">
        <v>50.01</v>
      </c>
      <c r="F74">
        <v>49.15</v>
      </c>
    </row>
    <row r="75" spans="1:42" x14ac:dyDescent="0.25">
      <c r="A75" t="s">
        <v>101</v>
      </c>
      <c r="B75" s="2">
        <v>1982</v>
      </c>
      <c r="C75">
        <f t="shared" si="127"/>
        <v>6.6899999999999977</v>
      </c>
      <c r="D75">
        <f t="shared" si="128"/>
        <v>1.0499999999999972</v>
      </c>
      <c r="E75">
        <v>50.01</v>
      </c>
      <c r="F75">
        <v>43.3</v>
      </c>
      <c r="I75">
        <v>0.34</v>
      </c>
      <c r="J75">
        <v>5.3</v>
      </c>
      <c r="T75" s="34" t="s">
        <v>34</v>
      </c>
      <c r="U75" s="34"/>
      <c r="V75" s="35"/>
      <c r="W75" cm="1">
        <f t="array" aca="1" ref="W75" ca="1">INDEX(LINEST(W66:W73,W65:W72),1)</f>
        <v>0.27997618659100049</v>
      </c>
      <c r="X75" cm="1">
        <f t="array" aca="1" ref="X75" ca="1">INDEX(LINEST(X66:X73,X65:X72),1)</f>
        <v>0.2616910835409868</v>
      </c>
      <c r="Y75" cm="1">
        <f t="array" aca="1" ref="Y75" ca="1">INDEX(LINEST(Y66:Y73,Y65:Y72),1)</f>
        <v>0.26425262583339865</v>
      </c>
      <c r="Z75" cm="1">
        <f t="array" aca="1" ref="Z75" ca="1">INDEX(LINEST(Z66:Z73,Z65:Z72),1)</f>
        <v>0.34324870488591502</v>
      </c>
      <c r="AA75" t="e" cm="1">
        <f t="array" aca="1" ref="AA75" ca="1">INDEX(LINEST(AA66:AA73,AA65:AA72),1)</f>
        <v>#VALUE!</v>
      </c>
      <c r="AB75" t="e" cm="1">
        <f t="array" ref="AB75">INDEX(LINEST(AB66:AB73,AB65:AB72),1)</f>
        <v>#VALUE!</v>
      </c>
      <c r="AN75" s="8"/>
      <c r="AO75" s="8"/>
      <c r="AP75" s="9"/>
    </row>
    <row r="76" spans="1:42" x14ac:dyDescent="0.25">
      <c r="A76" t="s">
        <v>102</v>
      </c>
      <c r="B76" s="2">
        <v>1979</v>
      </c>
      <c r="C76">
        <f t="shared" si="127"/>
        <v>7.7199999999999989</v>
      </c>
      <c r="D76">
        <f t="shared" si="128"/>
        <v>1.8499999999999943</v>
      </c>
      <c r="E76">
        <v>45.23</v>
      </c>
      <c r="F76">
        <v>47.05</v>
      </c>
      <c r="I76">
        <v>0.51</v>
      </c>
      <c r="J76">
        <v>5.36</v>
      </c>
      <c r="T76" s="34" t="s">
        <v>35</v>
      </c>
      <c r="U76" s="34"/>
      <c r="V76" s="35"/>
      <c r="W76">
        <f t="shared" ref="W76:AB76" ca="1" si="141">AVERAGE(W65:W73)</f>
        <v>1.5122859437920984</v>
      </c>
      <c r="X76">
        <f t="shared" ca="1" si="141"/>
        <v>0.52663129584618795</v>
      </c>
      <c r="Y76">
        <f t="shared" ca="1" si="141"/>
        <v>-1.443823870531477</v>
      </c>
      <c r="Z76">
        <f t="shared" ca="1" si="141"/>
        <v>-0.45330180254560859</v>
      </c>
      <c r="AA76" t="e">
        <f t="shared" ca="1" si="141"/>
        <v>#DIV/0!</v>
      </c>
      <c r="AB76" t="e">
        <f t="shared" si="141"/>
        <v>#N/A</v>
      </c>
      <c r="AN76" s="8"/>
      <c r="AO76" s="8"/>
      <c r="AP76" s="9"/>
    </row>
    <row r="77" spans="1:42" x14ac:dyDescent="0.25">
      <c r="A77" t="s">
        <v>103</v>
      </c>
      <c r="B77" s="2">
        <v>1976</v>
      </c>
      <c r="C77">
        <f t="shared" si="127"/>
        <v>4.6299999999999955</v>
      </c>
      <c r="D77">
        <f t="shared" si="128"/>
        <v>2.0499999999999972</v>
      </c>
      <c r="E77">
        <v>42.43</v>
      </c>
      <c r="F77">
        <v>52.94</v>
      </c>
      <c r="I77">
        <v>2.58</v>
      </c>
      <c r="T77" s="34" t="s">
        <v>37</v>
      </c>
      <c r="U77" s="34"/>
      <c r="V77" s="35"/>
      <c r="W77">
        <f t="shared" ref="W77:AB77" ca="1" si="142">SQRT(SUMSQ(W65:W73)/COUNT(W65:W73))</f>
        <v>3.4231012246247703</v>
      </c>
      <c r="X77">
        <f t="shared" ca="1" si="142"/>
        <v>3.3743194640368954</v>
      </c>
      <c r="Y77">
        <f t="shared" ca="1" si="142"/>
        <v>6.8969148301272352</v>
      </c>
      <c r="Z77">
        <f t="shared" ca="1" si="142"/>
        <v>6.0369436258123956</v>
      </c>
      <c r="AA77" t="e">
        <f t="shared" ca="1" si="142"/>
        <v>#DIV/0!</v>
      </c>
      <c r="AB77" t="e">
        <f t="shared" ca="1" si="142"/>
        <v>#N/A</v>
      </c>
      <c r="AN77" s="8"/>
      <c r="AO77" s="8"/>
      <c r="AP77" s="9"/>
    </row>
    <row r="78" spans="1:42" x14ac:dyDescent="0.25">
      <c r="A78" t="s">
        <v>104</v>
      </c>
      <c r="B78" s="2">
        <v>1973</v>
      </c>
      <c r="C78">
        <f t="shared" si="127"/>
        <v>10.090000000000003</v>
      </c>
      <c r="D78">
        <f t="shared" si="128"/>
        <v>2.2999999999999972</v>
      </c>
      <c r="E78">
        <v>41.61</v>
      </c>
      <c r="F78">
        <v>48.3</v>
      </c>
      <c r="I78">
        <v>7.79</v>
      </c>
    </row>
    <row r="79" spans="1:42" x14ac:dyDescent="0.25">
      <c r="A79" t="s">
        <v>105</v>
      </c>
      <c r="B79" s="2">
        <v>1970</v>
      </c>
      <c r="C79">
        <f t="shared" si="127"/>
        <v>10.759999999999991</v>
      </c>
      <c r="D79">
        <f t="shared" si="128"/>
        <v>-2.5400000000000063</v>
      </c>
      <c r="E79">
        <v>41.42</v>
      </c>
      <c r="F79">
        <v>47.82</v>
      </c>
      <c r="I79">
        <v>13.3</v>
      </c>
    </row>
    <row r="81" spans="1:42" x14ac:dyDescent="0.25">
      <c r="C81" t="s">
        <v>8</v>
      </c>
      <c r="D81" t="s">
        <v>17</v>
      </c>
      <c r="E81" t="s">
        <v>1</v>
      </c>
      <c r="F81" t="s">
        <v>2</v>
      </c>
      <c r="G81" t="s">
        <v>3</v>
      </c>
      <c r="H81" t="s">
        <v>4</v>
      </c>
      <c r="I81" t="s">
        <v>23</v>
      </c>
      <c r="J81" t="s">
        <v>6</v>
      </c>
      <c r="K81" s="6" t="s">
        <v>113</v>
      </c>
      <c r="L81" s="2" t="s">
        <v>110</v>
      </c>
      <c r="M81" t="s">
        <v>8</v>
      </c>
      <c r="N81" t="s">
        <v>17</v>
      </c>
      <c r="O81" t="s">
        <v>1</v>
      </c>
      <c r="P81" t="s">
        <v>2</v>
      </c>
      <c r="Q81" t="s">
        <v>3</v>
      </c>
      <c r="R81" t="s">
        <v>4</v>
      </c>
      <c r="S81" t="s">
        <v>5</v>
      </c>
      <c r="T81" t="s">
        <v>6</v>
      </c>
      <c r="U81" t="s">
        <v>69</v>
      </c>
      <c r="V81" s="2" t="s">
        <v>71</v>
      </c>
      <c r="W81" t="s">
        <v>8</v>
      </c>
      <c r="X81" t="s">
        <v>17</v>
      </c>
      <c r="Y81" t="s">
        <v>1</v>
      </c>
      <c r="Z81" t="s">
        <v>2</v>
      </c>
      <c r="AA81" t="s">
        <v>3</v>
      </c>
      <c r="AB81" t="s">
        <v>4</v>
      </c>
      <c r="AC81" t="s">
        <v>5</v>
      </c>
      <c r="AD81" t="s">
        <v>6</v>
      </c>
      <c r="AE81" t="s">
        <v>69</v>
      </c>
      <c r="AF81" s="2" t="s">
        <v>71</v>
      </c>
      <c r="AG81" t="s">
        <v>8</v>
      </c>
      <c r="AH81" t="s">
        <v>17</v>
      </c>
      <c r="AI81" t="s">
        <v>1</v>
      </c>
      <c r="AJ81" t="s">
        <v>2</v>
      </c>
      <c r="AK81" t="s">
        <v>3</v>
      </c>
      <c r="AL81" t="s">
        <v>4</v>
      </c>
      <c r="AM81" t="s">
        <v>5</v>
      </c>
      <c r="AN81" t="s">
        <v>6</v>
      </c>
      <c r="AO81" t="s">
        <v>69</v>
      </c>
      <c r="AP81" s="2" t="s">
        <v>71</v>
      </c>
    </row>
    <row r="82" spans="1:42" x14ac:dyDescent="0.25">
      <c r="A82" t="s">
        <v>109</v>
      </c>
      <c r="B82" s="2">
        <v>2021</v>
      </c>
      <c r="M82">
        <f t="shared" ref="M82:M90" ca="1" si="143">MAX(0,_xlfn.FORECAST.LINEAR($B82,OFFSET(C83,0,0,$D$1),OFFSET($B83,0,0,$D$1)))</f>
        <v>6.6592825112107903</v>
      </c>
      <c r="N82">
        <f t="shared" ref="N82:N90" ca="1" si="144">MAX(0,_xlfn.FORECAST.LINEAR($B82,OFFSET(D83,0,0,$D$1),OFFSET($B83,0,0,$D$1)))</f>
        <v>6.3071860986547392</v>
      </c>
      <c r="O82">
        <f t="shared" ref="O82:O90" ca="1" si="145">MAX(0,_xlfn.FORECAST.LINEAR($B82,OFFSET(E83,0,0,$D$1),OFFSET($B83,0,0,$D$1)))</f>
        <v>39.168307174887872</v>
      </c>
      <c r="P82">
        <f t="shared" ref="P82:P90" ca="1" si="146">MAX(0,_xlfn.FORECAST.LINEAR($B82,OFFSET(F83,0,0,$D$1),OFFSET($B83,0,0,$D$1)))</f>
        <v>43.301020179372188</v>
      </c>
      <c r="Q82">
        <f t="shared" ref="Q82:Q90" ca="1" si="147">MAX(0,_xlfn.FORECAST.LINEAR($B82,OFFSET(G83,0,0,$D$1),OFFSET($B83,0,0,$D$1)))</f>
        <v>10.871390134529122</v>
      </c>
      <c r="R82">
        <f t="shared" ref="R82:R90" ca="1" si="148">MAX(0,_xlfn.FORECAST.LINEAR($B82,OFFSET(H83,0,0,$D$1),OFFSET($B83,0,0,$D$1)))</f>
        <v>3.2461538461539021</v>
      </c>
      <c r="S82" t="e">
        <f t="shared" ref="S82:S90" ca="1" si="149">MAX(0,_xlfn.FORECAST.LINEAR($B82,OFFSET(I83,0,0,$D$1),OFFSET($B83,0,0,$D$1)))</f>
        <v>#DIV/0!</v>
      </c>
      <c r="T82">
        <f t="shared" ref="T82:T90" ca="1" si="150">MAX(0,_xlfn.FORECAST.LINEAR($B82,OFFSET(J83,0,0,$D$1),OFFSET($B83,0,0,$D$1)))</f>
        <v>0</v>
      </c>
      <c r="U82" t="e">
        <f t="shared" ref="U82:U90" ca="1" si="151">MAX(0,_xlfn.FORECAST.LINEAR($B82,OFFSET(K83,0,0,$D$1),OFFSET($B83,0,0,$D$1)))</f>
        <v>#DIV/0!</v>
      </c>
      <c r="V82" s="2">
        <f t="shared" ref="V82:V90" ca="1" si="152">MAX(0,_xlfn.FORECAST.LINEAR($B82,OFFSET(L83,0,0,$D$1),OFFSET($B83,0,0,$D$1)))</f>
        <v>2.5200995024875619</v>
      </c>
      <c r="AG82">
        <f>AVERAGE(C83:C88)</f>
        <v>12.086666666666666</v>
      </c>
      <c r="AH82">
        <f t="shared" ref="AH82:AH90" si="153">AVERAGE(D83:D88)</f>
        <v>8.1083333333333325</v>
      </c>
      <c r="AI82">
        <f t="shared" ref="AI82:AI90" si="154">AVERAGE(E83:E88)</f>
        <v>37.685000000000002</v>
      </c>
      <c r="AJ82">
        <f t="shared" ref="AJ82:AJ90" si="155">AVERAGE(F83:F88)</f>
        <v>42.096666666666664</v>
      </c>
      <c r="AK82">
        <f t="shared" ref="AK82:AK90" si="156">AVERAGE(G83:G88)</f>
        <v>8.1316666666666677</v>
      </c>
      <c r="AL82">
        <f t="shared" ref="AL82:AL90" si="157">AVERAGE(H83:H88)</f>
        <v>5.3833333333333329</v>
      </c>
      <c r="AM82" t="e">
        <f t="shared" ref="AM82:AM90" si="158">AVERAGE(I83:I88)</f>
        <v>#DIV/0!</v>
      </c>
      <c r="AN82">
        <f t="shared" ref="AN82:AN90" si="159">AVERAGE(J83:J88)</f>
        <v>3.8600000000000003</v>
      </c>
      <c r="AO82" t="e">
        <f t="shared" ref="AO82:AO90" si="160">AVERAGE(K83:K88)</f>
        <v>#DIV/0!</v>
      </c>
      <c r="AP82" s="2">
        <f t="shared" ref="AP82:AP90" si="161">AVERAGE(L83:L88)</f>
        <v>2.4939999999999998</v>
      </c>
    </row>
    <row r="83" spans="1:42" x14ac:dyDescent="0.25">
      <c r="A83" t="s">
        <v>106</v>
      </c>
      <c r="B83" s="2">
        <v>2017</v>
      </c>
      <c r="C83">
        <f t="shared" ref="C83:C96" si="162">100-SUM(E83:G83)</f>
        <v>12.259999999999991</v>
      </c>
      <c r="D83">
        <f t="shared" ref="D83:D96" si="163">100-SUM(E83:K83)</f>
        <v>7.3299999999999841</v>
      </c>
      <c r="E83">
        <v>42.2</v>
      </c>
      <c r="F83">
        <v>36.630000000000003</v>
      </c>
      <c r="G83">
        <v>8.91</v>
      </c>
      <c r="H83">
        <v>4.93</v>
      </c>
      <c r="L83" s="2">
        <v>2.21</v>
      </c>
      <c r="M83">
        <f t="shared" ca="1" si="143"/>
        <v>7.1520023696683666</v>
      </c>
      <c r="N83">
        <f t="shared" ca="1" si="144"/>
        <v>7.3193720379146896</v>
      </c>
      <c r="O83">
        <f t="shared" ca="1" si="145"/>
        <v>35.400201421800972</v>
      </c>
      <c r="P83">
        <f t="shared" ca="1" si="146"/>
        <v>45.873483412322258</v>
      </c>
      <c r="Q83">
        <f t="shared" ca="1" si="147"/>
        <v>11.57431279620846</v>
      </c>
      <c r="R83">
        <f t="shared" ca="1" si="148"/>
        <v>0</v>
      </c>
      <c r="S83" t="e">
        <f t="shared" ca="1" si="149"/>
        <v>#DIV/0!</v>
      </c>
      <c r="T83">
        <f t="shared" ca="1" si="150"/>
        <v>3.0644897959183695</v>
      </c>
      <c r="U83" t="e">
        <f t="shared" ca="1" si="151"/>
        <v>#DIV/0!</v>
      </c>
      <c r="V83" s="2">
        <f t="shared" ca="1" si="152"/>
        <v>2.9997068403908713</v>
      </c>
      <c r="W83" s="4">
        <f ca="1">IF(ISBLANK(C83),NA(),C83-M83)</f>
        <v>5.1079976303316244</v>
      </c>
      <c r="X83" s="3">
        <f t="shared" ref="X83:X90" ca="1" si="164">IF(ISBLANK(D83),NA(),D83-N83)</f>
        <v>1.0627962085294484E-2</v>
      </c>
      <c r="Y83" s="3">
        <f t="shared" ref="Y83:Y90" ca="1" si="165">IF(ISBLANK(E83),NA(),E83-O83)</f>
        <v>6.7997985781990309</v>
      </c>
      <c r="Z83" s="3">
        <f t="shared" ref="Z83:Z90" ca="1" si="166">IF(ISBLANK(F83),NA(),F83-P83)</f>
        <v>-9.2434834123222558</v>
      </c>
      <c r="AA83" s="3">
        <f t="shared" ref="AA83:AA90" ca="1" si="167">IF(ISBLANK(G83),NA(),G83-Q83)</f>
        <v>-2.6643127962084598</v>
      </c>
      <c r="AB83" s="3">
        <f t="shared" ref="AB83:AB90" ca="1" si="168">IF(ISBLANK(H83),NA(),H83-R83)</f>
        <v>4.93</v>
      </c>
      <c r="AC83" s="3" t="e">
        <f t="shared" ref="AC83:AC90" si="169">IF(ISBLANK(I83),NA(),I83-S83)</f>
        <v>#N/A</v>
      </c>
      <c r="AD83" s="3" t="e">
        <f t="shared" ref="AD83:AD90" si="170">IF(ISBLANK(J83),NA(),J83-T83)</f>
        <v>#N/A</v>
      </c>
      <c r="AE83" s="3" t="e">
        <f t="shared" ref="AE83:AE90" si="171">IF(ISBLANK(K83),NA(),K83-U83)</f>
        <v>#N/A</v>
      </c>
      <c r="AF83" s="5">
        <f t="shared" ref="AF83:AF90" ca="1" si="172">IF(ISBLANK(L83),NA(),L83-V83)</f>
        <v>-0.78970684039087136</v>
      </c>
      <c r="AG83">
        <f t="shared" ref="AG83:AG90" si="173">AVERAGE(C84:C89)</f>
        <v>11.568333333333335</v>
      </c>
      <c r="AH83">
        <f t="shared" si="153"/>
        <v>8.0250000000000039</v>
      </c>
      <c r="AI83">
        <f t="shared" si="154"/>
        <v>36.831666666666671</v>
      </c>
      <c r="AJ83">
        <f t="shared" si="155"/>
        <v>44.234999999999992</v>
      </c>
      <c r="AK83">
        <f t="shared" si="156"/>
        <v>7.365000000000002</v>
      </c>
      <c r="AL83">
        <f t="shared" si="157"/>
        <v>5.61</v>
      </c>
      <c r="AM83" t="e">
        <f t="shared" si="158"/>
        <v>#DIV/0!</v>
      </c>
      <c r="AN83">
        <f t="shared" si="159"/>
        <v>3.3466666666666671</v>
      </c>
      <c r="AO83" t="e">
        <f t="shared" si="160"/>
        <v>#DIV/0!</v>
      </c>
      <c r="AP83" s="2">
        <f t="shared" si="161"/>
        <v>2.5650000000000004</v>
      </c>
    </row>
    <row r="84" spans="1:42" x14ac:dyDescent="0.25">
      <c r="A84" t="s">
        <v>107</v>
      </c>
      <c r="B84" s="2">
        <v>2013</v>
      </c>
      <c r="C84">
        <f t="shared" si="162"/>
        <v>5.3299999999999983</v>
      </c>
      <c r="D84">
        <f t="shared" si="163"/>
        <v>5.3299999999999983</v>
      </c>
      <c r="E84">
        <v>33.130000000000003</v>
      </c>
      <c r="F84">
        <v>53.15</v>
      </c>
      <c r="G84">
        <v>8.39</v>
      </c>
      <c r="L84" s="2">
        <v>2.4</v>
      </c>
      <c r="M84">
        <f t="shared" ca="1" si="143"/>
        <v>13.448366834170827</v>
      </c>
      <c r="N84">
        <f t="shared" ca="1" si="144"/>
        <v>9.7540326633165648</v>
      </c>
      <c r="O84">
        <f t="shared" ca="1" si="145"/>
        <v>36.795954773869369</v>
      </c>
      <c r="P84">
        <f t="shared" ca="1" si="146"/>
        <v>36.461984924623152</v>
      </c>
      <c r="Q84">
        <f t="shared" ca="1" si="147"/>
        <v>13.293693467336652</v>
      </c>
      <c r="R84">
        <f t="shared" ca="1" si="148"/>
        <v>0</v>
      </c>
      <c r="S84" t="e">
        <f t="shared" ca="1" si="149"/>
        <v>#DIV/0!</v>
      </c>
      <c r="T84">
        <f t="shared" ca="1" si="150"/>
        <v>5.3802931596091526</v>
      </c>
      <c r="U84" t="e">
        <f t="shared" ca="1" si="151"/>
        <v>#DIV/0!</v>
      </c>
      <c r="V84" s="2">
        <f t="shared" ca="1" si="152"/>
        <v>4.1841891891891692</v>
      </c>
      <c r="W84" s="4">
        <f t="shared" ref="W84:W90" ca="1" si="174">IF(ISBLANK(C84),NA(),C84-M84)</f>
        <v>-8.1183668341708284</v>
      </c>
      <c r="X84" s="3">
        <f t="shared" ca="1" si="164"/>
        <v>-4.4240326633165665</v>
      </c>
      <c r="Y84" s="3">
        <f t="shared" ca="1" si="165"/>
        <v>-3.6659547738693661</v>
      </c>
      <c r="Z84" s="3">
        <f t="shared" ca="1" si="166"/>
        <v>16.688015075376846</v>
      </c>
      <c r="AA84" s="3">
        <f t="shared" ca="1" si="167"/>
        <v>-4.9036934673366517</v>
      </c>
      <c r="AB84" s="3" t="e">
        <f t="shared" si="168"/>
        <v>#N/A</v>
      </c>
      <c r="AC84" s="3" t="e">
        <f t="shared" si="169"/>
        <v>#N/A</v>
      </c>
      <c r="AD84" s="3" t="e">
        <f t="shared" si="170"/>
        <v>#N/A</v>
      </c>
      <c r="AE84" s="3" t="e">
        <f t="shared" si="171"/>
        <v>#N/A</v>
      </c>
      <c r="AF84" s="5">
        <f t="shared" ca="1" si="172"/>
        <v>-1.7841891891891692</v>
      </c>
      <c r="AG84">
        <f t="shared" si="173"/>
        <v>12.283333333333337</v>
      </c>
      <c r="AH84">
        <f t="shared" si="153"/>
        <v>8.5016666666666705</v>
      </c>
      <c r="AI84">
        <f t="shared" si="154"/>
        <v>38.38666666666667</v>
      </c>
      <c r="AJ84">
        <f t="shared" si="155"/>
        <v>43.275000000000006</v>
      </c>
      <c r="AK84">
        <f t="shared" si="156"/>
        <v>6.0550000000000006</v>
      </c>
      <c r="AL84">
        <f t="shared" si="157"/>
        <v>5.61</v>
      </c>
      <c r="AM84" t="e">
        <f t="shared" si="158"/>
        <v>#DIV/0!</v>
      </c>
      <c r="AN84">
        <f t="shared" si="159"/>
        <v>2.8675000000000002</v>
      </c>
      <c r="AO84" t="e">
        <f t="shared" si="160"/>
        <v>#DIV/0!</v>
      </c>
      <c r="AP84" s="2">
        <f t="shared" si="161"/>
        <v>2.62</v>
      </c>
    </row>
    <row r="85" spans="1:42" x14ac:dyDescent="0.25">
      <c r="A85" t="s">
        <v>108</v>
      </c>
      <c r="B85" s="2">
        <v>2008</v>
      </c>
      <c r="C85">
        <f t="shared" si="162"/>
        <v>8.8799999999999955</v>
      </c>
      <c r="D85">
        <f t="shared" si="163"/>
        <v>8.8799999999999955</v>
      </c>
      <c r="E85">
        <v>35.840000000000003</v>
      </c>
      <c r="F85">
        <v>43.36</v>
      </c>
      <c r="G85">
        <v>11.92</v>
      </c>
      <c r="L85" s="2">
        <v>1.95</v>
      </c>
      <c r="M85">
        <f t="shared" ca="1" si="143"/>
        <v>19.124651162790542</v>
      </c>
      <c r="N85">
        <f t="shared" ca="1" si="144"/>
        <v>11.421666666666624</v>
      </c>
      <c r="O85">
        <f t="shared" ca="1" si="145"/>
        <v>34.804108527131575</v>
      </c>
      <c r="P85">
        <f t="shared" ca="1" si="146"/>
        <v>36.346899224806066</v>
      </c>
      <c r="Q85">
        <f t="shared" ca="1" si="147"/>
        <v>9.6400497512437369</v>
      </c>
      <c r="R85">
        <f t="shared" ca="1" si="148"/>
        <v>0</v>
      </c>
      <c r="S85" t="e">
        <f t="shared" ca="1" si="149"/>
        <v>#DIV/0!</v>
      </c>
      <c r="T85">
        <f t="shared" ca="1" si="150"/>
        <v>5.2542608695652007</v>
      </c>
      <c r="U85" t="e">
        <f t="shared" ca="1" si="151"/>
        <v>#DIV/0!</v>
      </c>
      <c r="V85" s="2">
        <f t="shared" ca="1" si="152"/>
        <v>7.9424999999998818</v>
      </c>
      <c r="W85" s="4">
        <f t="shared" ca="1" si="174"/>
        <v>-10.244651162790547</v>
      </c>
      <c r="X85" s="3">
        <f t="shared" ca="1" si="164"/>
        <v>-2.5416666666666288</v>
      </c>
      <c r="Y85" s="3">
        <f t="shared" ca="1" si="165"/>
        <v>1.0358914728684283</v>
      </c>
      <c r="Z85" s="3">
        <f t="shared" ca="1" si="166"/>
        <v>7.0131007751939336</v>
      </c>
      <c r="AA85" s="3">
        <f t="shared" ca="1" si="167"/>
        <v>2.2799502487562631</v>
      </c>
      <c r="AB85" s="3" t="e">
        <f t="shared" si="168"/>
        <v>#N/A</v>
      </c>
      <c r="AC85" s="3" t="e">
        <f t="shared" si="169"/>
        <v>#N/A</v>
      </c>
      <c r="AD85" s="3" t="e">
        <f t="shared" si="170"/>
        <v>#N/A</v>
      </c>
      <c r="AE85" s="3" t="e">
        <f t="shared" si="171"/>
        <v>#N/A</v>
      </c>
      <c r="AF85" s="5">
        <f t="shared" ca="1" si="172"/>
        <v>-5.9924999999998816</v>
      </c>
      <c r="AG85">
        <f t="shared" si="173"/>
        <v>11.131666666666669</v>
      </c>
      <c r="AH85">
        <f t="shared" si="153"/>
        <v>7.2400000000000047</v>
      </c>
      <c r="AI85">
        <f t="shared" si="154"/>
        <v>41.246666666666663</v>
      </c>
      <c r="AJ85">
        <f t="shared" si="155"/>
        <v>43.553333333333342</v>
      </c>
      <c r="AK85">
        <f t="shared" si="156"/>
        <v>4.8819999999999997</v>
      </c>
      <c r="AL85">
        <f t="shared" si="157"/>
        <v>5.61</v>
      </c>
      <c r="AM85" t="e">
        <f t="shared" si="158"/>
        <v>#DIV/0!</v>
      </c>
      <c r="AN85">
        <f t="shared" si="159"/>
        <v>2.4260000000000002</v>
      </c>
      <c r="AO85" t="e">
        <f t="shared" si="160"/>
        <v>#DIV/0!</v>
      </c>
      <c r="AP85" s="2">
        <f t="shared" si="161"/>
        <v>2.9550000000000001</v>
      </c>
    </row>
    <row r="86" spans="1:42" x14ac:dyDescent="0.25">
      <c r="A86" t="s">
        <v>111</v>
      </c>
      <c r="B86" s="2">
        <v>2005</v>
      </c>
      <c r="C86">
        <f t="shared" si="162"/>
        <v>11.219999999999999</v>
      </c>
      <c r="D86">
        <f t="shared" si="163"/>
        <v>9.5799999999999983</v>
      </c>
      <c r="E86">
        <v>41.88</v>
      </c>
      <c r="F86">
        <v>39.33</v>
      </c>
      <c r="G86">
        <v>7.57</v>
      </c>
      <c r="H86">
        <v>1.64</v>
      </c>
      <c r="L86" s="2">
        <v>4.95</v>
      </c>
      <c r="M86">
        <f t="shared" ca="1" si="143"/>
        <v>24.059382530120274</v>
      </c>
      <c r="N86">
        <f t="shared" ca="1" si="144"/>
        <v>12.146204819277159</v>
      </c>
      <c r="O86">
        <f t="shared" ca="1" si="145"/>
        <v>28.567138554216399</v>
      </c>
      <c r="P86">
        <f t="shared" ca="1" si="146"/>
        <v>38.497289156626493</v>
      </c>
      <c r="Q86">
        <f t="shared" ca="1" si="147"/>
        <v>9.6535179153095214</v>
      </c>
      <c r="R86" t="e">
        <f t="shared" ca="1" si="148"/>
        <v>#DIV/0!</v>
      </c>
      <c r="S86" t="e">
        <f t="shared" ca="1" si="149"/>
        <v>#DIV/0!</v>
      </c>
      <c r="T86">
        <f t="shared" ca="1" si="150"/>
        <v>4.5983283132529778</v>
      </c>
      <c r="U86" t="e">
        <f t="shared" ca="1" si="151"/>
        <v>#DIV/0!</v>
      </c>
      <c r="V86" s="2" t="e">
        <f t="shared" ca="1" si="152"/>
        <v>#DIV/0!</v>
      </c>
      <c r="W86" s="4">
        <f t="shared" ca="1" si="174"/>
        <v>-12.839382530120275</v>
      </c>
      <c r="X86" s="3">
        <f t="shared" ca="1" si="164"/>
        <v>-2.5662048192771607</v>
      </c>
      <c r="Y86" s="3">
        <f t="shared" ca="1" si="165"/>
        <v>13.312861445783604</v>
      </c>
      <c r="Z86" s="3">
        <f t="shared" ca="1" si="166"/>
        <v>0.83271084337350487</v>
      </c>
      <c r="AA86" s="3">
        <f t="shared" ca="1" si="167"/>
        <v>-2.0835179153095211</v>
      </c>
      <c r="AB86" s="3" t="e">
        <f t="shared" ca="1" si="168"/>
        <v>#DIV/0!</v>
      </c>
      <c r="AC86" s="3" t="e">
        <f t="shared" si="169"/>
        <v>#N/A</v>
      </c>
      <c r="AD86" s="3" t="e">
        <f t="shared" si="170"/>
        <v>#N/A</v>
      </c>
      <c r="AE86" s="3" t="e">
        <f t="shared" si="171"/>
        <v>#N/A</v>
      </c>
      <c r="AF86" s="5" t="e">
        <f t="shared" ca="1" si="172"/>
        <v>#DIV/0!</v>
      </c>
      <c r="AG86">
        <f t="shared" si="173"/>
        <v>9.5733333333333377</v>
      </c>
      <c r="AH86">
        <f t="shared" si="153"/>
        <v>5.8216666666666725</v>
      </c>
      <c r="AI86">
        <f t="shared" si="154"/>
        <v>43.126666666666665</v>
      </c>
      <c r="AJ86">
        <f t="shared" si="155"/>
        <v>44.493333333333332</v>
      </c>
      <c r="AK86">
        <f t="shared" si="156"/>
        <v>4.21</v>
      </c>
      <c r="AL86">
        <f t="shared" si="157"/>
        <v>9.58</v>
      </c>
      <c r="AM86" t="e">
        <f t="shared" si="158"/>
        <v>#DIV/0!</v>
      </c>
      <c r="AN86">
        <f t="shared" si="159"/>
        <v>2.1550000000000002</v>
      </c>
      <c r="AO86" t="e">
        <f t="shared" si="160"/>
        <v>#DIV/0!</v>
      </c>
      <c r="AP86" s="2">
        <f t="shared" si="161"/>
        <v>0.96</v>
      </c>
    </row>
    <row r="87" spans="1:42" x14ac:dyDescent="0.25">
      <c r="A87" t="s">
        <v>112</v>
      </c>
      <c r="B87" s="2">
        <v>2001</v>
      </c>
      <c r="C87">
        <f t="shared" si="162"/>
        <v>21.070000000000007</v>
      </c>
      <c r="D87">
        <f t="shared" si="163"/>
        <v>8.8500000000000085</v>
      </c>
      <c r="E87">
        <v>37.24</v>
      </c>
      <c r="F87">
        <v>34.42</v>
      </c>
      <c r="G87">
        <v>7.27</v>
      </c>
      <c r="H87">
        <v>9.58</v>
      </c>
      <c r="J87">
        <v>2.64</v>
      </c>
      <c r="L87" s="2">
        <v>0.96</v>
      </c>
      <c r="M87">
        <f t="shared" ca="1" si="143"/>
        <v>16.24769371011871</v>
      </c>
      <c r="N87">
        <f t="shared" ca="1" si="144"/>
        <v>11.706280765724841</v>
      </c>
      <c r="O87">
        <f t="shared" ca="1" si="145"/>
        <v>31.586782133090082</v>
      </c>
      <c r="P87">
        <f t="shared" ca="1" si="146"/>
        <v>46.140546946216944</v>
      </c>
      <c r="Q87">
        <f t="shared" ca="1" si="147"/>
        <v>8.3454054054054723</v>
      </c>
      <c r="R87" t="e">
        <f t="shared" ca="1" si="148"/>
        <v>#DIV/0!</v>
      </c>
      <c r="S87" t="e">
        <f t="shared" ca="1" si="149"/>
        <v>#DIV/0!</v>
      </c>
      <c r="T87">
        <f t="shared" ca="1" si="150"/>
        <v>4.5414129443938691</v>
      </c>
      <c r="U87" t="e">
        <f t="shared" ca="1" si="151"/>
        <v>#DIV/0!</v>
      </c>
      <c r="V87" s="2" t="e">
        <f t="shared" ca="1" si="152"/>
        <v>#DIV/0!</v>
      </c>
      <c r="W87" s="4">
        <f t="shared" ca="1" si="174"/>
        <v>4.8223062898812969</v>
      </c>
      <c r="X87" s="3">
        <f t="shared" ca="1" si="164"/>
        <v>-2.8562807657248328</v>
      </c>
      <c r="Y87" s="3">
        <f t="shared" ca="1" si="165"/>
        <v>5.6532178669099196</v>
      </c>
      <c r="Z87" s="3">
        <f t="shared" ca="1" si="166"/>
        <v>-11.720546946216942</v>
      </c>
      <c r="AA87" s="3">
        <f t="shared" ca="1" si="167"/>
        <v>-1.0754054054054727</v>
      </c>
      <c r="AB87" s="3" t="e">
        <f t="shared" ca="1" si="168"/>
        <v>#DIV/0!</v>
      </c>
      <c r="AC87" s="3" t="e">
        <f t="shared" si="169"/>
        <v>#N/A</v>
      </c>
      <c r="AD87" s="3">
        <f t="shared" ca="1" si="170"/>
        <v>-1.901412944393869</v>
      </c>
      <c r="AE87" s="3" t="e">
        <f t="shared" si="171"/>
        <v>#N/A</v>
      </c>
      <c r="AF87" s="5" t="e">
        <f t="shared" ca="1" si="172"/>
        <v>#DIV/0!</v>
      </c>
      <c r="AG87">
        <f t="shared" si="173"/>
        <v>6.5683333333333351</v>
      </c>
      <c r="AH87">
        <f t="shared" si="153"/>
        <v>4.5266666666666708</v>
      </c>
      <c r="AI87">
        <f t="shared" si="154"/>
        <v>44.57833333333334</v>
      </c>
      <c r="AJ87">
        <f t="shared" si="155"/>
        <v>47.258333333333333</v>
      </c>
      <c r="AK87">
        <f t="shared" si="156"/>
        <v>3.1899999999999995</v>
      </c>
      <c r="AL87" t="e">
        <f t="shared" si="157"/>
        <v>#DIV/0!</v>
      </c>
      <c r="AM87" t="e">
        <f t="shared" si="158"/>
        <v>#DIV/0!</v>
      </c>
      <c r="AN87">
        <f t="shared" si="159"/>
        <v>2.0416666666666665</v>
      </c>
      <c r="AO87" t="e">
        <f t="shared" si="160"/>
        <v>#DIV/0!</v>
      </c>
      <c r="AP87" s="2" t="e">
        <f t="shared" si="161"/>
        <v>#DIV/0!</v>
      </c>
    </row>
    <row r="88" spans="1:42" x14ac:dyDescent="0.25">
      <c r="A88" t="s">
        <v>114</v>
      </c>
      <c r="B88" s="2">
        <v>1996</v>
      </c>
      <c r="C88">
        <f t="shared" si="162"/>
        <v>13.760000000000005</v>
      </c>
      <c r="D88">
        <f t="shared" si="163"/>
        <v>8.6800000000000068</v>
      </c>
      <c r="E88">
        <v>35.82</v>
      </c>
      <c r="F88">
        <v>45.69</v>
      </c>
      <c r="G88">
        <v>4.7300000000000004</v>
      </c>
      <c r="J88">
        <v>5.08</v>
      </c>
      <c r="M88">
        <f t="shared" ca="1" si="143"/>
        <v>10.641807692307566</v>
      </c>
      <c r="N88">
        <f t="shared" ca="1" si="144"/>
        <v>8.4052307692307977</v>
      </c>
      <c r="O88">
        <f t="shared" ca="1" si="145"/>
        <v>40.852615384615433</v>
      </c>
      <c r="P88">
        <f t="shared" ca="1" si="146"/>
        <v>45.200346153846226</v>
      </c>
      <c r="Q88">
        <f t="shared" ca="1" si="147"/>
        <v>7.1449999999999818</v>
      </c>
      <c r="R88" t="e">
        <f t="shared" ca="1" si="148"/>
        <v>#DIV/0!</v>
      </c>
      <c r="S88" t="e">
        <f t="shared" ca="1" si="149"/>
        <v>#DIV/0!</v>
      </c>
      <c r="T88">
        <f t="shared" ca="1" si="150"/>
        <v>1.9045525291828795</v>
      </c>
      <c r="U88" t="e">
        <f t="shared" ca="1" si="151"/>
        <v>#DIV/0!</v>
      </c>
      <c r="V88" s="2" t="e">
        <f t="shared" ca="1" si="152"/>
        <v>#DIV/0!</v>
      </c>
      <c r="W88" s="4">
        <f t="shared" ca="1" si="174"/>
        <v>3.1181923076924392</v>
      </c>
      <c r="X88" s="3">
        <f t="shared" ca="1" si="164"/>
        <v>0.27476923076920912</v>
      </c>
      <c r="Y88" s="3">
        <f t="shared" ca="1" si="165"/>
        <v>-5.0326153846154327</v>
      </c>
      <c r="Z88" s="3">
        <f t="shared" ca="1" si="166"/>
        <v>0.48965384615377161</v>
      </c>
      <c r="AA88" s="3">
        <f t="shared" ca="1" si="167"/>
        <v>-2.4149999999999814</v>
      </c>
      <c r="AB88" s="3" t="e">
        <f t="shared" si="168"/>
        <v>#N/A</v>
      </c>
      <c r="AC88" s="3" t="e">
        <f t="shared" si="169"/>
        <v>#N/A</v>
      </c>
      <c r="AD88" s="3">
        <f t="shared" ca="1" si="170"/>
        <v>3.1754474708171205</v>
      </c>
      <c r="AE88" s="3" t="e">
        <f t="shared" si="171"/>
        <v>#N/A</v>
      </c>
      <c r="AF88" s="5" t="e">
        <f t="shared" si="172"/>
        <v>#N/A</v>
      </c>
      <c r="AG88">
        <f t="shared" si="173"/>
        <v>4.4666666666666686</v>
      </c>
      <c r="AH88">
        <f t="shared" si="153"/>
        <v>3.2716666666666705</v>
      </c>
      <c r="AI88">
        <f t="shared" si="154"/>
        <v>45.978333333333332</v>
      </c>
      <c r="AJ88">
        <f t="shared" si="155"/>
        <v>48.748333333333335</v>
      </c>
      <c r="AK88">
        <f t="shared" si="156"/>
        <v>2.42</v>
      </c>
      <c r="AL88" t="e">
        <f t="shared" si="157"/>
        <v>#DIV/0!</v>
      </c>
      <c r="AM88" t="e">
        <f t="shared" si="158"/>
        <v>#DIV/0!</v>
      </c>
      <c r="AN88">
        <f t="shared" si="159"/>
        <v>1.4339999999999999</v>
      </c>
      <c r="AO88" t="e">
        <f t="shared" si="160"/>
        <v>#DIV/0!</v>
      </c>
      <c r="AP88" s="2" t="e">
        <f t="shared" si="161"/>
        <v>#DIV/0!</v>
      </c>
    </row>
    <row r="89" spans="1:42" x14ac:dyDescent="0.25">
      <c r="A89" t="s">
        <v>115</v>
      </c>
      <c r="B89" s="2">
        <v>1993</v>
      </c>
      <c r="C89">
        <f t="shared" si="162"/>
        <v>9.1500000000000057</v>
      </c>
      <c r="D89">
        <f t="shared" si="163"/>
        <v>6.8300000000000125</v>
      </c>
      <c r="E89">
        <v>37.08</v>
      </c>
      <c r="F89">
        <v>49.46</v>
      </c>
      <c r="G89">
        <v>4.3099999999999996</v>
      </c>
      <c r="J89">
        <v>2.3199999999999998</v>
      </c>
      <c r="M89">
        <f t="shared" ca="1" si="143"/>
        <v>8.057714285714269</v>
      </c>
      <c r="N89">
        <f t="shared" ca="1" si="144"/>
        <v>6.3764761904761826</v>
      </c>
      <c r="O89">
        <f t="shared" ca="1" si="145"/>
        <v>48.400952380952376</v>
      </c>
      <c r="P89">
        <f t="shared" ca="1" si="146"/>
        <v>43.162761904761851</v>
      </c>
      <c r="Q89" t="e">
        <f t="shared" ca="1" si="147"/>
        <v>#DIV/0!</v>
      </c>
      <c r="R89" t="e">
        <f t="shared" ca="1" si="148"/>
        <v>#DIV/0!</v>
      </c>
      <c r="S89" t="e">
        <f t="shared" ca="1" si="149"/>
        <v>#DIV/0!</v>
      </c>
      <c r="T89">
        <f t="shared" ca="1" si="150"/>
        <v>0.7223333333333386</v>
      </c>
      <c r="U89" t="e">
        <f t="shared" ca="1" si="151"/>
        <v>#DIV/0!</v>
      </c>
      <c r="V89" s="2" t="e">
        <f t="shared" ca="1" si="152"/>
        <v>#DIV/0!</v>
      </c>
      <c r="W89" s="4">
        <f t="shared" ca="1" si="174"/>
        <v>1.0922857142857367</v>
      </c>
      <c r="X89" s="3">
        <f t="shared" ca="1" si="164"/>
        <v>0.45352380952382987</v>
      </c>
      <c r="Y89" s="3">
        <f t="shared" ca="1" si="165"/>
        <v>-11.320952380952377</v>
      </c>
      <c r="Z89" s="3">
        <f t="shared" ca="1" si="166"/>
        <v>6.2972380952381499</v>
      </c>
      <c r="AA89" s="3" t="e">
        <f t="shared" ca="1" si="167"/>
        <v>#DIV/0!</v>
      </c>
      <c r="AB89" s="3" t="e">
        <f t="shared" si="168"/>
        <v>#N/A</v>
      </c>
      <c r="AC89" s="3" t="e">
        <f t="shared" si="169"/>
        <v>#N/A</v>
      </c>
      <c r="AD89" s="3">
        <f t="shared" ca="1" si="170"/>
        <v>1.5976666666666612</v>
      </c>
      <c r="AE89" s="3" t="e">
        <f t="shared" si="171"/>
        <v>#N/A</v>
      </c>
      <c r="AF89" s="5" t="e">
        <f t="shared" si="172"/>
        <v>#N/A</v>
      </c>
      <c r="AG89">
        <f t="shared" si="173"/>
        <v>3.0700000000000003</v>
      </c>
      <c r="AH89">
        <f t="shared" si="153"/>
        <v>2.261666666666668</v>
      </c>
      <c r="AI89">
        <f t="shared" si="154"/>
        <v>47.814999999999998</v>
      </c>
      <c r="AJ89">
        <f t="shared" si="155"/>
        <v>49.026666666666664</v>
      </c>
      <c r="AK89">
        <f t="shared" si="156"/>
        <v>0.53</v>
      </c>
      <c r="AL89" t="e">
        <f t="shared" si="157"/>
        <v>#DIV/0!</v>
      </c>
      <c r="AM89" t="e">
        <f t="shared" si="158"/>
        <v>#DIV/0!</v>
      </c>
      <c r="AN89">
        <f t="shared" si="159"/>
        <v>1.2124999999999999</v>
      </c>
      <c r="AO89" t="e">
        <f t="shared" si="160"/>
        <v>#DIV/0!</v>
      </c>
      <c r="AP89" s="2" t="e">
        <f t="shared" si="161"/>
        <v>#DIV/0!</v>
      </c>
    </row>
    <row r="90" spans="1:42" x14ac:dyDescent="0.25">
      <c r="A90" t="s">
        <v>116</v>
      </c>
      <c r="B90" s="2">
        <v>1989</v>
      </c>
      <c r="C90">
        <f t="shared" si="162"/>
        <v>9.6200000000000045</v>
      </c>
      <c r="D90">
        <f t="shared" si="163"/>
        <v>8.1899999999999977</v>
      </c>
      <c r="E90">
        <v>42.46</v>
      </c>
      <c r="F90">
        <v>47.39</v>
      </c>
      <c r="G90">
        <v>0.53</v>
      </c>
      <c r="J90">
        <v>1.43</v>
      </c>
      <c r="M90">
        <f t="shared" ca="1" si="143"/>
        <v>0</v>
      </c>
      <c r="N90">
        <f t="shared" ca="1" si="144"/>
        <v>0</v>
      </c>
      <c r="O90">
        <f t="shared" ca="1" si="145"/>
        <v>52.625999999999976</v>
      </c>
      <c r="P90">
        <f t="shared" ca="1" si="146"/>
        <v>49.666666666666629</v>
      </c>
      <c r="Q90" t="e">
        <f t="shared" ca="1" si="147"/>
        <v>#DIV/0!</v>
      </c>
      <c r="R90" t="e">
        <f t="shared" ca="1" si="148"/>
        <v>#DIV/0!</v>
      </c>
      <c r="S90" t="e">
        <f t="shared" ca="1" si="149"/>
        <v>#DIV/0!</v>
      </c>
      <c r="T90">
        <f t="shared" ca="1" si="150"/>
        <v>0</v>
      </c>
      <c r="U90" t="e">
        <f t="shared" ca="1" si="151"/>
        <v>#DIV/0!</v>
      </c>
      <c r="V90" s="2" t="e">
        <f t="shared" ca="1" si="152"/>
        <v>#DIV/0!</v>
      </c>
      <c r="W90" s="4">
        <f t="shared" ca="1" si="174"/>
        <v>9.6200000000000045</v>
      </c>
      <c r="X90" s="3">
        <f t="shared" ca="1" si="164"/>
        <v>8.1899999999999977</v>
      </c>
      <c r="Y90" s="3">
        <f t="shared" ca="1" si="165"/>
        <v>-10.165999999999976</v>
      </c>
      <c r="Z90" s="3">
        <f t="shared" ca="1" si="166"/>
        <v>-2.2766666666666282</v>
      </c>
      <c r="AA90" s="3" t="e">
        <f t="shared" ca="1" si="167"/>
        <v>#DIV/0!</v>
      </c>
      <c r="AB90" s="3" t="e">
        <f t="shared" si="168"/>
        <v>#N/A</v>
      </c>
      <c r="AC90" s="3" t="e">
        <f t="shared" si="169"/>
        <v>#N/A</v>
      </c>
      <c r="AD90" s="3">
        <f t="shared" ca="1" si="170"/>
        <v>1.43</v>
      </c>
      <c r="AE90" s="3" t="e">
        <f t="shared" si="171"/>
        <v>#N/A</v>
      </c>
      <c r="AF90" s="5" t="e">
        <f t="shared" si="172"/>
        <v>#N/A</v>
      </c>
      <c r="AG90">
        <f t="shared" si="173"/>
        <v>4.0983333333333336</v>
      </c>
      <c r="AH90">
        <f t="shared" si="153"/>
        <v>1.743333333333337</v>
      </c>
      <c r="AI90">
        <f t="shared" si="154"/>
        <v>48.890000000000008</v>
      </c>
      <c r="AJ90">
        <f t="shared" si="155"/>
        <v>47.011666666666663</v>
      </c>
      <c r="AK90" t="e">
        <f t="shared" si="156"/>
        <v>#DIV/0!</v>
      </c>
      <c r="AL90" t="e">
        <f t="shared" si="157"/>
        <v>#DIV/0!</v>
      </c>
      <c r="AM90">
        <f t="shared" si="158"/>
        <v>10.71</v>
      </c>
      <c r="AN90">
        <f t="shared" si="159"/>
        <v>1.1399999999999999</v>
      </c>
      <c r="AO90" t="e">
        <f t="shared" si="160"/>
        <v>#DIV/0!</v>
      </c>
      <c r="AP90" s="2" t="e">
        <f t="shared" si="161"/>
        <v>#DIV/0!</v>
      </c>
    </row>
    <row r="91" spans="1:42" x14ac:dyDescent="0.25">
      <c r="A91" t="s">
        <v>117</v>
      </c>
      <c r="B91" s="2">
        <v>1986</v>
      </c>
      <c r="C91">
        <f t="shared" si="162"/>
        <v>1.9699999999999989</v>
      </c>
      <c r="D91">
        <f t="shared" si="163"/>
        <v>1.3100000000000023</v>
      </c>
      <c r="E91">
        <v>53</v>
      </c>
      <c r="F91">
        <v>45.03</v>
      </c>
      <c r="J91">
        <v>0.66</v>
      </c>
      <c r="W91" s="4"/>
      <c r="X91" s="3"/>
      <c r="Y91" s="3"/>
      <c r="Z91" s="3"/>
      <c r="AA91" s="3"/>
      <c r="AB91" s="3"/>
      <c r="AC91" s="3"/>
      <c r="AD91" s="3"/>
      <c r="AE91" s="3"/>
      <c r="AF91" s="5"/>
    </row>
    <row r="92" spans="1:42" x14ac:dyDescent="0.25">
      <c r="A92" t="s">
        <v>118</v>
      </c>
      <c r="B92" s="2">
        <v>1983</v>
      </c>
      <c r="C92">
        <f t="shared" si="162"/>
        <v>1.8700000000000045</v>
      </c>
      <c r="D92">
        <f t="shared" si="163"/>
        <v>1.0700000000000074</v>
      </c>
      <c r="E92">
        <v>53.16</v>
      </c>
      <c r="F92">
        <f>39.86+3.44+1.67</f>
        <v>44.97</v>
      </c>
      <c r="J92">
        <v>0.8</v>
      </c>
    </row>
    <row r="93" spans="1:42" x14ac:dyDescent="0.25">
      <c r="A93" t="s">
        <v>119</v>
      </c>
      <c r="B93" s="2">
        <v>1980</v>
      </c>
      <c r="C93">
        <f t="shared" si="162"/>
        <v>3.039999999999992</v>
      </c>
      <c r="D93">
        <f t="shared" si="163"/>
        <v>1.0799999999999983</v>
      </c>
      <c r="E93">
        <v>45.95</v>
      </c>
      <c r="F93">
        <f>43.75+4.3+2.96</f>
        <v>51.01</v>
      </c>
      <c r="J93">
        <v>1.96</v>
      </c>
    </row>
    <row r="94" spans="1:42" x14ac:dyDescent="0.25">
      <c r="A94" t="s">
        <v>120</v>
      </c>
      <c r="B94" s="2">
        <v>1977</v>
      </c>
      <c r="C94">
        <f t="shared" si="162"/>
        <v>1.1500000000000057</v>
      </c>
      <c r="D94">
        <f t="shared" si="163"/>
        <v>1.1500000000000057</v>
      </c>
      <c r="E94">
        <v>44.22</v>
      </c>
      <c r="F94">
        <f>49.35+5.28</f>
        <v>54.63</v>
      </c>
    </row>
    <row r="95" spans="1:42" x14ac:dyDescent="0.25">
      <c r="A95" t="s">
        <v>121</v>
      </c>
      <c r="B95" s="2">
        <v>1974</v>
      </c>
      <c r="C95">
        <f t="shared" si="162"/>
        <v>0.76999999999999602</v>
      </c>
      <c r="D95">
        <f t="shared" si="163"/>
        <v>0.76999999999999602</v>
      </c>
      <c r="E95">
        <v>48.1</v>
      </c>
      <c r="F95">
        <v>51.13</v>
      </c>
    </row>
    <row r="96" spans="1:42" x14ac:dyDescent="0.25">
      <c r="A96" t="s">
        <v>122</v>
      </c>
      <c r="B96" s="2">
        <v>1971</v>
      </c>
      <c r="C96">
        <f t="shared" si="162"/>
        <v>15.790000000000006</v>
      </c>
      <c r="D96">
        <f t="shared" si="163"/>
        <v>5.0800000000000125</v>
      </c>
      <c r="E96">
        <v>48.91</v>
      </c>
      <c r="F96">
        <v>35.299999999999997</v>
      </c>
      <c r="I96">
        <v>10.71</v>
      </c>
    </row>
    <row r="98" spans="1:42" x14ac:dyDescent="0.25">
      <c r="C98" t="s">
        <v>8</v>
      </c>
      <c r="D98" t="s">
        <v>17</v>
      </c>
      <c r="E98" t="s">
        <v>1</v>
      </c>
      <c r="F98" t="s">
        <v>2</v>
      </c>
      <c r="G98" t="s">
        <v>3</v>
      </c>
      <c r="H98" t="s">
        <v>4</v>
      </c>
      <c r="I98" t="s">
        <v>138</v>
      </c>
      <c r="J98" t="s">
        <v>6</v>
      </c>
      <c r="K98" s="6" t="s">
        <v>126</v>
      </c>
      <c r="L98" s="2" t="s">
        <v>110</v>
      </c>
      <c r="M98" t="s">
        <v>8</v>
      </c>
      <c r="N98" t="s">
        <v>17</v>
      </c>
      <c r="O98" t="s">
        <v>1</v>
      </c>
      <c r="P98" t="s">
        <v>2</v>
      </c>
      <c r="Q98" t="s">
        <v>3</v>
      </c>
      <c r="R98" t="s">
        <v>4</v>
      </c>
      <c r="S98" t="s">
        <v>5</v>
      </c>
      <c r="T98" t="s">
        <v>6</v>
      </c>
      <c r="U98" t="s">
        <v>69</v>
      </c>
      <c r="V98" s="2" t="s">
        <v>71</v>
      </c>
      <c r="W98" t="s">
        <v>8</v>
      </c>
      <c r="X98" t="s">
        <v>17</v>
      </c>
      <c r="Y98" t="s">
        <v>1</v>
      </c>
      <c r="Z98" t="s">
        <v>2</v>
      </c>
      <c r="AA98" t="s">
        <v>3</v>
      </c>
      <c r="AB98" t="s">
        <v>4</v>
      </c>
      <c r="AC98" t="s">
        <v>5</v>
      </c>
      <c r="AD98" t="s">
        <v>6</v>
      </c>
      <c r="AE98" t="s">
        <v>69</v>
      </c>
      <c r="AF98" s="2" t="s">
        <v>71</v>
      </c>
      <c r="AG98" t="s">
        <v>8</v>
      </c>
      <c r="AH98" t="s">
        <v>17</v>
      </c>
      <c r="AI98" t="s">
        <v>1</v>
      </c>
      <c r="AJ98" t="s">
        <v>2</v>
      </c>
      <c r="AK98" t="s">
        <v>3</v>
      </c>
      <c r="AL98" t="s">
        <v>4</v>
      </c>
      <c r="AM98" t="s">
        <v>5</v>
      </c>
      <c r="AN98" t="s">
        <v>6</v>
      </c>
      <c r="AO98" t="s">
        <v>69</v>
      </c>
      <c r="AP98" s="2" t="s">
        <v>71</v>
      </c>
    </row>
    <row r="99" spans="1:42" x14ac:dyDescent="0.25">
      <c r="A99" t="s">
        <v>123</v>
      </c>
      <c r="B99" s="2">
        <v>2022</v>
      </c>
      <c r="M99">
        <f t="shared" ref="M99:M107" ca="1" si="175">MAX(0,_xlfn.FORECAST.LINEAR($B99,OFFSET(C100,0,0,$D$1),OFFSET($B100,0,0,$D$1)))</f>
        <v>13.549141274238195</v>
      </c>
      <c r="N99">
        <f t="shared" ref="N99:N107" ca="1" si="176">MAX(0,_xlfn.FORECAST.LINEAR($B99,OFFSET(D100,0,0,$D$1),OFFSET($B100,0,0,$D$1)))</f>
        <v>10.916842105263186</v>
      </c>
      <c r="O99">
        <f t="shared" ref="O99:O107" ca="1" si="177">MAX(0,_xlfn.FORECAST.LINEAR($B99,OFFSET(E100,0,0,$D$1),OFFSET($B100,0,0,$D$1)))</f>
        <v>35.230664819944536</v>
      </c>
      <c r="P99">
        <f t="shared" ref="P99:P107" ca="1" si="178">MAX(0,_xlfn.FORECAST.LINEAR($B99,OFFSET(F100,0,0,$D$1),OFFSET($B100,0,0,$D$1)))</f>
        <v>40.47382271468144</v>
      </c>
      <c r="Q99">
        <f t="shared" ref="Q99:Q107" ca="1" si="179">MAX(0,_xlfn.FORECAST.LINEAR($B99,OFFSET(G100,0,0,$D$1),OFFSET($B100,0,0,$D$1)))</f>
        <v>9.7390000000000327</v>
      </c>
      <c r="R99">
        <f t="shared" ref="R99:R107" ca="1" si="180">MAX(0,_xlfn.FORECAST.LINEAR($B99,OFFSET(H100,0,0,$D$1),OFFSET($B100,0,0,$D$1)))</f>
        <v>0</v>
      </c>
      <c r="S99" t="e">
        <f t="shared" ref="S99:S107" ca="1" si="181">MAX(0,_xlfn.FORECAST.LINEAR($B99,OFFSET(I100,0,0,$D$1),OFFSET($B100,0,0,$D$1)))</f>
        <v>#DIV/0!</v>
      </c>
      <c r="T99">
        <f t="shared" ref="T99:T107" ca="1" si="182">MAX(0,_xlfn.FORECAST.LINEAR($B99,OFFSET(J100,0,0,$D$1),OFFSET($B100,0,0,$D$1)))</f>
        <v>0</v>
      </c>
      <c r="U99" t="e">
        <f t="shared" ref="U99:U107" ca="1" si="183">MAX(0,_xlfn.FORECAST.LINEAR($B99,OFFSET(K100,0,0,$D$1),OFFSET($B100,0,0,$D$1)))</f>
        <v>#DIV/0!</v>
      </c>
      <c r="V99" s="2">
        <f t="shared" ref="V99:V107" ca="1" si="184">MAX(0,_xlfn.FORECAST.LINEAR($B99,OFFSET(L100,0,0,$D$1),OFFSET($B100,0,0,$D$1)))</f>
        <v>4.9570000000000007</v>
      </c>
      <c r="AG99">
        <f>AVERAGE(C100:C105)</f>
        <v>16.603333333333335</v>
      </c>
      <c r="AH99">
        <f t="shared" ref="AH99:AH107" si="185">AVERAGE(D100:D105)</f>
        <v>8.4250000000000007</v>
      </c>
      <c r="AI99">
        <f t="shared" ref="AI99:AI107" si="186">AVERAGE(E100:E105)</f>
        <v>37.131666666666668</v>
      </c>
      <c r="AJ99">
        <f t="shared" ref="AJ99:AJ107" si="187">AVERAGE(F100:F105)</f>
        <v>40.87166666666667</v>
      </c>
      <c r="AK99">
        <f t="shared" ref="AK99:AK107" si="188">AVERAGE(G100:G105)</f>
        <v>6.4719999999999995</v>
      </c>
      <c r="AL99">
        <f t="shared" ref="AL99:AL107" si="189">AVERAGE(H100:H105)</f>
        <v>1.3450000000000002</v>
      </c>
      <c r="AM99" t="e">
        <f t="shared" ref="AM99:AM107" si="190">AVERAGE(I100:I105)</f>
        <v>#DIV/0!</v>
      </c>
      <c r="AN99">
        <f t="shared" ref="AN99:AN107" si="191">AVERAGE(J100:J105)</f>
        <v>6.8025000000000002</v>
      </c>
      <c r="AO99">
        <f t="shared" ref="AO99:AO107" si="192">AVERAGE(K100:K105)</f>
        <v>14.2</v>
      </c>
      <c r="AP99" s="2">
        <f t="shared" ref="AP99:AP107" si="193">AVERAGE(L100:L105)</f>
        <v>4.63</v>
      </c>
    </row>
    <row r="100" spans="1:42" x14ac:dyDescent="0.25">
      <c r="A100" t="s">
        <v>124</v>
      </c>
      <c r="B100" s="2">
        <v>2018</v>
      </c>
      <c r="C100">
        <f t="shared" ref="C100:C114" si="194">100-SUM(E100:G100)</f>
        <v>22.5</v>
      </c>
      <c r="D100">
        <f>100-SUM(E100:K100)</f>
        <v>8.2999999999999972</v>
      </c>
      <c r="E100">
        <v>32.799999999999997</v>
      </c>
      <c r="F100">
        <v>38</v>
      </c>
      <c r="G100">
        <v>6.7</v>
      </c>
      <c r="K100">
        <v>14.2</v>
      </c>
      <c r="L100" s="2">
        <v>3</v>
      </c>
      <c r="M100">
        <f t="shared" ca="1" si="175"/>
        <v>9.0712127659575117</v>
      </c>
      <c r="N100">
        <f t="shared" ca="1" si="176"/>
        <v>11.5250638297872</v>
      </c>
      <c r="O100">
        <f t="shared" ca="1" si="177"/>
        <v>41.019499999999994</v>
      </c>
      <c r="P100">
        <f t="shared" ca="1" si="178"/>
        <v>38.657776595744622</v>
      </c>
      <c r="Q100">
        <f t="shared" ca="1" si="179"/>
        <v>11.575000000000045</v>
      </c>
      <c r="R100">
        <f t="shared" ca="1" si="180"/>
        <v>0</v>
      </c>
      <c r="S100" t="e">
        <f t="shared" ca="1" si="181"/>
        <v>#DIV/0!</v>
      </c>
      <c r="T100">
        <f t="shared" ca="1" si="182"/>
        <v>0</v>
      </c>
      <c r="U100" t="e">
        <f t="shared" ca="1" si="183"/>
        <v>#DIV/0!</v>
      </c>
      <c r="V100" s="2">
        <f t="shared" ca="1" si="184"/>
        <v>7.6200000000001182</v>
      </c>
      <c r="W100" s="4">
        <f ca="1">IF(ISBLANK(C100),NA(),C100-M100)</f>
        <v>13.428787234042488</v>
      </c>
      <c r="X100" s="3">
        <f t="shared" ref="X100:X107" ca="1" si="195">IF(ISBLANK(D100),NA(),D100-N100)</f>
        <v>-3.225063829787203</v>
      </c>
      <c r="Y100" s="3">
        <f t="shared" ref="Y100:Y107" ca="1" si="196">IF(ISBLANK(E100),NA(),E100-O100)</f>
        <v>-8.2194999999999965</v>
      </c>
      <c r="Z100" s="3">
        <f t="shared" ref="Z100:Z107" ca="1" si="197">IF(ISBLANK(F100),NA(),F100-P100)</f>
        <v>-0.65777659574462177</v>
      </c>
      <c r="AA100" s="3">
        <f t="shared" ref="AA100:AA107" ca="1" si="198">IF(ISBLANK(G100),NA(),G100-Q100)</f>
        <v>-4.8750000000000453</v>
      </c>
      <c r="AB100" s="3" t="e">
        <f t="shared" ref="AB100:AB107" si="199">IF(ISBLANK(H100),NA(),H100-R100)</f>
        <v>#N/A</v>
      </c>
      <c r="AC100" s="3" t="e">
        <f t="shared" ref="AC100:AC107" si="200">IF(ISBLANK(I100),NA(),I100-S100)</f>
        <v>#N/A</v>
      </c>
      <c r="AD100" s="3" t="e">
        <f t="shared" ref="AD100:AD107" si="201">IF(ISBLANK(J100),NA(),J100-T100)</f>
        <v>#N/A</v>
      </c>
      <c r="AE100" s="3" t="e">
        <f t="shared" ref="AE100:AE107" ca="1" si="202">IF(ISBLANK(K100),NA(),K100-U100)</f>
        <v>#DIV/0!</v>
      </c>
      <c r="AF100" s="5">
        <f t="shared" ref="AF100:AF107" ca="1" si="203">IF(ISBLANK(L100),NA(),L100-V100)</f>
        <v>-4.6200000000001182</v>
      </c>
      <c r="AG100">
        <f t="shared" ref="AG100:AG107" si="204">AVERAGE(C101:C106)</f>
        <v>15.473333333333334</v>
      </c>
      <c r="AH100">
        <f t="shared" si="185"/>
        <v>8.1466666666666683</v>
      </c>
      <c r="AI100">
        <f t="shared" si="186"/>
        <v>36.726666666666667</v>
      </c>
      <c r="AJ100">
        <f t="shared" si="187"/>
        <v>43.523333333333333</v>
      </c>
      <c r="AK100">
        <f t="shared" si="188"/>
        <v>6.4149999999999991</v>
      </c>
      <c r="AL100">
        <f t="shared" si="189"/>
        <v>1.3450000000000002</v>
      </c>
      <c r="AM100" t="e">
        <f t="shared" si="190"/>
        <v>#DIV/0!</v>
      </c>
      <c r="AN100">
        <f t="shared" si="191"/>
        <v>7.26</v>
      </c>
      <c r="AO100" t="e">
        <f t="shared" si="192"/>
        <v>#DIV/0!</v>
      </c>
      <c r="AP100" s="2">
        <f t="shared" si="193"/>
        <v>5.0374999999999996</v>
      </c>
    </row>
    <row r="101" spans="1:42" x14ac:dyDescent="0.25">
      <c r="A101" t="s">
        <v>125</v>
      </c>
      <c r="B101" s="2">
        <v>2014</v>
      </c>
      <c r="C101">
        <f t="shared" si="194"/>
        <v>10.590000000000003</v>
      </c>
      <c r="D101">
        <f>100-SUM(E101:J101)</f>
        <v>10.590000000000003</v>
      </c>
      <c r="E101">
        <v>35.799999999999997</v>
      </c>
      <c r="F101">
        <v>44.91</v>
      </c>
      <c r="G101">
        <v>8.6999999999999993</v>
      </c>
      <c r="L101" s="2">
        <v>6.25</v>
      </c>
      <c r="M101">
        <f t="shared" ca="1" si="175"/>
        <v>13.427679790026275</v>
      </c>
      <c r="N101">
        <f t="shared" ca="1" si="176"/>
        <v>10.713401574803129</v>
      </c>
      <c r="O101">
        <f t="shared" ca="1" si="177"/>
        <v>40.728257217847784</v>
      </c>
      <c r="P101">
        <f t="shared" ca="1" si="178"/>
        <v>36.93241994750656</v>
      </c>
      <c r="Q101">
        <f t="shared" ca="1" si="179"/>
        <v>11.403333333333421</v>
      </c>
      <c r="R101">
        <f t="shared" ca="1" si="180"/>
        <v>0</v>
      </c>
      <c r="S101" t="e">
        <f t="shared" ca="1" si="181"/>
        <v>#DIV/0!</v>
      </c>
      <c r="T101">
        <f t="shared" ca="1" si="182"/>
        <v>0.15567454068263942</v>
      </c>
      <c r="U101" t="e">
        <f t="shared" ca="1" si="183"/>
        <v>#DIV/0!</v>
      </c>
      <c r="V101" s="2">
        <f t="shared" ca="1" si="184"/>
        <v>7.3733333333333348</v>
      </c>
      <c r="W101" s="4">
        <f t="shared" ref="W101:W107" ca="1" si="205">IF(ISBLANK(C101),NA(),C101-M101)</f>
        <v>-2.8376797900262716</v>
      </c>
      <c r="X101" s="3">
        <f t="shared" ca="1" si="195"/>
        <v>-0.12340157480312541</v>
      </c>
      <c r="Y101" s="3">
        <f t="shared" ca="1" si="196"/>
        <v>-4.9282572178477864</v>
      </c>
      <c r="Z101" s="3">
        <f t="shared" ca="1" si="197"/>
        <v>7.9775800524934368</v>
      </c>
      <c r="AA101" s="3">
        <f t="shared" ca="1" si="198"/>
        <v>-2.703333333333422</v>
      </c>
      <c r="AB101" s="3" t="e">
        <f t="shared" si="199"/>
        <v>#N/A</v>
      </c>
      <c r="AC101" s="3" t="e">
        <f t="shared" si="200"/>
        <v>#N/A</v>
      </c>
      <c r="AD101" s="3" t="e">
        <f t="shared" si="201"/>
        <v>#N/A</v>
      </c>
      <c r="AE101" s="3" t="e">
        <f t="shared" si="202"/>
        <v>#N/A</v>
      </c>
      <c r="AF101" s="5">
        <f t="shared" ca="1" si="203"/>
        <v>-1.1233333333333348</v>
      </c>
      <c r="AG101">
        <f t="shared" si="204"/>
        <v>16.128333333333334</v>
      </c>
      <c r="AH101">
        <f t="shared" si="185"/>
        <v>7.0900000000000007</v>
      </c>
      <c r="AI101">
        <f t="shared" si="186"/>
        <v>37.44166666666667</v>
      </c>
      <c r="AJ101">
        <f t="shared" si="187"/>
        <v>43.603333333333332</v>
      </c>
      <c r="AK101">
        <f t="shared" si="188"/>
        <v>5.6533333333333333</v>
      </c>
      <c r="AL101">
        <f t="shared" si="189"/>
        <v>1.3450000000000002</v>
      </c>
      <c r="AM101" t="e">
        <f t="shared" si="190"/>
        <v>#DIV/0!</v>
      </c>
      <c r="AN101">
        <f t="shared" si="191"/>
        <v>7.7616666666666658</v>
      </c>
      <c r="AO101" t="e">
        <f t="shared" si="192"/>
        <v>#DIV/0!</v>
      </c>
      <c r="AP101" s="2">
        <f t="shared" si="193"/>
        <v>4.6333333333333337</v>
      </c>
    </row>
    <row r="102" spans="1:42" x14ac:dyDescent="0.25">
      <c r="A102" t="s">
        <v>127</v>
      </c>
      <c r="B102" s="2">
        <v>2010</v>
      </c>
      <c r="C102">
        <f t="shared" si="194"/>
        <v>11.719999999999999</v>
      </c>
      <c r="D102">
        <f>100-SUM(E102:G102)</f>
        <v>11.719999999999999</v>
      </c>
      <c r="E102">
        <v>37.47</v>
      </c>
      <c r="F102">
        <v>42.7</v>
      </c>
      <c r="G102">
        <v>8.11</v>
      </c>
      <c r="J102">
        <v>0.38</v>
      </c>
      <c r="L102" s="2">
        <v>5.38</v>
      </c>
      <c r="M102">
        <f t="shared" ca="1" si="175"/>
        <v>19.717340425531916</v>
      </c>
      <c r="N102">
        <f t="shared" ca="1" si="176"/>
        <v>7.9313829787233772</v>
      </c>
      <c r="O102">
        <f t="shared" ca="1" si="177"/>
        <v>37.378617021276625</v>
      </c>
      <c r="P102">
        <f t="shared" ca="1" si="178"/>
        <v>37.452191489361667</v>
      </c>
      <c r="Q102">
        <f t="shared" ca="1" si="179"/>
        <v>10.619999999999891</v>
      </c>
      <c r="R102">
        <f t="shared" ca="1" si="180"/>
        <v>0</v>
      </c>
      <c r="S102" t="e">
        <f t="shared" ca="1" si="181"/>
        <v>#DIV/0!</v>
      </c>
      <c r="T102">
        <f t="shared" ca="1" si="182"/>
        <v>7.3771914893617065</v>
      </c>
      <c r="U102" t="e">
        <f t="shared" ca="1" si="183"/>
        <v>#DIV/0!</v>
      </c>
      <c r="V102" s="2">
        <f t="shared" ca="1" si="184"/>
        <v>9.1200000000001182</v>
      </c>
      <c r="W102" s="4">
        <f t="shared" ca="1" si="205"/>
        <v>-7.9973404255319167</v>
      </c>
      <c r="X102" s="3">
        <f t="shared" ca="1" si="195"/>
        <v>3.7886170212766217</v>
      </c>
      <c r="Y102" s="3">
        <f t="shared" ca="1" si="196"/>
        <v>9.1382978723373753E-2</v>
      </c>
      <c r="Z102" s="3">
        <f t="shared" ca="1" si="197"/>
        <v>5.2478085106383361</v>
      </c>
      <c r="AA102" s="3">
        <f t="shared" ca="1" si="198"/>
        <v>-2.5099999999998914</v>
      </c>
      <c r="AB102" s="3" t="e">
        <f t="shared" si="199"/>
        <v>#N/A</v>
      </c>
      <c r="AC102" s="3" t="e">
        <f t="shared" si="200"/>
        <v>#N/A</v>
      </c>
      <c r="AD102" s="3">
        <f t="shared" ca="1" si="201"/>
        <v>-6.9971914893617067</v>
      </c>
      <c r="AE102" s="3" t="e">
        <f t="shared" si="202"/>
        <v>#N/A</v>
      </c>
      <c r="AF102" s="5">
        <f t="shared" ca="1" si="203"/>
        <v>-3.7400000000001183</v>
      </c>
      <c r="AG102">
        <f t="shared" si="204"/>
        <v>15.498333333333333</v>
      </c>
      <c r="AH102">
        <f t="shared" si="185"/>
        <v>5.7516666666666678</v>
      </c>
      <c r="AI102">
        <f t="shared" si="186"/>
        <v>39.228333333333332</v>
      </c>
      <c r="AJ102">
        <f t="shared" si="187"/>
        <v>43.798333333333339</v>
      </c>
      <c r="AK102">
        <f t="shared" si="188"/>
        <v>4.4249999999999998</v>
      </c>
      <c r="AL102">
        <f t="shared" si="189"/>
        <v>1.3450000000000002</v>
      </c>
      <c r="AM102" t="e">
        <f t="shared" si="190"/>
        <v>#DIV/0!</v>
      </c>
      <c r="AN102">
        <f t="shared" si="191"/>
        <v>8.4066666666666663</v>
      </c>
      <c r="AO102" t="e">
        <f t="shared" si="192"/>
        <v>#DIV/0!</v>
      </c>
      <c r="AP102" s="2">
        <f t="shared" si="193"/>
        <v>4.26</v>
      </c>
    </row>
    <row r="103" spans="1:42" x14ac:dyDescent="0.25">
      <c r="A103" t="s">
        <v>128</v>
      </c>
      <c r="B103" s="2">
        <v>2006</v>
      </c>
      <c r="C103">
        <f t="shared" si="194"/>
        <v>12.230000000000004</v>
      </c>
      <c r="D103">
        <f>100-SUM(E103:G103)-L103</f>
        <v>6.3500000000000041</v>
      </c>
      <c r="E103">
        <v>45.22</v>
      </c>
      <c r="F103">
        <v>36.06</v>
      </c>
      <c r="G103">
        <v>6.49</v>
      </c>
      <c r="H103">
        <v>0.28000000000000003</v>
      </c>
      <c r="J103">
        <v>2.89</v>
      </c>
      <c r="L103" s="2">
        <v>5.88</v>
      </c>
      <c r="M103">
        <f t="shared" ca="1" si="175"/>
        <v>25.406184834123223</v>
      </c>
      <c r="N103">
        <f t="shared" ca="1" si="176"/>
        <v>8.9470379146920322</v>
      </c>
      <c r="O103">
        <f t="shared" ca="1" si="177"/>
        <v>29.332440758293842</v>
      </c>
      <c r="P103">
        <f t="shared" ca="1" si="178"/>
        <v>43.555687203791479</v>
      </c>
      <c r="Q103" t="e">
        <f t="shared" ca="1" si="179"/>
        <v>#DIV/0!</v>
      </c>
      <c r="R103" t="e">
        <f t="shared" ca="1" si="180"/>
        <v>#DIV/0!</v>
      </c>
      <c r="S103" t="e">
        <f t="shared" ca="1" si="181"/>
        <v>#DIV/0!</v>
      </c>
      <c r="T103">
        <f t="shared" ca="1" si="182"/>
        <v>12.809265402843664</v>
      </c>
      <c r="U103" t="e">
        <f t="shared" ca="1" si="183"/>
        <v>#DIV/0!</v>
      </c>
      <c r="V103" s="2" t="e">
        <f t="shared" ca="1" si="184"/>
        <v>#DIV/0!</v>
      </c>
      <c r="W103" s="4">
        <f t="shared" ca="1" si="205"/>
        <v>-13.17618483412322</v>
      </c>
      <c r="X103" s="3">
        <f t="shared" ca="1" si="195"/>
        <v>-2.5970379146920282</v>
      </c>
      <c r="Y103" s="3">
        <f t="shared" ca="1" si="196"/>
        <v>15.887559241706157</v>
      </c>
      <c r="Z103" s="3">
        <f t="shared" ca="1" si="197"/>
        <v>-7.4956872037914763</v>
      </c>
      <c r="AA103" s="3" t="e">
        <f t="shared" ca="1" si="198"/>
        <v>#DIV/0!</v>
      </c>
      <c r="AB103" s="3" t="e">
        <f t="shared" ca="1" si="199"/>
        <v>#DIV/0!</v>
      </c>
      <c r="AC103" s="3" t="e">
        <f t="shared" si="200"/>
        <v>#N/A</v>
      </c>
      <c r="AD103" s="3">
        <f t="shared" ca="1" si="201"/>
        <v>-9.9192654028436635</v>
      </c>
      <c r="AE103" s="3" t="e">
        <f t="shared" si="202"/>
        <v>#N/A</v>
      </c>
      <c r="AF103" s="5" t="e">
        <f t="shared" ca="1" si="203"/>
        <v>#DIV/0!</v>
      </c>
      <c r="AG103">
        <f t="shared" si="204"/>
        <v>14.914999999999997</v>
      </c>
      <c r="AH103">
        <f t="shared" si="185"/>
        <v>4.9616666666666633</v>
      </c>
      <c r="AI103">
        <f t="shared" si="186"/>
        <v>39.405000000000001</v>
      </c>
      <c r="AJ103">
        <f t="shared" si="187"/>
        <v>45.286666666666669</v>
      </c>
      <c r="AK103">
        <f t="shared" si="188"/>
        <v>2.36</v>
      </c>
      <c r="AL103">
        <f t="shared" si="189"/>
        <v>2.41</v>
      </c>
      <c r="AM103" t="e">
        <f t="shared" si="190"/>
        <v>#DIV/0!</v>
      </c>
      <c r="AN103">
        <f t="shared" si="191"/>
        <v>9.1116666666666664</v>
      </c>
      <c r="AO103" t="e">
        <f t="shared" si="192"/>
        <v>#DIV/0!</v>
      </c>
      <c r="AP103" s="2">
        <f t="shared" si="193"/>
        <v>2.64</v>
      </c>
    </row>
    <row r="104" spans="1:42" x14ac:dyDescent="0.25">
      <c r="A104" t="s">
        <v>129</v>
      </c>
      <c r="B104" s="2">
        <v>2002</v>
      </c>
      <c r="C104">
        <f t="shared" si="194"/>
        <v>19.879999999999995</v>
      </c>
      <c r="D104">
        <f>100-SUM(E104:L104)</f>
        <v>7.3400000000000034</v>
      </c>
      <c r="E104">
        <v>36.340000000000003</v>
      </c>
      <c r="F104">
        <v>41.42</v>
      </c>
      <c r="G104">
        <v>2.36</v>
      </c>
      <c r="H104">
        <v>2.41</v>
      </c>
      <c r="J104">
        <v>7.49</v>
      </c>
      <c r="L104" s="2">
        <v>2.64</v>
      </c>
      <c r="M104">
        <f t="shared" ca="1" si="175"/>
        <v>24.240151187904985</v>
      </c>
      <c r="N104">
        <f t="shared" ca="1" si="176"/>
        <v>8.6460547156226539</v>
      </c>
      <c r="O104">
        <f t="shared" ca="1" si="177"/>
        <v>30.065644348452224</v>
      </c>
      <c r="P104">
        <f t="shared" ca="1" si="178"/>
        <v>45.694204463642905</v>
      </c>
      <c r="Q104" t="e">
        <f t="shared" ca="1" si="179"/>
        <v>#DIV/0!</v>
      </c>
      <c r="R104" t="e">
        <f t="shared" ca="1" si="180"/>
        <v>#DIV/0!</v>
      </c>
      <c r="S104" t="e">
        <f t="shared" ca="1" si="181"/>
        <v>#DIV/0!</v>
      </c>
      <c r="T104">
        <f t="shared" ca="1" si="182"/>
        <v>15.594096472282217</v>
      </c>
      <c r="U104" t="e">
        <f t="shared" ca="1" si="183"/>
        <v>#DIV/0!</v>
      </c>
      <c r="V104" s="2" t="e">
        <f t="shared" ca="1" si="184"/>
        <v>#DIV/0!</v>
      </c>
      <c r="W104" s="4">
        <f t="shared" ca="1" si="205"/>
        <v>-4.3601511879049895</v>
      </c>
      <c r="X104" s="3">
        <f t="shared" ca="1" si="195"/>
        <v>-1.3060547156226505</v>
      </c>
      <c r="Y104" s="3">
        <f t="shared" ca="1" si="196"/>
        <v>6.2743556515477792</v>
      </c>
      <c r="Z104" s="3">
        <f t="shared" ca="1" si="197"/>
        <v>-4.2742044636429029</v>
      </c>
      <c r="AA104" s="3" t="e">
        <f t="shared" ca="1" si="198"/>
        <v>#DIV/0!</v>
      </c>
      <c r="AB104" s="3" t="e">
        <f t="shared" ca="1" si="199"/>
        <v>#DIV/0!</v>
      </c>
      <c r="AC104" s="3" t="e">
        <f t="shared" si="200"/>
        <v>#N/A</v>
      </c>
      <c r="AD104" s="3">
        <f t="shared" ca="1" si="201"/>
        <v>-8.1040964722822171</v>
      </c>
      <c r="AE104" s="3" t="e">
        <f t="shared" si="202"/>
        <v>#N/A</v>
      </c>
      <c r="AF104" s="5" t="e">
        <f t="shared" ca="1" si="203"/>
        <v>#DIV/0!</v>
      </c>
      <c r="AG104">
        <f t="shared" si="204"/>
        <v>13.149999999999997</v>
      </c>
      <c r="AH104">
        <f t="shared" si="185"/>
        <v>3.9033333333333289</v>
      </c>
      <c r="AI104">
        <f t="shared" si="186"/>
        <v>40.158333333333331</v>
      </c>
      <c r="AJ104">
        <f t="shared" si="187"/>
        <v>46.69166666666667</v>
      </c>
      <c r="AK104" t="e">
        <f t="shared" si="188"/>
        <v>#DIV/0!</v>
      </c>
      <c r="AL104" t="e">
        <f t="shared" si="189"/>
        <v>#DIV/0!</v>
      </c>
      <c r="AM104" t="e">
        <f t="shared" si="190"/>
        <v>#DIV/0!</v>
      </c>
      <c r="AN104">
        <f t="shared" si="191"/>
        <v>9.2466666666666679</v>
      </c>
      <c r="AO104" t="e">
        <f t="shared" si="192"/>
        <v>#DIV/0!</v>
      </c>
      <c r="AP104" s="2" t="e">
        <f t="shared" si="193"/>
        <v>#DIV/0!</v>
      </c>
    </row>
    <row r="105" spans="1:42" x14ac:dyDescent="0.25">
      <c r="A105" t="s">
        <v>130</v>
      </c>
      <c r="B105" s="2">
        <v>1997</v>
      </c>
      <c r="C105">
        <f t="shared" si="194"/>
        <v>22.700000000000003</v>
      </c>
      <c r="D105">
        <f t="shared" ref="D105:D113" si="206">100-SUM(E105:L105)</f>
        <v>6.25</v>
      </c>
      <c r="E105">
        <v>35.159999999999997</v>
      </c>
      <c r="F105">
        <v>42.14</v>
      </c>
      <c r="J105">
        <v>16.45</v>
      </c>
      <c r="M105">
        <f t="shared" ca="1" si="175"/>
        <v>17.854238052299252</v>
      </c>
      <c r="N105">
        <f t="shared" ca="1" si="176"/>
        <v>7.2820198376915641</v>
      </c>
      <c r="O105">
        <f t="shared" ca="1" si="177"/>
        <v>30.457592425608709</v>
      </c>
      <c r="P105">
        <f t="shared" ca="1" si="178"/>
        <v>51.688169522091812</v>
      </c>
      <c r="Q105" t="e">
        <f t="shared" ca="1" si="179"/>
        <v>#DIV/0!</v>
      </c>
      <c r="R105" t="e">
        <f t="shared" ca="1" si="180"/>
        <v>#DIV/0!</v>
      </c>
      <c r="S105" t="e">
        <f t="shared" ca="1" si="181"/>
        <v>#DIV/0!</v>
      </c>
      <c r="T105">
        <f t="shared" ca="1" si="182"/>
        <v>10.572218214607801</v>
      </c>
      <c r="U105" t="e">
        <f t="shared" ca="1" si="183"/>
        <v>#DIV/0!</v>
      </c>
      <c r="V105" s="2" t="e">
        <f t="shared" ca="1" si="184"/>
        <v>#DIV/0!</v>
      </c>
      <c r="W105" s="4">
        <f t="shared" ca="1" si="205"/>
        <v>4.8457619477007512</v>
      </c>
      <c r="X105" s="3">
        <f t="shared" ca="1" si="195"/>
        <v>-1.0320198376915641</v>
      </c>
      <c r="Y105" s="3">
        <f t="shared" ca="1" si="196"/>
        <v>4.7024075743912874</v>
      </c>
      <c r="Z105" s="3">
        <f t="shared" ca="1" si="197"/>
        <v>-9.5481695220918112</v>
      </c>
      <c r="AA105" s="3" t="e">
        <f t="shared" si="198"/>
        <v>#N/A</v>
      </c>
      <c r="AB105" s="3" t="e">
        <f t="shared" si="199"/>
        <v>#N/A</v>
      </c>
      <c r="AC105" s="3" t="e">
        <f t="shared" si="200"/>
        <v>#N/A</v>
      </c>
      <c r="AD105" s="3">
        <f t="shared" ca="1" si="201"/>
        <v>5.8777817853921981</v>
      </c>
      <c r="AE105" s="3" t="e">
        <f t="shared" si="202"/>
        <v>#N/A</v>
      </c>
      <c r="AF105" s="5" t="e">
        <f t="shared" si="203"/>
        <v>#N/A</v>
      </c>
      <c r="AG105">
        <f t="shared" si="204"/>
        <v>10.293333333333329</v>
      </c>
      <c r="AH105">
        <f t="shared" si="185"/>
        <v>3.2083333333333286</v>
      </c>
      <c r="AI105">
        <f t="shared" si="186"/>
        <v>42.905000000000001</v>
      </c>
      <c r="AJ105">
        <f t="shared" si="187"/>
        <v>46.801666666666669</v>
      </c>
      <c r="AK105" t="e">
        <f t="shared" si="188"/>
        <v>#DIV/0!</v>
      </c>
      <c r="AL105" t="e">
        <f t="shared" si="189"/>
        <v>#DIV/0!</v>
      </c>
      <c r="AM105" t="e">
        <f t="shared" si="190"/>
        <v>#DIV/0!</v>
      </c>
      <c r="AN105">
        <f t="shared" si="191"/>
        <v>7.085</v>
      </c>
      <c r="AO105" t="e">
        <f t="shared" si="192"/>
        <v>#DIV/0!</v>
      </c>
      <c r="AP105" s="2" t="e">
        <f t="shared" si="193"/>
        <v>#DIV/0!</v>
      </c>
    </row>
    <row r="106" spans="1:42" x14ac:dyDescent="0.25">
      <c r="A106" t="s">
        <v>131</v>
      </c>
      <c r="B106" s="2">
        <v>1993</v>
      </c>
      <c r="C106">
        <f t="shared" si="194"/>
        <v>15.719999999999999</v>
      </c>
      <c r="D106">
        <f t="shared" si="206"/>
        <v>6.6299999999999955</v>
      </c>
      <c r="E106">
        <v>30.37</v>
      </c>
      <c r="F106">
        <v>53.91</v>
      </c>
      <c r="J106">
        <v>9.09</v>
      </c>
      <c r="M106">
        <f t="shared" ca="1" si="175"/>
        <v>9.9214981729598151</v>
      </c>
      <c r="N106">
        <f t="shared" ca="1" si="176"/>
        <v>4.9797320341047566</v>
      </c>
      <c r="O106">
        <f t="shared" ca="1" si="177"/>
        <v>41.066090133983039</v>
      </c>
      <c r="P106">
        <f t="shared" ca="1" si="178"/>
        <v>49.012411693057174</v>
      </c>
      <c r="Q106" t="e">
        <f t="shared" ca="1" si="179"/>
        <v>#DIV/0!</v>
      </c>
      <c r="R106" t="e">
        <f t="shared" ca="1" si="180"/>
        <v>#DIV/0!</v>
      </c>
      <c r="S106" t="e">
        <f t="shared" ca="1" si="181"/>
        <v>#DIV/0!</v>
      </c>
      <c r="T106">
        <f t="shared" ca="1" si="182"/>
        <v>10.051359649122787</v>
      </c>
      <c r="U106" t="e">
        <f t="shared" ca="1" si="183"/>
        <v>#DIV/0!</v>
      </c>
      <c r="V106" s="2" t="e">
        <f t="shared" ca="1" si="184"/>
        <v>#DIV/0!</v>
      </c>
      <c r="W106" s="4">
        <f t="shared" ca="1" si="205"/>
        <v>5.7985018270401838</v>
      </c>
      <c r="X106" s="3">
        <f t="shared" ca="1" si="195"/>
        <v>1.6502679658952388</v>
      </c>
      <c r="Y106" s="3">
        <f t="shared" ca="1" si="196"/>
        <v>-10.696090133983038</v>
      </c>
      <c r="Z106" s="3">
        <f t="shared" ca="1" si="197"/>
        <v>4.8975883069428221</v>
      </c>
      <c r="AA106" s="3" t="e">
        <f t="shared" si="198"/>
        <v>#N/A</v>
      </c>
      <c r="AB106" s="3" t="e">
        <f t="shared" si="199"/>
        <v>#N/A</v>
      </c>
      <c r="AC106" s="3" t="e">
        <f t="shared" si="200"/>
        <v>#N/A</v>
      </c>
      <c r="AD106" s="3">
        <f t="shared" ca="1" si="201"/>
        <v>-0.96135964912278737</v>
      </c>
      <c r="AE106" s="3" t="e">
        <f t="shared" si="202"/>
        <v>#N/A</v>
      </c>
      <c r="AF106" s="5" t="e">
        <f t="shared" si="203"/>
        <v>#N/A</v>
      </c>
      <c r="AG106">
        <f t="shared" si="204"/>
        <v>10.903333333333329</v>
      </c>
      <c r="AH106">
        <f t="shared" si="185"/>
        <v>2.2883333333333291</v>
      </c>
      <c r="AI106">
        <f t="shared" si="186"/>
        <v>45.563333333333333</v>
      </c>
      <c r="AJ106">
        <f t="shared" si="187"/>
        <v>43.533333333333331</v>
      </c>
      <c r="AK106" t="e">
        <f t="shared" si="188"/>
        <v>#DIV/0!</v>
      </c>
      <c r="AL106" t="e">
        <f t="shared" si="189"/>
        <v>#DIV/0!</v>
      </c>
      <c r="AM106">
        <f t="shared" si="190"/>
        <v>18.27</v>
      </c>
      <c r="AN106">
        <f t="shared" si="191"/>
        <v>6.6840000000000002</v>
      </c>
      <c r="AO106" t="e">
        <f t="shared" si="192"/>
        <v>#DIV/0!</v>
      </c>
      <c r="AP106" s="2" t="e">
        <f t="shared" si="193"/>
        <v>#DIV/0!</v>
      </c>
    </row>
    <row r="107" spans="1:42" x14ac:dyDescent="0.25">
      <c r="A107" t="s">
        <v>132</v>
      </c>
      <c r="B107" s="2">
        <v>1989</v>
      </c>
      <c r="C107">
        <f t="shared" si="194"/>
        <v>14.519999999999996</v>
      </c>
      <c r="D107">
        <f t="shared" si="206"/>
        <v>4.25</v>
      </c>
      <c r="E107">
        <v>40.090000000000003</v>
      </c>
      <c r="F107">
        <v>45.39</v>
      </c>
      <c r="J107">
        <v>10.27</v>
      </c>
      <c r="M107">
        <f t="shared" ca="1" si="175"/>
        <v>7.6409045226130843</v>
      </c>
      <c r="N107">
        <f t="shared" ca="1" si="176"/>
        <v>2.0535008375209287</v>
      </c>
      <c r="O107">
        <f t="shared" ca="1" si="177"/>
        <v>44.5879564489112</v>
      </c>
      <c r="P107">
        <f t="shared" ca="1" si="178"/>
        <v>47.771139028475659</v>
      </c>
      <c r="Q107" t="e">
        <f t="shared" ca="1" si="179"/>
        <v>#DIV/0!</v>
      </c>
      <c r="R107" t="e">
        <f t="shared" ca="1" si="180"/>
        <v>#DIV/0!</v>
      </c>
      <c r="S107" t="e">
        <f t="shared" ca="1" si="181"/>
        <v>#DIV/0!</v>
      </c>
      <c r="T107">
        <f t="shared" ca="1" si="182"/>
        <v>5.6499999999999986</v>
      </c>
      <c r="U107" t="e">
        <f t="shared" ca="1" si="183"/>
        <v>#DIV/0!</v>
      </c>
      <c r="V107" s="2" t="e">
        <f t="shared" ca="1" si="184"/>
        <v>#DIV/0!</v>
      </c>
      <c r="W107" s="4">
        <f t="shared" ca="1" si="205"/>
        <v>6.8790954773869117</v>
      </c>
      <c r="X107" s="3">
        <f t="shared" ca="1" si="195"/>
        <v>2.1964991624790713</v>
      </c>
      <c r="Y107" s="3">
        <f t="shared" ca="1" si="196"/>
        <v>-4.4979564489111965</v>
      </c>
      <c r="Z107" s="3">
        <f t="shared" ca="1" si="197"/>
        <v>-2.3811390284756584</v>
      </c>
      <c r="AA107" s="3" t="e">
        <f t="shared" si="198"/>
        <v>#N/A</v>
      </c>
      <c r="AB107" s="3" t="e">
        <f t="shared" si="199"/>
        <v>#N/A</v>
      </c>
      <c r="AC107" s="3" t="e">
        <f t="shared" si="200"/>
        <v>#N/A</v>
      </c>
      <c r="AD107" s="3">
        <f t="shared" ca="1" si="201"/>
        <v>4.620000000000001</v>
      </c>
      <c r="AE107" s="3" t="e">
        <f t="shared" si="202"/>
        <v>#N/A</v>
      </c>
      <c r="AF107" s="5" t="e">
        <f t="shared" si="203"/>
        <v>#N/A</v>
      </c>
      <c r="AG107">
        <f t="shared" si="204"/>
        <v>9.2749999999999968</v>
      </c>
      <c r="AH107">
        <f t="shared" si="185"/>
        <v>2.3716666666666626</v>
      </c>
      <c r="AI107">
        <f t="shared" si="186"/>
        <v>47.468333333333327</v>
      </c>
      <c r="AJ107">
        <f t="shared" si="187"/>
        <v>43.256666666666668</v>
      </c>
      <c r="AK107" t="e">
        <f t="shared" si="188"/>
        <v>#DIV/0!</v>
      </c>
      <c r="AL107" t="e">
        <f t="shared" si="189"/>
        <v>#DIV/0!</v>
      </c>
      <c r="AM107">
        <f t="shared" si="190"/>
        <v>18.27</v>
      </c>
      <c r="AN107">
        <f t="shared" si="191"/>
        <v>5.7875000000000005</v>
      </c>
      <c r="AO107" t="e">
        <f t="shared" si="192"/>
        <v>#DIV/0!</v>
      </c>
      <c r="AP107" s="2" t="e">
        <f t="shared" si="193"/>
        <v>#DIV/0!</v>
      </c>
    </row>
    <row r="108" spans="1:42" x14ac:dyDescent="0.25">
      <c r="A108" t="s">
        <v>133</v>
      </c>
      <c r="B108" s="2">
        <v>1985</v>
      </c>
      <c r="C108">
        <f t="shared" si="194"/>
        <v>7.9399999999999977</v>
      </c>
      <c r="D108">
        <f t="shared" si="206"/>
        <v>3.6899999999999977</v>
      </c>
      <c r="E108">
        <v>48.19</v>
      </c>
      <c r="F108">
        <v>43.87</v>
      </c>
      <c r="J108">
        <v>4.25</v>
      </c>
      <c r="M108">
        <f t="shared" ref="M108:V108" ca="1" si="207">MAX(0,_xlfn.FORECAST.LINEAR($B108,OFFSET(C109,0,0,$D$1),OFFSET($B109,0,0,$D$1)))</f>
        <v>11.921449275362306</v>
      </c>
      <c r="N108">
        <f t="shared" ca="1" si="207"/>
        <v>0.55829710144928413</v>
      </c>
      <c r="O108">
        <f t="shared" ca="1" si="207"/>
        <v>42.289202898550684</v>
      </c>
      <c r="P108">
        <f t="shared" ca="1" si="207"/>
        <v>45.789347826086953</v>
      </c>
      <c r="Q108" t="e">
        <f t="shared" ca="1" si="207"/>
        <v>#DIV/0!</v>
      </c>
      <c r="R108" t="e">
        <f t="shared" ca="1" si="207"/>
        <v>#DIV/0!</v>
      </c>
      <c r="S108" t="e">
        <f t="shared" ca="1" si="207"/>
        <v>#DIV/0!</v>
      </c>
      <c r="T108">
        <f t="shared" ca="1" si="207"/>
        <v>9.9236842105262895</v>
      </c>
      <c r="U108" t="e">
        <f t="shared" ca="1" si="207"/>
        <v>#DIV/0!</v>
      </c>
      <c r="V108" s="2" t="e">
        <f t="shared" ca="1" si="207"/>
        <v>#DIV/0!</v>
      </c>
      <c r="W108" s="4">
        <f t="shared" ref="W108:AF108" ca="1" si="208">IF(ISBLANK(C108),NA(),C108-M108)</f>
        <v>-3.9814492753623085</v>
      </c>
      <c r="X108" s="3">
        <f t="shared" ca="1" si="208"/>
        <v>3.1317028985507136</v>
      </c>
      <c r="Y108" s="3">
        <f t="shared" ca="1" si="208"/>
        <v>5.9007971014493137</v>
      </c>
      <c r="Z108" s="3">
        <f t="shared" ca="1" si="208"/>
        <v>-1.9193478260869554</v>
      </c>
      <c r="AA108" s="3" t="e">
        <f t="shared" si="208"/>
        <v>#N/A</v>
      </c>
      <c r="AB108" s="3" t="e">
        <f t="shared" si="208"/>
        <v>#N/A</v>
      </c>
      <c r="AC108" s="3" t="e">
        <f t="shared" si="208"/>
        <v>#N/A</v>
      </c>
      <c r="AD108" s="3">
        <f t="shared" ca="1" si="208"/>
        <v>-5.6736842105262895</v>
      </c>
      <c r="AE108" s="3" t="e">
        <f t="shared" si="208"/>
        <v>#N/A</v>
      </c>
      <c r="AF108" s="5" t="e">
        <f t="shared" si="208"/>
        <v>#N/A</v>
      </c>
      <c r="AG108">
        <f t="shared" ref="AG108:AP108" si="209">AVERAGE(C109:C114)</f>
        <v>8.4016666666666637</v>
      </c>
      <c r="AH108">
        <f t="shared" si="209"/>
        <v>2.2066666666666634</v>
      </c>
      <c r="AI108">
        <f t="shared" si="209"/>
        <v>48.043333333333329</v>
      </c>
      <c r="AJ108">
        <f t="shared" si="209"/>
        <v>43.555</v>
      </c>
      <c r="AK108" t="e">
        <f t="shared" si="209"/>
        <v>#DIV/0!</v>
      </c>
      <c r="AL108" t="e">
        <f t="shared" si="209"/>
        <v>#DIV/0!</v>
      </c>
      <c r="AM108">
        <f t="shared" si="209"/>
        <v>18.27</v>
      </c>
      <c r="AN108">
        <f t="shared" si="209"/>
        <v>6.3000000000000007</v>
      </c>
      <c r="AO108" t="e">
        <f t="shared" si="209"/>
        <v>#DIV/0!</v>
      </c>
      <c r="AP108" s="2" t="e">
        <f t="shared" si="209"/>
        <v>#DIV/0!</v>
      </c>
    </row>
    <row r="109" spans="1:42" x14ac:dyDescent="0.25">
      <c r="A109" t="s">
        <v>134</v>
      </c>
      <c r="B109" s="2">
        <v>1982</v>
      </c>
      <c r="C109">
        <f t="shared" si="194"/>
        <v>8.7299999999999898</v>
      </c>
      <c r="D109">
        <f t="shared" si="206"/>
        <v>1.6099999999999852</v>
      </c>
      <c r="E109">
        <v>46.28</v>
      </c>
      <c r="F109">
        <v>44.99</v>
      </c>
      <c r="J109">
        <v>7.12</v>
      </c>
    </row>
    <row r="110" spans="1:42" x14ac:dyDescent="0.25">
      <c r="A110" t="s">
        <v>135</v>
      </c>
      <c r="B110" s="2">
        <v>1979</v>
      </c>
      <c r="C110">
        <f t="shared" si="194"/>
        <v>9.289999999999992</v>
      </c>
      <c r="D110">
        <f t="shared" si="206"/>
        <v>0.98999999999999488</v>
      </c>
      <c r="E110">
        <v>40.86</v>
      </c>
      <c r="F110">
        <v>49.85</v>
      </c>
      <c r="J110">
        <v>8.3000000000000007</v>
      </c>
    </row>
    <row r="111" spans="1:42" x14ac:dyDescent="0.25">
      <c r="A111" t="s">
        <v>136</v>
      </c>
      <c r="B111" s="2">
        <v>1977</v>
      </c>
      <c r="C111">
        <f t="shared" si="194"/>
        <v>5.5600000000000023</v>
      </c>
      <c r="D111">
        <f t="shared" si="206"/>
        <v>2.0799999999999983</v>
      </c>
      <c r="E111">
        <v>51.64</v>
      </c>
      <c r="F111">
        <v>42.8</v>
      </c>
      <c r="J111">
        <v>3.48</v>
      </c>
    </row>
    <row r="112" spans="1:42" x14ac:dyDescent="0.25">
      <c r="A112" t="s">
        <v>137</v>
      </c>
      <c r="B112" s="2">
        <v>1975</v>
      </c>
      <c r="C112">
        <f t="shared" si="194"/>
        <v>19.379999999999995</v>
      </c>
      <c r="D112">
        <f t="shared" si="206"/>
        <v>1.1099999999999994</v>
      </c>
      <c r="E112">
        <v>46.32</v>
      </c>
      <c r="F112">
        <v>34.299999999999997</v>
      </c>
      <c r="I112">
        <v>18.27</v>
      </c>
    </row>
    <row r="113" spans="1:6" x14ac:dyDescent="0.25">
      <c r="A113" t="s">
        <v>139</v>
      </c>
      <c r="B113" s="2">
        <v>1973</v>
      </c>
      <c r="C113">
        <f t="shared" si="194"/>
        <v>4.75</v>
      </c>
      <c r="D113">
        <f t="shared" si="206"/>
        <v>4.75</v>
      </c>
      <c r="E113">
        <v>51.52</v>
      </c>
      <c r="F113">
        <v>43.73</v>
      </c>
    </row>
    <row r="114" spans="1:6" x14ac:dyDescent="0.25">
      <c r="A114" t="s">
        <v>140</v>
      </c>
      <c r="B114" s="2">
        <v>1970</v>
      </c>
      <c r="C114">
        <f t="shared" si="194"/>
        <v>2.7000000000000028</v>
      </c>
      <c r="D114">
        <f>100-SUM(E114:L114)</f>
        <v>2.7000000000000028</v>
      </c>
      <c r="E114">
        <v>51.64</v>
      </c>
      <c r="F114">
        <v>45.66</v>
      </c>
    </row>
  </sheetData>
  <mergeCells count="22">
    <mergeCell ref="A1:C1"/>
    <mergeCell ref="AN40:AP40"/>
    <mergeCell ref="T19:V19"/>
    <mergeCell ref="T20:V20"/>
    <mergeCell ref="C2:L2"/>
    <mergeCell ref="M2:V2"/>
    <mergeCell ref="AN41:AP41"/>
    <mergeCell ref="W2:AF2"/>
    <mergeCell ref="AG2:AP2"/>
    <mergeCell ref="T77:V77"/>
    <mergeCell ref="T21:V21"/>
    <mergeCell ref="T39:V39"/>
    <mergeCell ref="T40:V40"/>
    <mergeCell ref="T41:V41"/>
    <mergeCell ref="T58:V58"/>
    <mergeCell ref="T59:V59"/>
    <mergeCell ref="T60:V60"/>
    <mergeCell ref="T75:V75"/>
    <mergeCell ref="T76:V76"/>
    <mergeCell ref="AN19:AP19"/>
    <mergeCell ref="AN20:AP20"/>
    <mergeCell ref="AN21:AP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867CA-F7AF-4C90-8729-388F702C493A}">
  <dimension ref="A1:BV121"/>
  <sheetViews>
    <sheetView tabSelected="1" topLeftCell="AU10" workbookViewId="0">
      <selection activeCell="BF14" sqref="BF14"/>
    </sheetView>
  </sheetViews>
  <sheetFormatPr defaultRowHeight="15" x14ac:dyDescent="0.25"/>
  <cols>
    <col min="2" max="2" width="2.7109375" customWidth="1"/>
    <col min="3" max="3" width="9.140625" style="13"/>
    <col min="4" max="10" width="6.42578125" customWidth="1"/>
    <col min="11" max="11" width="6.42578125" style="13" customWidth="1"/>
    <col min="12" max="12" width="6.42578125" customWidth="1"/>
    <col min="16" max="16" width="6.140625" customWidth="1"/>
    <col min="17" max="17" width="6.42578125" style="13" customWidth="1"/>
    <col min="18" max="18" width="6.42578125" customWidth="1"/>
    <col min="22" max="22" width="6.140625" customWidth="1"/>
    <col min="23" max="23" width="9.28515625" style="13" customWidth="1"/>
    <col min="24" max="27" width="9.28515625" style="6" customWidth="1"/>
    <col min="28" max="28" width="9.28515625" style="2" customWidth="1"/>
    <col min="29" max="29" width="7.140625" style="2" customWidth="1"/>
    <col min="31" max="31" width="9.140625" style="13"/>
    <col min="32" max="38" width="6" customWidth="1"/>
    <col min="39" max="39" width="9.140625" style="13"/>
    <col min="45" max="45" width="9.140625" style="13"/>
    <col min="51" max="51" width="9.5703125" style="13" customWidth="1"/>
    <col min="52" max="52" width="9.5703125" style="6" customWidth="1"/>
    <col min="53" max="55" width="9.140625" style="6"/>
    <col min="56" max="56" width="9.140625" style="2"/>
    <col min="57" max="57" width="11.42578125" customWidth="1"/>
    <col min="58" max="58" width="23.28515625" customWidth="1"/>
    <col min="59" max="59" width="11.85546875" customWidth="1"/>
    <col min="64" max="64" width="15.140625" customWidth="1"/>
  </cols>
  <sheetData>
    <row r="1" spans="1:66" x14ac:dyDescent="0.25">
      <c r="A1" s="1" t="s">
        <v>46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4"/>
      <c r="R1" s="24"/>
      <c r="S1" s="24"/>
      <c r="T1" s="24"/>
      <c r="U1" s="24"/>
      <c r="V1" s="24"/>
      <c r="W1" s="12"/>
      <c r="X1" s="11"/>
      <c r="Y1" s="11"/>
      <c r="Z1" s="11"/>
      <c r="AA1" s="11"/>
      <c r="AB1" s="7"/>
      <c r="AC1" s="16"/>
      <c r="AD1" s="17"/>
      <c r="AE1" s="39" t="s">
        <v>47</v>
      </c>
      <c r="AF1" s="39"/>
      <c r="AG1" s="39"/>
      <c r="AH1" s="39"/>
      <c r="AI1" s="39"/>
      <c r="AJ1" s="39"/>
      <c r="AK1" s="39"/>
      <c r="AL1" s="39"/>
      <c r="AM1" s="39"/>
      <c r="AN1" s="39"/>
      <c r="AO1" s="39"/>
      <c r="AP1" s="39"/>
      <c r="AQ1" s="39"/>
      <c r="AR1" s="39"/>
      <c r="AS1" s="27"/>
      <c r="AT1" s="27"/>
      <c r="AU1" s="27"/>
      <c r="AV1" s="27"/>
      <c r="AW1" s="27"/>
      <c r="AX1" s="27"/>
    </row>
    <row r="2" spans="1:66" x14ac:dyDescent="0.25">
      <c r="A2" s="1"/>
      <c r="B2" s="1"/>
      <c r="C2" s="40" t="s">
        <v>87</v>
      </c>
      <c r="D2" s="34"/>
      <c r="E2" s="34"/>
      <c r="F2" s="34"/>
      <c r="G2" s="34"/>
      <c r="H2" s="34"/>
      <c r="I2" s="34"/>
      <c r="J2" s="35"/>
      <c r="K2" s="40" t="s">
        <v>183</v>
      </c>
      <c r="L2" s="41"/>
      <c r="M2" s="41"/>
      <c r="N2" s="41"/>
      <c r="O2" s="41"/>
      <c r="P2" s="35"/>
      <c r="Q2" s="40" t="s">
        <v>182</v>
      </c>
      <c r="R2" s="41"/>
      <c r="S2" s="41"/>
      <c r="T2" s="41"/>
      <c r="U2" s="41"/>
      <c r="V2" s="35"/>
      <c r="W2" s="12" t="s">
        <v>141</v>
      </c>
      <c r="X2" s="11"/>
      <c r="Y2" s="11"/>
      <c r="Z2" s="11"/>
      <c r="AA2" s="11"/>
      <c r="AB2" s="7"/>
      <c r="AC2" s="7"/>
      <c r="AE2" s="18"/>
      <c r="AF2" s="34" t="s">
        <v>87</v>
      </c>
      <c r="AG2" s="34"/>
      <c r="AH2" s="34"/>
      <c r="AI2" s="34"/>
      <c r="AJ2" s="34"/>
      <c r="AK2" s="34"/>
      <c r="AL2" s="1"/>
      <c r="AM2" s="42" t="s">
        <v>180</v>
      </c>
      <c r="AN2" s="37"/>
      <c r="AO2" s="37"/>
      <c r="AP2" s="37"/>
      <c r="AQ2" s="37"/>
      <c r="AR2" s="38"/>
      <c r="AS2" s="42" t="s">
        <v>181</v>
      </c>
      <c r="AT2" s="37"/>
      <c r="AU2" s="37"/>
      <c r="AV2" s="37"/>
      <c r="AW2" s="37"/>
      <c r="AX2" s="38"/>
      <c r="AY2" s="40" t="s">
        <v>141</v>
      </c>
      <c r="AZ2" s="41"/>
      <c r="BA2" s="41"/>
      <c r="BB2" s="41"/>
      <c r="BC2" s="41"/>
      <c r="BD2" s="35"/>
    </row>
    <row r="3" spans="1:66" x14ac:dyDescent="0.25">
      <c r="A3" t="s">
        <v>0</v>
      </c>
      <c r="B3" t="s">
        <v>86</v>
      </c>
      <c r="C3" s="13" t="s">
        <v>40</v>
      </c>
      <c r="D3">
        <v>1</v>
      </c>
      <c r="E3">
        <v>2</v>
      </c>
      <c r="F3">
        <v>3</v>
      </c>
      <c r="G3">
        <v>4</v>
      </c>
      <c r="H3">
        <v>5</v>
      </c>
      <c r="I3">
        <v>6</v>
      </c>
      <c r="J3">
        <v>7</v>
      </c>
      <c r="K3" s="13" t="s">
        <v>39</v>
      </c>
      <c r="L3" t="s">
        <v>41</v>
      </c>
      <c r="M3" t="s">
        <v>42</v>
      </c>
      <c r="N3" t="s">
        <v>43</v>
      </c>
      <c r="O3" t="s">
        <v>44</v>
      </c>
      <c r="P3" t="s">
        <v>88</v>
      </c>
      <c r="Q3" s="13" t="s">
        <v>39</v>
      </c>
      <c r="R3" t="s">
        <v>41</v>
      </c>
      <c r="S3" t="s">
        <v>42</v>
      </c>
      <c r="T3" t="s">
        <v>43</v>
      </c>
      <c r="U3" t="s">
        <v>44</v>
      </c>
      <c r="V3" t="s">
        <v>88</v>
      </c>
      <c r="W3" s="13" t="s">
        <v>142</v>
      </c>
      <c r="X3" s="6" t="s">
        <v>143</v>
      </c>
      <c r="Y3" s="6" t="s">
        <v>144</v>
      </c>
      <c r="Z3" s="6" t="s">
        <v>147</v>
      </c>
      <c r="AA3" s="6" t="s">
        <v>148</v>
      </c>
      <c r="AB3" s="2" t="s">
        <v>149</v>
      </c>
      <c r="AC3" s="2" t="s">
        <v>89</v>
      </c>
      <c r="AE3" s="13" t="s">
        <v>40</v>
      </c>
      <c r="AF3">
        <v>1</v>
      </c>
      <c r="AG3">
        <v>2</v>
      </c>
      <c r="AH3">
        <v>3</v>
      </c>
      <c r="AI3">
        <v>4</v>
      </c>
      <c r="AJ3">
        <v>5</v>
      </c>
      <c r="AK3">
        <v>6</v>
      </c>
      <c r="AL3">
        <v>7</v>
      </c>
      <c r="AM3" s="13" t="s">
        <v>39</v>
      </c>
      <c r="AN3" t="s">
        <v>41</v>
      </c>
      <c r="AO3" t="s">
        <v>42</v>
      </c>
      <c r="AP3" t="s">
        <v>43</v>
      </c>
      <c r="AQ3" t="s">
        <v>44</v>
      </c>
      <c r="AR3" t="s">
        <v>45</v>
      </c>
      <c r="AS3" s="13" t="s">
        <v>39</v>
      </c>
      <c r="AT3" t="s">
        <v>41</v>
      </c>
      <c r="AU3" t="s">
        <v>42</v>
      </c>
      <c r="AV3" t="s">
        <v>43</v>
      </c>
      <c r="AW3" t="s">
        <v>44</v>
      </c>
      <c r="AX3" t="s">
        <v>45</v>
      </c>
      <c r="AY3" s="13" t="s">
        <v>142</v>
      </c>
      <c r="AZ3" s="3" t="s">
        <v>145</v>
      </c>
      <c r="BA3" s="6" t="s">
        <v>146</v>
      </c>
      <c r="BB3" s="6" t="s">
        <v>147</v>
      </c>
      <c r="BC3" s="6" t="s">
        <v>148</v>
      </c>
      <c r="BD3" s="2" t="s">
        <v>149</v>
      </c>
    </row>
    <row r="4" spans="1:66" s="10" customFormat="1" x14ac:dyDescent="0.25">
      <c r="C4" s="14"/>
      <c r="D4" s="10">
        <v>1</v>
      </c>
      <c r="E4" s="10">
        <v>2</v>
      </c>
      <c r="F4" s="10">
        <v>3</v>
      </c>
      <c r="G4" s="10">
        <v>4</v>
      </c>
      <c r="H4" s="10">
        <v>5</v>
      </c>
      <c r="I4" s="10">
        <v>6</v>
      </c>
      <c r="J4" s="10">
        <v>7</v>
      </c>
      <c r="K4" s="14"/>
      <c r="Q4" s="14">
        <f>AVERAGE(AM5:AM30)</f>
        <v>0.26515151515151492</v>
      </c>
      <c r="R4" s="10">
        <f t="shared" ref="R4:V4" si="0">AVERAGE(AN5:AN30)</f>
        <v>0.46388888888888874</v>
      </c>
      <c r="S4" s="10">
        <f t="shared" si="0"/>
        <v>0.76066666666666682</v>
      </c>
      <c r="T4" s="10">
        <f t="shared" si="0"/>
        <v>0.14884615384615402</v>
      </c>
      <c r="U4" s="10">
        <f t="shared" si="0"/>
        <v>0.47224358974358971</v>
      </c>
      <c r="V4" s="10">
        <f t="shared" si="0"/>
        <v>0.26948717948717954</v>
      </c>
      <c r="W4" s="14">
        <v>0.7203144336573819</v>
      </c>
      <c r="X4" s="10">
        <v>0.76352132220971991</v>
      </c>
      <c r="Y4" s="10">
        <v>0.80786811170285466</v>
      </c>
      <c r="Z4" s="10">
        <v>0.87106466798362647</v>
      </c>
      <c r="AA4" s="10">
        <v>0.8796935396245148</v>
      </c>
      <c r="AB4" s="15">
        <v>0.94244848367921319</v>
      </c>
      <c r="AC4" s="15"/>
      <c r="AE4" s="14">
        <f ca="1">SQRT(SUMSQ(AE5:AE1001)/COUNT(AE5:AE1001))</f>
        <v>6.8135325154153028</v>
      </c>
      <c r="AF4" s="10">
        <f t="shared" ref="AF4:BD4" ca="1" si="1">SQRT(SUMSQ(AF5:AF1001)/COUNT(AF5:AF1001))</f>
        <v>6.5437980032770193</v>
      </c>
      <c r="AG4" s="10">
        <f t="shared" ca="1" si="1"/>
        <v>6.5254117907195361</v>
      </c>
      <c r="AH4" s="10">
        <f t="shared" ca="1" si="1"/>
        <v>6.5130258043558475</v>
      </c>
      <c r="AI4" s="10">
        <f t="shared" ca="1" si="1"/>
        <v>6.4358453624093661</v>
      </c>
      <c r="AJ4" s="10">
        <f t="shared" ca="1" si="1"/>
        <v>6.0584821658436976</v>
      </c>
      <c r="AK4" s="10">
        <f t="shared" ca="1" si="1"/>
        <v>6.1199352599083987</v>
      </c>
      <c r="AL4" s="10">
        <f t="shared" ca="1" si="1"/>
        <v>6.638373560758847</v>
      </c>
      <c r="AM4" s="14">
        <f t="shared" si="1"/>
        <v>5.0152735405826752</v>
      </c>
      <c r="AN4" s="10">
        <f t="shared" si="1"/>
        <v>4.2333470034774914</v>
      </c>
      <c r="AO4" s="10">
        <f t="shared" si="1"/>
        <v>3.5638415602642413</v>
      </c>
      <c r="AP4" s="10">
        <f t="shared" si="1"/>
        <v>2.9049267757810302</v>
      </c>
      <c r="AQ4" s="10">
        <f t="shared" si="1"/>
        <v>2.8838745045718714</v>
      </c>
      <c r="AR4" s="10">
        <f t="shared" si="1"/>
        <v>2.0045672210204732</v>
      </c>
      <c r="AS4" s="14">
        <f t="shared" si="1"/>
        <v>5.2500205568950484</v>
      </c>
      <c r="AT4" s="10">
        <f t="shared" si="1"/>
        <v>4.3908040084214273</v>
      </c>
      <c r="AU4" s="10">
        <f t="shared" si="1"/>
        <v>3.6267884849417635</v>
      </c>
      <c r="AV4" s="10">
        <f t="shared" si="1"/>
        <v>3.0171553254311871</v>
      </c>
      <c r="AW4" s="10">
        <f t="shared" si="1"/>
        <v>2.9587439144189394</v>
      </c>
      <c r="AX4" s="10">
        <f t="shared" si="1"/>
        <v>2.0658249640814734</v>
      </c>
      <c r="AY4" s="14">
        <f t="shared" ca="1" si="1"/>
        <v>4.8535212741567095</v>
      </c>
      <c r="AZ4" s="10">
        <f t="shared" ca="1" si="1"/>
        <v>4.1501943730011144</v>
      </c>
      <c r="BA4" s="10">
        <f t="shared" ca="1" si="1"/>
        <v>3.4187762566206006</v>
      </c>
      <c r="BB4" s="10">
        <f t="shared" ca="1" si="1"/>
        <v>2.9100092659182666</v>
      </c>
      <c r="BC4" s="10">
        <f t="shared" ca="1" si="1"/>
        <v>2.8648149235069589</v>
      </c>
      <c r="BD4" s="15">
        <f t="shared" ca="1" si="1"/>
        <v>2.035538604401363</v>
      </c>
    </row>
    <row r="5" spans="1:66" x14ac:dyDescent="0.25">
      <c r="A5" t="s">
        <v>7</v>
      </c>
      <c r="B5">
        <v>0</v>
      </c>
      <c r="C5" s="13">
        <f ca="1">'Historical Trends'!O5</f>
        <v>34.122666666666646</v>
      </c>
      <c r="D5">
        <f ca="1">AVERAGE(OFFSET('Historical Trends'!$E$6,$B5,0,'Polling Correlations - ALP'!D$4,1))</f>
        <v>34.729999999999997</v>
      </c>
      <c r="E5">
        <f ca="1">AVERAGE(OFFSET('Historical Trends'!$E$6,$B5,0,'Polling Correlations - ALP'!E$4,1))</f>
        <v>34.055</v>
      </c>
      <c r="F5">
        <f ca="1">AVERAGE(OFFSET('Historical Trends'!$E$6,$B5,0,'Polling Correlations - ALP'!F$4,1))</f>
        <v>35.366666666666667</v>
      </c>
      <c r="G5">
        <f ca="1">AVERAGE(OFFSET('Historical Trends'!$E$6,$B5,0,'Polling Correlations - ALP'!G$4,1))</f>
        <v>37.369999999999997</v>
      </c>
      <c r="H5">
        <f ca="1">AVERAGE(OFFSET('Historical Trends'!$E$6,$B5,0,'Polling Correlations - ALP'!H$4,1))</f>
        <v>37.421999999999997</v>
      </c>
      <c r="I5">
        <f ca="1">AVERAGE(OFFSET('Historical Trends'!$E$6,$B5,0,'Polling Correlations - ALP'!I$4,1))</f>
        <v>37.491666666666667</v>
      </c>
      <c r="J5">
        <f ca="1">AVERAGE(OFFSET('Historical Trends'!$E$6,$B5,0,'Polling Correlations - ALP'!J$4,1))</f>
        <v>37.864285714285714</v>
      </c>
      <c r="K5" s="13">
        <f>(36+34.1+37+35+37)/5</f>
        <v>35.82</v>
      </c>
      <c r="L5">
        <f>(36+38+37+35+36)/5</f>
        <v>36.4</v>
      </c>
      <c r="M5">
        <f>(40+39+39+37+38)/5</f>
        <v>38.6</v>
      </c>
      <c r="N5">
        <f>(38+39+36+38+38)/5</f>
        <v>37.799999999999997</v>
      </c>
      <c r="O5">
        <f>(39+35+37+37+36)/5</f>
        <v>36.799999999999997</v>
      </c>
      <c r="P5">
        <f>(37+36.2+37+34+36)/5</f>
        <v>36.04</v>
      </c>
      <c r="Q5" s="30">
        <f>K5-MAX(0,AVERAGE(AM6:AM$30)-0.5)</f>
        <v>35.82</v>
      </c>
      <c r="R5" s="31">
        <f>L5-AVERAGE(AN6:AN$30)</f>
        <v>36.044637681159422</v>
      </c>
      <c r="S5" s="31">
        <f>M5-AVERAGE(AO6:AO$30)</f>
        <v>38.022638888888892</v>
      </c>
      <c r="T5" s="31">
        <f>N5-AVERAGE(AP6:AP$30)</f>
        <v>37.819599999999994</v>
      </c>
      <c r="U5" s="31">
        <f>O5-AVERAGE(AQ6:AQ$30)</f>
        <v>36.443266666666666</v>
      </c>
      <c r="V5" s="31">
        <f>P5-AVERAGE(AR6:AR$30)</f>
        <v>35.863733333333336</v>
      </c>
      <c r="W5" s="13">
        <f ca="1">Q5*W$4+$I5*(1-W$4)</f>
        <v>36.287541038402743</v>
      </c>
      <c r="X5" s="6">
        <f t="shared" ref="X5:AB5" ca="1" si="2">R5*X$4+$I5*(1-X$4)</f>
        <v>36.386829182376388</v>
      </c>
      <c r="Y5" s="6">
        <f t="shared" ca="1" si="2"/>
        <v>37.920622193200003</v>
      </c>
      <c r="Z5" s="6">
        <f t="shared" ca="1" si="2"/>
        <v>37.777317806787423</v>
      </c>
      <c r="AA5" s="6">
        <f t="shared" ca="1" si="2"/>
        <v>36.569395959724332</v>
      </c>
      <c r="AB5" s="2">
        <f t="shared" ca="1" si="2"/>
        <v>35.957423365135817</v>
      </c>
      <c r="AC5" s="2">
        <f>'Historical Trends'!E5</f>
        <v>33.44</v>
      </c>
      <c r="AE5" s="13">
        <f t="shared" ref="AE5:AS5" ca="1" si="3">C5-$AC5</f>
        <v>0.68266666666664833</v>
      </c>
      <c r="AF5">
        <f t="shared" ca="1" si="3"/>
        <v>1.2899999999999991</v>
      </c>
      <c r="AG5">
        <f t="shared" ca="1" si="3"/>
        <v>0.61500000000000199</v>
      </c>
      <c r="AH5">
        <f t="shared" ca="1" si="3"/>
        <v>1.9266666666666694</v>
      </c>
      <c r="AI5">
        <f t="shared" ca="1" si="3"/>
        <v>3.9299999999999997</v>
      </c>
      <c r="AJ5">
        <f t="shared" ca="1" si="3"/>
        <v>3.9819999999999993</v>
      </c>
      <c r="AK5">
        <f t="shared" ca="1" si="3"/>
        <v>4.0516666666666694</v>
      </c>
      <c r="AL5">
        <f t="shared" ca="1" si="3"/>
        <v>4.4242857142857162</v>
      </c>
      <c r="AM5" s="13">
        <f t="shared" si="3"/>
        <v>2.3800000000000026</v>
      </c>
      <c r="AN5">
        <f t="shared" si="3"/>
        <v>2.9600000000000009</v>
      </c>
      <c r="AO5">
        <f t="shared" si="3"/>
        <v>5.1600000000000037</v>
      </c>
      <c r="AP5">
        <f t="shared" si="3"/>
        <v>4.3599999999999994</v>
      </c>
      <c r="AQ5">
        <f t="shared" si="3"/>
        <v>3.3599999999999994</v>
      </c>
      <c r="AR5">
        <f t="shared" si="3"/>
        <v>2.6000000000000014</v>
      </c>
      <c r="AS5" s="30">
        <f t="shared" si="3"/>
        <v>2.3800000000000026</v>
      </c>
      <c r="AT5">
        <f t="shared" ref="AT5:AX20" si="4">R5-$AC5</f>
        <v>2.6046376811594243</v>
      </c>
      <c r="AU5">
        <f t="shared" si="4"/>
        <v>4.5826388888888943</v>
      </c>
      <c r="AV5">
        <f t="shared" si="4"/>
        <v>4.3795999999999964</v>
      </c>
      <c r="AW5">
        <f t="shared" si="4"/>
        <v>3.0032666666666685</v>
      </c>
      <c r="AX5">
        <f t="shared" si="4"/>
        <v>2.4237333333333382</v>
      </c>
      <c r="AY5" s="13">
        <f t="shared" ref="AY5:BD9" ca="1" si="5">W5-$AC5</f>
        <v>2.8475410384027455</v>
      </c>
      <c r="AZ5" s="6">
        <f t="shared" ca="1" si="5"/>
        <v>2.9468291823763906</v>
      </c>
      <c r="BA5" s="6">
        <f t="shared" ca="1" si="5"/>
        <v>4.4806221932000057</v>
      </c>
      <c r="BB5" s="6">
        <f t="shared" ca="1" si="5"/>
        <v>4.337317806787425</v>
      </c>
      <c r="BC5" s="6">
        <f t="shared" ca="1" si="5"/>
        <v>3.1293959597243344</v>
      </c>
      <c r="BD5" s="2">
        <f t="shared" ca="1" si="5"/>
        <v>2.5174233651358193</v>
      </c>
      <c r="BG5" t="str">
        <f>AS3</f>
        <v>2 years</v>
      </c>
      <c r="BH5" t="str">
        <f t="shared" ref="BH5:BK5" si="6">AT3</f>
        <v>1 year</v>
      </c>
      <c r="BI5" t="str">
        <f t="shared" si="6"/>
        <v>6 months</v>
      </c>
      <c r="BJ5" t="str">
        <f t="shared" si="6"/>
        <v>3 months</v>
      </c>
      <c r="BK5" t="str">
        <f t="shared" si="6"/>
        <v>1 month</v>
      </c>
      <c r="BL5" s="33" t="s">
        <v>187</v>
      </c>
      <c r="BM5" s="33" t="str">
        <f>AX3</f>
        <v>Pre-election</v>
      </c>
    </row>
    <row r="6" spans="1:66" x14ac:dyDescent="0.25">
      <c r="A6" t="s">
        <v>9</v>
      </c>
      <c r="B6">
        <f>B5+1</f>
        <v>1</v>
      </c>
      <c r="C6" s="13">
        <f ca="1">'Historical Trends'!O6</f>
        <v>35.646666666666647</v>
      </c>
      <c r="D6">
        <f ca="1">AVERAGE(OFFSET('Historical Trends'!$E$6,$B6,0,'Polling Correlations - ALP'!D$4,1))</f>
        <v>33.380000000000003</v>
      </c>
      <c r="E6">
        <f ca="1">AVERAGE(OFFSET('Historical Trends'!$E$6,$B6,0,'Polling Correlations - ALP'!E$4,1))</f>
        <v>35.685000000000002</v>
      </c>
      <c r="F6">
        <f ca="1">AVERAGE(OFFSET('Historical Trends'!$E$6,$B6,0,'Polling Correlations - ALP'!F$4,1))</f>
        <v>38.25</v>
      </c>
      <c r="G6">
        <f ca="1">AVERAGE(OFFSET('Historical Trends'!$E$6,$B6,0,'Polling Correlations - ALP'!G$4,1))</f>
        <v>38.094999999999999</v>
      </c>
      <c r="H6">
        <f ca="1">AVERAGE(OFFSET('Historical Trends'!$E$6,$B6,0,'Polling Correlations - ALP'!H$4,1))</f>
        <v>38.043999999999997</v>
      </c>
      <c r="I6">
        <f ca="1">AVERAGE(OFFSET('Historical Trends'!$E$6,$B6,0,'Polling Correlations - ALP'!I$4,1))</f>
        <v>38.386666666666663</v>
      </c>
      <c r="J6">
        <f ca="1">AVERAGE(OFFSET('Historical Trends'!$E$6,$B6,0,'Polling Correlations - ALP'!J$4,1))</f>
        <v>38.438571428571429</v>
      </c>
      <c r="K6" s="13">
        <f>(37+39+40+38+40)/5</f>
        <v>38.799999999999997</v>
      </c>
      <c r="L6">
        <f>(34+39+40+40+37)/5</f>
        <v>38</v>
      </c>
      <c r="M6">
        <f>(35+36+33+35+31.1)/5</f>
        <v>34.019999999999996</v>
      </c>
      <c r="N6">
        <f>(34.4+34+38+35+37)/5</f>
        <v>35.68</v>
      </c>
      <c r="O6">
        <f>(34.9+35+36.5+37+36)/5</f>
        <v>35.880000000000003</v>
      </c>
      <c r="P6">
        <f>SUM(35,34.6,34.5,36,37,36)/6</f>
        <v>35.516666666666666</v>
      </c>
      <c r="Q6" s="30">
        <f>K6-AVERAGE(AM5:AM$5,AM7:AM$30)</f>
        <v>38.716031746031746</v>
      </c>
      <c r="R6" s="31">
        <f>L6-AVERAGE(AN5:AN$5,AN7:AN$30)</f>
        <v>37.658115942028985</v>
      </c>
      <c r="S6" s="31">
        <f>M6-AVERAGE(AO5:AO$5,AO7:AO$30)</f>
        <v>33.198055555555548</v>
      </c>
      <c r="T6" s="31">
        <f>N6-AVERAGE(AP5:AP$5,AP7:AP$30)</f>
        <v>35.563200000000002</v>
      </c>
      <c r="U6" s="31">
        <f>O6-AVERAGE(AQ5:AQ$5,AQ7:AQ$30)</f>
        <v>35.434866666666672</v>
      </c>
      <c r="V6" s="31">
        <f>P6-AVERAGE(AR5:AR$5,AR7:AR$30)</f>
        <v>35.267866666666663</v>
      </c>
      <c r="W6" s="13">
        <f t="shared" ref="W6:W30" ca="1" si="7">Q6*W$4+$I6*(1-W$4)</f>
        <v>38.623913087276044</v>
      </c>
      <c r="X6" s="6">
        <f t="shared" ref="X6:X30" ca="1" si="8">R6*X$4+$I6*(1-X$4)</f>
        <v>37.830402654094456</v>
      </c>
      <c r="Y6" s="6">
        <f t="shared" ref="Y6:Y30" ca="1" si="9">S6*Y$4+$I6*(1-Y$4)</f>
        <v>34.194953205972872</v>
      </c>
      <c r="Z6" s="6">
        <f t="shared" ref="Z6:Z30" ca="1" si="10">T6*Z$4+$I6*(1-Z$4)</f>
        <v>35.927244612103834</v>
      </c>
      <c r="AA6" s="6">
        <f t="shared" ref="AA6:AA30" ca="1" si="11">U6*AA$4+$I6*(1-AA$4)</f>
        <v>35.789987276403032</v>
      </c>
      <c r="AB6" s="2">
        <f t="shared" ref="AB6:AB30" ca="1" si="12">V6*AB$4+$I6*(1-AB$4)</f>
        <v>35.447358335767937</v>
      </c>
      <c r="AC6" s="2">
        <f>'Historical Trends'!E6</f>
        <v>34.729999999999997</v>
      </c>
      <c r="AE6" s="13">
        <f t="shared" ref="AE6:AR9" ca="1" si="13">C6-$AC6</f>
        <v>0.91666666666665009</v>
      </c>
      <c r="AF6">
        <f t="shared" ca="1" si="13"/>
        <v>-1.3499999999999943</v>
      </c>
      <c r="AG6">
        <f t="shared" ca="1" si="13"/>
        <v>0.9550000000000054</v>
      </c>
      <c r="AH6">
        <f t="shared" ca="1" si="13"/>
        <v>3.5200000000000031</v>
      </c>
      <c r="AI6">
        <f t="shared" ca="1" si="13"/>
        <v>3.365000000000002</v>
      </c>
      <c r="AJ6">
        <f t="shared" ca="1" si="13"/>
        <v>3.3140000000000001</v>
      </c>
      <c r="AK6">
        <f t="shared" ca="1" si="13"/>
        <v>3.6566666666666663</v>
      </c>
      <c r="AL6">
        <f t="shared" ca="1" si="13"/>
        <v>3.7085714285714317</v>
      </c>
      <c r="AM6" s="13">
        <f t="shared" si="13"/>
        <v>4.07</v>
      </c>
      <c r="AN6">
        <f t="shared" si="13"/>
        <v>3.2700000000000031</v>
      </c>
      <c r="AO6">
        <f t="shared" si="13"/>
        <v>-0.71000000000000085</v>
      </c>
      <c r="AP6">
        <f t="shared" si="13"/>
        <v>0.95000000000000284</v>
      </c>
      <c r="AQ6">
        <f t="shared" si="13"/>
        <v>1.1500000000000057</v>
      </c>
      <c r="AR6">
        <f t="shared" si="13"/>
        <v>0.78666666666666885</v>
      </c>
      <c r="AS6" s="30">
        <f t="shared" ref="AS6:AX30" si="14">Q6-$AC6</f>
        <v>3.9860317460317489</v>
      </c>
      <c r="AT6">
        <f t="shared" si="4"/>
        <v>2.9281159420289882</v>
      </c>
      <c r="AU6">
        <f t="shared" si="4"/>
        <v>-1.5319444444444485</v>
      </c>
      <c r="AV6">
        <f t="shared" si="4"/>
        <v>0.83320000000000505</v>
      </c>
      <c r="AW6">
        <f t="shared" si="4"/>
        <v>0.70486666666667475</v>
      </c>
      <c r="AX6">
        <f t="shared" si="4"/>
        <v>0.53786666666666605</v>
      </c>
      <c r="AY6" s="13">
        <f t="shared" ca="1" si="5"/>
        <v>3.8939130872760472</v>
      </c>
      <c r="AZ6" s="6">
        <f t="shared" ca="1" si="5"/>
        <v>3.1004026540944594</v>
      </c>
      <c r="BA6" s="6">
        <f t="shared" ca="1" si="5"/>
        <v>-0.53504679402712441</v>
      </c>
      <c r="BB6" s="6">
        <f t="shared" ca="1" si="5"/>
        <v>1.1972446121038374</v>
      </c>
      <c r="BC6" s="6">
        <f t="shared" ca="1" si="5"/>
        <v>1.0599872764030351</v>
      </c>
      <c r="BD6" s="2">
        <f t="shared" ca="1" si="5"/>
        <v>0.7173583357679405</v>
      </c>
      <c r="BE6" t="s">
        <v>150</v>
      </c>
      <c r="BG6">
        <f>LN(730)</f>
        <v>6.5930445341424369</v>
      </c>
      <c r="BH6">
        <f>LN(365)</f>
        <v>5.8998973535824915</v>
      </c>
      <c r="BI6">
        <f>LN(182)</f>
        <v>5.2040066870767951</v>
      </c>
      <c r="BJ6">
        <f>LN(90)</f>
        <v>4.499809670330265</v>
      </c>
      <c r="BK6">
        <f>LN(30)</f>
        <v>3.4011973816621555</v>
      </c>
      <c r="BL6">
        <f t="shared" ref="BL6:BL11" si="15">AVERAGE(BK6,BM6)</f>
        <v>2.0471722811110502</v>
      </c>
      <c r="BM6">
        <f>LN(2)</f>
        <v>0.69314718055994529</v>
      </c>
    </row>
    <row r="7" spans="1:66" x14ac:dyDescent="0.25">
      <c r="A7" t="s">
        <v>10</v>
      </c>
      <c r="B7">
        <f>B6+1</f>
        <v>2</v>
      </c>
      <c r="C7" s="13">
        <f ca="1">'Historical Trends'!O7</f>
        <v>39.873790697674409</v>
      </c>
      <c r="D7">
        <f ca="1">AVERAGE(OFFSET('Historical Trends'!$E$6,$B7,0,'Polling Correlations - ALP'!D$4,1))</f>
        <v>37.99</v>
      </c>
      <c r="E7">
        <f ca="1">AVERAGE(OFFSET('Historical Trends'!$E$6,$B7,0,'Polling Correlations - ALP'!E$4,1))</f>
        <v>40.685000000000002</v>
      </c>
      <c r="F7">
        <f ca="1">AVERAGE(OFFSET('Historical Trends'!$E$6,$B7,0,'Polling Correlations - ALP'!F$4,1))</f>
        <v>39.666666666666664</v>
      </c>
      <c r="G7">
        <f ca="1">AVERAGE(OFFSET('Historical Trends'!$E$6,$B7,0,'Polling Correlations - ALP'!G$4,1))</f>
        <v>39.21</v>
      </c>
      <c r="H7">
        <f ca="1">AVERAGE(OFFSET('Historical Trends'!$E$6,$B7,0,'Polling Correlations - ALP'!H$4,1))</f>
        <v>39.387999999999998</v>
      </c>
      <c r="I7">
        <f ca="1">AVERAGE(OFFSET('Historical Trends'!$E$6,$B7,0,'Polling Correlations - ALP'!I$4,1))</f>
        <v>39.281666666666666</v>
      </c>
      <c r="J7">
        <f ca="1">AVERAGE(OFFSET('Historical Trends'!$E$6,$B7,0,'Polling Correlations - ALP'!J$4,1))</f>
        <v>40.087142857142858</v>
      </c>
      <c r="K7" s="13">
        <f>(27+27+28+30+31)/5</f>
        <v>28.6</v>
      </c>
      <c r="L7">
        <f>(33+32+35+33+30)/5</f>
        <v>32.6</v>
      </c>
      <c r="M7">
        <f>(32+31+30+32+35)/5</f>
        <v>32</v>
      </c>
      <c r="N7">
        <f>(30+31+32+34+31)/5</f>
        <v>31.6</v>
      </c>
      <c r="O7">
        <f>(37.5+37+40+37+39.3)/5</f>
        <v>38.160000000000004</v>
      </c>
      <c r="P7">
        <f>(33.7+33+33+32.7+35)/5</f>
        <v>33.480000000000004</v>
      </c>
      <c r="Q7" s="30">
        <f>K7-AVERAGE(AM$5:AM6,AM8:AM$30)</f>
        <v>28.094603174603176</v>
      </c>
      <c r="R7" s="31">
        <f>L7-AVERAGE(AN$5:AN6,AN8:AN$30)</f>
        <v>32.08202898550725</v>
      </c>
      <c r="S7" s="31">
        <f>M7-AVERAGE(AO$5:AO6,AO8:AO$30)</f>
        <v>31.15013888888889</v>
      </c>
      <c r="T7" s="31">
        <f>N7-AVERAGE(AP$5:AP6,AP8:AP$30)</f>
        <v>31.374000000000002</v>
      </c>
      <c r="U7" s="31">
        <f>O7-AVERAGE(AQ$5:AQ6,AQ8:AQ$30)</f>
        <v>37.860066666666668</v>
      </c>
      <c r="V7" s="31">
        <f>P7-AVERAGE(AR$5:AR6,AR8:AR$30)</f>
        <v>33.203733333333339</v>
      </c>
      <c r="W7" s="13">
        <f t="shared" ca="1" si="7"/>
        <v>31.223463363091781</v>
      </c>
      <c r="X7" s="6">
        <f t="shared" ca="1" si="8"/>
        <v>33.784589784916903</v>
      </c>
      <c r="Y7" s="6">
        <f t="shared" ca="1" si="9"/>
        <v>32.712464675574026</v>
      </c>
      <c r="Z7" s="6">
        <f t="shared" ca="1" si="10"/>
        <v>32.393577627141475</v>
      </c>
      <c r="AA7" s="6">
        <f t="shared" ca="1" si="11"/>
        <v>38.031094330736458</v>
      </c>
      <c r="AB7" s="2">
        <f t="shared" ca="1" si="12"/>
        <v>33.553527612763325</v>
      </c>
      <c r="AC7" s="2">
        <f>'Historical Trends'!E7</f>
        <v>33.380000000000003</v>
      </c>
      <c r="AE7" s="13">
        <f t="shared" ca="1" si="13"/>
        <v>6.493790697674406</v>
      </c>
      <c r="AF7">
        <f t="shared" ca="1" si="13"/>
        <v>4.6099999999999994</v>
      </c>
      <c r="AG7">
        <f t="shared" ca="1" si="13"/>
        <v>7.3049999999999997</v>
      </c>
      <c r="AH7">
        <f t="shared" ca="1" si="13"/>
        <v>6.2866666666666617</v>
      </c>
      <c r="AI7">
        <f t="shared" ca="1" si="13"/>
        <v>5.8299999999999983</v>
      </c>
      <c r="AJ7">
        <f t="shared" ca="1" si="13"/>
        <v>6.0079999999999956</v>
      </c>
      <c r="AK7">
        <f t="shared" ca="1" si="13"/>
        <v>5.9016666666666637</v>
      </c>
      <c r="AL7">
        <f t="shared" ca="1" si="13"/>
        <v>6.7071428571428555</v>
      </c>
      <c r="AM7" s="13">
        <f t="shared" si="13"/>
        <v>-4.7800000000000011</v>
      </c>
      <c r="AN7">
        <f t="shared" si="13"/>
        <v>-0.78000000000000114</v>
      </c>
      <c r="AO7">
        <f t="shared" si="13"/>
        <v>-1.3800000000000026</v>
      </c>
      <c r="AP7">
        <f t="shared" si="13"/>
        <v>-1.7800000000000011</v>
      </c>
      <c r="AQ7">
        <f t="shared" si="13"/>
        <v>4.7800000000000011</v>
      </c>
      <c r="AR7">
        <f t="shared" si="13"/>
        <v>0.10000000000000142</v>
      </c>
      <c r="AS7" s="30">
        <f t="shared" si="14"/>
        <v>-5.2853968253968269</v>
      </c>
      <c r="AT7">
        <f t="shared" si="4"/>
        <v>-1.2979710144927523</v>
      </c>
      <c r="AU7">
        <f t="shared" si="4"/>
        <v>-2.2298611111111128</v>
      </c>
      <c r="AV7">
        <f t="shared" si="4"/>
        <v>-2.0060000000000002</v>
      </c>
      <c r="AW7">
        <f t="shared" si="4"/>
        <v>4.4800666666666658</v>
      </c>
      <c r="AX7">
        <f t="shared" si="4"/>
        <v>-0.17626666666666324</v>
      </c>
      <c r="AY7" s="13">
        <f t="shared" ca="1" si="5"/>
        <v>-2.1565366369082213</v>
      </c>
      <c r="AZ7" s="6">
        <f t="shared" ca="1" si="5"/>
        <v>0.4045897849169009</v>
      </c>
      <c r="BA7" s="6">
        <f t="shared" ca="1" si="5"/>
        <v>-0.66753532442597674</v>
      </c>
      <c r="BB7" s="6">
        <f t="shared" ca="1" si="5"/>
        <v>-0.9864223728585273</v>
      </c>
      <c r="BC7" s="6">
        <f t="shared" ca="1" si="5"/>
        <v>4.6510943307364556</v>
      </c>
      <c r="BD7" s="2">
        <f t="shared" ca="1" si="5"/>
        <v>0.17352761276332274</v>
      </c>
      <c r="BE7" t="s">
        <v>180</v>
      </c>
      <c r="BG7">
        <f>AM4</f>
        <v>5.0152735405826752</v>
      </c>
      <c r="BH7">
        <f>AN4</f>
        <v>4.2333470034774914</v>
      </c>
      <c r="BI7">
        <f>AO4</f>
        <v>3.5638415602642413</v>
      </c>
      <c r="BJ7">
        <f>AP4</f>
        <v>2.9049267757810302</v>
      </c>
      <c r="BK7">
        <f>AQ4</f>
        <v>2.8838745045718714</v>
      </c>
      <c r="BL7">
        <f t="shared" si="15"/>
        <v>2.4442208627961723</v>
      </c>
      <c r="BM7">
        <f>AR4</f>
        <v>2.0045672210204732</v>
      </c>
    </row>
    <row r="8" spans="1:66" x14ac:dyDescent="0.25">
      <c r="A8" t="s">
        <v>11</v>
      </c>
      <c r="B8">
        <f>B7+1</f>
        <v>3</v>
      </c>
      <c r="C8" s="13">
        <f ca="1">'Historical Trends'!O8</f>
        <v>39.14101359703335</v>
      </c>
      <c r="D8">
        <f ca="1">AVERAGE(OFFSET('Historical Trends'!$E$6,$B8,0,'Polling Correlations - ALP'!D$4,1))</f>
        <v>43.38</v>
      </c>
      <c r="E8">
        <f ca="1">AVERAGE(OFFSET('Historical Trends'!$E$6,$B8,0,'Polling Correlations - ALP'!E$4,1))</f>
        <v>40.505000000000003</v>
      </c>
      <c r="F8">
        <f ca="1">AVERAGE(OFFSET('Historical Trends'!$E$6,$B8,0,'Polling Correlations - ALP'!F$4,1))</f>
        <v>39.616666666666667</v>
      </c>
      <c r="G8">
        <f ca="1">AVERAGE(OFFSET('Historical Trends'!$E$6,$B8,0,'Polling Correlations - ALP'!G$4,1))</f>
        <v>39.737500000000004</v>
      </c>
      <c r="H8">
        <f ca="1">AVERAGE(OFFSET('Historical Trends'!$E$6,$B8,0,'Polling Correlations - ALP'!H$4,1))</f>
        <v>39.540000000000006</v>
      </c>
      <c r="I8">
        <f ca="1">AVERAGE(OFFSET('Historical Trends'!$E$6,$B8,0,'Polling Correlations - ALP'!I$4,1))</f>
        <v>40.436666666666667</v>
      </c>
      <c r="J8">
        <f ca="1">AVERAGE(OFFSET('Historical Trends'!$E$6,$B8,0,'Polling Correlations - ALP'!J$4,1))</f>
        <v>40.294285714285714</v>
      </c>
      <c r="K8" s="13">
        <f>(47+47+43+44+46)/5</f>
        <v>45.4</v>
      </c>
      <c r="L8">
        <f>(45+46+43+44+41)/5</f>
        <v>43.8</v>
      </c>
      <c r="M8">
        <f>(39+40+40+43+43)/5</f>
        <v>41</v>
      </c>
      <c r="N8">
        <f>(37+35+43+43+39)/5</f>
        <v>39.4</v>
      </c>
      <c r="O8">
        <f>(42+42+35+35+37)/5</f>
        <v>38.200000000000003</v>
      </c>
      <c r="P8">
        <f>(36.2+38+38+37+40)/5</f>
        <v>37.839999999999996</v>
      </c>
      <c r="Q8" s="30">
        <f>K8-AVERAGE(AM$5:AM7,AM9:AM$30)</f>
        <v>45.475079365079367</v>
      </c>
      <c r="R8" s="31">
        <f>L8-AVERAGE(AN$5:AN7,AN9:AN$30)</f>
        <v>43.568550724637682</v>
      </c>
      <c r="S8" s="31">
        <f>M8-AVERAGE(AO$5:AO7,AO9:AO$30)</f>
        <v>40.333055555555553</v>
      </c>
      <c r="T8" s="31">
        <f>N8-AVERAGE(AP$5:AP7,AP9:AP$30)</f>
        <v>39.301600000000001</v>
      </c>
      <c r="U8" s="31">
        <f>O8-AVERAGE(AQ$5:AQ7,AQ9:AQ$30)</f>
        <v>37.717266666666667</v>
      </c>
      <c r="V8" s="31">
        <f>P8-AVERAGE(AR$5:AR7,AR9:AR$30)</f>
        <v>37.553733333333327</v>
      </c>
      <c r="W8" s="13">
        <f t="shared" ca="1" si="7"/>
        <v>44.065908056055974</v>
      </c>
      <c r="X8" s="6">
        <f t="shared" ca="1" si="8"/>
        <v>42.827926923616239</v>
      </c>
      <c r="Y8" s="6">
        <f t="shared" ca="1" si="9"/>
        <v>40.352962553981897</v>
      </c>
      <c r="Z8" s="6">
        <f t="shared" ca="1" si="10"/>
        <v>39.447950197527383</v>
      </c>
      <c r="AA8" s="6">
        <f t="shared" ca="1" si="11"/>
        <v>38.044428055011764</v>
      </c>
      <c r="AB8" s="2">
        <f t="shared" ca="1" si="12"/>
        <v>37.719650518118399</v>
      </c>
      <c r="AC8" s="2">
        <f>'Historical Trends'!E8</f>
        <v>37.99</v>
      </c>
      <c r="AE8" s="13">
        <f t="shared" ca="1" si="13"/>
        <v>1.1510135970333479</v>
      </c>
      <c r="AF8">
        <f t="shared" ca="1" si="13"/>
        <v>5.3900000000000006</v>
      </c>
      <c r="AG8">
        <f t="shared" ca="1" si="13"/>
        <v>2.5150000000000006</v>
      </c>
      <c r="AH8">
        <f t="shared" ca="1" si="13"/>
        <v>1.6266666666666652</v>
      </c>
      <c r="AI8">
        <f t="shared" ca="1" si="13"/>
        <v>1.7475000000000023</v>
      </c>
      <c r="AJ8">
        <f t="shared" ca="1" si="13"/>
        <v>1.5500000000000043</v>
      </c>
      <c r="AK8">
        <f t="shared" ca="1" si="13"/>
        <v>2.4466666666666654</v>
      </c>
      <c r="AL8">
        <f t="shared" ca="1" si="13"/>
        <v>2.3042857142857116</v>
      </c>
      <c r="AM8" s="13">
        <f t="shared" si="13"/>
        <v>7.4099999999999966</v>
      </c>
      <c r="AN8">
        <f t="shared" si="13"/>
        <v>5.8099999999999952</v>
      </c>
      <c r="AO8">
        <f t="shared" si="13"/>
        <v>3.009999999999998</v>
      </c>
      <c r="AP8">
        <f t="shared" si="13"/>
        <v>1.4099999999999966</v>
      </c>
      <c r="AQ8">
        <f t="shared" si="13"/>
        <v>0.21000000000000085</v>
      </c>
      <c r="AR8">
        <f t="shared" si="13"/>
        <v>-0.15000000000000568</v>
      </c>
      <c r="AS8" s="30">
        <f t="shared" si="14"/>
        <v>7.4850793650793648</v>
      </c>
      <c r="AT8">
        <f t="shared" si="4"/>
        <v>5.5785507246376795</v>
      </c>
      <c r="AU8">
        <f t="shared" si="4"/>
        <v>2.3430555555555515</v>
      </c>
      <c r="AV8">
        <f t="shared" si="4"/>
        <v>1.3115999999999985</v>
      </c>
      <c r="AW8">
        <f t="shared" si="4"/>
        <v>-0.27273333333333483</v>
      </c>
      <c r="AX8">
        <f t="shared" si="4"/>
        <v>-0.43626666666667546</v>
      </c>
      <c r="AY8" s="13">
        <f t="shared" ca="1" si="5"/>
        <v>6.0759080560559724</v>
      </c>
      <c r="AZ8" s="6">
        <f t="shared" ca="1" si="5"/>
        <v>4.8379269236162372</v>
      </c>
      <c r="BA8" s="6">
        <f t="shared" ca="1" si="5"/>
        <v>2.3629625539818946</v>
      </c>
      <c r="BB8" s="6">
        <f t="shared" ca="1" si="5"/>
        <v>1.4579501975273814</v>
      </c>
      <c r="BC8" s="6">
        <f t="shared" ca="1" si="5"/>
        <v>5.4428055011761955E-2</v>
      </c>
      <c r="BD8" s="2">
        <f t="shared" ca="1" si="5"/>
        <v>-0.27034948188160257</v>
      </c>
      <c r="BE8" t="s">
        <v>184</v>
      </c>
      <c r="BG8">
        <f ca="1">AY4</f>
        <v>4.8535212741567095</v>
      </c>
      <c r="BH8">
        <f ca="1">AZ4</f>
        <v>4.1501943730011144</v>
      </c>
      <c r="BI8">
        <f ca="1">BA4</f>
        <v>3.4187762566206006</v>
      </c>
      <c r="BJ8">
        <f ca="1">BB4</f>
        <v>2.9100092659182666</v>
      </c>
      <c r="BK8">
        <f ca="1">BC4</f>
        <v>2.8648149235069589</v>
      </c>
      <c r="BL8">
        <f t="shared" ca="1" si="15"/>
        <v>2.4501767639541612</v>
      </c>
      <c r="BM8">
        <f ca="1">BD4</f>
        <v>2.035538604401363</v>
      </c>
    </row>
    <row r="9" spans="1:66" x14ac:dyDescent="0.25">
      <c r="A9" t="s">
        <v>12</v>
      </c>
      <c r="B9">
        <f>B8+1</f>
        <v>4</v>
      </c>
      <c r="C9" s="13">
        <f ca="1">'Historical Trends'!O9</f>
        <v>36.776969696969672</v>
      </c>
      <c r="D9">
        <f ca="1">AVERAGE(OFFSET('Historical Trends'!$E$6,$B9,0,'Polling Correlations - ALP'!D$4,1))</f>
        <v>37.630000000000003</v>
      </c>
      <c r="E9">
        <f ca="1">AVERAGE(OFFSET('Historical Trends'!$E$6,$B9,0,'Polling Correlations - ALP'!E$4,1))</f>
        <v>37.734999999999999</v>
      </c>
      <c r="F9">
        <f ca="1">AVERAGE(OFFSET('Historical Trends'!$E$6,$B9,0,'Polling Correlations - ALP'!F$4,1))</f>
        <v>38.523333333333333</v>
      </c>
      <c r="G9">
        <f ca="1">AVERAGE(OFFSET('Historical Trends'!$E$6,$B9,0,'Polling Correlations - ALP'!G$4,1))</f>
        <v>38.58</v>
      </c>
      <c r="H9">
        <f ca="1">AVERAGE(OFFSET('Historical Trends'!$E$6,$B9,0,'Polling Correlations - ALP'!H$4,1))</f>
        <v>39.847999999999999</v>
      </c>
      <c r="I9">
        <f ca="1">AVERAGE(OFFSET('Historical Trends'!$E$6,$B9,0,'Polling Correlations - ALP'!I$4,1))</f>
        <v>39.78</v>
      </c>
      <c r="J9">
        <f ca="1">AVERAGE(OFFSET('Historical Trends'!$E$6,$B9,0,'Polling Correlations - ALP'!J$4,1))</f>
        <v>40.654285714285713</v>
      </c>
      <c r="K9" s="13">
        <f>(42+39+40+37+34)/5</f>
        <v>38.4</v>
      </c>
      <c r="L9">
        <f>(37+41+41+42+41)/5</f>
        <v>40.4</v>
      </c>
      <c r="M9">
        <f>(47+49+48+49+50)/5</f>
        <v>48.6</v>
      </c>
      <c r="N9">
        <f>(46+46+48+44+47)/5</f>
        <v>46.2</v>
      </c>
      <c r="O9">
        <f>(51+48+45+48+47)/5</f>
        <v>47.8</v>
      </c>
      <c r="P9">
        <f>(44+48+42.5+46+47)/5</f>
        <v>45.5</v>
      </c>
      <c r="Q9" s="30">
        <f>K9-AVERAGE(AM$5:AM8,AM10:AM$30)</f>
        <v>37.885079365079363</v>
      </c>
      <c r="R9" s="31">
        <f>L9-AVERAGE(AN$5:AN8,AN10:AN$30)</f>
        <v>39.786376811594202</v>
      </c>
      <c r="S9" s="31">
        <f>M9-AVERAGE(AO$5:AO8,AO10:AO$30)</f>
        <v>48.02513888888889</v>
      </c>
      <c r="T9" s="31">
        <f>N9-AVERAGE(AP$5:AP8,AP10:AP$30)</f>
        <v>46.158000000000001</v>
      </c>
      <c r="U9" s="31">
        <f>O9-AVERAGE(AQ$5:AQ8,AQ10:AQ$30)</f>
        <v>47.485666666666667</v>
      </c>
      <c r="V9" s="31">
        <f>P9-AVERAGE(AR$5:AR8,AR10:AR$30)</f>
        <v>45.304533333333332</v>
      </c>
      <c r="W9" s="13">
        <f t="shared" ca="1" si="7"/>
        <v>38.415061316031455</v>
      </c>
      <c r="X9" s="6">
        <f t="shared" ca="1" si="8"/>
        <v>39.784868831619889</v>
      </c>
      <c r="Y9" s="6">
        <f t="shared" ca="1" si="9"/>
        <v>46.440984784894439</v>
      </c>
      <c r="Z9" s="6">
        <f t="shared" ca="1" si="10"/>
        <v>45.33565045239957</v>
      </c>
      <c r="AA9" s="6">
        <f t="shared" ca="1" si="11"/>
        <v>46.55862518516664</v>
      </c>
      <c r="AB9" s="2">
        <f t="shared" ca="1" si="12"/>
        <v>44.986588063035271</v>
      </c>
      <c r="AC9" s="2">
        <f>'Historical Trends'!E9</f>
        <v>43.38</v>
      </c>
      <c r="AE9" s="13">
        <f t="shared" ca="1" si="13"/>
        <v>-6.6030303030303301</v>
      </c>
      <c r="AF9">
        <f t="shared" ca="1" si="13"/>
        <v>-5.75</v>
      </c>
      <c r="AG9">
        <f t="shared" ca="1" si="13"/>
        <v>-5.6450000000000031</v>
      </c>
      <c r="AH9">
        <f t="shared" ca="1" si="13"/>
        <v>-4.8566666666666691</v>
      </c>
      <c r="AI9">
        <f t="shared" ca="1" si="13"/>
        <v>-4.8000000000000043</v>
      </c>
      <c r="AJ9">
        <f t="shared" ca="1" si="13"/>
        <v>-3.5320000000000036</v>
      </c>
      <c r="AK9">
        <f t="shared" ca="1" si="13"/>
        <v>-3.6000000000000014</v>
      </c>
      <c r="AL9">
        <f t="shared" ca="1" si="13"/>
        <v>-2.7257142857142895</v>
      </c>
      <c r="AM9" s="13">
        <f t="shared" si="13"/>
        <v>-4.980000000000004</v>
      </c>
      <c r="AN9">
        <f t="shared" si="13"/>
        <v>-2.980000000000004</v>
      </c>
      <c r="AO9">
        <f t="shared" si="13"/>
        <v>5.2199999999999989</v>
      </c>
      <c r="AP9">
        <f t="shared" si="13"/>
        <v>2.8200000000000003</v>
      </c>
      <c r="AQ9">
        <f t="shared" si="13"/>
        <v>4.4199999999999946</v>
      </c>
      <c r="AR9">
        <f t="shared" si="13"/>
        <v>2.1199999999999974</v>
      </c>
      <c r="AS9" s="30">
        <f t="shared" si="14"/>
        <v>-5.4949206349206392</v>
      </c>
      <c r="AT9">
        <f t="shared" si="4"/>
        <v>-3.5936231884058003</v>
      </c>
      <c r="AU9">
        <f t="shared" si="4"/>
        <v>4.6451388888888872</v>
      </c>
      <c r="AV9">
        <f t="shared" si="4"/>
        <v>2.7779999999999987</v>
      </c>
      <c r="AW9">
        <f t="shared" si="4"/>
        <v>4.1056666666666644</v>
      </c>
      <c r="AX9">
        <f t="shared" si="4"/>
        <v>1.9245333333333292</v>
      </c>
      <c r="AY9" s="13">
        <f t="shared" ca="1" si="5"/>
        <v>-4.9649386839685477</v>
      </c>
      <c r="AZ9" s="6">
        <f t="shared" ca="1" si="5"/>
        <v>-3.5951311683801137</v>
      </c>
      <c r="BA9" s="6">
        <f t="shared" ca="1" si="5"/>
        <v>3.0609847848944369</v>
      </c>
      <c r="BB9" s="6">
        <f t="shared" ca="1" si="5"/>
        <v>1.955650452399567</v>
      </c>
      <c r="BC9" s="6">
        <f t="shared" ca="1" si="5"/>
        <v>3.1786251851666378</v>
      </c>
      <c r="BD9" s="2">
        <f t="shared" ca="1" si="5"/>
        <v>1.606588063035268</v>
      </c>
      <c r="BE9" t="s">
        <v>185</v>
      </c>
      <c r="BG9">
        <f t="shared" ref="BG9:BM9" ca="1" si="16">$AK$4</f>
        <v>6.1199352599083987</v>
      </c>
      <c r="BH9">
        <f t="shared" ca="1" si="16"/>
        <v>6.1199352599083987</v>
      </c>
      <c r="BI9">
        <f t="shared" ca="1" si="16"/>
        <v>6.1199352599083987</v>
      </c>
      <c r="BJ9">
        <f t="shared" ca="1" si="16"/>
        <v>6.1199352599083987</v>
      </c>
      <c r="BK9">
        <f t="shared" ca="1" si="16"/>
        <v>6.1199352599083987</v>
      </c>
      <c r="BL9">
        <f t="shared" ca="1" si="15"/>
        <v>6.1199352599083987</v>
      </c>
      <c r="BM9">
        <f t="shared" ca="1" si="16"/>
        <v>6.1199352599083987</v>
      </c>
    </row>
    <row r="10" spans="1:66" x14ac:dyDescent="0.25">
      <c r="A10" t="s">
        <v>14</v>
      </c>
      <c r="B10">
        <f>B9+1</f>
        <v>5</v>
      </c>
      <c r="C10" s="13">
        <f ca="1">'Historical Trends'!O10</f>
        <v>36.610568603213778</v>
      </c>
      <c r="D10">
        <f ca="1">AVERAGE(OFFSET('Historical Trends'!$E$6,$B10,0,'Polling Correlations - ALP'!D$4,1))</f>
        <v>37.840000000000003</v>
      </c>
      <c r="E10">
        <f ca="1">AVERAGE(OFFSET('Historical Trends'!$E$6,$B10,0,'Polling Correlations - ALP'!E$4,1))</f>
        <v>38.97</v>
      </c>
      <c r="F10">
        <f ca="1">AVERAGE(OFFSET('Historical Trends'!$E$6,$B10,0,'Polling Correlations - ALP'!F$4,1))</f>
        <v>38.896666666666668</v>
      </c>
      <c r="G10">
        <f ca="1">AVERAGE(OFFSET('Historical Trends'!$E$6,$B10,0,'Polling Correlations - ALP'!G$4,1))</f>
        <v>40.402500000000003</v>
      </c>
      <c r="H10">
        <f ca="1">AVERAGE(OFFSET('Historical Trends'!$E$6,$B10,0,'Polling Correlations - ALP'!H$4,1))</f>
        <v>40.21</v>
      </c>
      <c r="I10">
        <f ca="1">AVERAGE(OFFSET('Historical Trends'!$E$6,$B10,0,'Polling Correlations - ALP'!I$4,1))</f>
        <v>41.158333333333339</v>
      </c>
      <c r="J10">
        <f ca="1">AVERAGE(OFFSET('Historical Trends'!$E$6,$B10,0,'Polling Correlations - ALP'!J$4,1))</f>
        <v>42.071428571428569</v>
      </c>
      <c r="M10">
        <f>(43+44+42+42+42)/5</f>
        <v>42.6</v>
      </c>
      <c r="N10">
        <f>(41+42+43+37+43)/5</f>
        <v>41.2</v>
      </c>
      <c r="O10">
        <f>(40+40+40+39+39)/5</f>
        <v>39.6</v>
      </c>
      <c r="P10">
        <f>(39+39+40+41+40)/5</f>
        <v>39.799999999999997</v>
      </c>
      <c r="Q10" s="30"/>
      <c r="R10" s="31"/>
      <c r="S10" s="31">
        <f>M10-AVERAGE(AO$5:AO9,AO11:AO$30)</f>
        <v>42.014722222222225</v>
      </c>
      <c r="T10" s="31">
        <f>N10-AVERAGE(AP$5:AP9,AP11:AP$30)</f>
        <v>41.188000000000002</v>
      </c>
      <c r="U10" s="31">
        <f>O10-AVERAGE(AQ$5:AQ9,AQ11:AQ$30)</f>
        <v>39.187666666666665</v>
      </c>
      <c r="V10" s="31">
        <f>P10-AVERAGE(AR$5:AR9,AR11:AR$30)</f>
        <v>39.606533333333331</v>
      </c>
      <c r="W10" s="13">
        <f t="shared" ca="1" si="7"/>
        <v>11.511391768051592</v>
      </c>
      <c r="X10" s="6">
        <f t="shared" ca="1" si="8"/>
        <v>9.733068246718279</v>
      </c>
      <c r="Y10" s="6">
        <f t="shared" ca="1" si="9"/>
        <v>41.850182607883312</v>
      </c>
      <c r="Z10" s="6">
        <f t="shared" ca="1" si="10"/>
        <v>41.184174918483514</v>
      </c>
      <c r="AA10" s="6">
        <f t="shared" ca="1" si="11"/>
        <v>39.424750597913288</v>
      </c>
      <c r="AB10" s="2">
        <f t="shared" ca="1" si="12"/>
        <v>39.695841776359927</v>
      </c>
      <c r="AC10" s="2">
        <f>'Historical Trends'!E10</f>
        <v>37.630000000000003</v>
      </c>
      <c r="AE10" s="13">
        <f t="shared" ref="AE10:AE30" ca="1" si="17">C10-$AC10</f>
        <v>-1.0194313967862243</v>
      </c>
      <c r="AF10">
        <f t="shared" ref="AF10:AF30" ca="1" si="18">D10-$AC10</f>
        <v>0.21000000000000085</v>
      </c>
      <c r="AG10">
        <f t="shared" ref="AG10:AG30" ca="1" si="19">E10-$AC10</f>
        <v>1.3399999999999963</v>
      </c>
      <c r="AH10">
        <f t="shared" ref="AH10:AH30" ca="1" si="20">F10-$AC10</f>
        <v>1.2666666666666657</v>
      </c>
      <c r="AI10">
        <f t="shared" ref="AI10:AI30" ca="1" si="21">G10-$AC10</f>
        <v>2.7725000000000009</v>
      </c>
      <c r="AJ10">
        <f t="shared" ref="AJ10:AJ30" ca="1" si="22">H10-$AC10</f>
        <v>2.5799999999999983</v>
      </c>
      <c r="AK10">
        <f t="shared" ref="AK10:AK30" ca="1" si="23">I10-$AC10</f>
        <v>3.528333333333336</v>
      </c>
      <c r="AL10">
        <f t="shared" ref="AL10:AL30" ca="1" si="24">J10-$AC10</f>
        <v>4.4414285714285668</v>
      </c>
      <c r="AO10">
        <f t="shared" ref="AO10:AO29" si="25">M10-$AC10</f>
        <v>4.9699999999999989</v>
      </c>
      <c r="AP10">
        <f t="shared" ref="AP10:AP29" si="26">N10-$AC10</f>
        <v>3.5700000000000003</v>
      </c>
      <c r="AQ10">
        <f t="shared" ref="AQ10:AQ29" si="27">O10-$AC10</f>
        <v>1.9699999999999989</v>
      </c>
      <c r="AR10">
        <f t="shared" ref="AR10:AR29" si="28">P10-$AC10</f>
        <v>2.1699999999999946</v>
      </c>
      <c r="AS10" s="30"/>
      <c r="AU10">
        <f t="shared" si="4"/>
        <v>4.3847222222222229</v>
      </c>
      <c r="AV10">
        <f t="shared" si="4"/>
        <v>3.5579999999999998</v>
      </c>
      <c r="AW10">
        <f t="shared" si="4"/>
        <v>1.5576666666666625</v>
      </c>
      <c r="AX10">
        <f t="shared" si="4"/>
        <v>1.9765333333333288</v>
      </c>
      <c r="BA10" s="6">
        <f t="shared" ref="BA10:BA29" ca="1" si="29">Y10-$AC10</f>
        <v>4.2201826078833093</v>
      </c>
      <c r="BB10" s="6">
        <f t="shared" ref="BB10:BB29" ca="1" si="30">Z10-$AC10</f>
        <v>3.5541749184835112</v>
      </c>
      <c r="BC10" s="6">
        <f t="shared" ref="BC10:BC29" ca="1" si="31">AA10-$AC10</f>
        <v>1.7947505979132856</v>
      </c>
      <c r="BD10" s="2">
        <f t="shared" ref="BD10:BD29" ca="1" si="32">AB10-$AC10</f>
        <v>2.0658417763599246</v>
      </c>
      <c r="BE10" t="s">
        <v>153</v>
      </c>
      <c r="BG10">
        <f>W4</f>
        <v>0.7203144336573819</v>
      </c>
      <c r="BH10">
        <f>X4</f>
        <v>0.76352132220971991</v>
      </c>
      <c r="BI10">
        <f>Y4</f>
        <v>0.80786811170285466</v>
      </c>
      <c r="BJ10">
        <f>Z4</f>
        <v>0.87106466798362647</v>
      </c>
      <c r="BK10">
        <f>AA4</f>
        <v>0.8796935396245148</v>
      </c>
      <c r="BL10">
        <f t="shared" si="15"/>
        <v>0.91107101165186399</v>
      </c>
      <c r="BM10">
        <f>AB4</f>
        <v>0.94244848367921319</v>
      </c>
    </row>
    <row r="11" spans="1:66" x14ac:dyDescent="0.25">
      <c r="A11" t="s">
        <v>49</v>
      </c>
      <c r="B11">
        <v>0</v>
      </c>
      <c r="C11" s="13">
        <f ca="1">'Historical Trends'!O27</f>
        <v>29.854091470951971</v>
      </c>
      <c r="D11">
        <f ca="1">AVERAGE(OFFSET('Historical Trends'!$E$28,$B5,0,'Polling Correlations - ALP'!D$4,1))</f>
        <v>37.47</v>
      </c>
      <c r="E11">
        <f ca="1">AVERAGE(OFFSET('Historical Trends'!$E$28,$B5,0,'Polling Correlations - ALP'!E$4,1))</f>
        <v>32.064999999999998</v>
      </c>
      <c r="F11">
        <f ca="1">AVERAGE(OFFSET('Historical Trends'!$E$28,$B5,0,'Polling Correlations - ALP'!F$4,1))</f>
        <v>35.46</v>
      </c>
      <c r="G11">
        <f ca="1">AVERAGE(OFFSET('Historical Trends'!$E$28,$B5,0,'Polling Correlations - ALP'!G$4,1))</f>
        <v>38.325000000000003</v>
      </c>
      <c r="H11">
        <f ca="1">AVERAGE(OFFSET('Historical Trends'!$E$28,$B5,0,'Polling Correlations - ALP'!H$4,1))</f>
        <v>40.061999999999998</v>
      </c>
      <c r="I11">
        <f ca="1">AVERAGE(OFFSET('Historical Trends'!$E$28,$B5,0,'Polling Correlations - ALP'!I$4,1))</f>
        <v>41.548333333333332</v>
      </c>
      <c r="J11">
        <f ca="1">AVERAGE(OFFSET('Historical Trends'!$E$28,$B5,0,'Polling Correlations - ALP'!J$4,1))</f>
        <v>41.164285714285711</v>
      </c>
      <c r="K11" s="13">
        <f>(42+41+40+37.6+40)/5</f>
        <v>40.119999999999997</v>
      </c>
      <c r="L11">
        <f>(35+38+36+36.9+37)/5</f>
        <v>36.58</v>
      </c>
      <c r="M11">
        <f>(30.9+31+35+38+36)/5</f>
        <v>34.18</v>
      </c>
      <c r="N11">
        <f>(37+35+31.9+36+30.9)/5</f>
        <v>34.160000000000004</v>
      </c>
      <c r="O11">
        <f>(37+32.1+37+35+31.9)/5</f>
        <v>34.6</v>
      </c>
      <c r="P11">
        <f>(36+37+34+30.4+35)/5</f>
        <v>34.480000000000004</v>
      </c>
      <c r="Q11" s="30">
        <f>K11-AVERAGE(AM$5:AM10,AM12:AM$30)</f>
        <v>40.065555555555555</v>
      </c>
      <c r="R11" s="31">
        <f>L11-AVERAGE(AN$5:AN10,AN12:AN$30)</f>
        <v>36.145942028985509</v>
      </c>
      <c r="S11" s="31">
        <f>M11-AVERAGE(AO$5:AO10,AO12:AO$30)</f>
        <v>33.335555555555558</v>
      </c>
      <c r="T11" s="31">
        <f>N11-AVERAGE(AP$5:AP10,AP12:AP$30)</f>
        <v>33.954400000000007</v>
      </c>
      <c r="U11" s="31">
        <f>O11-AVERAGE(AQ$5:AQ10,AQ12:AQ$30)</f>
        <v>34.07566666666667</v>
      </c>
      <c r="V11" s="31">
        <f>P11-AVERAGE(AR$5:AR10,AR12:AR$30)</f>
        <v>34.161733333333338</v>
      </c>
      <c r="W11" s="13">
        <f t="shared" ca="1" si="7"/>
        <v>40.480267098093584</v>
      </c>
      <c r="X11" s="6">
        <f t="shared" ca="1" si="8"/>
        <v>37.423492381543383</v>
      </c>
      <c r="Y11" s="6">
        <f t="shared" ca="1" si="9"/>
        <v>34.913492058164834</v>
      </c>
      <c r="Z11" s="6">
        <f t="shared" ca="1" si="10"/>
        <v>34.933526315643547</v>
      </c>
      <c r="AA11" s="6">
        <f t="shared" ca="1" si="11"/>
        <v>34.974676742899213</v>
      </c>
      <c r="AB11" s="2">
        <f t="shared" ca="1" si="12"/>
        <v>34.586843363788461</v>
      </c>
      <c r="AC11" s="2">
        <f>'Historical Trends'!E27</f>
        <v>35.43</v>
      </c>
      <c r="AE11" s="13">
        <f t="shared" ca="1" si="17"/>
        <v>-5.5759085290480286</v>
      </c>
      <c r="AF11">
        <f t="shared" ca="1" si="18"/>
        <v>2.0399999999999991</v>
      </c>
      <c r="AG11">
        <f t="shared" ca="1" si="19"/>
        <v>-3.365000000000002</v>
      </c>
      <c r="AH11">
        <f t="shared" ca="1" si="20"/>
        <v>3.0000000000001137E-2</v>
      </c>
      <c r="AI11">
        <f t="shared" ca="1" si="21"/>
        <v>2.8950000000000031</v>
      </c>
      <c r="AJ11">
        <f t="shared" ca="1" si="22"/>
        <v>4.6319999999999979</v>
      </c>
      <c r="AK11">
        <f t="shared" ca="1" si="23"/>
        <v>6.1183333333333323</v>
      </c>
      <c r="AL11">
        <f t="shared" ca="1" si="24"/>
        <v>5.7342857142857113</v>
      </c>
      <c r="AM11" s="13">
        <f t="shared" ref="AM11:AN14" si="33">K11-$AC11</f>
        <v>4.6899999999999977</v>
      </c>
      <c r="AN11">
        <f t="shared" si="33"/>
        <v>1.1499999999999986</v>
      </c>
      <c r="AO11">
        <f t="shared" si="25"/>
        <v>-1.25</v>
      </c>
      <c r="AP11">
        <f t="shared" si="26"/>
        <v>-1.269999999999996</v>
      </c>
      <c r="AQ11">
        <f t="shared" si="27"/>
        <v>-0.82999999999999829</v>
      </c>
      <c r="AR11">
        <f t="shared" si="28"/>
        <v>-0.94999999999999574</v>
      </c>
      <c r="AS11" s="30">
        <f t="shared" si="14"/>
        <v>4.6355555555555554</v>
      </c>
      <c r="AT11">
        <f t="shared" si="4"/>
        <v>0.71594202898550918</v>
      </c>
      <c r="AU11">
        <f t="shared" si="4"/>
        <v>-2.0944444444444414</v>
      </c>
      <c r="AV11">
        <f t="shared" si="4"/>
        <v>-1.4755999999999929</v>
      </c>
      <c r="AW11">
        <f t="shared" si="4"/>
        <v>-1.3543333333333294</v>
      </c>
      <c r="AX11">
        <f t="shared" si="4"/>
        <v>-1.268266666666662</v>
      </c>
      <c r="AY11" s="13">
        <f t="shared" ref="AY11:AZ14" ca="1" si="34">W11-$AC11</f>
        <v>5.0502670980935847</v>
      </c>
      <c r="AZ11" s="6">
        <f t="shared" ca="1" si="34"/>
        <v>1.9934923815433834</v>
      </c>
      <c r="BA11" s="6">
        <f t="shared" ca="1" si="29"/>
        <v>-0.51650794183516524</v>
      </c>
      <c r="BB11" s="6">
        <f t="shared" ca="1" si="30"/>
        <v>-0.49647368435645234</v>
      </c>
      <c r="BC11" s="6">
        <f t="shared" ca="1" si="31"/>
        <v>-0.4553232571007868</v>
      </c>
      <c r="BD11" s="2">
        <f t="shared" ca="1" si="32"/>
        <v>-0.84315663621153902</v>
      </c>
      <c r="BE11" t="s">
        <v>186</v>
      </c>
      <c r="BG11">
        <f>BG10</f>
        <v>0.7203144336573819</v>
      </c>
      <c r="BH11">
        <f>AVERAGE(BG10:BI10)</f>
        <v>0.76390128918998546</v>
      </c>
      <c r="BI11">
        <f>AVERAGE(BH10:BJ10)</f>
        <v>0.81415136729873383</v>
      </c>
      <c r="BJ11">
        <f>AVERAGE(BI10:BK10)</f>
        <v>0.85287543977033209</v>
      </c>
      <c r="BK11">
        <f>AVERAGE(BJ10:BM10)</f>
        <v>0.90106942573480464</v>
      </c>
      <c r="BL11">
        <f t="shared" si="15"/>
        <v>0.92175895470700886</v>
      </c>
      <c r="BM11">
        <f>BM10</f>
        <v>0.94244848367921319</v>
      </c>
    </row>
    <row r="12" spans="1:66" x14ac:dyDescent="0.25">
      <c r="A12" t="s">
        <v>51</v>
      </c>
      <c r="B12">
        <f>B11+1</f>
        <v>1</v>
      </c>
      <c r="C12" s="13">
        <f ca="1">'Historical Trends'!O28</f>
        <v>33.264090909090783</v>
      </c>
      <c r="D12">
        <f ca="1">AVERAGE(OFFSET('Historical Trends'!$E$28,$B6,0,'Polling Correlations - ALP'!D$4,1))</f>
        <v>26.66</v>
      </c>
      <c r="E12">
        <f ca="1">AVERAGE(OFFSET('Historical Trends'!$E$28,$B6,0,'Polling Correlations - ALP'!E$4,1))</f>
        <v>34.454999999999998</v>
      </c>
      <c r="F12">
        <f ca="1">AVERAGE(OFFSET('Historical Trends'!$E$28,$B6,0,'Polling Correlations - ALP'!F$4,1))</f>
        <v>38.61</v>
      </c>
      <c r="G12">
        <f ca="1">AVERAGE(OFFSET('Historical Trends'!$E$28,$B6,0,'Polling Correlations - ALP'!G$4,1))</f>
        <v>40.71</v>
      </c>
      <c r="H12">
        <f ca="1">AVERAGE(OFFSET('Historical Trends'!$E$28,$B6,0,'Polling Correlations - ALP'!H$4,1))</f>
        <v>42.363999999999997</v>
      </c>
      <c r="I12">
        <f ca="1">AVERAGE(OFFSET('Historical Trends'!$E$28,$B6,0,'Polling Correlations - ALP'!I$4,1))</f>
        <v>41.78</v>
      </c>
      <c r="J12">
        <f ca="1">AVERAGE(OFFSET('Historical Trends'!$E$28,$B6,0,'Polling Correlations - ALP'!J$4,1))</f>
        <v>41.938571428571429</v>
      </c>
      <c r="K12" s="13">
        <f>AVERAGE(34.9,32.1,34.2,31,30.5)</f>
        <v>32.54</v>
      </c>
      <c r="L12">
        <f>AVERAGE(32,37,28.2,29,29.2)</f>
        <v>31.080000000000002</v>
      </c>
      <c r="M12">
        <f>AVERAGE(34.4,34.1,34,34,35.1)</f>
        <v>34.32</v>
      </c>
      <c r="N12">
        <f>AVERAGE(36,36,32,34.4,34.4)</f>
        <v>34.56</v>
      </c>
      <c r="O12">
        <f>AVERAGE(37.3,38,36,36.6,36)</f>
        <v>36.78</v>
      </c>
      <c r="P12">
        <f>(38+37+39+36.7+37)/5</f>
        <v>37.54</v>
      </c>
      <c r="Q12" s="30">
        <f>K12-AVERAGE(AM$5:AM11,AM13:AM$30)</f>
        <v>32.027460317460317</v>
      </c>
      <c r="R12" s="31">
        <f>L12-AVERAGE(AN$5:AN11,AN13:AN$30)</f>
        <v>30.318115942028989</v>
      </c>
      <c r="S12" s="31">
        <f>M12-AVERAGE(AO$5:AO11,AO13:AO$30)</f>
        <v>33.396388888888886</v>
      </c>
      <c r="T12" s="31">
        <f>N12-AVERAGE(AP$5:AP11,AP13:AP$30)</f>
        <v>34.288800000000002</v>
      </c>
      <c r="U12" s="31">
        <f>O12-AVERAGE(AQ$5:AQ11,AQ13:AQ$30)</f>
        <v>36.261266666666671</v>
      </c>
      <c r="V12" s="31">
        <f>P12-AVERAGE(AR$5:AR11,AR13:AR$30)</f>
        <v>37.26253333333333</v>
      </c>
      <c r="W12" s="13">
        <f t="shared" ca="1" si="7"/>
        <v>34.755104901850288</v>
      </c>
      <c r="X12" s="6">
        <f t="shared" ca="1" si="8"/>
        <v>33.028607129043465</v>
      </c>
      <c r="Y12" s="6">
        <f t="shared" ca="1" si="9"/>
        <v>35.007147922415591</v>
      </c>
      <c r="Z12" s="6">
        <f t="shared" ca="1" si="10"/>
        <v>35.25468035920106</v>
      </c>
      <c r="AA12" s="6">
        <f t="shared" ca="1" si="11"/>
        <v>36.925205939756204</v>
      </c>
      <c r="AB12" s="2">
        <f t="shared" ca="1" si="12"/>
        <v>37.522520389928609</v>
      </c>
      <c r="AC12" s="2">
        <f>'Historical Trends'!E28</f>
        <v>37.47</v>
      </c>
      <c r="AE12" s="13">
        <f t="shared" ca="1" si="17"/>
        <v>-4.2059090909092163</v>
      </c>
      <c r="AF12">
        <f t="shared" ca="1" si="18"/>
        <v>-10.809999999999999</v>
      </c>
      <c r="AG12">
        <f t="shared" ca="1" si="19"/>
        <v>-3.0150000000000006</v>
      </c>
      <c r="AH12">
        <f t="shared" ca="1" si="20"/>
        <v>1.1400000000000006</v>
      </c>
      <c r="AI12" s="6">
        <f t="shared" ca="1" si="21"/>
        <v>3.240000000000002</v>
      </c>
      <c r="AJ12">
        <f t="shared" ca="1" si="22"/>
        <v>4.8939999999999984</v>
      </c>
      <c r="AK12">
        <f t="shared" ca="1" si="23"/>
        <v>4.3100000000000023</v>
      </c>
      <c r="AL12">
        <f t="shared" ca="1" si="24"/>
        <v>4.4685714285714297</v>
      </c>
      <c r="AM12" s="13">
        <f t="shared" si="33"/>
        <v>-4.93</v>
      </c>
      <c r="AN12">
        <f t="shared" si="33"/>
        <v>-6.389999999999997</v>
      </c>
      <c r="AO12">
        <f t="shared" si="25"/>
        <v>-3.1499999999999986</v>
      </c>
      <c r="AP12">
        <f t="shared" si="26"/>
        <v>-2.9099999999999966</v>
      </c>
      <c r="AQ12">
        <f t="shared" si="27"/>
        <v>-0.68999999999999773</v>
      </c>
      <c r="AR12">
        <f t="shared" si="28"/>
        <v>7.0000000000000284E-2</v>
      </c>
      <c r="AS12" s="30">
        <f t="shared" si="14"/>
        <v>-5.4425396825396817</v>
      </c>
      <c r="AT12">
        <f t="shared" si="4"/>
        <v>-7.1518840579710101</v>
      </c>
      <c r="AU12">
        <f t="shared" si="4"/>
        <v>-4.0736111111111128</v>
      </c>
      <c r="AV12">
        <f t="shared" si="4"/>
        <v>-3.1811999999999969</v>
      </c>
      <c r="AW12">
        <f t="shared" si="4"/>
        <v>-1.2087333333333277</v>
      </c>
      <c r="AX12">
        <f t="shared" si="4"/>
        <v>-0.20746666666666869</v>
      </c>
      <c r="AY12" s="13">
        <f t="shared" ca="1" si="34"/>
        <v>-2.7148950981497109</v>
      </c>
      <c r="AZ12" s="6">
        <f t="shared" ca="1" si="34"/>
        <v>-4.441392870956534</v>
      </c>
      <c r="BA12" s="6">
        <f t="shared" ca="1" si="29"/>
        <v>-2.4628520775844081</v>
      </c>
      <c r="BB12" s="6">
        <f t="shared" ca="1" si="30"/>
        <v>-2.2153196407989384</v>
      </c>
      <c r="BC12" s="6">
        <f t="shared" ca="1" si="31"/>
        <v>-0.54479406024379529</v>
      </c>
      <c r="BD12" s="2">
        <f t="shared" ca="1" si="32"/>
        <v>5.2520389928609745E-2</v>
      </c>
      <c r="BE12" t="s">
        <v>193</v>
      </c>
      <c r="BG12">
        <f>MAX(0,($BG$16+1/($BG$17*$BG$18))-1/((10-BG6) * $BG$18))</f>
        <v>0.71433338527371215</v>
      </c>
      <c r="BH12">
        <f>MAX(0,($BG$16+1/($BG$17*$BG$18))-1/((10-BH6) * $BG$18))</f>
        <v>0.77421679382899278</v>
      </c>
      <c r="BI12">
        <f>MAX(0,($BG$16+1/($BG$17*$BG$18))-1/((10-BI6) * $BG$18))</f>
        <v>0.81692486431104805</v>
      </c>
      <c r="BJ12">
        <f>MAX(0,($BG$16+1/($BG$17*$BG$18))-1/((10-BJ6) * $BG$18))</f>
        <v>0.84914149593971999</v>
      </c>
      <c r="BK12">
        <f>MAX(0,($BG$16+1/($BG$17*$BG$18))-1/((10-BK6) * $BG$18))</f>
        <v>0.88567100485620365</v>
      </c>
      <c r="BL12">
        <f>MAX(0,($BG$16+1/($BG$17*$BG$18))-1/((10-BL6) * $BG$18))</f>
        <v>0.91680839728594743</v>
      </c>
      <c r="BM12">
        <f>MAX(0,($BG$16+1/($BG$17*$BG$18))-1/((10-BM6) * $BG$18))</f>
        <v>0.9388856247526185</v>
      </c>
    </row>
    <row r="13" spans="1:66" x14ac:dyDescent="0.25">
      <c r="A13" t="s">
        <v>52</v>
      </c>
      <c r="B13">
        <f>B12+1</f>
        <v>2</v>
      </c>
      <c r="C13" s="13">
        <f ca="1">'Historical Trends'!O29</f>
        <v>46.550000000000011</v>
      </c>
      <c r="D13">
        <f ca="1">AVERAGE(OFFSET('Historical Trends'!$E$28,$B7,0,'Polling Correlations - ALP'!D$4,1))</f>
        <v>42.25</v>
      </c>
      <c r="E13">
        <f ca="1">AVERAGE(OFFSET('Historical Trends'!$E$28,$B7,0,'Polling Correlations - ALP'!E$4,1))</f>
        <v>44.585000000000001</v>
      </c>
      <c r="F13">
        <f ca="1">AVERAGE(OFFSET('Historical Trends'!$E$28,$B7,0,'Polling Correlations - ALP'!F$4,1))</f>
        <v>45.393333333333338</v>
      </c>
      <c r="G13">
        <f ca="1">AVERAGE(OFFSET('Historical Trends'!$E$28,$B7,0,'Polling Correlations - ALP'!G$4,1))</f>
        <v>46.29</v>
      </c>
      <c r="H13">
        <f ca="1">AVERAGE(OFFSET('Historical Trends'!$E$28,$B7,0,'Polling Correlations - ALP'!H$4,1))</f>
        <v>44.803999999999995</v>
      </c>
      <c r="I13">
        <f ca="1">AVERAGE(OFFSET('Historical Trends'!$E$28,$B7,0,'Polling Correlations - ALP'!I$4,1))</f>
        <v>44.484999999999992</v>
      </c>
      <c r="J13">
        <f ca="1">AVERAGE(OFFSET('Historical Trends'!$E$28,$B7,0,'Polling Correlations - ALP'!J$4,1))</f>
        <v>45.091428571428573</v>
      </c>
      <c r="K13" s="13">
        <f>AVERAGE(31,34,35,30,36)</f>
        <v>33.200000000000003</v>
      </c>
      <c r="L13">
        <f>AVERAGE(35,38,28,26,29)</f>
        <v>31.2</v>
      </c>
      <c r="M13">
        <f>AVERAGE(28,27,30,31,36)</f>
        <v>30.4</v>
      </c>
      <c r="N13">
        <f>AVERAGE(28,31,28,27,30)</f>
        <v>28.8</v>
      </c>
      <c r="O13">
        <f>AVERAGE(30,30,32,28,31)</f>
        <v>30.2</v>
      </c>
      <c r="P13">
        <f>AVERAGE(28,30,30,30,32)</f>
        <v>30</v>
      </c>
      <c r="Q13" s="30">
        <f>K13-AVERAGE(AM$5:AM12,AM14:AM$30)</f>
        <v>33.233650793650796</v>
      </c>
      <c r="R13" s="31">
        <f>L13-AVERAGE(AN$5:AN12,AN14:AN$30)</f>
        <v>30.913333333333334</v>
      </c>
      <c r="S13" s="31">
        <f>M13-AVERAGE(AO$5:AO12,AO14:AO$30)</f>
        <v>29.763472222222219</v>
      </c>
      <c r="T13" s="31">
        <f>N13-AVERAGE(AP$5:AP12,AP14:AP$30)</f>
        <v>28.730800000000002</v>
      </c>
      <c r="U13" s="31">
        <f>O13-AVERAGE(AQ$5:AQ12,AQ14:AQ$30)</f>
        <v>29.850466666666666</v>
      </c>
      <c r="V13" s="31">
        <f>P13-AVERAGE(AR$5:AR12,AR14:AR$30)</f>
        <v>29.853333333333332</v>
      </c>
      <c r="W13" s="13">
        <f t="shared" ca="1" si="7"/>
        <v>36.380490768547133</v>
      </c>
      <c r="X13" s="6">
        <f t="shared" ca="1" si="8"/>
        <v>34.122743122077082</v>
      </c>
      <c r="Y13" s="6">
        <f t="shared" ca="1" si="9"/>
        <v>32.591947152785536</v>
      </c>
      <c r="Z13" s="6">
        <f t="shared" ca="1" si="10"/>
        <v>30.762073007652351</v>
      </c>
      <c r="AA13" s="6">
        <f t="shared" ca="1" si="11"/>
        <v>31.611095571247048</v>
      </c>
      <c r="AB13" s="2">
        <f t="shared" ca="1" si="12"/>
        <v>30.69540793630031</v>
      </c>
      <c r="AC13" s="2">
        <f>'Historical Trends'!E29</f>
        <v>26.66</v>
      </c>
      <c r="AE13" s="13">
        <f t="shared" ca="1" si="17"/>
        <v>19.890000000000011</v>
      </c>
      <c r="AF13">
        <f t="shared" ca="1" si="18"/>
        <v>15.59</v>
      </c>
      <c r="AG13">
        <f t="shared" ca="1" si="19"/>
        <v>17.925000000000001</v>
      </c>
      <c r="AH13">
        <f t="shared" ca="1" si="20"/>
        <v>18.733333333333338</v>
      </c>
      <c r="AI13">
        <f t="shared" ca="1" si="21"/>
        <v>19.63</v>
      </c>
      <c r="AJ13">
        <f t="shared" ca="1" si="22"/>
        <v>18.143999999999995</v>
      </c>
      <c r="AK13">
        <f t="shared" ca="1" si="23"/>
        <v>17.824999999999992</v>
      </c>
      <c r="AL13">
        <f t="shared" ca="1" si="24"/>
        <v>18.431428571428572</v>
      </c>
      <c r="AM13" s="13">
        <f t="shared" si="33"/>
        <v>6.5400000000000027</v>
      </c>
      <c r="AN13">
        <f t="shared" si="33"/>
        <v>4.5399999999999991</v>
      </c>
      <c r="AO13">
        <f t="shared" si="25"/>
        <v>3.7399999999999984</v>
      </c>
      <c r="AP13">
        <f t="shared" si="26"/>
        <v>2.1400000000000006</v>
      </c>
      <c r="AQ13">
        <f t="shared" si="27"/>
        <v>3.5399999999999991</v>
      </c>
      <c r="AR13">
        <f t="shared" si="28"/>
        <v>3.34</v>
      </c>
      <c r="AS13" s="30">
        <f t="shared" si="14"/>
        <v>6.5736507936507955</v>
      </c>
      <c r="AT13">
        <f t="shared" si="4"/>
        <v>4.2533333333333339</v>
      </c>
      <c r="AU13">
        <f t="shared" si="4"/>
        <v>3.1034722222222193</v>
      </c>
      <c r="AV13">
        <f t="shared" si="4"/>
        <v>2.070800000000002</v>
      </c>
      <c r="AW13">
        <f t="shared" si="4"/>
        <v>3.1904666666666657</v>
      </c>
      <c r="AX13">
        <f t="shared" si="4"/>
        <v>3.1933333333333316</v>
      </c>
      <c r="AY13" s="13">
        <f t="shared" ca="1" si="34"/>
        <v>9.7204907685471333</v>
      </c>
      <c r="AZ13" s="6">
        <f t="shared" ca="1" si="34"/>
        <v>7.4627431220770823</v>
      </c>
      <c r="BA13" s="6">
        <f t="shared" ca="1" si="29"/>
        <v>5.9319471527855363</v>
      </c>
      <c r="BB13" s="6">
        <f t="shared" ca="1" si="30"/>
        <v>4.1020730076523506</v>
      </c>
      <c r="BC13" s="6">
        <f t="shared" ca="1" si="31"/>
        <v>4.9510955712470484</v>
      </c>
      <c r="BD13" s="2">
        <f t="shared" ca="1" si="32"/>
        <v>4.0354079363003095</v>
      </c>
      <c r="BE13" t="s">
        <v>192</v>
      </c>
      <c r="BG13">
        <f>(BG12-BG10)^2</f>
        <v>3.5772939767798549E-5</v>
      </c>
      <c r="BH13">
        <f t="shared" ref="BH13:BM13" si="35">(BH12-BH10)^2</f>
        <v>1.1439311315867137E-4</v>
      </c>
      <c r="BI13">
        <f t="shared" si="35"/>
        <v>8.2024767806017698E-5</v>
      </c>
      <c r="BJ13">
        <f t="shared" si="35"/>
        <v>4.8062547246672263E-4</v>
      </c>
      <c r="BK13">
        <f t="shared" si="35"/>
        <v>3.5730090596049039E-5</v>
      </c>
      <c r="BL13">
        <f t="shared" si="35"/>
        <v>3.2917593914186992E-5</v>
      </c>
      <c r="BM13">
        <f t="shared" si="35"/>
        <v>1.2693963730815481E-5</v>
      </c>
      <c r="BN13">
        <f>SQRT(SUM(BG13:BM13))</f>
        <v>2.8180808033842143E-2</v>
      </c>
    </row>
    <row r="14" spans="1:66" x14ac:dyDescent="0.25">
      <c r="A14" t="s">
        <v>53</v>
      </c>
      <c r="B14">
        <f>B13+1</f>
        <v>3</v>
      </c>
      <c r="C14" s="13">
        <f ca="1">'Historical Trends'!O30</f>
        <v>46.832232558139538</v>
      </c>
      <c r="D14">
        <f ca="1">AVERAGE(OFFSET('Historical Trends'!$E$28,$B8,0,'Polling Correlations - ALP'!D$4,1))</f>
        <v>46.92</v>
      </c>
      <c r="E14">
        <f ca="1">AVERAGE(OFFSET('Historical Trends'!$E$28,$B8,0,'Polling Correlations - ALP'!E$4,1))</f>
        <v>46.965000000000003</v>
      </c>
      <c r="F14">
        <f ca="1">AVERAGE(OFFSET('Historical Trends'!$E$28,$B8,0,'Polling Correlations - ALP'!F$4,1))</f>
        <v>47.636666666666663</v>
      </c>
      <c r="G14">
        <f ca="1">AVERAGE(OFFSET('Historical Trends'!$E$28,$B8,0,'Polling Correlations - ALP'!G$4,1))</f>
        <v>45.442499999999995</v>
      </c>
      <c r="H14">
        <f ca="1">AVERAGE(OFFSET('Historical Trends'!$E$28,$B8,0,'Polling Correlations - ALP'!H$4,1))</f>
        <v>44.931999999999995</v>
      </c>
      <c r="I14">
        <f ca="1">AVERAGE(OFFSET('Historical Trends'!$E$28,$B8,0,'Polling Correlations - ALP'!I$4,1))</f>
        <v>45.564999999999998</v>
      </c>
      <c r="J14">
        <f ca="1">AVERAGE(OFFSET('Historical Trends'!$E$28,$B8,0,'Polling Correlations - ALP'!J$4,1))</f>
        <v>46.244285714285709</v>
      </c>
      <c r="K14" s="13">
        <f>AVERAGE(42,48,48)</f>
        <v>46</v>
      </c>
      <c r="L14">
        <f>AVERAGE(52,50,46)</f>
        <v>49.333333333333336</v>
      </c>
      <c r="M14">
        <f>AVERAGE(43,44,43)</f>
        <v>43.333333333333336</v>
      </c>
      <c r="N14">
        <f>AVERAGE(45,43,43)</f>
        <v>43.666666666666664</v>
      </c>
      <c r="O14">
        <f>AVERAGE(41,45,43)</f>
        <v>43</v>
      </c>
      <c r="P14">
        <f>AVERAGE(42,41,41)</f>
        <v>41.333333333333336</v>
      </c>
      <c r="Q14" s="30">
        <f>K14-AVERAGE(AM$5:AM13,AM15:AM$30)</f>
        <v>45.900793650793652</v>
      </c>
      <c r="R14" s="31">
        <f>L14-AVERAGE(AN$5:AN13,AN15:AN$30)</f>
        <v>49.157246376811599</v>
      </c>
      <c r="S14" s="31">
        <f>M14-AVERAGE(AO$5:AO13,AO15:AO$30)</f>
        <v>42.586111111111116</v>
      </c>
      <c r="T14" s="31">
        <f>N14-AVERAGE(AP$5:AP13,AP15:AP$30)</f>
        <v>43.568533333333328</v>
      </c>
      <c r="U14" s="31">
        <f>O14-AVERAGE(AQ$5:AQ13,AQ15:AQ$30)</f>
        <v>42.538866666666664</v>
      </c>
      <c r="V14" s="31">
        <f>P14-AVERAGE(AR$5:AR13,AR15:AR$30)</f>
        <v>41.016400000000004</v>
      </c>
      <c r="W14" s="13">
        <f t="shared" ca="1" si="7"/>
        <v>45.806877013397177</v>
      </c>
      <c r="X14" s="6">
        <f t="shared" ca="1" si="8"/>
        <v>48.30775670332627</v>
      </c>
      <c r="Y14" s="6">
        <f t="shared" ca="1" si="9"/>
        <v>43.158450658360721</v>
      </c>
      <c r="Z14" s="6">
        <f t="shared" ca="1" si="10"/>
        <v>43.825948425859622</v>
      </c>
      <c r="AA14" s="6">
        <f t="shared" ca="1" si="11"/>
        <v>42.902930056624271</v>
      </c>
      <c r="AB14" s="2">
        <f t="shared" ca="1" si="12"/>
        <v>41.278178827136735</v>
      </c>
      <c r="AC14" s="2">
        <f>'Historical Trends'!E30</f>
        <v>42.25</v>
      </c>
      <c r="AE14" s="13">
        <f t="shared" ca="1" si="17"/>
        <v>4.5822325581395376</v>
      </c>
      <c r="AF14">
        <f t="shared" ca="1" si="18"/>
        <v>4.6700000000000017</v>
      </c>
      <c r="AG14">
        <f t="shared" ca="1" si="19"/>
        <v>4.7150000000000034</v>
      </c>
      <c r="AH14">
        <f t="shared" ca="1" si="20"/>
        <v>5.3866666666666632</v>
      </c>
      <c r="AI14">
        <f t="shared" ca="1" si="21"/>
        <v>3.1924999999999955</v>
      </c>
      <c r="AJ14">
        <f t="shared" ca="1" si="22"/>
        <v>2.6819999999999951</v>
      </c>
      <c r="AK14">
        <f t="shared" ca="1" si="23"/>
        <v>3.3149999999999977</v>
      </c>
      <c r="AL14">
        <f t="shared" ca="1" si="24"/>
        <v>3.9942857142857093</v>
      </c>
      <c r="AM14" s="13">
        <f t="shared" si="33"/>
        <v>3.75</v>
      </c>
      <c r="AN14">
        <f t="shared" si="33"/>
        <v>7.0833333333333357</v>
      </c>
      <c r="AO14">
        <f t="shared" si="25"/>
        <v>1.0833333333333357</v>
      </c>
      <c r="AP14">
        <f t="shared" si="26"/>
        <v>1.4166666666666643</v>
      </c>
      <c r="AQ14">
        <f t="shared" si="27"/>
        <v>0.75</v>
      </c>
      <c r="AR14">
        <f t="shared" si="28"/>
        <v>-0.9166666666666643</v>
      </c>
      <c r="AS14" s="30">
        <f t="shared" si="14"/>
        <v>3.650793650793652</v>
      </c>
      <c r="AT14">
        <f t="shared" si="4"/>
        <v>6.9072463768115995</v>
      </c>
      <c r="AU14">
        <f t="shared" si="4"/>
        <v>0.33611111111111569</v>
      </c>
      <c r="AV14">
        <f t="shared" si="4"/>
        <v>1.3185333333333276</v>
      </c>
      <c r="AW14">
        <f t="shared" si="4"/>
        <v>0.28886666666666372</v>
      </c>
      <c r="AX14">
        <f t="shared" si="4"/>
        <v>-1.2335999999999956</v>
      </c>
      <c r="AY14" s="13">
        <f t="shared" ca="1" si="34"/>
        <v>3.5568770133971768</v>
      </c>
      <c r="AZ14" s="6">
        <f t="shared" ca="1" si="34"/>
        <v>6.0577567033262696</v>
      </c>
      <c r="BA14" s="6">
        <f t="shared" ca="1" si="29"/>
        <v>0.90845065836072081</v>
      </c>
      <c r="BB14" s="6">
        <f t="shared" ca="1" si="30"/>
        <v>1.5759484258596217</v>
      </c>
      <c r="BC14" s="6">
        <f t="shared" ca="1" si="31"/>
        <v>0.65293005662427106</v>
      </c>
      <c r="BD14" s="2">
        <f t="shared" ca="1" si="32"/>
        <v>-0.9718211728632653</v>
      </c>
    </row>
    <row r="15" spans="1:66" x14ac:dyDescent="0.25">
      <c r="A15" t="s">
        <v>54</v>
      </c>
      <c r="B15">
        <f>B14+1</f>
        <v>4</v>
      </c>
      <c r="C15" s="13">
        <f ca="1">'Historical Trends'!O31</f>
        <v>44.337523809523816</v>
      </c>
      <c r="D15">
        <f ca="1">AVERAGE(OFFSET('Historical Trends'!$E$28,$B9,0,'Polling Correlations - ALP'!D$4,1))</f>
        <v>47.01</v>
      </c>
      <c r="E15">
        <f ca="1">AVERAGE(OFFSET('Historical Trends'!$E$28,$B9,0,'Polling Correlations - ALP'!E$4,1))</f>
        <v>47.994999999999997</v>
      </c>
      <c r="F15">
        <f ca="1">AVERAGE(OFFSET('Historical Trends'!$E$28,$B9,0,'Polling Correlations - ALP'!F$4,1))</f>
        <v>44.949999999999996</v>
      </c>
      <c r="G15">
        <f ca="1">AVERAGE(OFFSET('Historical Trends'!$E$28,$B9,0,'Polling Correlations - ALP'!G$4,1))</f>
        <v>44.435000000000002</v>
      </c>
      <c r="H15">
        <f ca="1">AVERAGE(OFFSET('Historical Trends'!$E$28,$B9,0,'Polling Correlations - ALP'!H$4,1))</f>
        <v>45.293999999999997</v>
      </c>
      <c r="I15">
        <f ca="1">AVERAGE(OFFSET('Historical Trends'!$E$28,$B9,0,'Polling Correlations - ALP'!I$4,1))</f>
        <v>46.131666666666668</v>
      </c>
      <c r="J15">
        <f ca="1">AVERAGE(OFFSET('Historical Trends'!$E$28,$B9,0,'Polling Correlations - ALP'!J$4,1))</f>
        <v>45.444285714285719</v>
      </c>
      <c r="L15">
        <f>AVERAGE(41,40,47)</f>
        <v>42.666666666666664</v>
      </c>
      <c r="M15">
        <f>AVERAGE(40,40,41)</f>
        <v>40.333333333333336</v>
      </c>
      <c r="N15">
        <f>AVERAGE(41,40,40)</f>
        <v>40.333333333333336</v>
      </c>
      <c r="O15">
        <f>AVERAGE(45,41,40)</f>
        <v>42</v>
      </c>
      <c r="P15">
        <f>AVERAGE(48,48,45)</f>
        <v>47</v>
      </c>
      <c r="Q15" s="30"/>
      <c r="R15" s="31">
        <f>L15-AVERAGE(AN$5:AN14,AN16:AN$30)</f>
        <v>41.997681159420289</v>
      </c>
      <c r="S15" s="31">
        <f>M15-AVERAGE(AO$5:AO14,AO16:AO$30)</f>
        <v>39.266527777777782</v>
      </c>
      <c r="T15" s="31">
        <f>N15-AVERAGE(AP$5:AP14,AP16:AP$30)</f>
        <v>39.915066666666668</v>
      </c>
      <c r="U15" s="31">
        <f>O15-AVERAGE(AQ$5:AQ14,AQ16:AQ$30)</f>
        <v>41.312066666666666</v>
      </c>
      <c r="V15" s="31">
        <f>P15-AVERAGE(AR$5:AR14,AR16:AR$30)</f>
        <v>46.72293333333333</v>
      </c>
      <c r="W15" s="13">
        <f t="shared" ca="1" si="7"/>
        <v>12.902361317995544</v>
      </c>
      <c r="X15" s="6">
        <f t="shared" ca="1" si="8"/>
        <v>42.975280586178087</v>
      </c>
      <c r="Y15" s="6">
        <f t="shared" ca="1" si="9"/>
        <v>40.585539875922173</v>
      </c>
      <c r="Z15" s="6">
        <f t="shared" ca="1" si="10"/>
        <v>40.716606051679655</v>
      </c>
      <c r="AA15" s="6">
        <f t="shared" ca="1" si="11"/>
        <v>41.891895683092358</v>
      </c>
      <c r="AB15" s="2">
        <f t="shared" ca="1" si="12"/>
        <v>46.688905040116722</v>
      </c>
      <c r="AC15" s="2">
        <f>'Historical Trends'!E31</f>
        <v>46.92</v>
      </c>
      <c r="AE15" s="13">
        <f t="shared" ca="1" si="17"/>
        <v>-2.5824761904761857</v>
      </c>
      <c r="AF15">
        <f t="shared" ca="1" si="18"/>
        <v>8.9999999999996305E-2</v>
      </c>
      <c r="AG15">
        <f t="shared" ca="1" si="19"/>
        <v>1.0749999999999957</v>
      </c>
      <c r="AH15">
        <f t="shared" ca="1" si="20"/>
        <v>-1.970000000000006</v>
      </c>
      <c r="AI15">
        <f t="shared" ca="1" si="21"/>
        <v>-2.4849999999999994</v>
      </c>
      <c r="AJ15">
        <f t="shared" ca="1" si="22"/>
        <v>-1.6260000000000048</v>
      </c>
      <c r="AK15">
        <f t="shared" ca="1" si="23"/>
        <v>-0.788333333333334</v>
      </c>
      <c r="AL15">
        <f t="shared" ca="1" si="24"/>
        <v>-1.4757142857142824</v>
      </c>
      <c r="AN15">
        <f t="shared" ref="AN15:AN29" si="36">L15-$AC15</f>
        <v>-4.2533333333333374</v>
      </c>
      <c r="AO15">
        <f t="shared" si="25"/>
        <v>-6.586666666666666</v>
      </c>
      <c r="AP15">
        <f t="shared" si="26"/>
        <v>-6.586666666666666</v>
      </c>
      <c r="AQ15">
        <f t="shared" si="27"/>
        <v>-4.9200000000000017</v>
      </c>
      <c r="AR15">
        <f t="shared" si="28"/>
        <v>7.9999999999998295E-2</v>
      </c>
      <c r="AS15" s="30"/>
      <c r="AT15">
        <f t="shared" si="4"/>
        <v>-4.9223188405797131</v>
      </c>
      <c r="AU15">
        <f t="shared" si="4"/>
        <v>-7.65347222222222</v>
      </c>
      <c r="AV15">
        <f t="shared" si="4"/>
        <v>-7.0049333333333337</v>
      </c>
      <c r="AW15">
        <f t="shared" si="4"/>
        <v>-5.6079333333333352</v>
      </c>
      <c r="AX15">
        <f t="shared" si="4"/>
        <v>-0.19706666666667161</v>
      </c>
      <c r="AZ15" s="6">
        <f t="shared" ref="AZ15:AZ29" ca="1" si="37">X15-$AC15</f>
        <v>-3.9447194138219146</v>
      </c>
      <c r="BA15" s="6">
        <f t="shared" ca="1" si="29"/>
        <v>-6.3344601240778289</v>
      </c>
      <c r="BB15" s="6">
        <f t="shared" ca="1" si="30"/>
        <v>-6.2033939483203469</v>
      </c>
      <c r="BC15" s="6">
        <f t="shared" ca="1" si="31"/>
        <v>-5.028104316907644</v>
      </c>
      <c r="BD15" s="2">
        <f t="shared" ca="1" si="32"/>
        <v>-0.23109495988327922</v>
      </c>
      <c r="BE15" t="s">
        <v>188</v>
      </c>
    </row>
    <row r="16" spans="1:66" x14ac:dyDescent="0.25">
      <c r="A16" t="s">
        <v>48</v>
      </c>
      <c r="B16">
        <v>0</v>
      </c>
      <c r="C16" s="13">
        <f ca="1">'Historical Trends'!O46</f>
        <v>27.761999999999944</v>
      </c>
      <c r="D16">
        <f ca="1">AVERAGE(OFFSET('Historical Trends'!$E$48,$B5,0,'Polling Correlations - ALP'!D$4,1))</f>
        <v>34.08</v>
      </c>
      <c r="E16">
        <f ca="1">AVERAGE(OFFSET('Historical Trends'!$E$48,$B5,0,'Polling Correlations - ALP'!E$4,1))</f>
        <v>29.814999999999998</v>
      </c>
      <c r="F16">
        <f ca="1">AVERAGE(OFFSET('Historical Trends'!$E$48,$B5,0,'Polling Correlations - ALP'!F$4,1))</f>
        <v>32.869999999999997</v>
      </c>
      <c r="G16">
        <f ca="1">AVERAGE(OFFSET('Historical Trends'!$E$48,$B5,0,'Polling Correlations - ALP'!G$4,1))</f>
        <v>35.322499999999998</v>
      </c>
      <c r="H16">
        <f ca="1">AVERAGE(OFFSET('Historical Trends'!$E$48,$B5,0,'Polling Correlations - ALP'!H$4,1))</f>
        <v>36.700000000000003</v>
      </c>
      <c r="I16">
        <f ca="1">AVERAGE(OFFSET('Historical Trends'!$E$48,$B5,0,'Polling Correlations - ALP'!I$4,1))</f>
        <v>37.46</v>
      </c>
      <c r="J16">
        <f ca="1">AVERAGE(OFFSET('Historical Trends'!$E$48,$B5,0,'Polling Correlations - ALP'!J$4,1))</f>
        <v>37.687142857142859</v>
      </c>
      <c r="K16" s="13">
        <f>AVERAGE(34,36,28)</f>
        <v>32.666666666666664</v>
      </c>
      <c r="L16">
        <f>AVERAGE(34.6,34,39)</f>
        <v>35.866666666666667</v>
      </c>
      <c r="M16">
        <f>AVERAGE(33.5,34.6,34)</f>
        <v>34.033333333333331</v>
      </c>
      <c r="N16">
        <f>AVERAGE(35.5,39,33.5,34.6,34)</f>
        <v>35.32</v>
      </c>
      <c r="O16">
        <f>AVERAGE(36,36,35.5,39,33.5)</f>
        <v>36</v>
      </c>
      <c r="P16">
        <f>AVERAGE(35,38,36,35.8,36)</f>
        <v>36.160000000000004</v>
      </c>
      <c r="Q16" s="30">
        <f>K16-AVERAGE(AM$5:AM15,AM17:AM$30)</f>
        <v>32.358253968253969</v>
      </c>
      <c r="R16" s="31">
        <f>L16-AVERAGE(AN$5:AN15,AN17:AN$30)</f>
        <v>35.493768115942032</v>
      </c>
      <c r="S16" s="31">
        <f>M16-AVERAGE(AO$5:AO15,AO17:AO$30)</f>
        <v>33.271111111111111</v>
      </c>
      <c r="T16" s="31">
        <f>N16-AVERAGE(AP$5:AP15,AP17:AP$30)</f>
        <v>35.245600000000003</v>
      </c>
      <c r="U16" s="31">
        <f>O16-AVERAGE(AQ$5:AQ15,AQ17:AQ$30)</f>
        <v>35.616466666666668</v>
      </c>
      <c r="V16" s="31">
        <f>P16-AVERAGE(AR$5:AR15,AR17:AR$30)</f>
        <v>35.993733333333338</v>
      </c>
      <c r="W16" s="13">
        <f t="shared" ca="1" si="7"/>
        <v>33.785138696479066</v>
      </c>
      <c r="X16" s="6">
        <f t="shared" ca="1" si="8"/>
        <v>35.958740032113148</v>
      </c>
      <c r="Y16" s="6">
        <f t="shared" ca="1" si="9"/>
        <v>34.075930243200261</v>
      </c>
      <c r="Z16" s="6">
        <f t="shared" ca="1" si="10"/>
        <v>35.53111439921706</v>
      </c>
      <c r="AA16" s="6">
        <f t="shared" ca="1" si="11"/>
        <v>35.838255636584222</v>
      </c>
      <c r="AB16" s="2">
        <f t="shared" ca="1" si="12"/>
        <v>36.07811920333063</v>
      </c>
      <c r="AC16" s="2">
        <f>'Historical Trends'!E47</f>
        <v>33.31</v>
      </c>
      <c r="AE16" s="13">
        <f t="shared" ca="1" si="17"/>
        <v>-5.5480000000000587</v>
      </c>
      <c r="AF16">
        <f t="shared" ca="1" si="18"/>
        <v>0.76999999999999602</v>
      </c>
      <c r="AG16">
        <f t="shared" ca="1" si="19"/>
        <v>-3.4950000000000045</v>
      </c>
      <c r="AH16">
        <f t="shared" ca="1" si="20"/>
        <v>-0.44000000000000483</v>
      </c>
      <c r="AI16">
        <f t="shared" ca="1" si="21"/>
        <v>2.0124999999999957</v>
      </c>
      <c r="AJ16">
        <f t="shared" ca="1" si="22"/>
        <v>3.3900000000000006</v>
      </c>
      <c r="AK16">
        <f t="shared" ca="1" si="23"/>
        <v>4.1499999999999986</v>
      </c>
      <c r="AL16">
        <f t="shared" ca="1" si="24"/>
        <v>4.3771428571428572</v>
      </c>
      <c r="AM16" s="13">
        <f t="shared" ref="AM16:AM22" si="38">K16-$AC16</f>
        <v>-0.64333333333333798</v>
      </c>
      <c r="AN16">
        <f t="shared" si="36"/>
        <v>2.5566666666666649</v>
      </c>
      <c r="AO16">
        <f t="shared" si="25"/>
        <v>0.72333333333332916</v>
      </c>
      <c r="AP16">
        <f t="shared" si="26"/>
        <v>2.009999999999998</v>
      </c>
      <c r="AQ16">
        <f t="shared" si="27"/>
        <v>2.6899999999999977</v>
      </c>
      <c r="AR16">
        <f t="shared" si="28"/>
        <v>2.8500000000000014</v>
      </c>
      <c r="AS16" s="30">
        <f t="shared" si="14"/>
        <v>-0.95174603174603334</v>
      </c>
      <c r="AT16">
        <f t="shared" si="4"/>
        <v>2.1837681159420299</v>
      </c>
      <c r="AU16">
        <f t="shared" si="4"/>
        <v>-3.8888888888891415E-2</v>
      </c>
      <c r="AV16">
        <f t="shared" si="4"/>
        <v>1.9356000000000009</v>
      </c>
      <c r="AW16">
        <f t="shared" si="4"/>
        <v>2.3064666666666653</v>
      </c>
      <c r="AX16">
        <f t="shared" si="4"/>
        <v>2.6837333333333362</v>
      </c>
      <c r="AY16" s="13">
        <f ca="1">W16-$AC16</f>
        <v>0.47513869647906404</v>
      </c>
      <c r="AZ16" s="6">
        <f t="shared" ca="1" si="37"/>
        <v>2.648740032113146</v>
      </c>
      <c r="BA16" s="6">
        <f t="shared" ca="1" si="29"/>
        <v>0.76593024320025904</v>
      </c>
      <c r="BB16" s="6">
        <f t="shared" ca="1" si="30"/>
        <v>2.2211143992170577</v>
      </c>
      <c r="BC16" s="6">
        <f t="shared" ca="1" si="31"/>
        <v>2.5282556365842197</v>
      </c>
      <c r="BD16" s="2">
        <f t="shared" ca="1" si="32"/>
        <v>2.7681192033306274</v>
      </c>
      <c r="BE16" t="s">
        <v>189</v>
      </c>
      <c r="BG16">
        <v>0.94980968603496607</v>
      </c>
    </row>
    <row r="17" spans="1:74" x14ac:dyDescent="0.25">
      <c r="A17" t="s">
        <v>70</v>
      </c>
      <c r="B17">
        <f>B16+1</f>
        <v>1</v>
      </c>
      <c r="C17" s="13">
        <f ca="1">'Historical Trends'!O47</f>
        <v>28.501999999999953</v>
      </c>
      <c r="D17">
        <f ca="1">AVERAGE(OFFSET('Historical Trends'!$E$48,$B6,0,'Polling Correlations - ALP'!D$4,1))</f>
        <v>25.55</v>
      </c>
      <c r="E17">
        <f ca="1">AVERAGE(OFFSET('Historical Trends'!$E$48,$B6,0,'Polling Correlations - ALP'!E$4,1))</f>
        <v>32.265000000000001</v>
      </c>
      <c r="F17">
        <f ca="1">AVERAGE(OFFSET('Historical Trends'!$E$48,$B6,0,'Polling Correlations - ALP'!F$4,1))</f>
        <v>35.736666666666672</v>
      </c>
      <c r="G17">
        <f ca="1">AVERAGE(OFFSET('Historical Trends'!$E$48,$B6,0,'Polling Correlations - ALP'!G$4,1))</f>
        <v>37.355000000000004</v>
      </c>
      <c r="H17">
        <f ca="1">AVERAGE(OFFSET('Historical Trends'!$E$48,$B6,0,'Polling Correlations - ALP'!H$4,1))</f>
        <v>38.136000000000003</v>
      </c>
      <c r="I17">
        <f ca="1">AVERAGE(OFFSET('Historical Trends'!$E$48,$B6,0,'Polling Correlations - ALP'!I$4,1))</f>
        <v>38.288333333333334</v>
      </c>
      <c r="J17">
        <f ca="1">AVERAGE(OFFSET('Historical Trends'!$E$48,$B6,0,'Polling Correlations - ALP'!J$4,1))</f>
        <v>38.315714285714293</v>
      </c>
      <c r="K17" s="13">
        <f>AVERAGE(23,27,29,31,28)</f>
        <v>27.6</v>
      </c>
      <c r="L17">
        <f>AVERAGE(35,31,32,28,28)</f>
        <v>30.8</v>
      </c>
      <c r="M17">
        <f>AVERAGE(35,33,31,37,37)</f>
        <v>34.6</v>
      </c>
      <c r="N17">
        <f>AVERAGE(38,33,34,33,35)</f>
        <v>34.6</v>
      </c>
      <c r="O17">
        <f>AVERAGE(35,36,36,36,36)</f>
        <v>35.799999999999997</v>
      </c>
      <c r="P17">
        <f>AVERAGE(33.8,34,34,36,36)</f>
        <v>34.760000000000005</v>
      </c>
      <c r="Q17" s="30">
        <f>K17-AVERAGE(AM$5:AM16,AM18:AM$30)</f>
        <v>27.013650793650797</v>
      </c>
      <c r="R17" s="31">
        <f>L17-AVERAGE(AN$5:AN16,AN18:AN$30)</f>
        <v>30.173333333333336</v>
      </c>
      <c r="S17" s="31">
        <f>M17-AVERAGE(AO$5:AO16,AO18:AO$30)</f>
        <v>33.829305555555557</v>
      </c>
      <c r="T17" s="31">
        <f>N17-AVERAGE(AP$5:AP16,AP18:AP$30)</f>
        <v>34.466000000000001</v>
      </c>
      <c r="U17" s="31">
        <f>O17-AVERAGE(AQ$5:AQ16,AQ18:AQ$30)</f>
        <v>35.377666666666663</v>
      </c>
      <c r="V17" s="31">
        <f>P17-AVERAGE(AR$5:AR16,AR18:AR$30)</f>
        <v>34.506933333333336</v>
      </c>
      <c r="W17" s="13">
        <f t="shared" ca="1" si="7"/>
        <v>30.167016765095134</v>
      </c>
      <c r="X17" s="6">
        <f t="shared" ca="1" si="8"/>
        <v>32.092357803601459</v>
      </c>
      <c r="Y17" s="6">
        <f t="shared" ca="1" si="9"/>
        <v>34.686026982469429</v>
      </c>
      <c r="Z17" s="6">
        <f t="shared" ca="1" si="10"/>
        <v>34.958833817410586</v>
      </c>
      <c r="AA17" s="6">
        <f t="shared" ca="1" si="11"/>
        <v>35.727838670666245</v>
      </c>
      <c r="AB17" s="2">
        <f t="shared" ca="1" si="12"/>
        <v>34.72455863714876</v>
      </c>
      <c r="AC17" s="2">
        <f>'Historical Trends'!E48</f>
        <v>34.08</v>
      </c>
      <c r="AE17" s="13">
        <f t="shared" ca="1" si="17"/>
        <v>-5.5780000000000456</v>
      </c>
      <c r="AF17">
        <f t="shared" ca="1" si="18"/>
        <v>-8.5299999999999976</v>
      </c>
      <c r="AG17">
        <f t="shared" ca="1" si="19"/>
        <v>-1.8149999999999977</v>
      </c>
      <c r="AH17">
        <f t="shared" ca="1" si="20"/>
        <v>1.6566666666666734</v>
      </c>
      <c r="AI17">
        <f t="shared" ca="1" si="21"/>
        <v>3.2750000000000057</v>
      </c>
      <c r="AJ17">
        <f t="shared" ca="1" si="22"/>
        <v>4.0560000000000045</v>
      </c>
      <c r="AK17">
        <f t="shared" ca="1" si="23"/>
        <v>4.2083333333333357</v>
      </c>
      <c r="AL17">
        <f t="shared" ca="1" si="24"/>
        <v>4.2357142857142946</v>
      </c>
      <c r="AM17" s="13">
        <f t="shared" si="38"/>
        <v>-6.4799999999999969</v>
      </c>
      <c r="AN17">
        <f t="shared" si="36"/>
        <v>-3.2799999999999976</v>
      </c>
      <c r="AO17">
        <f t="shared" si="25"/>
        <v>0.52000000000000313</v>
      </c>
      <c r="AP17">
        <f t="shared" si="26"/>
        <v>0.52000000000000313</v>
      </c>
      <c r="AQ17">
        <f t="shared" si="27"/>
        <v>1.7199999999999989</v>
      </c>
      <c r="AR17">
        <f t="shared" si="28"/>
        <v>0.68000000000000682</v>
      </c>
      <c r="AS17" s="30">
        <f t="shared" si="14"/>
        <v>-7.0663492063492015</v>
      </c>
      <c r="AT17">
        <f t="shared" si="4"/>
        <v>-3.9066666666666627</v>
      </c>
      <c r="AU17">
        <f t="shared" si="4"/>
        <v>-0.25069444444444144</v>
      </c>
      <c r="AV17">
        <f t="shared" si="4"/>
        <v>0.38600000000000279</v>
      </c>
      <c r="AW17">
        <f t="shared" si="4"/>
        <v>1.2976666666666645</v>
      </c>
      <c r="AX17">
        <f t="shared" si="4"/>
        <v>0.42693333333333783</v>
      </c>
      <c r="AY17" s="13" t="s">
        <v>173</v>
      </c>
      <c r="AZ17" s="6">
        <f t="shared" ca="1" si="37"/>
        <v>-1.9876421963985393</v>
      </c>
      <c r="BA17" s="6">
        <f t="shared" ca="1" si="29"/>
        <v>0.60602698246943021</v>
      </c>
      <c r="BB17" s="6">
        <f t="shared" ca="1" si="30"/>
        <v>0.87883381741058741</v>
      </c>
      <c r="BC17" s="6">
        <f t="shared" ca="1" si="31"/>
        <v>1.6478386706662462</v>
      </c>
      <c r="BD17" s="2">
        <f t="shared" ca="1" si="32"/>
        <v>0.64455863714876216</v>
      </c>
      <c r="BE17" t="s">
        <v>190</v>
      </c>
      <c r="BG17">
        <v>10.163039246898204</v>
      </c>
    </row>
    <row r="18" spans="1:74" x14ac:dyDescent="0.25">
      <c r="A18" t="s">
        <v>72</v>
      </c>
      <c r="B18">
        <f>B17+1</f>
        <v>2</v>
      </c>
      <c r="C18" s="13">
        <f ca="1">'Historical Trends'!O48</f>
        <v>30.901333333333469</v>
      </c>
      <c r="D18">
        <f ca="1">AVERAGE(OFFSET('Historical Trends'!$E$48,$B7,0,'Polling Correlations - ALP'!D$4,1))</f>
        <v>38.979999999999997</v>
      </c>
      <c r="E18">
        <f ca="1">AVERAGE(OFFSET('Historical Trends'!$E$48,$B7,0,'Polling Correlations - ALP'!E$4,1))</f>
        <v>40.83</v>
      </c>
      <c r="F18">
        <f ca="1">AVERAGE(OFFSET('Historical Trends'!$E$48,$B7,0,'Polling Correlations - ALP'!F$4,1))</f>
        <v>41.29</v>
      </c>
      <c r="G18">
        <f ca="1">AVERAGE(OFFSET('Historical Trends'!$E$48,$B7,0,'Polling Correlations - ALP'!G$4,1))</f>
        <v>41.282499999999999</v>
      </c>
      <c r="H18">
        <f ca="1">AVERAGE(OFFSET('Historical Trends'!$E$48,$B7,0,'Polling Correlations - ALP'!H$4,1))</f>
        <v>40.835999999999999</v>
      </c>
      <c r="I18">
        <f ca="1">AVERAGE(OFFSET('Historical Trends'!$E$48,$B7,0,'Polling Correlations - ALP'!I$4,1))</f>
        <v>40.443333333333335</v>
      </c>
      <c r="J18">
        <f ca="1">AVERAGE(OFFSET('Historical Trends'!$E$48,$B7,0,'Polling Correlations - ALP'!J$4,1))</f>
        <v>41.632857142857141</v>
      </c>
      <c r="K18" s="13">
        <f>AVERAGE(30,26,29,33,32)</f>
        <v>30</v>
      </c>
      <c r="L18">
        <f>AVERAGE(29,30,29,29,26)</f>
        <v>28.6</v>
      </c>
      <c r="M18">
        <f>AVERAGE(25,25,31,29,30)</f>
        <v>28</v>
      </c>
      <c r="N18">
        <f>AVERAGE(24,23,25,25,31)</f>
        <v>25.6</v>
      </c>
      <c r="O18">
        <f>AVERAGE(22,24,23,27,20)</f>
        <v>23.2</v>
      </c>
      <c r="P18">
        <f>AVERAGE(22,22,23,23,26)</f>
        <v>23.2</v>
      </c>
      <c r="Q18" s="30">
        <f>K18-AVERAGE(AM$5:AM17,AM19:AM$30)</f>
        <v>29.934126984126983</v>
      </c>
      <c r="R18" s="31">
        <f>L18-AVERAGE(AN$5:AN17,AN19:AN$30)</f>
        <v>28.248550724637681</v>
      </c>
      <c r="S18" s="31">
        <f>M18-AVERAGE(AO$5:AO17,AO19:AO$30)</f>
        <v>27.309722222222224</v>
      </c>
      <c r="T18" s="31">
        <f>N18-AVERAGE(AP$5:AP17,AP19:AP$30)</f>
        <v>25.447200000000002</v>
      </c>
      <c r="U18" s="31">
        <f>O18-AVERAGE(AQ$5:AQ17,AQ19:AQ$30)</f>
        <v>22.614866666666664</v>
      </c>
      <c r="V18" s="31">
        <f>P18-AVERAGE(AR$5:AR17,AR19:AR$30)</f>
        <v>22.825733333333332</v>
      </c>
      <c r="W18" s="13">
        <f t="shared" ca="1" si="7"/>
        <v>32.873400313716203</v>
      </c>
      <c r="X18" s="6">
        <f t="shared" ca="1" si="8"/>
        <v>31.132356791881932</v>
      </c>
      <c r="Y18" s="6">
        <f t="shared" ca="1" si="9"/>
        <v>29.833107725160371</v>
      </c>
      <c r="Z18" s="6">
        <f t="shared" ca="1" si="10"/>
        <v>27.380731430295143</v>
      </c>
      <c r="AA18" s="6">
        <f t="shared" ca="1" si="11"/>
        <v>24.759746385255657</v>
      </c>
      <c r="AB18" s="2">
        <f t="shared" ca="1" si="12"/>
        <v>23.839652927266425</v>
      </c>
      <c r="AC18" s="2">
        <f>'Historical Trends'!E49</f>
        <v>25.55</v>
      </c>
      <c r="AE18" s="13">
        <f t="shared" ca="1" si="17"/>
        <v>5.3513333333334678</v>
      </c>
      <c r="AF18">
        <f t="shared" ca="1" si="18"/>
        <v>13.429999999999996</v>
      </c>
      <c r="AG18">
        <f t="shared" ca="1" si="19"/>
        <v>15.279999999999998</v>
      </c>
      <c r="AH18">
        <f t="shared" ca="1" si="20"/>
        <v>15.739999999999998</v>
      </c>
      <c r="AI18">
        <f t="shared" ca="1" si="21"/>
        <v>15.732499999999998</v>
      </c>
      <c r="AJ18">
        <f t="shared" ca="1" si="22"/>
        <v>15.285999999999998</v>
      </c>
      <c r="AK18">
        <f t="shared" ca="1" si="23"/>
        <v>14.893333333333334</v>
      </c>
      <c r="AL18">
        <f t="shared" ca="1" si="24"/>
        <v>16.08285714285714</v>
      </c>
      <c r="AM18" s="13">
        <f t="shared" si="38"/>
        <v>4.4499999999999993</v>
      </c>
      <c r="AN18">
        <f t="shared" si="36"/>
        <v>3.0500000000000007</v>
      </c>
      <c r="AO18">
        <f t="shared" si="25"/>
        <v>2.4499999999999993</v>
      </c>
      <c r="AP18">
        <f t="shared" si="26"/>
        <v>5.0000000000000711E-2</v>
      </c>
      <c r="AQ18">
        <f t="shared" si="27"/>
        <v>-2.3500000000000014</v>
      </c>
      <c r="AR18">
        <f t="shared" si="28"/>
        <v>-2.3500000000000014</v>
      </c>
      <c r="AS18" s="30">
        <f t="shared" si="14"/>
        <v>4.3841269841269828</v>
      </c>
      <c r="AT18">
        <f t="shared" si="4"/>
        <v>2.6985507246376805</v>
      </c>
      <c r="AU18">
        <f t="shared" si="4"/>
        <v>1.7597222222222229</v>
      </c>
      <c r="AV18">
        <f t="shared" si="4"/>
        <v>-0.10279999999999845</v>
      </c>
      <c r="AW18">
        <f t="shared" si="4"/>
        <v>-2.9351333333333365</v>
      </c>
      <c r="AX18">
        <f t="shared" si="4"/>
        <v>-2.7242666666666686</v>
      </c>
      <c r="AY18" s="13">
        <f ca="1">W18-$AC18</f>
        <v>7.3234003137162027</v>
      </c>
      <c r="AZ18" s="6">
        <f t="shared" ca="1" si="37"/>
        <v>5.5823567918819315</v>
      </c>
      <c r="BA18" s="6">
        <f t="shared" ca="1" si="29"/>
        <v>4.2831077251603702</v>
      </c>
      <c r="BB18" s="6">
        <f t="shared" ca="1" si="30"/>
        <v>1.8307314302951418</v>
      </c>
      <c r="BC18" s="6">
        <f t="shared" ca="1" si="31"/>
        <v>-0.79025361474434419</v>
      </c>
      <c r="BD18" s="2">
        <f t="shared" ca="1" si="32"/>
        <v>-1.7103470727335761</v>
      </c>
      <c r="BE18" t="s">
        <v>191</v>
      </c>
      <c r="BG18">
        <v>0.82862448579898451</v>
      </c>
    </row>
    <row r="19" spans="1:74" x14ac:dyDescent="0.25">
      <c r="A19" t="s">
        <v>73</v>
      </c>
      <c r="B19">
        <f>B18+1</f>
        <v>3</v>
      </c>
      <c r="C19" s="13">
        <f ca="1">'Historical Trends'!O49</f>
        <v>41.860255591054312</v>
      </c>
      <c r="D19">
        <f ca="1">AVERAGE(OFFSET('Historical Trends'!$E$48,$B8,0,'Polling Correlations - ALP'!D$4,1))</f>
        <v>42.68</v>
      </c>
      <c r="E19">
        <f ca="1">AVERAGE(OFFSET('Historical Trends'!$E$48,$B8,0,'Polling Correlations - ALP'!E$4,1))</f>
        <v>42.445</v>
      </c>
      <c r="F19">
        <f ca="1">AVERAGE(OFFSET('Historical Trends'!$E$48,$B8,0,'Polling Correlations - ALP'!F$4,1))</f>
        <v>42.050000000000004</v>
      </c>
      <c r="G19">
        <f ca="1">AVERAGE(OFFSET('Historical Trends'!$E$48,$B8,0,'Polling Correlations - ALP'!G$4,1))</f>
        <v>41.3</v>
      </c>
      <c r="H19">
        <f ca="1">AVERAGE(OFFSET('Historical Trends'!$E$48,$B8,0,'Polling Correlations - ALP'!H$4,1))</f>
        <v>40.735999999999997</v>
      </c>
      <c r="I19">
        <f ca="1">AVERAGE(OFFSET('Historical Trends'!$E$48,$B8,0,'Polling Correlations - ALP'!I$4,1))</f>
        <v>42.074999999999996</v>
      </c>
      <c r="J19">
        <f ca="1">AVERAGE(OFFSET('Historical Trends'!$E$48,$B8,0,'Polling Correlations - ALP'!J$4,1))</f>
        <v>44.025714285714287</v>
      </c>
      <c r="K19" s="13">
        <f>AVERAGE(35,35,34,38,39)</f>
        <v>36.200000000000003</v>
      </c>
      <c r="L19">
        <f>AVERAGE(34,34,38,39,37)</f>
        <v>36.4</v>
      </c>
      <c r="M19">
        <f>AVERAGE(41,49,38,36,34)</f>
        <v>39.6</v>
      </c>
      <c r="N19">
        <f>AVERAGE(39,26,41,41,40)</f>
        <v>37.4</v>
      </c>
      <c r="O19">
        <f>AVERAGE(45,46,45,39,36)</f>
        <v>42.2</v>
      </c>
      <c r="P19">
        <f>AVERAGE(42,41,42,45,46)</f>
        <v>43.2</v>
      </c>
      <c r="Q19" s="30">
        <f>K19-AVERAGE(AM$5:AM18,AM20:AM$30)</f>
        <v>35.789841269841276</v>
      </c>
      <c r="R19" s="31">
        <f>L19-AVERAGE(AN$5:AN18,AN20:AN$30)</f>
        <v>35.803768115942027</v>
      </c>
      <c r="S19" s="31">
        <f>M19-AVERAGE(AO$5:AO18,AO20:AO$30)</f>
        <v>38.833472222222227</v>
      </c>
      <c r="T19" s="31">
        <f>N19-AVERAGE(AP$5:AP18,AP20:AP$30)</f>
        <v>37.181999999999995</v>
      </c>
      <c r="U19" s="31">
        <f>O19-AVERAGE(AQ$5:AQ18,AQ20:AQ$30)</f>
        <v>41.837666666666671</v>
      </c>
      <c r="V19" s="31">
        <f>P19-AVERAGE(AR$5:AR18,AR20:AR$30)</f>
        <v>43.088533333333338</v>
      </c>
      <c r="W19" s="13">
        <f t="shared" ca="1" si="7"/>
        <v>37.547709448838972</v>
      </c>
      <c r="X19" s="6">
        <f t="shared" ca="1" si="8"/>
        <v>37.286780740000303</v>
      </c>
      <c r="Y19" s="6">
        <f t="shared" ca="1" si="9"/>
        <v>39.45627307513432</v>
      </c>
      <c r="Z19" s="6">
        <f t="shared" ca="1" si="10"/>
        <v>37.812880579556108</v>
      </c>
      <c r="AA19" s="6">
        <f t="shared" ca="1" si="11"/>
        <v>41.866219399929122</v>
      </c>
      <c r="AB19" s="2">
        <f t="shared" ca="1" si="12"/>
        <v>43.030202953158344</v>
      </c>
      <c r="AC19" s="2">
        <f>'Historical Trends'!E50</f>
        <v>38.979999999999997</v>
      </c>
      <c r="AE19" s="13">
        <f t="shared" ca="1" si="17"/>
        <v>2.8802555910543148</v>
      </c>
      <c r="AF19">
        <f t="shared" ca="1" si="18"/>
        <v>3.7000000000000028</v>
      </c>
      <c r="AG19">
        <f t="shared" ca="1" si="19"/>
        <v>3.4650000000000034</v>
      </c>
      <c r="AH19">
        <f t="shared" ca="1" si="20"/>
        <v>3.0700000000000074</v>
      </c>
      <c r="AI19">
        <f t="shared" ca="1" si="21"/>
        <v>2.3200000000000003</v>
      </c>
      <c r="AJ19">
        <f t="shared" ca="1" si="22"/>
        <v>1.7560000000000002</v>
      </c>
      <c r="AK19">
        <f t="shared" ca="1" si="23"/>
        <v>3.0949999999999989</v>
      </c>
      <c r="AL19">
        <f t="shared" ca="1" si="24"/>
        <v>5.0457142857142898</v>
      </c>
      <c r="AM19" s="13">
        <f t="shared" si="38"/>
        <v>-2.779999999999994</v>
      </c>
      <c r="AN19">
        <f t="shared" si="36"/>
        <v>-2.5799999999999983</v>
      </c>
      <c r="AO19">
        <f t="shared" si="25"/>
        <v>0.62000000000000455</v>
      </c>
      <c r="AP19">
        <f t="shared" si="26"/>
        <v>-1.5799999999999983</v>
      </c>
      <c r="AQ19">
        <f t="shared" si="27"/>
        <v>3.220000000000006</v>
      </c>
      <c r="AR19">
        <f t="shared" si="28"/>
        <v>4.220000000000006</v>
      </c>
      <c r="AS19" s="30">
        <f t="shared" si="14"/>
        <v>-3.1901587301587213</v>
      </c>
      <c r="AT19">
        <f t="shared" si="4"/>
        <v>-3.1762318840579695</v>
      </c>
      <c r="AU19">
        <f t="shared" si="4"/>
        <v>-0.14652777777777004</v>
      </c>
      <c r="AV19">
        <f t="shared" si="4"/>
        <v>-1.7980000000000018</v>
      </c>
      <c r="AW19">
        <f t="shared" si="4"/>
        <v>2.8576666666666739</v>
      </c>
      <c r="AX19">
        <f t="shared" si="4"/>
        <v>4.1085333333333409</v>
      </c>
      <c r="AY19" s="13">
        <f ca="1">W19-$AC19</f>
        <v>-1.4322905511610244</v>
      </c>
      <c r="AZ19" s="6">
        <f t="shared" ca="1" si="37"/>
        <v>-1.6932192599996938</v>
      </c>
      <c r="BA19" s="6">
        <f t="shared" ca="1" si="29"/>
        <v>0.47627307513432271</v>
      </c>
      <c r="BB19" s="6">
        <f t="shared" ca="1" si="30"/>
        <v>-1.1671194204438891</v>
      </c>
      <c r="BC19" s="6">
        <f t="shared" ca="1" si="31"/>
        <v>2.886219399929125</v>
      </c>
      <c r="BD19" s="2">
        <f t="shared" ca="1" si="32"/>
        <v>4.0502029531583474</v>
      </c>
    </row>
    <row r="20" spans="1:74" x14ac:dyDescent="0.25">
      <c r="A20" t="s">
        <v>91</v>
      </c>
      <c r="B20">
        <v>0</v>
      </c>
      <c r="C20" s="13">
        <f ca="1">'Historical Trends'!O65</f>
        <v>35.85866810655159</v>
      </c>
      <c r="D20">
        <f ca="1">AVERAGE(OFFSET('Historical Trends'!$E$66,$B5,0,'Polling Correlations - ALP'!D$4,1))</f>
        <v>38.1</v>
      </c>
      <c r="E20">
        <f ca="1">AVERAGE(OFFSET('Historical Trends'!$E$66,$B5,0,'Polling Correlations - ALP'!E$4,1))</f>
        <v>37.174999999999997</v>
      </c>
      <c r="F20">
        <f ca="1">AVERAGE(OFFSET('Historical Trends'!$E$66,$B5,0,'Polling Correlations - ALP'!F$4,1))</f>
        <v>39.136666666666663</v>
      </c>
      <c r="G20">
        <f ca="1">AVERAGE(OFFSET('Historical Trends'!$E$66,$B5,0,'Polling Correlations - ALP'!G$4,1))</f>
        <v>41.34</v>
      </c>
      <c r="H20">
        <f ca="1">AVERAGE(OFFSET('Historical Trends'!$E$66,$B5,0,'Polling Correlations - ALP'!H$4,1))</f>
        <v>42.186</v>
      </c>
      <c r="I20">
        <f ca="1">AVERAGE(OFFSET('Historical Trends'!$E$66,$B5,0,'Polling Correlations - ALP'!I$4,1))</f>
        <v>42.343333333333334</v>
      </c>
      <c r="J20">
        <f ca="1">AVERAGE(OFFSET('Historical Trends'!$E$66,$B5,0,'Polling Correlations - ALP'!J$4,1))</f>
        <v>41.781428571428577</v>
      </c>
      <c r="K20" s="13">
        <f>AVERAGE(37,40,34.6,38,39)</f>
        <v>37.72</v>
      </c>
      <c r="L20">
        <f>AVERAGE(38,39,33,30.3,37)</f>
        <v>35.46</v>
      </c>
      <c r="M20">
        <f>AVERAGE(38,37,36,38,39)</f>
        <v>37.6</v>
      </c>
      <c r="N20">
        <f>AVERAGE(38,36.7,38,37,36)</f>
        <v>37.14</v>
      </c>
      <c r="O20">
        <f>AVERAGE(37.7,42.38,36.7,38)</f>
        <v>38.695000000000007</v>
      </c>
      <c r="P20">
        <f>AVERAGE(41,40.8,40,40.4,41)</f>
        <v>40.64</v>
      </c>
      <c r="Q20" s="30">
        <f>K20-AVERAGE(AM$5:AM19,AM21:AM$30)</f>
        <v>37.197460317460319</v>
      </c>
      <c r="R20" s="31">
        <f>L20-AVERAGE(AN$5:AN19,AN21:AN$30)</f>
        <v>34.654202898550729</v>
      </c>
      <c r="S20" s="31">
        <f>M20-AVERAGE(AO$5:AO19,AO21:AO$30)</f>
        <v>36.588472222222222</v>
      </c>
      <c r="T20" s="31">
        <f>N20-AVERAGE(AP$5:AP19,AP21:AP$30)</f>
        <v>36.756399999999999</v>
      </c>
      <c r="U20" s="31">
        <f>O20-AVERAGE(AQ$5:AQ19,AQ21:AQ$30)</f>
        <v>38.037266666666675</v>
      </c>
      <c r="V20" s="31">
        <f>P20-AVERAGE(AR$5:AR19,AR21:AR$30)</f>
        <v>40.270933333333332</v>
      </c>
      <c r="W20" s="13">
        <f t="shared" ca="1" si="7"/>
        <v>38.636686726231957</v>
      </c>
      <c r="X20" s="6">
        <f t="shared" ca="1" si="8"/>
        <v>36.47251829712512</v>
      </c>
      <c r="Y20" s="6">
        <f t="shared" ca="1" si="9"/>
        <v>37.694164554387811</v>
      </c>
      <c r="Z20" s="6">
        <f t="shared" ca="1" si="10"/>
        <v>37.476753104286679</v>
      </c>
      <c r="AA20" s="6">
        <f t="shared" ca="1" si="11"/>
        <v>38.555314305474198</v>
      </c>
      <c r="AB20" s="2">
        <f t="shared" ca="1" si="12"/>
        <v>40.390203095756526</v>
      </c>
      <c r="AC20" s="2">
        <f>'Historical Trends'!E65</f>
        <v>42.86</v>
      </c>
      <c r="AE20" s="13">
        <f t="shared" ca="1" si="17"/>
        <v>-7.001331893448409</v>
      </c>
      <c r="AF20">
        <f t="shared" ca="1" si="18"/>
        <v>-4.759999999999998</v>
      </c>
      <c r="AG20">
        <f t="shared" ca="1" si="19"/>
        <v>-5.6850000000000023</v>
      </c>
      <c r="AH20">
        <f t="shared" ca="1" si="20"/>
        <v>-3.7233333333333363</v>
      </c>
      <c r="AI20">
        <f t="shared" ca="1" si="21"/>
        <v>-1.519999999999996</v>
      </c>
      <c r="AJ20">
        <f t="shared" ca="1" si="22"/>
        <v>-0.67399999999999949</v>
      </c>
      <c r="AK20">
        <f t="shared" ca="1" si="23"/>
        <v>-0.51666666666666572</v>
      </c>
      <c r="AL20">
        <f t="shared" ca="1" si="24"/>
        <v>-1.0785714285714221</v>
      </c>
      <c r="AM20" s="13">
        <f t="shared" si="38"/>
        <v>-5.1400000000000006</v>
      </c>
      <c r="AN20">
        <f t="shared" si="36"/>
        <v>-7.3999999999999986</v>
      </c>
      <c r="AO20">
        <f t="shared" si="25"/>
        <v>-5.259999999999998</v>
      </c>
      <c r="AP20">
        <f t="shared" si="26"/>
        <v>-5.7199999999999989</v>
      </c>
      <c r="AQ20">
        <f t="shared" si="27"/>
        <v>-4.164999999999992</v>
      </c>
      <c r="AR20">
        <f t="shared" si="28"/>
        <v>-2.2199999999999989</v>
      </c>
      <c r="AS20" s="30">
        <f t="shared" si="14"/>
        <v>-5.6625396825396805</v>
      </c>
      <c r="AT20">
        <f t="shared" si="4"/>
        <v>-8.2057971014492708</v>
      </c>
      <c r="AU20">
        <f t="shared" si="4"/>
        <v>-6.2715277777777771</v>
      </c>
      <c r="AV20">
        <f t="shared" si="4"/>
        <v>-6.1036000000000001</v>
      </c>
      <c r="AW20">
        <f t="shared" si="4"/>
        <v>-4.8227333333333249</v>
      </c>
      <c r="AX20">
        <f t="shared" si="4"/>
        <v>-2.5890666666666675</v>
      </c>
      <c r="AY20" s="13">
        <f ca="1">W20-$AC20</f>
        <v>-4.2233132737680421</v>
      </c>
      <c r="AZ20" s="6">
        <f t="shared" ca="1" si="37"/>
        <v>-6.3874817028748794</v>
      </c>
      <c r="BA20" s="6">
        <f t="shared" ca="1" si="29"/>
        <v>-5.1658354456121884</v>
      </c>
      <c r="BB20" s="6">
        <f t="shared" ca="1" si="30"/>
        <v>-5.3832468957133202</v>
      </c>
      <c r="BC20" s="6">
        <f t="shared" ca="1" si="31"/>
        <v>-4.3046856945258014</v>
      </c>
      <c r="BD20" s="2">
        <f t="shared" ca="1" si="32"/>
        <v>-2.4697969042434735</v>
      </c>
      <c r="BE20" t="s">
        <v>194</v>
      </c>
      <c r="BG20">
        <f ca="1">SLOPE(BG8:BM8,BG6:BM6)</f>
        <v>0.43184711517900176</v>
      </c>
    </row>
    <row r="21" spans="1:74" x14ac:dyDescent="0.25">
      <c r="A21" t="s">
        <v>92</v>
      </c>
      <c r="B21">
        <f>B20+1</f>
        <v>1</v>
      </c>
      <c r="C21" s="13">
        <f ca="1">'Historical Trends'!O66</f>
        <v>41.145026902382796</v>
      </c>
      <c r="D21">
        <f ca="1">AVERAGE(OFFSET('Historical Trends'!$E$66,$B6,0,'Polling Correlations - ALP'!D$4,1))</f>
        <v>36.25</v>
      </c>
      <c r="E21">
        <f ca="1">AVERAGE(OFFSET('Historical Trends'!$E$66,$B6,0,'Polling Correlations - ALP'!E$4,1))</f>
        <v>39.655000000000001</v>
      </c>
      <c r="F21">
        <f ca="1">AVERAGE(OFFSET('Historical Trends'!$E$66,$B6,0,'Polling Correlations - ALP'!F$4,1))</f>
        <v>42.42</v>
      </c>
      <c r="G21">
        <f ca="1">AVERAGE(OFFSET('Historical Trends'!$E$66,$B6,0,'Polling Correlations - ALP'!G$4,1))</f>
        <v>43.207500000000003</v>
      </c>
      <c r="H21">
        <f ca="1">AVERAGE(OFFSET('Historical Trends'!$E$66,$B6,0,'Polling Correlations - ALP'!H$4,1))</f>
        <v>43.192</v>
      </c>
      <c r="I21">
        <f ca="1">AVERAGE(OFFSET('Historical Trends'!$E$66,$B6,0,'Polling Correlations - ALP'!I$4,1))</f>
        <v>42.395000000000003</v>
      </c>
      <c r="J21">
        <f ca="1">AVERAGE(OFFSET('Historical Trends'!$E$66,$B6,0,'Polling Correlations - ALP'!J$4,1))</f>
        <v>42.988571428571433</v>
      </c>
      <c r="K21" s="13">
        <f>AVERAGE(39,41,35,32,33)</f>
        <v>36</v>
      </c>
      <c r="L21">
        <f>AVERAGE(38,35.8,38,38,38)</f>
        <v>37.56</v>
      </c>
      <c r="M21">
        <f>AVERAGE(39,39,37,38,35.8)</f>
        <v>37.760000000000005</v>
      </c>
      <c r="N21">
        <f>AVERAGE(38,37,35,42,38)</f>
        <v>38</v>
      </c>
      <c r="O21">
        <f>AVERAGE(37.5,38,39,38,37)</f>
        <v>37.9</v>
      </c>
      <c r="P21">
        <f>AVERAGE(38.3,39,39,39,39)</f>
        <v>38.86</v>
      </c>
      <c r="Q21" s="30">
        <f>K21-AVERAGE(AM$5:AM20,AM22:AM$30)</f>
        <v>35.62222222222222</v>
      </c>
      <c r="R21" s="31">
        <f>L21-AVERAGE(AN$5:AN20,AN22:AN$30)</f>
        <v>37.052463768115942</v>
      </c>
      <c r="S21" s="31">
        <f>M21-AVERAGE(AO$5:AO20,AO22:AO$30)</f>
        <v>36.953472222222224</v>
      </c>
      <c r="T21" s="31">
        <f>N21-AVERAGE(AP$5:AP20,AP22:AP$30)</f>
        <v>37.841200000000001</v>
      </c>
      <c r="U21" s="31">
        <f>O21-AVERAGE(AQ$5:AQ20,AQ22:AQ$30)</f>
        <v>37.400866666666666</v>
      </c>
      <c r="V21" s="31">
        <f>P21-AVERAGE(AR$5:AR20,AR22:AR$30)</f>
        <v>38.61013333333333</v>
      </c>
      <c r="W21" s="13">
        <f t="shared" ca="1" si="7"/>
        <v>37.516470410712699</v>
      </c>
      <c r="X21" s="6">
        <f t="shared" ca="1" si="8"/>
        <v>38.315859672278549</v>
      </c>
      <c r="Y21" s="6">
        <f t="shared" ca="1" si="9"/>
        <v>37.998963229388039</v>
      </c>
      <c r="Z21" s="6">
        <f t="shared" ca="1" si="10"/>
        <v>38.428345714936164</v>
      </c>
      <c r="AA21" s="6">
        <f t="shared" ca="1" si="11"/>
        <v>38.001693170643222</v>
      </c>
      <c r="AB21" s="2">
        <f t="shared" ca="1" si="12"/>
        <v>38.827958149072003</v>
      </c>
      <c r="AC21" s="2">
        <f>'Historical Trends'!E66</f>
        <v>38.1</v>
      </c>
      <c r="AE21" s="13">
        <f t="shared" ca="1" si="17"/>
        <v>3.0450269023827943</v>
      </c>
      <c r="AF21">
        <f t="shared" ca="1" si="18"/>
        <v>-1.8500000000000014</v>
      </c>
      <c r="AG21">
        <f t="shared" ca="1" si="19"/>
        <v>1.5549999999999997</v>
      </c>
      <c r="AH21">
        <f t="shared" ca="1" si="20"/>
        <v>4.32</v>
      </c>
      <c r="AI21">
        <f t="shared" ca="1" si="21"/>
        <v>5.1075000000000017</v>
      </c>
      <c r="AJ21">
        <f t="shared" ca="1" si="22"/>
        <v>5.0919999999999987</v>
      </c>
      <c r="AK21">
        <f t="shared" ca="1" si="23"/>
        <v>4.2950000000000017</v>
      </c>
      <c r="AL21">
        <f t="shared" ca="1" si="24"/>
        <v>4.8885714285714315</v>
      </c>
      <c r="AM21" s="13">
        <f t="shared" si="38"/>
        <v>-2.1000000000000014</v>
      </c>
      <c r="AN21">
        <f t="shared" si="36"/>
        <v>-0.53999999999999915</v>
      </c>
      <c r="AO21">
        <f t="shared" si="25"/>
        <v>-0.33999999999999631</v>
      </c>
      <c r="AP21">
        <f t="shared" si="26"/>
        <v>-0.10000000000000142</v>
      </c>
      <c r="AQ21">
        <f t="shared" si="27"/>
        <v>-0.20000000000000284</v>
      </c>
      <c r="AR21">
        <f t="shared" si="28"/>
        <v>0.75999999999999801</v>
      </c>
      <c r="AS21" s="30">
        <f t="shared" si="14"/>
        <v>-2.4777777777777814</v>
      </c>
      <c r="AT21">
        <f t="shared" si="14"/>
        <v>-1.0475362318840595</v>
      </c>
      <c r="AU21">
        <f t="shared" si="14"/>
        <v>-1.1465277777777771</v>
      </c>
      <c r="AV21">
        <f t="shared" si="14"/>
        <v>-0.25880000000000081</v>
      </c>
      <c r="AW21">
        <f t="shared" si="14"/>
        <v>-0.69913333333333583</v>
      </c>
      <c r="AX21">
        <f t="shared" si="14"/>
        <v>0.51013333333332866</v>
      </c>
      <c r="AY21" s="13">
        <f ca="1">W21-$AC21</f>
        <v>-0.58352958928730203</v>
      </c>
      <c r="AZ21" s="6">
        <f t="shared" ca="1" si="37"/>
        <v>0.21585967227854752</v>
      </c>
      <c r="BA21" s="6">
        <f t="shared" ca="1" si="29"/>
        <v>-0.10103677061196237</v>
      </c>
      <c r="BB21" s="6">
        <f t="shared" ca="1" si="30"/>
        <v>0.32834571493616238</v>
      </c>
      <c r="BC21" s="6">
        <f t="shared" ca="1" si="31"/>
        <v>-9.8306829356779701E-2</v>
      </c>
      <c r="BD21" s="2">
        <f t="shared" ca="1" si="32"/>
        <v>0.72795814907200196</v>
      </c>
      <c r="BE21" t="s">
        <v>195</v>
      </c>
      <c r="BG21">
        <f ca="1">INTERCEPT(BG8:BM8,BG6:BM6)</f>
        <v>1.4921755879223622</v>
      </c>
      <c r="BP21" t="s">
        <v>152</v>
      </c>
      <c r="BQ21" t="s">
        <v>154</v>
      </c>
      <c r="BR21" t="s">
        <v>153</v>
      </c>
      <c r="BS21" t="s">
        <v>156</v>
      </c>
      <c r="BU21" t="s">
        <v>154</v>
      </c>
      <c r="BV21" t="s">
        <v>155</v>
      </c>
    </row>
    <row r="22" spans="1:74" x14ac:dyDescent="0.25">
      <c r="A22" t="s">
        <v>93</v>
      </c>
      <c r="B22">
        <f>B21+1</f>
        <v>2</v>
      </c>
      <c r="C22" s="13">
        <f ca="1">'Historical Trends'!O67</f>
        <v>45.306518063028449</v>
      </c>
      <c r="D22">
        <f ca="1">AVERAGE(OFFSET('Historical Trends'!$E$66,$B7,0,'Polling Correlations - ALP'!D$4,1))</f>
        <v>43.06</v>
      </c>
      <c r="E22">
        <f ca="1">AVERAGE(OFFSET('Historical Trends'!$E$66,$B7,0,'Polling Correlations - ALP'!E$4,1))</f>
        <v>45.505000000000003</v>
      </c>
      <c r="F22">
        <f ca="1">AVERAGE(OFFSET('Historical Trends'!$E$66,$B7,0,'Polling Correlations - ALP'!F$4,1))</f>
        <v>45.526666666666671</v>
      </c>
      <c r="G22">
        <f ca="1">AVERAGE(OFFSET('Historical Trends'!$E$66,$B7,0,'Polling Correlations - ALP'!G$4,1))</f>
        <v>44.927500000000002</v>
      </c>
      <c r="H22">
        <f ca="1">AVERAGE(OFFSET('Historical Trends'!$E$66,$B7,0,'Polling Correlations - ALP'!H$4,1))</f>
        <v>43.624000000000002</v>
      </c>
      <c r="I22">
        <f ca="1">AVERAGE(OFFSET('Historical Trends'!$E$66,$B7,0,'Polling Correlations - ALP'!I$4,1))</f>
        <v>44.111666666666672</v>
      </c>
      <c r="J22">
        <f ca="1">AVERAGE(OFFSET('Historical Trends'!$E$66,$B7,0,'Polling Correlations - ALP'!J$4,1))</f>
        <v>44.954285714285717</v>
      </c>
      <c r="K22" s="13">
        <f>AVERAGE(44,37,41,41,44)</f>
        <v>41.4</v>
      </c>
      <c r="L22">
        <f>AVERAGE(43,43,42,46,45)</f>
        <v>43.8</v>
      </c>
      <c r="M22">
        <f>AVERAGE(37,39,40,41,43)</f>
        <v>40</v>
      </c>
      <c r="N22">
        <f>AVERAGE(38,34,37,39,40)</f>
        <v>37.6</v>
      </c>
      <c r="O22">
        <f>AVERAGE(38,35,38,38,38)</f>
        <v>37.4</v>
      </c>
      <c r="P22">
        <f>AVERAGE(33,34,36,37,38)</f>
        <v>35.6</v>
      </c>
      <c r="Q22" s="30">
        <f>K22-AVERAGE(AM$5:AM21,AM23:AM$30)</f>
        <v>41.367460317460313</v>
      </c>
      <c r="R22" s="31">
        <f>L22-AVERAGE(AN$5:AN21,AN23:AN$30)</f>
        <v>43.644202898550724</v>
      </c>
      <c r="S22" s="31">
        <f>M22-AVERAGE(AO$5:AO21,AO23:AO$30)</f>
        <v>39.363888888888887</v>
      </c>
      <c r="T22" s="31">
        <f>N22-AVERAGE(AP$5:AP21,AP23:AP$30)</f>
        <v>37.499200000000002</v>
      </c>
      <c r="U22" s="31">
        <f>O22-AVERAGE(AQ$5:AQ21,AQ23:AQ$30)</f>
        <v>36.954866666666668</v>
      </c>
      <c r="V22" s="31">
        <f>P22-AVERAGE(AR$5:AR21,AR23:AR$30)</f>
        <v>35.293733333333336</v>
      </c>
      <c r="W22" s="13">
        <f t="shared" ca="1" si="7"/>
        <v>42.134975224399099</v>
      </c>
      <c r="X22" s="6">
        <f t="shared" ca="1" si="8"/>
        <v>43.754748112349645</v>
      </c>
      <c r="Y22" s="6">
        <f t="shared" ca="1" si="9"/>
        <v>40.276088398548559</v>
      </c>
      <c r="Z22" s="6">
        <f t="shared" ca="1" si="10"/>
        <v>38.351780585113872</v>
      </c>
      <c r="AA22" s="6">
        <f t="shared" ca="1" si="11"/>
        <v>37.815875942281941</v>
      </c>
      <c r="AB22" s="2">
        <f t="shared" ca="1" si="12"/>
        <v>35.801218767482275</v>
      </c>
      <c r="AC22" s="2">
        <f>'Historical Trends'!E67</f>
        <v>36.25</v>
      </c>
      <c r="AE22" s="13">
        <f t="shared" ca="1" si="17"/>
        <v>9.0565180630284488</v>
      </c>
      <c r="AF22">
        <f t="shared" ca="1" si="18"/>
        <v>6.8100000000000023</v>
      </c>
      <c r="AG22">
        <f t="shared" ca="1" si="19"/>
        <v>9.2550000000000026</v>
      </c>
      <c r="AH22">
        <f t="shared" ca="1" si="20"/>
        <v>9.2766666666666708</v>
      </c>
      <c r="AI22">
        <f t="shared" ca="1" si="21"/>
        <v>8.677500000000002</v>
      </c>
      <c r="AJ22">
        <f t="shared" ca="1" si="22"/>
        <v>7.3740000000000023</v>
      </c>
      <c r="AK22">
        <f t="shared" ca="1" si="23"/>
        <v>7.8616666666666717</v>
      </c>
      <c r="AL22">
        <f t="shared" ca="1" si="24"/>
        <v>8.7042857142857173</v>
      </c>
      <c r="AM22" s="13">
        <f t="shared" si="38"/>
        <v>5.1499999999999986</v>
      </c>
      <c r="AN22">
        <f t="shared" si="36"/>
        <v>7.5499999999999972</v>
      </c>
      <c r="AO22">
        <f t="shared" si="25"/>
        <v>3.75</v>
      </c>
      <c r="AP22">
        <f t="shared" si="26"/>
        <v>1.3500000000000014</v>
      </c>
      <c r="AQ22">
        <f t="shared" si="27"/>
        <v>1.1499999999999986</v>
      </c>
      <c r="AR22">
        <f t="shared" si="28"/>
        <v>-0.64999999999999858</v>
      </c>
      <c r="AS22" s="30">
        <f t="shared" si="14"/>
        <v>5.1174603174603135</v>
      </c>
      <c r="AT22">
        <f t="shared" si="14"/>
        <v>7.3942028985507235</v>
      </c>
      <c r="AU22">
        <f t="shared" si="14"/>
        <v>3.1138888888888872</v>
      </c>
      <c r="AV22">
        <f t="shared" si="14"/>
        <v>1.2492000000000019</v>
      </c>
      <c r="AW22">
        <f t="shared" si="14"/>
        <v>0.70486666666666764</v>
      </c>
      <c r="AX22">
        <f t="shared" si="14"/>
        <v>-0.95626666666666438</v>
      </c>
      <c r="AY22" s="13">
        <f ca="1">W22-$AC22</f>
        <v>5.8849752243990991</v>
      </c>
      <c r="AZ22" s="6">
        <f t="shared" ca="1" si="37"/>
        <v>7.5047481123496453</v>
      </c>
      <c r="BA22" s="6">
        <f t="shared" ca="1" si="29"/>
        <v>4.0260883985485592</v>
      </c>
      <c r="BB22" s="6">
        <f t="shared" ca="1" si="30"/>
        <v>2.1017805851138718</v>
      </c>
      <c r="BC22" s="6">
        <f t="shared" ca="1" si="31"/>
        <v>1.5658759422819415</v>
      </c>
      <c r="BD22" s="2">
        <f t="shared" ca="1" si="32"/>
        <v>-0.4487812325177245</v>
      </c>
      <c r="BP22">
        <v>1</v>
      </c>
      <c r="BQ22">
        <f>LN(BP22)</f>
        <v>0</v>
      </c>
      <c r="BR22">
        <f>MAX(0,(0.94+1/(8.3*0.97))-1/((8.3-MIN(8.2,BQ22)) * 0.97))</f>
        <v>0.94</v>
      </c>
      <c r="BS22">
        <f>1-(BR22/0.94)^10</f>
        <v>0</v>
      </c>
      <c r="BU22">
        <f>0</f>
        <v>0</v>
      </c>
      <c r="BV22">
        <f>MAX(0,($BG$16+1/($BG$17*$BG$18))-1/((10-BU22) * $BG$18))</f>
        <v>0.9478736617736967</v>
      </c>
    </row>
    <row r="23" spans="1:74" x14ac:dyDescent="0.25">
      <c r="A23" t="s">
        <v>94</v>
      </c>
      <c r="B23">
        <f>B22+1</f>
        <v>3</v>
      </c>
      <c r="C23" s="13">
        <f ca="1">'Historical Trends'!O68</f>
        <v>44.231687500000021</v>
      </c>
      <c r="D23">
        <f ca="1">AVERAGE(OFFSET('Historical Trends'!$E$66,$B8,0,'Polling Correlations - ALP'!D$4,1))</f>
        <v>47.95</v>
      </c>
      <c r="E23">
        <f ca="1">AVERAGE(OFFSET('Historical Trends'!$E$66,$B8,0,'Polling Correlations - ALP'!E$4,1))</f>
        <v>46.760000000000005</v>
      </c>
      <c r="F23">
        <f ca="1">AVERAGE(OFFSET('Historical Trends'!$E$66,$B8,0,'Polling Correlations - ALP'!F$4,1))</f>
        <v>45.550000000000004</v>
      </c>
      <c r="G23">
        <f ca="1">AVERAGE(OFFSET('Historical Trends'!$E$66,$B8,0,'Polling Correlations - ALP'!G$4,1))</f>
        <v>43.765000000000001</v>
      </c>
      <c r="H23">
        <f ca="1">AVERAGE(OFFSET('Historical Trends'!$E$66,$B8,0,'Polling Correlations - ALP'!H$4,1))</f>
        <v>44.322000000000003</v>
      </c>
      <c r="I23">
        <f ca="1">AVERAGE(OFFSET('Historical Trends'!$E$66,$B8,0,'Polling Correlations - ALP'!I$4,1))</f>
        <v>45.27</v>
      </c>
      <c r="J23">
        <f ca="1">AVERAGE(OFFSET('Historical Trends'!$E$66,$B8,0,'Polling Correlations - ALP'!J$4,1))</f>
        <v>45.947142857142858</v>
      </c>
      <c r="L23">
        <f>AVERAGE(43,43,42,44)</f>
        <v>43</v>
      </c>
      <c r="M23">
        <f>AVERAGE(43,44,44,41,43)</f>
        <v>43</v>
      </c>
      <c r="N23">
        <f>AVERAGE(46,45,43,44,44)</f>
        <v>44.4</v>
      </c>
      <c r="O23">
        <f>AVERAGE(42,43,43,46,45)</f>
        <v>43.8</v>
      </c>
      <c r="P23">
        <f>AVERAGE(45,42,41,44,42)</f>
        <v>42.8</v>
      </c>
      <c r="Q23" s="30"/>
      <c r="R23" s="31">
        <f>L23-AVERAGE(AN$5:AN22,AN24:AN$30)</f>
        <v>42.513333333333335</v>
      </c>
      <c r="S23" s="31">
        <f>M23-AVERAGE(AO$5:AO22,AO24:AO$30)</f>
        <v>42.205138888888889</v>
      </c>
      <c r="T23" s="31">
        <f>N23-AVERAGE(AP$5:AP22,AP24:AP$30)</f>
        <v>44.2988</v>
      </c>
      <c r="U23" s="31">
        <f>O23-AVERAGE(AQ$5:AQ22,AQ24:AQ$30)</f>
        <v>43.338466666666662</v>
      </c>
      <c r="V23" s="31">
        <f>P23-AVERAGE(AR$5:AR22,AR24:AR$30)</f>
        <v>42.509333333333331</v>
      </c>
      <c r="W23" s="13">
        <f t="shared" ca="1" si="7"/>
        <v>12.661365588330321</v>
      </c>
      <c r="X23" s="6">
        <f t="shared" ca="1" si="8"/>
        <v>43.165226221775207</v>
      </c>
      <c r="Y23" s="6">
        <f t="shared" ca="1" si="9"/>
        <v>42.793996441535157</v>
      </c>
      <c r="Z23" s="6">
        <f t="shared" ca="1" si="10"/>
        <v>44.424021994454307</v>
      </c>
      <c r="AA23" s="6">
        <f t="shared" ca="1" si="11"/>
        <v>43.570842605097262</v>
      </c>
      <c r="AB23" s="2">
        <f t="shared" ca="1" si="12"/>
        <v>42.66821388605625</v>
      </c>
      <c r="AC23" s="2">
        <f>'Historical Trends'!E68</f>
        <v>43.06</v>
      </c>
      <c r="AE23" s="13">
        <f t="shared" ca="1" si="17"/>
        <v>1.1716875000000186</v>
      </c>
      <c r="AF23">
        <f t="shared" ca="1" si="18"/>
        <v>4.8900000000000006</v>
      </c>
      <c r="AG23">
        <f t="shared" ca="1" si="19"/>
        <v>3.7000000000000028</v>
      </c>
      <c r="AH23">
        <f t="shared" ca="1" si="20"/>
        <v>2.490000000000002</v>
      </c>
      <c r="AI23">
        <f t="shared" ca="1" si="21"/>
        <v>0.70499999999999829</v>
      </c>
      <c r="AJ23">
        <f t="shared" ca="1" si="22"/>
        <v>1.2620000000000005</v>
      </c>
      <c r="AK23">
        <f t="shared" ca="1" si="23"/>
        <v>2.2100000000000009</v>
      </c>
      <c r="AL23">
        <f t="shared" ca="1" si="24"/>
        <v>2.8871428571428552</v>
      </c>
      <c r="AN23">
        <f t="shared" si="36"/>
        <v>-6.0000000000002274E-2</v>
      </c>
      <c r="AO23">
        <f t="shared" si="25"/>
        <v>-6.0000000000002274E-2</v>
      </c>
      <c r="AP23">
        <f t="shared" si="26"/>
        <v>1.3399999999999963</v>
      </c>
      <c r="AQ23">
        <f t="shared" si="27"/>
        <v>0.73999999999999488</v>
      </c>
      <c r="AR23">
        <f t="shared" si="28"/>
        <v>-0.26000000000000512</v>
      </c>
      <c r="AS23" s="30"/>
      <c r="AT23">
        <f t="shared" si="14"/>
        <v>-0.54666666666666686</v>
      </c>
      <c r="AU23">
        <f t="shared" si="14"/>
        <v>-0.85486111111111285</v>
      </c>
      <c r="AV23">
        <f t="shared" si="14"/>
        <v>1.2387999999999977</v>
      </c>
      <c r="AW23">
        <f t="shared" si="14"/>
        <v>0.27846666666665953</v>
      </c>
      <c r="AX23">
        <f t="shared" si="14"/>
        <v>-0.55066666666667174</v>
      </c>
      <c r="AZ23" s="6">
        <f t="shared" ca="1" si="37"/>
        <v>0.10522622177520446</v>
      </c>
      <c r="BA23" s="6">
        <f t="shared" ca="1" si="29"/>
        <v>-0.26600355846484547</v>
      </c>
      <c r="BB23" s="6">
        <f t="shared" ca="1" si="30"/>
        <v>1.3640219944543048</v>
      </c>
      <c r="BC23" s="6">
        <f t="shared" ca="1" si="31"/>
        <v>0.51084260509725965</v>
      </c>
      <c r="BD23" s="2">
        <f t="shared" ca="1" si="32"/>
        <v>-0.39178611394375196</v>
      </c>
      <c r="BP23">
        <f>BP22+1</f>
        <v>2</v>
      </c>
      <c r="BQ23">
        <f t="shared" ref="BQ23:BQ86" si="39">LN(BP23)</f>
        <v>0.69314718055994529</v>
      </c>
      <c r="BR23">
        <f t="shared" ref="BR23:BR86" si="40">MAX(0,(0.94+1/(8.3*0.97))-1/((8.3-MIN(8.2,BQ23)) * 0.97))</f>
        <v>0.92868197572765254</v>
      </c>
      <c r="BS23">
        <f t="shared" ref="BS23:BS86" si="41">1-(BR23/0.94)^10</f>
        <v>0.1140858660754307</v>
      </c>
      <c r="BU23">
        <f>BU22+0.1</f>
        <v>0.1</v>
      </c>
      <c r="BV23">
        <f>MAX(0,($BG$16+1/($BG$17*$BG$18))-1/((10-BU23) * $BG$18))</f>
        <v>0.94665465240647162</v>
      </c>
    </row>
    <row r="24" spans="1:74" x14ac:dyDescent="0.25">
      <c r="A24" t="s">
        <v>106</v>
      </c>
      <c r="B24">
        <v>0</v>
      </c>
      <c r="C24" s="13">
        <f ca="1">'Historical Trends'!O83</f>
        <v>35.400201421800972</v>
      </c>
      <c r="D24">
        <f ca="1">AVERAGE(OFFSET('Historical Trends'!$E$84,$B5,0,'Polling Correlations - ALP'!D$4,1))</f>
        <v>33.130000000000003</v>
      </c>
      <c r="E24">
        <f ca="1">AVERAGE(OFFSET('Historical Trends'!$E$84,$B5,0,'Polling Correlations - ALP'!E$4,1))</f>
        <v>34.484999999999999</v>
      </c>
      <c r="F24">
        <f ca="1">AVERAGE(OFFSET('Historical Trends'!$E$84,$B5,0,'Polling Correlations - ALP'!F$4,1))</f>
        <v>36.949999999999996</v>
      </c>
      <c r="G24">
        <f ca="1">AVERAGE(OFFSET('Historical Trends'!$E$84,$B5,0,'Polling Correlations - ALP'!G$4,1))</f>
        <v>37.022500000000001</v>
      </c>
      <c r="H24">
        <f ca="1">AVERAGE(OFFSET('Historical Trends'!$E$84,$B5,0,'Polling Correlations - ALP'!H$4,1))</f>
        <v>36.781999999999996</v>
      </c>
      <c r="I24">
        <f ca="1">AVERAGE(OFFSET('Historical Trends'!$E$84,$B5,0,'Polling Correlations - ALP'!I$4,1))</f>
        <v>36.831666666666671</v>
      </c>
      <c r="J24">
        <f ca="1">AVERAGE(OFFSET('Historical Trends'!$E$84,$B5,0,'Polling Correlations - ALP'!J$4,1))</f>
        <v>37.635714285714286</v>
      </c>
      <c r="K24" s="13">
        <f>AVERAGE(35,33,31,27,33)</f>
        <v>31.8</v>
      </c>
      <c r="L24">
        <f>AVERAGE(34,41,42,33,35)</f>
        <v>37</v>
      </c>
      <c r="M24">
        <f>AVERAGE(39,39,42,39.4,34)</f>
        <v>38.68</v>
      </c>
      <c r="N24">
        <f>AVERAGE(36,36.7,36.5,39,39)</f>
        <v>37.44</v>
      </c>
      <c r="O24">
        <f>AVERAGE(38,35,36,36.7,36.5)</f>
        <v>36.44</v>
      </c>
      <c r="P24">
        <f>AVERAGE(41.8,41,40,35.2,35)</f>
        <v>38.6</v>
      </c>
      <c r="Q24" s="30">
        <f>K24-AVERAGE(AM$5:AM23,AM25:AM$30)</f>
        <v>31.026984126984129</v>
      </c>
      <c r="R24" s="31">
        <f>L24-AVERAGE(AN$5:AN23,AN25:AN$30)</f>
        <v>36.289855072463766</v>
      </c>
      <c r="S24" s="31">
        <f>M24-AVERAGE(AO$5:AO23,AO25:AO$30)</f>
        <v>37.740972222222219</v>
      </c>
      <c r="T24" s="31">
        <f>N24-AVERAGE(AP$5:AP23,AP25:AP$30)</f>
        <v>37.094799999999999</v>
      </c>
      <c r="U24" s="31">
        <f>O24-AVERAGE(AQ$5:AQ23,AQ25:AQ$30)</f>
        <v>35.718466666666664</v>
      </c>
      <c r="V24" s="31">
        <f>P24-AVERAGE(AR$5:AR23,AR25:AR$30)</f>
        <v>38.175733333333334</v>
      </c>
      <c r="W24" s="13">
        <f t="shared" ca="1" si="7"/>
        <v>32.650470050534352</v>
      </c>
      <c r="X24" s="6">
        <f t="shared" ca="1" si="8"/>
        <v>36.417981961872314</v>
      </c>
      <c r="Y24" s="6">
        <f t="shared" ca="1" si="9"/>
        <v>37.566265628794248</v>
      </c>
      <c r="Z24" s="6">
        <f t="shared" ca="1" si="10"/>
        <v>37.060872816302094</v>
      </c>
      <c r="AA24" s="6">
        <f t="shared" ca="1" si="11"/>
        <v>35.852391818356658</v>
      </c>
      <c r="AB24" s="2">
        <f t="shared" ca="1" si="12"/>
        <v>38.098380258630442</v>
      </c>
      <c r="AC24" s="2">
        <f>'Historical Trends'!E83</f>
        <v>42.2</v>
      </c>
      <c r="AE24" s="13">
        <f t="shared" ca="1" si="17"/>
        <v>-6.7997985781990309</v>
      </c>
      <c r="AF24">
        <f t="shared" ca="1" si="18"/>
        <v>-9.07</v>
      </c>
      <c r="AG24">
        <f t="shared" ca="1" si="19"/>
        <v>-7.7150000000000034</v>
      </c>
      <c r="AH24">
        <f t="shared" ca="1" si="20"/>
        <v>-5.2500000000000071</v>
      </c>
      <c r="AI24">
        <f t="shared" ca="1" si="21"/>
        <v>-5.177500000000002</v>
      </c>
      <c r="AJ24">
        <f t="shared" ca="1" si="22"/>
        <v>-5.4180000000000064</v>
      </c>
      <c r="AK24">
        <f t="shared" ca="1" si="23"/>
        <v>-5.3683333333333323</v>
      </c>
      <c r="AL24">
        <f t="shared" ca="1" si="24"/>
        <v>-4.5642857142857167</v>
      </c>
      <c r="AM24" s="13">
        <f t="shared" ref="AM24:AM29" si="42">K24-$AC24</f>
        <v>-10.400000000000002</v>
      </c>
      <c r="AN24">
        <f t="shared" si="36"/>
        <v>-5.2000000000000028</v>
      </c>
      <c r="AO24">
        <f t="shared" si="25"/>
        <v>-3.5200000000000031</v>
      </c>
      <c r="AP24">
        <f t="shared" si="26"/>
        <v>-4.7600000000000051</v>
      </c>
      <c r="AQ24">
        <f t="shared" si="27"/>
        <v>-5.7600000000000051</v>
      </c>
      <c r="AR24">
        <f t="shared" si="28"/>
        <v>-3.6000000000000014</v>
      </c>
      <c r="AS24" s="30">
        <f t="shared" si="14"/>
        <v>-11.173015873015874</v>
      </c>
      <c r="AT24">
        <f t="shared" si="14"/>
        <v>-5.910144927536237</v>
      </c>
      <c r="AU24">
        <f t="shared" si="14"/>
        <v>-4.4590277777777843</v>
      </c>
      <c r="AV24">
        <f t="shared" si="14"/>
        <v>-5.1052000000000035</v>
      </c>
      <c r="AW24">
        <f t="shared" si="14"/>
        <v>-6.4815333333333385</v>
      </c>
      <c r="AX24">
        <f t="shared" si="14"/>
        <v>-4.0242666666666693</v>
      </c>
      <c r="AY24" s="13">
        <f t="shared" ref="AY24:AY29" ca="1" si="43">W24-$AC24</f>
        <v>-9.5495299494656507</v>
      </c>
      <c r="AZ24" s="6">
        <f t="shared" ca="1" si="37"/>
        <v>-5.7820180381276884</v>
      </c>
      <c r="BA24" s="6">
        <f t="shared" ca="1" si="29"/>
        <v>-4.6337343712057546</v>
      </c>
      <c r="BB24" s="6">
        <f t="shared" ca="1" si="30"/>
        <v>-5.1391271836979087</v>
      </c>
      <c r="BC24" s="6">
        <f t="shared" ca="1" si="31"/>
        <v>-6.3476081816433449</v>
      </c>
      <c r="BD24" s="2">
        <f t="shared" ca="1" si="32"/>
        <v>-4.1016197413695608</v>
      </c>
      <c r="BP24">
        <f t="shared" ref="BP24:BP31" si="44">BP23+1</f>
        <v>3</v>
      </c>
      <c r="BQ24">
        <f t="shared" si="39"/>
        <v>1.0986122886681098</v>
      </c>
      <c r="BR24">
        <f t="shared" si="40"/>
        <v>0.92105134307880865</v>
      </c>
      <c r="BS24">
        <f t="shared" si="41"/>
        <v>0.18424477193938826</v>
      </c>
      <c r="BU24">
        <f t="shared" ref="BU24:BU87" si="45">BU23+0.1</f>
        <v>0.2</v>
      </c>
      <c r="BV24">
        <f>MAX(0,($BG$16+1/($BG$17*$BG$18))-1/((10-BU24) * $BG$18))</f>
        <v>0.94541076529705825</v>
      </c>
    </row>
    <row r="25" spans="1:74" x14ac:dyDescent="0.25">
      <c r="A25" t="s">
        <v>107</v>
      </c>
      <c r="B25">
        <f>B24+1</f>
        <v>1</v>
      </c>
      <c r="C25" s="13">
        <f ca="1">'Historical Trends'!O84</f>
        <v>36.795954773869369</v>
      </c>
      <c r="D25">
        <f ca="1">AVERAGE(OFFSET('Historical Trends'!$E$84,$B6,0,'Polling Correlations - ALP'!D$4,1))</f>
        <v>35.840000000000003</v>
      </c>
      <c r="E25">
        <f ca="1">AVERAGE(OFFSET('Historical Trends'!$E$84,$B6,0,'Polling Correlations - ALP'!E$4,1))</f>
        <v>38.86</v>
      </c>
      <c r="F25">
        <f ca="1">AVERAGE(OFFSET('Historical Trends'!$E$84,$B6,0,'Polling Correlations - ALP'!F$4,1))</f>
        <v>38.32</v>
      </c>
      <c r="G25">
        <f ca="1">AVERAGE(OFFSET('Historical Trends'!$E$84,$B6,0,'Polling Correlations - ALP'!G$4,1))</f>
        <v>37.695</v>
      </c>
      <c r="H25">
        <f ca="1">AVERAGE(OFFSET('Historical Trends'!$E$84,$B6,0,'Polling Correlations - ALP'!H$4,1))</f>
        <v>37.572000000000003</v>
      </c>
      <c r="I25">
        <f ca="1">AVERAGE(OFFSET('Historical Trends'!$E$84,$B6,0,'Polling Correlations - ALP'!I$4,1))</f>
        <v>38.38666666666667</v>
      </c>
      <c r="J25">
        <f ca="1">AVERAGE(OFFSET('Historical Trends'!$E$84,$B6,0,'Polling Correlations - ALP'!J$4,1))</f>
        <v>40.47428571428572</v>
      </c>
      <c r="K25" s="13">
        <f>AVERAGE(30,29,30)</f>
        <v>29.666666666666668</v>
      </c>
      <c r="L25">
        <f>AVERAGE(35,29,29)</f>
        <v>31</v>
      </c>
      <c r="M25">
        <f>AVERAGE(30,35,35)</f>
        <v>33.333333333333336</v>
      </c>
      <c r="N25">
        <f>AVERAGE(30,30,35)</f>
        <v>31.666666666666668</v>
      </c>
      <c r="O25">
        <f>AVERAGE(35,30,30,30,35)</f>
        <v>32</v>
      </c>
      <c r="P25">
        <f>AVERAGE(32,35,35,30,30)</f>
        <v>32.4</v>
      </c>
      <c r="Q25" s="30">
        <f>K25-AVERAGE(AM$5:AM24,AM26:AM$30)</f>
        <v>29.223968253968255</v>
      </c>
      <c r="R25" s="31">
        <f>L25-AVERAGE(AN$5:AN24,AN26:AN$30)</f>
        <v>30.423333333333332</v>
      </c>
      <c r="S25" s="31">
        <f>M25-AVERAGE(AO$5:AO24,AO26:AO$30)</f>
        <v>32.549444444444447</v>
      </c>
      <c r="T25" s="31">
        <f>N25-AVERAGE(AP$5:AP24,AP26:AP$30)</f>
        <v>31.453333333333333</v>
      </c>
      <c r="U25" s="31">
        <f>O25-AVERAGE(AQ$5:AQ24,AQ26:AQ$30)</f>
        <v>31.463666666666665</v>
      </c>
      <c r="V25" s="31">
        <f>P25-AVERAGE(AR$5:AR24,AR26:AR$30)</f>
        <v>32.090533333333333</v>
      </c>
      <c r="W25" s="13">
        <f t="shared" ca="1" si="7"/>
        <v>31.78664274875042</v>
      </c>
      <c r="X25" s="6">
        <f t="shared" ca="1" si="8"/>
        <v>32.306491870803264</v>
      </c>
      <c r="Y25" s="6">
        <f t="shared" ca="1" si="9"/>
        <v>33.670960972410057</v>
      </c>
      <c r="Z25" s="6">
        <f t="shared" ca="1" si="10"/>
        <v>32.347284968646854</v>
      </c>
      <c r="AA25" s="6">
        <f t="shared" ca="1" si="11"/>
        <v>32.29654829184615</v>
      </c>
      <c r="AB25" s="2">
        <f t="shared" ca="1" si="12"/>
        <v>32.452885353624517</v>
      </c>
      <c r="AC25" s="2">
        <f>'Historical Trends'!E84</f>
        <v>33.130000000000003</v>
      </c>
      <c r="AE25" s="13">
        <f t="shared" ca="1" si="17"/>
        <v>3.6659547738693661</v>
      </c>
      <c r="AF25">
        <f t="shared" ca="1" si="18"/>
        <v>2.7100000000000009</v>
      </c>
      <c r="AG25">
        <f t="shared" ca="1" si="19"/>
        <v>5.7299999999999969</v>
      </c>
      <c r="AH25">
        <f t="shared" ca="1" si="20"/>
        <v>5.1899999999999977</v>
      </c>
      <c r="AI25">
        <f t="shared" ca="1" si="21"/>
        <v>4.5649999999999977</v>
      </c>
      <c r="AJ25">
        <f t="shared" ca="1" si="22"/>
        <v>4.4420000000000002</v>
      </c>
      <c r="AK25">
        <f t="shared" ca="1" si="23"/>
        <v>5.2566666666666677</v>
      </c>
      <c r="AL25">
        <f t="shared" ca="1" si="24"/>
        <v>7.3442857142857179</v>
      </c>
      <c r="AM25" s="13">
        <f t="shared" si="42"/>
        <v>-3.4633333333333347</v>
      </c>
      <c r="AN25">
        <f t="shared" si="36"/>
        <v>-2.1300000000000026</v>
      </c>
      <c r="AO25">
        <f t="shared" si="25"/>
        <v>0.20333333333333314</v>
      </c>
      <c r="AP25">
        <f t="shared" si="26"/>
        <v>-1.4633333333333347</v>
      </c>
      <c r="AQ25">
        <f t="shared" si="27"/>
        <v>-1.1300000000000026</v>
      </c>
      <c r="AR25">
        <f t="shared" si="28"/>
        <v>-0.73000000000000398</v>
      </c>
      <c r="AS25" s="30">
        <f t="shared" si="14"/>
        <v>-3.9060317460317471</v>
      </c>
      <c r="AT25">
        <f t="shared" si="14"/>
        <v>-2.7066666666666706</v>
      </c>
      <c r="AU25">
        <f t="shared" si="14"/>
        <v>-0.58055555555555571</v>
      </c>
      <c r="AV25">
        <f t="shared" si="14"/>
        <v>-1.6766666666666694</v>
      </c>
      <c r="AW25">
        <f t="shared" si="14"/>
        <v>-1.6663333333333377</v>
      </c>
      <c r="AX25">
        <f t="shared" si="14"/>
        <v>-1.0394666666666694</v>
      </c>
      <c r="AY25" s="13">
        <f t="shared" ca="1" si="43"/>
        <v>-1.3433572512495822</v>
      </c>
      <c r="AZ25" s="6">
        <f t="shared" ca="1" si="37"/>
        <v>-0.82350812919673899</v>
      </c>
      <c r="BA25" s="6">
        <f t="shared" ca="1" si="29"/>
        <v>0.54096097241005481</v>
      </c>
      <c r="BB25" s="6">
        <f t="shared" ca="1" si="30"/>
        <v>-0.78271503135314902</v>
      </c>
      <c r="BC25" s="6">
        <f t="shared" ca="1" si="31"/>
        <v>-0.83345170815385217</v>
      </c>
      <c r="BD25" s="2">
        <f t="shared" ca="1" si="32"/>
        <v>-0.67711464637548602</v>
      </c>
      <c r="BP25">
        <f t="shared" si="44"/>
        <v>4</v>
      </c>
      <c r="BQ25">
        <f t="shared" si="39"/>
        <v>1.3862943611198906</v>
      </c>
      <c r="BR25">
        <f t="shared" si="40"/>
        <v>0.91509452980976436</v>
      </c>
      <c r="BS25">
        <f t="shared" si="41"/>
        <v>0.23549372110487321</v>
      </c>
      <c r="BU25">
        <f t="shared" si="45"/>
        <v>0.30000000000000004</v>
      </c>
      <c r="BV25">
        <f>MAX(0,($BG$16+1/($BG$17*$BG$18))-1/((10-BU25) * $BG$18))</f>
        <v>0.94414123103074987</v>
      </c>
    </row>
    <row r="26" spans="1:74" x14ac:dyDescent="0.25">
      <c r="A26" t="s">
        <v>108</v>
      </c>
      <c r="B26">
        <f>B25+1</f>
        <v>2</v>
      </c>
      <c r="C26" s="13">
        <f ca="1">'Historical Trends'!O85</f>
        <v>34.804108527131575</v>
      </c>
      <c r="D26">
        <f ca="1">AVERAGE(OFFSET('Historical Trends'!$E$84,$B7,0,'Polling Correlations - ALP'!D$4,1))</f>
        <v>41.88</v>
      </c>
      <c r="E26">
        <f ca="1">AVERAGE(OFFSET('Historical Trends'!$E$84,$B7,0,'Polling Correlations - ALP'!E$4,1))</f>
        <v>39.56</v>
      </c>
      <c r="F26">
        <f ca="1">AVERAGE(OFFSET('Historical Trends'!$E$84,$B7,0,'Polling Correlations - ALP'!F$4,1))</f>
        <v>38.313333333333333</v>
      </c>
      <c r="G26">
        <f ca="1">AVERAGE(OFFSET('Historical Trends'!$E$84,$B7,0,'Polling Correlations - ALP'!G$4,1))</f>
        <v>38.004999999999995</v>
      </c>
      <c r="H26">
        <f ca="1">AVERAGE(OFFSET('Historical Trends'!$E$84,$B7,0,'Polling Correlations - ALP'!H$4,1))</f>
        <v>38.896000000000001</v>
      </c>
      <c r="I26">
        <f ca="1">AVERAGE(OFFSET('Historical Trends'!$E$84,$B7,0,'Polling Correlations - ALP'!I$4,1))</f>
        <v>41.246666666666663</v>
      </c>
      <c r="J26">
        <f ca="1">AVERAGE(OFFSET('Historical Trends'!$E$84,$B7,0,'Polling Correlations - ALP'!J$4,1))</f>
        <v>42.948571428571427</v>
      </c>
      <c r="K26" s="13">
        <f>AVERAGE(42,42,42)</f>
        <v>42</v>
      </c>
      <c r="L26">
        <f>AVERAGE(44,44,39)</f>
        <v>42.333333333333336</v>
      </c>
      <c r="M26">
        <f>AVERAGE(42,40,44)</f>
        <v>42</v>
      </c>
      <c r="N26">
        <f>AVERAGE(41,42,40)</f>
        <v>41</v>
      </c>
      <c r="O26">
        <f>AVERAGE(41,42,40)</f>
        <v>41</v>
      </c>
      <c r="P26">
        <f>AVERAGE(35,42,42)</f>
        <v>39.666666666666664</v>
      </c>
      <c r="Q26" s="30">
        <f>K26-AVERAGE(AM$5:AM25,AM27:AM$30)</f>
        <v>42.015555555555558</v>
      </c>
      <c r="R26" s="31">
        <f>L26-AVERAGE(AN$5:AN25,AN27:AN$30)</f>
        <v>42.131594202898555</v>
      </c>
      <c r="S26" s="31">
        <f>M26-AVERAGE(AO$5:AO25,AO27:AO$30)</f>
        <v>41.464305555555555</v>
      </c>
      <c r="T26" s="31">
        <f>N26-AVERAGE(AP$5:AP25,AP27:AP$30)</f>
        <v>41.051600000000001</v>
      </c>
      <c r="U26" s="31">
        <f>O26-AVERAGE(AQ$5:AQ25,AQ27:AQ$30)</f>
        <v>40.715266666666665</v>
      </c>
      <c r="V26" s="31">
        <f>P26-AVERAGE(AR$5:AR25,AR27:AR$30)</f>
        <v>39.539466666666662</v>
      </c>
      <c r="W26" s="13">
        <f t="shared" ca="1" si="7"/>
        <v>41.800508431212123</v>
      </c>
      <c r="X26" s="6">
        <f t="shared" ca="1" si="8"/>
        <v>41.922327709190228</v>
      </c>
      <c r="Y26" s="6">
        <f t="shared" ca="1" si="9"/>
        <v>41.422490184866433</v>
      </c>
      <c r="Z26" s="6">
        <f t="shared" ca="1" si="10"/>
        <v>41.076750985431993</v>
      </c>
      <c r="AA26" s="6">
        <f t="shared" ca="1" si="11"/>
        <v>40.779197519710195</v>
      </c>
      <c r="AB26" s="2">
        <f t="shared" ca="1" si="12"/>
        <v>39.637718615329504</v>
      </c>
      <c r="AC26" s="2">
        <f>'Historical Trends'!E85</f>
        <v>35.840000000000003</v>
      </c>
      <c r="AE26" s="13">
        <f t="shared" ca="1" si="17"/>
        <v>-1.0358914728684283</v>
      </c>
      <c r="AF26">
        <f t="shared" ca="1" si="18"/>
        <v>6.0399999999999991</v>
      </c>
      <c r="AG26">
        <f t="shared" ca="1" si="19"/>
        <v>3.7199999999999989</v>
      </c>
      <c r="AH26">
        <f t="shared" ca="1" si="20"/>
        <v>2.4733333333333292</v>
      </c>
      <c r="AI26">
        <f t="shared" ca="1" si="21"/>
        <v>2.164999999999992</v>
      </c>
      <c r="AJ26">
        <f t="shared" ca="1" si="22"/>
        <v>3.0559999999999974</v>
      </c>
      <c r="AK26">
        <f t="shared" ca="1" si="23"/>
        <v>5.4066666666666592</v>
      </c>
      <c r="AL26">
        <f t="shared" ca="1" si="24"/>
        <v>7.1085714285714232</v>
      </c>
      <c r="AM26" s="13">
        <f t="shared" si="42"/>
        <v>6.1599999999999966</v>
      </c>
      <c r="AN26">
        <f t="shared" si="36"/>
        <v>6.4933333333333323</v>
      </c>
      <c r="AO26">
        <f t="shared" si="25"/>
        <v>6.1599999999999966</v>
      </c>
      <c r="AP26">
        <f t="shared" si="26"/>
        <v>5.1599999999999966</v>
      </c>
      <c r="AQ26">
        <f t="shared" si="27"/>
        <v>5.1599999999999966</v>
      </c>
      <c r="AR26">
        <f t="shared" si="28"/>
        <v>3.8266666666666609</v>
      </c>
      <c r="AS26" s="30">
        <f t="shared" si="14"/>
        <v>6.1755555555555546</v>
      </c>
      <c r="AT26">
        <f t="shared" si="14"/>
        <v>6.2915942028985512</v>
      </c>
      <c r="AU26">
        <f t="shared" si="14"/>
        <v>5.6243055555555515</v>
      </c>
      <c r="AV26">
        <f t="shared" si="14"/>
        <v>5.2115999999999971</v>
      </c>
      <c r="AW26">
        <f t="shared" si="14"/>
        <v>4.8752666666666613</v>
      </c>
      <c r="AX26">
        <f t="shared" si="14"/>
        <v>3.6994666666666589</v>
      </c>
      <c r="AY26" s="13">
        <f t="shared" ca="1" si="43"/>
        <v>5.9605084312121193</v>
      </c>
      <c r="AZ26" s="6">
        <f t="shared" ca="1" si="37"/>
        <v>6.0823277091902241</v>
      </c>
      <c r="BA26" s="6">
        <f t="shared" ca="1" si="29"/>
        <v>5.5824901848664297</v>
      </c>
      <c r="BB26" s="6">
        <f t="shared" ca="1" si="30"/>
        <v>5.2367509854319891</v>
      </c>
      <c r="BC26" s="6">
        <f t="shared" ca="1" si="31"/>
        <v>4.9391975197101914</v>
      </c>
      <c r="BD26" s="2">
        <f t="shared" ca="1" si="32"/>
        <v>3.7977186153295008</v>
      </c>
      <c r="BP26">
        <f t="shared" si="44"/>
        <v>5</v>
      </c>
      <c r="BQ26">
        <f t="shared" si="39"/>
        <v>1.6094379124341003</v>
      </c>
      <c r="BR26">
        <f t="shared" si="40"/>
        <v>0.91012129326662006</v>
      </c>
      <c r="BS26">
        <f t="shared" si="41"/>
        <v>0.27604059116565138</v>
      </c>
      <c r="BU26">
        <f t="shared" si="45"/>
        <v>0.4</v>
      </c>
      <c r="BV26">
        <f>MAX(0,($BG$16+1/($BG$17*$BG$18))-1/((10-BU26) * $BG$18))</f>
        <v>0.94284524813389337</v>
      </c>
    </row>
    <row r="27" spans="1:74" x14ac:dyDescent="0.25">
      <c r="A27" t="s">
        <v>124</v>
      </c>
      <c r="B27" s="2">
        <v>0</v>
      </c>
      <c r="C27" s="13">
        <f ca="1">'Historical Trends'!O100</f>
        <v>41.019499999999994</v>
      </c>
      <c r="D27">
        <f ca="1">AVERAGE(OFFSET('Historical Trends'!$E$101,$B5,0,'Polling Correlations - ALP'!D$4,1))</f>
        <v>35.799999999999997</v>
      </c>
      <c r="E27">
        <f ca="1">AVERAGE(OFFSET('Historical Trends'!$E$101,$B5,0,'Polling Correlations - ALP'!E$4,1))</f>
        <v>36.634999999999998</v>
      </c>
      <c r="F27">
        <f ca="1">AVERAGE(OFFSET('Historical Trends'!$E$101,$B5,0,'Polling Correlations - ALP'!F$4,1))</f>
        <v>39.496666666666663</v>
      </c>
      <c r="G27">
        <f ca="1">AVERAGE(OFFSET('Historical Trends'!$E$101,$B5,0,'Polling Correlations - ALP'!G$4,1))</f>
        <v>38.707499999999996</v>
      </c>
      <c r="H27">
        <f ca="1">AVERAGE(OFFSET('Historical Trends'!$E$101,$B5,0,'Polling Correlations - ALP'!H$4,1))</f>
        <v>37.997999999999998</v>
      </c>
      <c r="I27">
        <f ca="1">AVERAGE(OFFSET('Historical Trends'!$E$101,$B5,0,'Polling Correlations - ALP'!I$4,1))</f>
        <v>36.726666666666667</v>
      </c>
      <c r="J27">
        <f ca="1">AVERAGE(OFFSET('Historical Trends'!$E$101,$B5,0,'Polling Correlations - ALP'!J$4,1))</f>
        <v>37.207142857142856</v>
      </c>
      <c r="K27" s="13">
        <f>AVERAGE(35,28,39)</f>
        <v>34</v>
      </c>
      <c r="L27">
        <f>AVERAGE(35,36,35)</f>
        <v>35.333333333333336</v>
      </c>
      <c r="M27">
        <f>AVERAGE(37,28,36,35,36)</f>
        <v>34.4</v>
      </c>
      <c r="N27">
        <f>AVERAGE(36,27,38,34,35)</f>
        <v>34</v>
      </c>
      <c r="O27">
        <f>AVERAGE(26.1,34,27,37,28)</f>
        <v>30.419999999999998</v>
      </c>
      <c r="P27">
        <f>AVERAGE(31,31,30,26.1,34)</f>
        <v>30.419999999999998</v>
      </c>
      <c r="Q27" s="30">
        <f>K27-AVERAGE(AM$5:AM26,AM28:AM$30)</f>
        <v>33.779365079365078</v>
      </c>
      <c r="R27" s="31">
        <f>L27-AVERAGE(AN$5:AN26,AN28:AN$30)</f>
        <v>34.959420289855075</v>
      </c>
      <c r="S27" s="31">
        <f>M27-AVERAGE(AO$5:AO26,AO28:AO$30)</f>
        <v>33.674305555555556</v>
      </c>
      <c r="T27" s="31">
        <f>N27-AVERAGE(AP$5:AP26,AP28:AP$30)</f>
        <v>33.8932</v>
      </c>
      <c r="U27" s="31">
        <f>O27-AVERAGE(AQ$5:AQ26,AQ28:AQ$30)</f>
        <v>29.833666666666666</v>
      </c>
      <c r="V27" s="31">
        <f>P27-AVERAGE(AR$5:AR26,AR28:AR$30)</f>
        <v>30.04453333333333</v>
      </c>
      <c r="W27" s="13">
        <f t="shared" ca="1" si="7"/>
        <v>34.603682792992018</v>
      </c>
      <c r="X27" s="6">
        <f t="shared" ca="1" si="8"/>
        <v>35.377336376373144</v>
      </c>
      <c r="Y27" s="6">
        <f t="shared" ca="1" si="9"/>
        <v>34.260761459598108</v>
      </c>
      <c r="Z27" s="6">
        <f t="shared" ca="1" si="10"/>
        <v>34.258533965423993</v>
      </c>
      <c r="AA27" s="6">
        <f t="shared" ca="1" si="11"/>
        <v>30.662939098034883</v>
      </c>
      <c r="AB27" s="2">
        <f t="shared" ca="1" si="12"/>
        <v>30.429100238924338</v>
      </c>
      <c r="AC27" s="2">
        <f>'Historical Trends'!E100</f>
        <v>32.799999999999997</v>
      </c>
      <c r="AE27" s="13">
        <f t="shared" ca="1" si="17"/>
        <v>8.2194999999999965</v>
      </c>
      <c r="AF27">
        <f t="shared" ca="1" si="18"/>
        <v>3</v>
      </c>
      <c r="AG27">
        <f t="shared" ca="1" si="19"/>
        <v>3.8350000000000009</v>
      </c>
      <c r="AH27">
        <f t="shared" ca="1" si="20"/>
        <v>6.6966666666666654</v>
      </c>
      <c r="AI27">
        <f t="shared" ca="1" si="21"/>
        <v>5.9074999999999989</v>
      </c>
      <c r="AJ27">
        <f t="shared" ca="1" si="22"/>
        <v>5.1980000000000004</v>
      </c>
      <c r="AK27">
        <f t="shared" ca="1" si="23"/>
        <v>3.9266666666666694</v>
      </c>
      <c r="AL27">
        <f t="shared" ca="1" si="24"/>
        <v>4.4071428571428584</v>
      </c>
      <c r="AM27" s="13">
        <f t="shared" si="42"/>
        <v>1.2000000000000028</v>
      </c>
      <c r="AN27">
        <f t="shared" si="36"/>
        <v>2.5333333333333385</v>
      </c>
      <c r="AO27">
        <f t="shared" si="25"/>
        <v>1.6000000000000014</v>
      </c>
      <c r="AP27">
        <f t="shared" si="26"/>
        <v>1.2000000000000028</v>
      </c>
      <c r="AQ27">
        <f t="shared" si="27"/>
        <v>-2.379999999999999</v>
      </c>
      <c r="AR27">
        <f t="shared" si="28"/>
        <v>-2.379999999999999</v>
      </c>
      <c r="AS27" s="30">
        <f t="shared" si="14"/>
        <v>0.97936507936508121</v>
      </c>
      <c r="AT27">
        <f t="shared" si="14"/>
        <v>2.1594202898550776</v>
      </c>
      <c r="AU27">
        <f t="shared" si="14"/>
        <v>0.87430555555555856</v>
      </c>
      <c r="AV27">
        <f t="shared" si="14"/>
        <v>1.0932000000000031</v>
      </c>
      <c r="AW27">
        <f t="shared" si="14"/>
        <v>-2.9663333333333313</v>
      </c>
      <c r="AX27">
        <f t="shared" si="14"/>
        <v>-2.755466666666667</v>
      </c>
      <c r="AY27" s="13">
        <f t="shared" ca="1" si="43"/>
        <v>1.8036827929920207</v>
      </c>
      <c r="AZ27" s="6">
        <f t="shared" ca="1" si="37"/>
        <v>2.5773363763731467</v>
      </c>
      <c r="BA27" s="6">
        <f t="shared" ca="1" si="29"/>
        <v>1.4607614595981104</v>
      </c>
      <c r="BB27" s="6">
        <f t="shared" ca="1" si="30"/>
        <v>1.4585339654239959</v>
      </c>
      <c r="BC27" s="6">
        <f t="shared" ca="1" si="31"/>
        <v>-2.1370609019651141</v>
      </c>
      <c r="BD27" s="2">
        <f t="shared" ca="1" si="32"/>
        <v>-2.370899761075659</v>
      </c>
      <c r="BP27">
        <f t="shared" si="44"/>
        <v>6</v>
      </c>
      <c r="BQ27">
        <f t="shared" si="39"/>
        <v>1.791759469228055</v>
      </c>
      <c r="BR27">
        <f t="shared" si="40"/>
        <v>0.90580471036790178</v>
      </c>
      <c r="BS27">
        <f t="shared" si="41"/>
        <v>0.30965336588943237</v>
      </c>
      <c r="BU27">
        <f t="shared" si="45"/>
        <v>0.5</v>
      </c>
      <c r="BV27">
        <f>MAX(0,($BG$16+1/($BG$17*$BG$18))-1/((10-BU27) * $BG$18))</f>
        <v>0.94152198138657661</v>
      </c>
    </row>
    <row r="28" spans="1:74" x14ac:dyDescent="0.25">
      <c r="A28" t="s">
        <v>125</v>
      </c>
      <c r="B28" s="2">
        <f>B27+1</f>
        <v>1</v>
      </c>
      <c r="C28" s="13">
        <f ca="1">'Historical Trends'!O101</f>
        <v>40.728257217847784</v>
      </c>
      <c r="D28">
        <f ca="1">AVERAGE(OFFSET('Historical Trends'!$E$101,$B6,0,'Polling Correlations - ALP'!D$4,1))</f>
        <v>37.47</v>
      </c>
      <c r="E28">
        <f ca="1">AVERAGE(OFFSET('Historical Trends'!$E$101,$B6,0,'Polling Correlations - ALP'!E$4,1))</f>
        <v>41.344999999999999</v>
      </c>
      <c r="F28">
        <f ca="1">AVERAGE(OFFSET('Historical Trends'!$E$101,$B6,0,'Polling Correlations - ALP'!F$4,1))</f>
        <v>39.676666666666669</v>
      </c>
      <c r="G28">
        <f ca="1">AVERAGE(OFFSET('Historical Trends'!$E$101,$B6,0,'Polling Correlations - ALP'!G$4,1))</f>
        <v>38.547499999999999</v>
      </c>
      <c r="H28">
        <f ca="1">AVERAGE(OFFSET('Historical Trends'!$E$101,$B6,0,'Polling Correlations - ALP'!H$4,1))</f>
        <v>36.911999999999999</v>
      </c>
      <c r="I28">
        <f ca="1">AVERAGE(OFFSET('Historical Trends'!$E$101,$B6,0,'Polling Correlations - ALP'!I$4,1))</f>
        <v>37.44166666666667</v>
      </c>
      <c r="J28">
        <f ca="1">AVERAGE(OFFSET('Historical Trends'!$E$101,$B6,0,'Polling Correlations - ALP'!J$4,1))</f>
        <v>38.977142857142859</v>
      </c>
      <c r="K28" s="13">
        <f>AVERAGE(34,34,38)</f>
        <v>35.333333333333336</v>
      </c>
      <c r="L28">
        <f>AVERAGE(33,30,37)</f>
        <v>33.333333333333336</v>
      </c>
      <c r="M28">
        <f>AVERAGE(32,33,30)</f>
        <v>31.666666666666668</v>
      </c>
      <c r="N28">
        <f>AVERAGE(33,36,32)</f>
        <v>33.666666666666664</v>
      </c>
      <c r="O28">
        <f>AVERAGE(34,35,33)</f>
        <v>34</v>
      </c>
      <c r="P28">
        <f>AVERAGE(34,34,35)</f>
        <v>34.333333333333336</v>
      </c>
      <c r="Q28" s="30">
        <f>K28-AVERAGE(AM$5:AM27,AM29:AM$30)</f>
        <v>35.033333333333339</v>
      </c>
      <c r="R28" s="31">
        <f>L28-AVERAGE(AN$5:AN27,AN29:AN$30)</f>
        <v>32.742028985507247</v>
      </c>
      <c r="S28" s="31">
        <f>M28-AVERAGE(AO$5:AO27,AO29:AO$30)</f>
        <v>30.702083333333334</v>
      </c>
      <c r="T28" s="31">
        <f>N28-AVERAGE(AP$5:AP27,AP29:AP$30)</f>
        <v>33.426533333333332</v>
      </c>
      <c r="U28" s="31">
        <f>O28-AVERAGE(AQ$5:AQ27,AQ29:AQ$30)</f>
        <v>33.436866666666667</v>
      </c>
      <c r="V28" s="31">
        <f>P28-AVERAGE(AR$5:AR27,AR29:AR$30)</f>
        <v>33.994400000000006</v>
      </c>
      <c r="W28" s="13">
        <f t="shared" ca="1" si="7"/>
        <v>35.706909405608478</v>
      </c>
      <c r="X28" s="6">
        <f t="shared" ca="1" si="8"/>
        <v>33.853393090441209</v>
      </c>
      <c r="Y28" s="6">
        <f t="shared" ca="1" si="9"/>
        <v>31.996972205502637</v>
      </c>
      <c r="Z28" s="6">
        <f t="shared" ca="1" si="10"/>
        <v>33.944225882756676</v>
      </c>
      <c r="AA28" s="6">
        <f t="shared" ca="1" si="11"/>
        <v>33.918669979178411</v>
      </c>
      <c r="AB28" s="2">
        <f t="shared" ca="1" si="12"/>
        <v>34.192795423828777</v>
      </c>
      <c r="AC28" s="2">
        <f>'Historical Trends'!E101</f>
        <v>35.799999999999997</v>
      </c>
      <c r="AE28" s="13">
        <f t="shared" ca="1" si="17"/>
        <v>4.9282572178477864</v>
      </c>
      <c r="AF28">
        <f t="shared" ca="1" si="18"/>
        <v>1.6700000000000017</v>
      </c>
      <c r="AG28">
        <f t="shared" ca="1" si="19"/>
        <v>5.5450000000000017</v>
      </c>
      <c r="AH28">
        <f t="shared" ca="1" si="20"/>
        <v>3.8766666666666723</v>
      </c>
      <c r="AI28">
        <f t="shared" ca="1" si="21"/>
        <v>2.7475000000000023</v>
      </c>
      <c r="AJ28">
        <f t="shared" ca="1" si="22"/>
        <v>1.1120000000000019</v>
      </c>
      <c r="AK28">
        <f t="shared" ca="1" si="23"/>
        <v>1.6416666666666728</v>
      </c>
      <c r="AL28">
        <f t="shared" ca="1" si="24"/>
        <v>3.1771428571428615</v>
      </c>
      <c r="AM28" s="13">
        <f t="shared" si="42"/>
        <v>-0.46666666666666146</v>
      </c>
      <c r="AN28">
        <f t="shared" si="36"/>
        <v>-2.4666666666666615</v>
      </c>
      <c r="AO28">
        <f t="shared" si="25"/>
        <v>-4.1333333333333293</v>
      </c>
      <c r="AP28">
        <f t="shared" si="26"/>
        <v>-2.1333333333333329</v>
      </c>
      <c r="AQ28">
        <f t="shared" si="27"/>
        <v>-1.7999999999999972</v>
      </c>
      <c r="AR28">
        <f t="shared" si="28"/>
        <v>-1.4666666666666615</v>
      </c>
      <c r="AS28" s="30">
        <f t="shared" si="14"/>
        <v>-0.76666666666665861</v>
      </c>
      <c r="AT28">
        <f t="shared" si="14"/>
        <v>-3.0579710144927503</v>
      </c>
      <c r="AU28">
        <f t="shared" si="14"/>
        <v>-5.0979166666666629</v>
      </c>
      <c r="AV28">
        <f t="shared" si="14"/>
        <v>-2.3734666666666655</v>
      </c>
      <c r="AW28">
        <f t="shared" si="14"/>
        <v>-2.3631333333333302</v>
      </c>
      <c r="AX28">
        <f t="shared" si="14"/>
        <v>-1.8055999999999912</v>
      </c>
      <c r="AY28" s="13">
        <f t="shared" ca="1" si="43"/>
        <v>-9.3090594391519232E-2</v>
      </c>
      <c r="AZ28" s="6">
        <f t="shared" ca="1" si="37"/>
        <v>-1.9466069095587883</v>
      </c>
      <c r="BA28" s="6">
        <f t="shared" ca="1" si="29"/>
        <v>-3.8030277944973605</v>
      </c>
      <c r="BB28" s="6">
        <f t="shared" ca="1" si="30"/>
        <v>-1.8557741172433211</v>
      </c>
      <c r="BC28" s="6">
        <f t="shared" ca="1" si="31"/>
        <v>-1.8813300208215864</v>
      </c>
      <c r="BD28" s="2">
        <f t="shared" ca="1" si="32"/>
        <v>-1.6072045761712204</v>
      </c>
      <c r="BP28">
        <f t="shared" si="44"/>
        <v>7</v>
      </c>
      <c r="BQ28">
        <f t="shared" si="39"/>
        <v>1.9459101490553132</v>
      </c>
      <c r="BR28">
        <f t="shared" si="40"/>
        <v>0.90196183089833593</v>
      </c>
      <c r="BS28">
        <f t="shared" si="41"/>
        <v>0.33838847910654657</v>
      </c>
      <c r="BU28">
        <f t="shared" si="45"/>
        <v>0.6</v>
      </c>
      <c r="BV28">
        <f>MAX(0,($BG$16+1/($BG$17*$BG$18))-1/((10-BU28) * $BG$18))</f>
        <v>0.9401705600276149</v>
      </c>
    </row>
    <row r="29" spans="1:74" x14ac:dyDescent="0.25">
      <c r="A29" t="s">
        <v>127</v>
      </c>
      <c r="B29" s="2">
        <f>B28+1</f>
        <v>2</v>
      </c>
      <c r="C29" s="13">
        <f ca="1">'Historical Trends'!O102</f>
        <v>37.378617021276625</v>
      </c>
      <c r="D29">
        <f ca="1">AVERAGE(OFFSET('Historical Trends'!$E$101,$B7,0,'Polling Correlations - ALP'!D$4,1))</f>
        <v>45.22</v>
      </c>
      <c r="E29">
        <f ca="1">AVERAGE(OFFSET('Historical Trends'!$E$101,$B7,0,'Polling Correlations - ALP'!E$4,1))</f>
        <v>40.78</v>
      </c>
      <c r="F29">
        <f ca="1">AVERAGE(OFFSET('Historical Trends'!$E$101,$B7,0,'Polling Correlations - ALP'!F$4,1))</f>
        <v>38.906666666666666</v>
      </c>
      <c r="G29">
        <f ca="1">AVERAGE(OFFSET('Historical Trends'!$E$101,$B7,0,'Polling Correlations - ALP'!G$4,1))</f>
        <v>36.772500000000001</v>
      </c>
      <c r="H29">
        <f ca="1">AVERAGE(OFFSET('Historical Trends'!$E$101,$B7,0,'Polling Correlations - ALP'!H$4,1))</f>
        <v>37.436</v>
      </c>
      <c r="I29">
        <f ca="1">AVERAGE(OFFSET('Historical Trends'!$E$101,$B7,0,'Polling Correlations - ALP'!I$4,1))</f>
        <v>39.228333333333332</v>
      </c>
      <c r="J29">
        <f ca="1">AVERAGE(OFFSET('Historical Trends'!$E$101,$B7,0,'Polling Correlations - ALP'!J$4,1))</f>
        <v>40.23571428571428</v>
      </c>
      <c r="K29" s="13">
        <f>AVERAGE(41,42,48)</f>
        <v>43.666666666666664</v>
      </c>
      <c r="L29">
        <f>AVERAGE(42,39,38)</f>
        <v>39.666666666666664</v>
      </c>
      <c r="M29">
        <f>AVERAGE(46,43,42)</f>
        <v>43.666666666666664</v>
      </c>
      <c r="N29">
        <f>AVERAGE(43,37,43.2)</f>
        <v>41.06666666666667</v>
      </c>
      <c r="O29">
        <f>AVERAGE(38,43,37)</f>
        <v>39.333333333333336</v>
      </c>
      <c r="P29">
        <f>AVERAGE(35.3,36,38)</f>
        <v>36.43333333333333</v>
      </c>
      <c r="Q29" s="30">
        <f>K29-AVERAGE(AM$5:AM28,AM30:AM$30)</f>
        <v>43.683968253968253</v>
      </c>
      <c r="R29" s="31">
        <f>L29-AVERAGE(AN$5:AN28,AN30:AN$30)</f>
        <v>39.278115942028982</v>
      </c>
      <c r="S29" s="31">
        <f>M29-AVERAGE(AO$5:AO28,AO30:AO$30)</f>
        <v>43.1325</v>
      </c>
      <c r="T29" s="31">
        <f>N29-AVERAGE(AP$5:AP28,AP30:AP$30)</f>
        <v>41.055733333333336</v>
      </c>
      <c r="U29" s="31">
        <f>O29-AVERAGE(AQ$5:AQ28,AQ30:AQ$30)</f>
        <v>38.916733333333333</v>
      </c>
      <c r="V29" s="31">
        <f>P29-AVERAGE(AR$5:AR28,AR30:AR$30)</f>
        <v>36.111599999999996</v>
      </c>
      <c r="W29" s="13">
        <f t="shared" ca="1" si="7"/>
        <v>42.437791477774525</v>
      </c>
      <c r="X29" s="6">
        <f t="shared" ca="1" si="8"/>
        <v>39.266343416547684</v>
      </c>
      <c r="Y29" s="6">
        <f t="shared" ca="1" si="9"/>
        <v>42.382385086106559</v>
      </c>
      <c r="Z29" s="6">
        <f t="shared" ca="1" si="10"/>
        <v>40.820116907606618</v>
      </c>
      <c r="AA29" s="6">
        <f t="shared" ca="1" si="11"/>
        <v>38.95422082638634</v>
      </c>
      <c r="AB29" s="2">
        <f t="shared" ca="1" si="12"/>
        <v>36.290972729300869</v>
      </c>
      <c r="AC29" s="2">
        <f>'Historical Trends'!E102</f>
        <v>37.47</v>
      </c>
      <c r="AE29" s="13">
        <f t="shared" ca="1" si="17"/>
        <v>-9.1382978723373753E-2</v>
      </c>
      <c r="AF29">
        <f t="shared" ca="1" si="18"/>
        <v>7.75</v>
      </c>
      <c r="AG29">
        <f t="shared" ca="1" si="19"/>
        <v>3.3100000000000023</v>
      </c>
      <c r="AH29">
        <f t="shared" ca="1" si="20"/>
        <v>1.4366666666666674</v>
      </c>
      <c r="AI29">
        <f t="shared" ca="1" si="21"/>
        <v>-0.69749999999999801</v>
      </c>
      <c r="AJ29">
        <f t="shared" ca="1" si="22"/>
        <v>-3.399999999999892E-2</v>
      </c>
      <c r="AK29">
        <f t="shared" ca="1" si="23"/>
        <v>1.7583333333333329</v>
      </c>
      <c r="AL29">
        <f t="shared" ca="1" si="24"/>
        <v>2.7657142857142816</v>
      </c>
      <c r="AM29" s="13">
        <f t="shared" si="42"/>
        <v>6.1966666666666654</v>
      </c>
      <c r="AN29">
        <f t="shared" si="36"/>
        <v>2.1966666666666654</v>
      </c>
      <c r="AO29">
        <f t="shared" si="25"/>
        <v>6.1966666666666654</v>
      </c>
      <c r="AP29">
        <f t="shared" si="26"/>
        <v>3.5966666666666711</v>
      </c>
      <c r="AQ29">
        <f t="shared" si="27"/>
        <v>1.8633333333333368</v>
      </c>
      <c r="AR29">
        <f t="shared" si="28"/>
        <v>-1.0366666666666688</v>
      </c>
      <c r="AS29" s="30">
        <f t="shared" si="14"/>
        <v>6.2139682539682539</v>
      </c>
      <c r="AT29">
        <f t="shared" si="14"/>
        <v>1.8081159420289836</v>
      </c>
      <c r="AU29">
        <f t="shared" si="14"/>
        <v>5.6625000000000014</v>
      </c>
      <c r="AV29">
        <f t="shared" si="14"/>
        <v>3.5857333333333372</v>
      </c>
      <c r="AW29">
        <f t="shared" si="14"/>
        <v>1.4467333333333343</v>
      </c>
      <c r="AX29">
        <f t="shared" si="14"/>
        <v>-1.3584000000000032</v>
      </c>
      <c r="AY29" s="13">
        <f t="shared" ca="1" si="43"/>
        <v>4.9677914777745258</v>
      </c>
      <c r="AZ29" s="6">
        <f t="shared" ca="1" si="37"/>
        <v>1.7963434165476855</v>
      </c>
      <c r="BA29" s="6">
        <f t="shared" ca="1" si="29"/>
        <v>4.9123850861065605</v>
      </c>
      <c r="BB29" s="6">
        <f t="shared" ca="1" si="30"/>
        <v>3.3501169076066191</v>
      </c>
      <c r="BC29" s="6">
        <f t="shared" ca="1" si="31"/>
        <v>1.4842208263863412</v>
      </c>
      <c r="BD29" s="2">
        <f t="shared" ca="1" si="32"/>
        <v>-1.1790272706991303</v>
      </c>
      <c r="BP29">
        <f t="shared" si="44"/>
        <v>8</v>
      </c>
      <c r="BQ29">
        <f t="shared" si="39"/>
        <v>2.0794415416798357</v>
      </c>
      <c r="BR29">
        <f t="shared" si="40"/>
        <v>0.89847902784446509</v>
      </c>
      <c r="BS29">
        <f t="shared" si="41"/>
        <v>0.36349633700567485</v>
      </c>
      <c r="BU29">
        <f t="shared" si="45"/>
        <v>0.7</v>
      </c>
      <c r="BV29">
        <f>MAX(0,($BG$16+1/($BG$17*$BG$18))-1/((10-BU29) * $BG$18))</f>
        <v>0.93879007584372931</v>
      </c>
    </row>
    <row r="30" spans="1:74" x14ac:dyDescent="0.25">
      <c r="A30" t="s">
        <v>128</v>
      </c>
      <c r="B30" s="2">
        <f>B29+1</f>
        <v>3</v>
      </c>
      <c r="C30" s="13">
        <f ca="1">'Historical Trends'!O103</f>
        <v>29.332440758293842</v>
      </c>
      <c r="D30">
        <f ca="1">AVERAGE(OFFSET('Historical Trends'!$E$101,$B8,0,'Polling Correlations - ALP'!D$4,1))</f>
        <v>36.340000000000003</v>
      </c>
      <c r="E30">
        <f ca="1">AVERAGE(OFFSET('Historical Trends'!$E$101,$B8,0,'Polling Correlations - ALP'!E$4,1))</f>
        <v>35.75</v>
      </c>
      <c r="F30">
        <f ca="1">AVERAGE(OFFSET('Historical Trends'!$E$101,$B8,0,'Polling Correlations - ALP'!F$4,1))</f>
        <v>33.956666666666671</v>
      </c>
      <c r="G30">
        <f ca="1">AVERAGE(OFFSET('Historical Trends'!$E$101,$B8,0,'Polling Correlations - ALP'!G$4,1))</f>
        <v>35.49</v>
      </c>
      <c r="H30">
        <f ca="1">AVERAGE(OFFSET('Historical Trends'!$E$101,$B8,0,'Polling Correlations - ALP'!H$4,1))</f>
        <v>38.03</v>
      </c>
      <c r="I30">
        <f ca="1">AVERAGE(OFFSET('Historical Trends'!$E$101,$B8,0,'Polling Correlations - ALP'!I$4,1))</f>
        <v>39.405000000000001</v>
      </c>
      <c r="J30">
        <f ca="1">AVERAGE(OFFSET('Historical Trends'!$E$101,$B8,0,'Polling Correlations - ALP'!J$4,1))</f>
        <v>39.612857142857145</v>
      </c>
      <c r="N30">
        <f>AVERAGE(46,45)</f>
        <v>45.5</v>
      </c>
      <c r="O30">
        <f>AVERAGE(44,46)</f>
        <v>45</v>
      </c>
      <c r="P30">
        <f>AVERAGE(46,44,46)</f>
        <v>45.333333333333336</v>
      </c>
      <c r="Q30" s="30"/>
      <c r="R30" s="31"/>
      <c r="S30" s="31"/>
      <c r="T30" s="31">
        <f>N30-AVERAGE(AP$5:AP29)</f>
        <v>45.356400000000001</v>
      </c>
      <c r="U30" s="31">
        <f>O30-AVERAGE(AQ$5:AQ29)</f>
        <v>44.500066666666669</v>
      </c>
      <c r="V30" s="31">
        <f>P30-AVERAGE(AR$5:AR29)</f>
        <v>45.057600000000001</v>
      </c>
      <c r="W30" s="13">
        <f t="shared" ca="1" si="7"/>
        <v>11.021009741730866</v>
      </c>
      <c r="X30" s="6">
        <f t="shared" ca="1" si="8"/>
        <v>9.3184422983259871</v>
      </c>
      <c r="Y30" s="6">
        <f t="shared" ca="1" si="9"/>
        <v>7.5709570583490118</v>
      </c>
      <c r="Z30" s="6">
        <f t="shared" ca="1" si="10"/>
        <v>44.589054265037753</v>
      </c>
      <c r="AA30" s="6">
        <f t="shared" ca="1" si="11"/>
        <v>43.887097230622885</v>
      </c>
      <c r="AB30" s="2">
        <f t="shared" ca="1" si="12"/>
        <v>44.732284298845116</v>
      </c>
      <c r="AC30" s="2">
        <f>'Historical Trends'!E103</f>
        <v>45.22</v>
      </c>
      <c r="AE30" s="13">
        <f t="shared" ca="1" si="17"/>
        <v>-15.887559241706157</v>
      </c>
      <c r="AF30">
        <f t="shared" ca="1" si="18"/>
        <v>-8.8799999999999955</v>
      </c>
      <c r="AG30">
        <f t="shared" ca="1" si="19"/>
        <v>-9.4699999999999989</v>
      </c>
      <c r="AH30">
        <f t="shared" ca="1" si="20"/>
        <v>-11.263333333333328</v>
      </c>
      <c r="AI30">
        <f t="shared" ca="1" si="21"/>
        <v>-9.7299999999999969</v>
      </c>
      <c r="AJ30">
        <f t="shared" ca="1" si="22"/>
        <v>-7.1899999999999977</v>
      </c>
      <c r="AK30">
        <f t="shared" ca="1" si="23"/>
        <v>-5.8149999999999977</v>
      </c>
      <c r="AL30">
        <f t="shared" ca="1" si="24"/>
        <v>-5.6071428571428541</v>
      </c>
      <c r="AP30">
        <f>N30-$AC30</f>
        <v>0.28000000000000114</v>
      </c>
      <c r="AQ30">
        <f>O30-$AC30</f>
        <v>-0.21999999999999886</v>
      </c>
      <c r="AR30">
        <f>P30-$AC30</f>
        <v>0.11333333333333684</v>
      </c>
      <c r="AS30" s="30"/>
      <c r="AV30">
        <f t="shared" si="14"/>
        <v>0.13640000000000185</v>
      </c>
      <c r="AW30">
        <f t="shared" si="14"/>
        <v>-0.71993333333332998</v>
      </c>
      <c r="AX30">
        <f t="shared" si="14"/>
        <v>-0.1623999999999981</v>
      </c>
      <c r="BB30" s="6">
        <f ca="1">Z30-$AC30</f>
        <v>-0.63094573496224626</v>
      </c>
      <c r="BC30" s="6">
        <f ca="1">AA30-$AC30</f>
        <v>-1.3329027693771138</v>
      </c>
      <c r="BD30" s="2">
        <f ca="1">AB30-$AC30</f>
        <v>-0.48771570115488316</v>
      </c>
      <c r="BP30">
        <f t="shared" si="44"/>
        <v>9</v>
      </c>
      <c r="BQ30">
        <f t="shared" si="39"/>
        <v>2.1972245773362196</v>
      </c>
      <c r="BR30">
        <f t="shared" si="40"/>
        <v>0.89528046973783304</v>
      </c>
      <c r="BS30">
        <f t="shared" si="41"/>
        <v>0.38579609965964168</v>
      </c>
      <c r="BU30">
        <f t="shared" si="45"/>
        <v>0.79999999999999993</v>
      </c>
      <c r="BV30">
        <f>MAX(0,($BG$16+1/($BG$17*$BG$18))-1/((10-BU30) * $BG$18))</f>
        <v>0.93737958113410702</v>
      </c>
    </row>
    <row r="31" spans="1:74" x14ac:dyDescent="0.25">
      <c r="BP31">
        <f t="shared" si="44"/>
        <v>10</v>
      </c>
      <c r="BQ31">
        <f t="shared" si="39"/>
        <v>2.3025850929940459</v>
      </c>
      <c r="BR31">
        <f t="shared" si="40"/>
        <v>0.89231280613779884</v>
      </c>
      <c r="BS31">
        <f t="shared" si="41"/>
        <v>0.4058546225073032</v>
      </c>
      <c r="BU31">
        <f t="shared" si="45"/>
        <v>0.89999999999999991</v>
      </c>
      <c r="BV31">
        <f>MAX(0,($BG$16+1/($BG$17*$BG$18))-1/((10-BU31) * $BG$18))</f>
        <v>0.93593808654075683</v>
      </c>
    </row>
    <row r="32" spans="1:74" x14ac:dyDescent="0.25">
      <c r="Q32" s="32"/>
      <c r="BP32">
        <f>BP31+5</f>
        <v>15</v>
      </c>
      <c r="BQ32">
        <f t="shared" si="39"/>
        <v>2.7080502011022101</v>
      </c>
      <c r="BR32">
        <f t="shared" si="40"/>
        <v>0.879848893553969</v>
      </c>
      <c r="BS32">
        <f t="shared" si="41"/>
        <v>0.4838185582782154</v>
      </c>
      <c r="BU32">
        <f t="shared" si="45"/>
        <v>0.99999999999999989</v>
      </c>
      <c r="BV32">
        <f>MAX(0,($BG$16+1/($BG$17*$BG$18))-1/((10-BU32) * $BG$18))</f>
        <v>0.93446455873422107</v>
      </c>
    </row>
    <row r="33" spans="57:74" x14ac:dyDescent="0.25">
      <c r="BP33">
        <f t="shared" ref="BP33:BP39" si="46">BP32+5</f>
        <v>20</v>
      </c>
      <c r="BQ33">
        <f t="shared" si="39"/>
        <v>2.9957322735539909</v>
      </c>
      <c r="BR33">
        <f t="shared" si="40"/>
        <v>0.86984999035138133</v>
      </c>
      <c r="BS33">
        <f t="shared" si="41"/>
        <v>0.53956842999097721</v>
      </c>
      <c r="BU33">
        <f t="shared" si="45"/>
        <v>1.0999999999999999</v>
      </c>
      <c r="BV33">
        <f>MAX(0,($BG$16+1/($BG$17*$BG$18))-1/((10-BU33) * $BG$18))</f>
        <v>0.93295791794326877</v>
      </c>
    </row>
    <row r="34" spans="57:74" x14ac:dyDescent="0.25">
      <c r="BP34">
        <f t="shared" si="46"/>
        <v>25</v>
      </c>
      <c r="BQ34">
        <f t="shared" si="39"/>
        <v>3.2188758248682006</v>
      </c>
      <c r="BR34">
        <f t="shared" si="40"/>
        <v>0.86131452190275737</v>
      </c>
      <c r="BS34">
        <f t="shared" si="41"/>
        <v>0.5828049378614828</v>
      </c>
      <c r="BU34">
        <f t="shared" si="45"/>
        <v>1.2</v>
      </c>
      <c r="BV34">
        <f>MAX(0,($BG$16+1/($BG$17*$BG$18))-1/((10-BU34) * $BG$18))</f>
        <v>0.93141703531615838</v>
      </c>
    </row>
    <row r="35" spans="57:74" x14ac:dyDescent="0.25">
      <c r="BP35">
        <f t="shared" si="46"/>
        <v>30</v>
      </c>
      <c r="BQ35">
        <f t="shared" si="39"/>
        <v>3.4011973816621555</v>
      </c>
      <c r="BR35">
        <f t="shared" si="40"/>
        <v>0.85376331210823564</v>
      </c>
      <c r="BS35">
        <f t="shared" si="41"/>
        <v>0.61797098580623311</v>
      </c>
      <c r="BU35">
        <f t="shared" si="45"/>
        <v>1.3</v>
      </c>
      <c r="BV35">
        <f>MAX(0,($BG$16+1/($BG$17*$BG$18))-1/((10-BU35) * $BG$18))</f>
        <v>0.92984073009991908</v>
      </c>
    </row>
    <row r="36" spans="57:74" x14ac:dyDescent="0.25">
      <c r="BP36">
        <f t="shared" si="46"/>
        <v>35</v>
      </c>
      <c r="BQ36">
        <f t="shared" si="39"/>
        <v>3.5553480614894135</v>
      </c>
      <c r="BR36">
        <f t="shared" si="40"/>
        <v>0.84692609437819422</v>
      </c>
      <c r="BS36">
        <f t="shared" si="41"/>
        <v>0.64748580981932835</v>
      </c>
      <c r="BU36">
        <f t="shared" si="45"/>
        <v>1.4000000000000001</v>
      </c>
      <c r="BV36">
        <f>MAX(0,($BG$16+1/($BG$17*$BG$18))-1/((10-BU36) * $BG$18))</f>
        <v>0.92822776662283701</v>
      </c>
    </row>
    <row r="37" spans="57:74" x14ac:dyDescent="0.25">
      <c r="BP37">
        <f t="shared" si="46"/>
        <v>40</v>
      </c>
      <c r="BQ37">
        <f t="shared" si="39"/>
        <v>3.6888794541139363</v>
      </c>
      <c r="BR37">
        <f t="shared" si="40"/>
        <v>0.84063391913611418</v>
      </c>
      <c r="BS37">
        <f t="shared" si="41"/>
        <v>0.67281712840632812</v>
      </c>
      <c r="BU37">
        <f t="shared" si="45"/>
        <v>1.5000000000000002</v>
      </c>
      <c r="BV37">
        <f>MAX(0,($BG$16+1/($BG$17*$BG$18))-1/((10-BU37) * $BG$18))</f>
        <v>0.92657685106394116</v>
      </c>
    </row>
    <row r="38" spans="57:74" x14ac:dyDescent="0.25">
      <c r="BE38" t="s">
        <v>217</v>
      </c>
      <c r="BG38">
        <f>Q4</f>
        <v>0.26515151515151492</v>
      </c>
      <c r="BH38">
        <f t="shared" ref="BH38:BM38" si="47">R4</f>
        <v>0.46388888888888874</v>
      </c>
      <c r="BI38">
        <f t="shared" si="47"/>
        <v>0.76066666666666682</v>
      </c>
      <c r="BJ38">
        <f t="shared" si="47"/>
        <v>0.14884615384615402</v>
      </c>
      <c r="BK38">
        <f t="shared" si="47"/>
        <v>0.47224358974358971</v>
      </c>
      <c r="BL38">
        <f t="shared" ref="BL38" si="48">AVERAGE(BK38,BM38)</f>
        <v>0.59627901170048581</v>
      </c>
      <c r="BM38">
        <f t="shared" si="47"/>
        <v>0.7203144336573819</v>
      </c>
      <c r="BP38">
        <f t="shared" si="46"/>
        <v>45</v>
      </c>
      <c r="BQ38">
        <f t="shared" si="39"/>
        <v>3.8066624897703196</v>
      </c>
      <c r="BR38">
        <f t="shared" si="40"/>
        <v>0.8347734080477065</v>
      </c>
      <c r="BS38">
        <f t="shared" si="41"/>
        <v>0.6949243646841885</v>
      </c>
      <c r="BU38">
        <f t="shared" si="45"/>
        <v>1.6000000000000003</v>
      </c>
      <c r="BV38">
        <f>MAX(0,($BG$16+1/($BG$17*$BG$18))-1/((10-BU38) * $BG$18))</f>
        <v>0.92488662799173849</v>
      </c>
    </row>
    <row r="39" spans="57:74" x14ac:dyDescent="0.25">
      <c r="BP39">
        <f t="shared" si="46"/>
        <v>50</v>
      </c>
      <c r="BQ39">
        <f t="shared" si="39"/>
        <v>3.912023005428146</v>
      </c>
      <c r="BR39">
        <f t="shared" si="40"/>
        <v>0.82926440807702773</v>
      </c>
      <c r="BS39">
        <f t="shared" si="41"/>
        <v>0.71447001455916515</v>
      </c>
      <c r="BU39">
        <f t="shared" si="45"/>
        <v>1.7000000000000004</v>
      </c>
      <c r="BV39">
        <f>MAX(0,($BG$16+1/($BG$17*$BG$18))-1/((10-BU39) * $BG$18))</f>
        <v>0.92315567665273557</v>
      </c>
    </row>
    <row r="40" spans="57:74" x14ac:dyDescent="0.25">
      <c r="BP40">
        <f>BP39+10</f>
        <v>60</v>
      </c>
      <c r="BQ40">
        <f t="shared" si="39"/>
        <v>4.0943445622221004</v>
      </c>
      <c r="BR40">
        <f t="shared" si="40"/>
        <v>0.81907923870333688</v>
      </c>
      <c r="BS40">
        <f t="shared" si="41"/>
        <v>0.74766316959566648</v>
      </c>
      <c r="BU40">
        <f t="shared" si="45"/>
        <v>1.8000000000000005</v>
      </c>
      <c r="BV40">
        <f>MAX(0,($BG$16+1/($BG$17*$BG$18))-1/((10-BU40) * $BG$18))</f>
        <v>0.92138250698839108</v>
      </c>
    </row>
    <row r="41" spans="57:74" x14ac:dyDescent="0.25">
      <c r="BP41">
        <f t="shared" ref="BP41:BP54" si="49">BP40+10</f>
        <v>70</v>
      </c>
      <c r="BQ41">
        <f t="shared" si="39"/>
        <v>4.2484952420493594</v>
      </c>
      <c r="BR41">
        <f t="shared" si="40"/>
        <v>0.80975263189700109</v>
      </c>
      <c r="BS41">
        <f t="shared" si="41"/>
        <v>0.77496755104351545</v>
      </c>
      <c r="BU41">
        <f t="shared" si="45"/>
        <v>1.9000000000000006</v>
      </c>
      <c r="BV41">
        <f>MAX(0,($BG$16+1/($BG$17*$BG$18))-1/((10-BU41) * $BG$18))</f>
        <v>0.91956555535702589</v>
      </c>
    </row>
    <row r="42" spans="57:74" x14ac:dyDescent="0.25">
      <c r="BP42">
        <f t="shared" si="49"/>
        <v>80</v>
      </c>
      <c r="BQ42">
        <f t="shared" si="39"/>
        <v>4.3820266346738812</v>
      </c>
      <c r="BR42">
        <f t="shared" si="40"/>
        <v>0.80108034151045548</v>
      </c>
      <c r="BS42">
        <f t="shared" si="41"/>
        <v>0.79793913541597239</v>
      </c>
      <c r="BU42">
        <f t="shared" si="45"/>
        <v>2.0000000000000004</v>
      </c>
      <c r="BV42">
        <f>MAX(0,($BG$16+1/($BG$17*$BG$18))-1/((10-BU42) * $BG$18))</f>
        <v>0.91770317993487649</v>
      </c>
    </row>
    <row r="43" spans="57:74" x14ac:dyDescent="0.25">
      <c r="BP43">
        <f t="shared" si="49"/>
        <v>90</v>
      </c>
      <c r="BQ43">
        <f t="shared" si="39"/>
        <v>4.499809670330265</v>
      </c>
      <c r="BR43">
        <f t="shared" si="40"/>
        <v>0.79292496189577877</v>
      </c>
      <c r="BS43">
        <f t="shared" si="41"/>
        <v>0.81759263741514543</v>
      </c>
      <c r="BU43">
        <f t="shared" si="45"/>
        <v>2.1000000000000005</v>
      </c>
      <c r="BV43">
        <f>MAX(0,($BG$16+1/($BG$17*$BG$18))-1/((10-BU43) * $BG$18))</f>
        <v>0.91579365576786254</v>
      </c>
    </row>
    <row r="44" spans="57:74" x14ac:dyDescent="0.25">
      <c r="BP44">
        <f t="shared" si="49"/>
        <v>100</v>
      </c>
      <c r="BQ44">
        <f t="shared" si="39"/>
        <v>4.6051701859880918</v>
      </c>
      <c r="BR44">
        <f t="shared" si="40"/>
        <v>0.78518914172563514</v>
      </c>
      <c r="BS44">
        <f t="shared" si="41"/>
        <v>0.83462711013196844</v>
      </c>
      <c r="BU44">
        <f t="shared" si="45"/>
        <v>2.2000000000000006</v>
      </c>
      <c r="BV44">
        <f>MAX(0,($BG$16+1/($BG$17*$BG$18))-1/((10-BU44) * $BG$18))</f>
        <v>0.91383516944272003</v>
      </c>
    </row>
    <row r="45" spans="57:74" x14ac:dyDescent="0.25">
      <c r="BP45">
        <f t="shared" si="49"/>
        <v>110</v>
      </c>
      <c r="BQ45">
        <f t="shared" si="39"/>
        <v>4.7004803657924166</v>
      </c>
      <c r="BR45">
        <f t="shared" si="40"/>
        <v>0.77780111311839573</v>
      </c>
      <c r="BS45">
        <f t="shared" si="41"/>
        <v>0.84954484676076014</v>
      </c>
      <c r="BU45">
        <f t="shared" si="45"/>
        <v>2.3000000000000007</v>
      </c>
      <c r="BV45">
        <f>MAX(0,($BG$16+1/($BG$17*$BG$18))-1/((10-BU45) * $BG$18))</f>
        <v>0.91182581334289847</v>
      </c>
    </row>
    <row r="46" spans="57:74" x14ac:dyDescent="0.25">
      <c r="BP46">
        <f t="shared" si="49"/>
        <v>120</v>
      </c>
      <c r="BQ46">
        <f t="shared" si="39"/>
        <v>4.7874917427820458</v>
      </c>
      <c r="BR46">
        <f t="shared" si="40"/>
        <v>0.77070627637324507</v>
      </c>
      <c r="BS46">
        <f t="shared" si="41"/>
        <v>0.86271900397276902</v>
      </c>
      <c r="BU46">
        <f t="shared" si="45"/>
        <v>2.4000000000000008</v>
      </c>
      <c r="BV46">
        <f>MAX(0,($BG$16+1/($BG$17*$BG$18))-1/((10-BU46) * $BG$18))</f>
        <v>0.90976357945097641</v>
      </c>
    </row>
    <row r="47" spans="57:74" x14ac:dyDescent="0.25">
      <c r="BP47">
        <f t="shared" si="49"/>
        <v>130</v>
      </c>
      <c r="BQ47">
        <f t="shared" si="39"/>
        <v>4.8675344504555822</v>
      </c>
      <c r="BR47">
        <f t="shared" si="40"/>
        <v>0.76386201641897999</v>
      </c>
      <c r="BS47">
        <f t="shared" si="41"/>
        <v>0.87443441809294398</v>
      </c>
      <c r="BU47">
        <f t="shared" si="45"/>
        <v>2.5000000000000009</v>
      </c>
      <c r="BV47">
        <f>MAX(0,($BG$16+1/($BG$17*$BG$18))-1/((10-BU47) * $BG$18))</f>
        <v>0.90764635265526972</v>
      </c>
    </row>
    <row r="48" spans="57:74" x14ac:dyDescent="0.25">
      <c r="BP48">
        <f t="shared" si="49"/>
        <v>140</v>
      </c>
      <c r="BQ48">
        <f t="shared" si="39"/>
        <v>4.9416424226093039</v>
      </c>
      <c r="BR48">
        <f t="shared" si="40"/>
        <v>0.7572343586762027</v>
      </c>
      <c r="BS48">
        <f t="shared" si="41"/>
        <v>0.88491344827388807</v>
      </c>
      <c r="BU48">
        <f t="shared" si="45"/>
        <v>2.600000000000001</v>
      </c>
      <c r="BV48">
        <f>MAX(0,($BG$16+1/($BG$17*$BG$18))-1/((10-BU48) * $BG$18))</f>
        <v>0.90547190351373308</v>
      </c>
    </row>
    <row r="49" spans="68:74" x14ac:dyDescent="0.25">
      <c r="BP49">
        <f t="shared" si="49"/>
        <v>150</v>
      </c>
      <c r="BQ49">
        <f t="shared" si="39"/>
        <v>5.0106352940962555</v>
      </c>
      <c r="BR49">
        <f t="shared" si="40"/>
        <v>0.75079572787420124</v>
      </c>
      <c r="BS49">
        <f t="shared" si="41"/>
        <v>0.89433299656138121</v>
      </c>
      <c r="BU49">
        <f t="shared" si="45"/>
        <v>2.7000000000000011</v>
      </c>
      <c r="BV49">
        <f>MAX(0,($BG$16+1/($BG$17*$BG$18))-1/((10-BU49) * $BG$18))</f>
        <v>0.90323788042311337</v>
      </c>
    </row>
    <row r="50" spans="68:74" x14ac:dyDescent="0.25">
      <c r="BP50">
        <f t="shared" si="49"/>
        <v>160</v>
      </c>
      <c r="BQ50">
        <f t="shared" si="39"/>
        <v>5.0751738152338266</v>
      </c>
      <c r="BR50">
        <f t="shared" si="40"/>
        <v>0.74452339735186701</v>
      </c>
      <c r="BS50">
        <f t="shared" si="41"/>
        <v>0.90283609332738779</v>
      </c>
      <c r="BU50">
        <f t="shared" si="45"/>
        <v>2.8000000000000012</v>
      </c>
      <c r="BV50">
        <f>MAX(0,($BG$16+1/($BG$17*$BG$18))-1/((10-BU50) * $BG$18))</f>
        <v>0.90094180113553191</v>
      </c>
    </row>
    <row r="51" spans="68:74" x14ac:dyDescent="0.25">
      <c r="BP51">
        <f t="shared" si="49"/>
        <v>170</v>
      </c>
      <c r="BQ51">
        <f t="shared" si="39"/>
        <v>5.1357984370502621</v>
      </c>
      <c r="BR51">
        <f t="shared" si="40"/>
        <v>0.73839838659247792</v>
      </c>
      <c r="BS51">
        <f t="shared" si="41"/>
        <v>0.91054000803782009</v>
      </c>
      <c r="BU51">
        <f t="shared" si="45"/>
        <v>2.9000000000000012</v>
      </c>
      <c r="BV51">
        <f>MAX(0,($BG$16+1/($BG$17*$BG$18))-1/((10-BU51) * $BG$18))</f>
        <v>0.89858104355815938</v>
      </c>
    </row>
    <row r="52" spans="68:74" x14ac:dyDescent="0.25">
      <c r="BP52">
        <f t="shared" si="49"/>
        <v>180</v>
      </c>
      <c r="BQ52">
        <f t="shared" si="39"/>
        <v>5.1929568508902104</v>
      </c>
      <c r="BR52">
        <f t="shared" si="40"/>
        <v>0.73240465888899264</v>
      </c>
      <c r="BS52">
        <f t="shared" si="41"/>
        <v>0.91754206657603909</v>
      </c>
      <c r="BU52">
        <f t="shared" si="45"/>
        <v>3.0000000000000013</v>
      </c>
      <c r="BV52">
        <f>MAX(0,($BG$16+1/($BG$17*$BG$18))-1/((10-BU52) * $BG$18))</f>
        <v>0.8961528357642905</v>
      </c>
    </row>
    <row r="53" spans="68:74" x14ac:dyDescent="0.25">
      <c r="BP53">
        <f t="shared" si="49"/>
        <v>190</v>
      </c>
      <c r="BQ53">
        <f t="shared" si="39"/>
        <v>5.2470240721604862</v>
      </c>
      <c r="BR53">
        <f t="shared" si="40"/>
        <v>0.72652852542636714</v>
      </c>
      <c r="BS53">
        <f t="shared" si="41"/>
        <v>0.92392391251925343</v>
      </c>
      <c r="BU53">
        <f t="shared" si="45"/>
        <v>3.1000000000000014</v>
      </c>
      <c r="BV53">
        <f>MAX(0,($BG$16+1/($BG$17*$BG$18))-1/((10-BU53) * $BG$18))</f>
        <v>0.89365424513581682</v>
      </c>
    </row>
    <row r="54" spans="68:74" x14ac:dyDescent="0.25">
      <c r="BP54">
        <f t="shared" si="49"/>
        <v>200</v>
      </c>
      <c r="BQ54">
        <f t="shared" si="39"/>
        <v>5.2983173665480363</v>
      </c>
      <c r="BR54">
        <f t="shared" si="40"/>
        <v>0.72075819468806512</v>
      </c>
      <c r="BS54">
        <f t="shared" si="41"/>
        <v>0.92975468696968566</v>
      </c>
      <c r="BU54">
        <f t="shared" si="45"/>
        <v>3.2000000000000015</v>
      </c>
      <c r="BV54">
        <f>MAX(0,($BG$16+1/($BG$17*$BG$18))-1/((10-BU54) * $BG$18))</f>
        <v>0.89108216654768213</v>
      </c>
    </row>
    <row r="55" spans="68:74" x14ac:dyDescent="0.25">
      <c r="BP55">
        <f>BP54+50</f>
        <v>250</v>
      </c>
      <c r="BQ55">
        <f t="shared" si="39"/>
        <v>5.521460917862246</v>
      </c>
      <c r="BR55">
        <f t="shared" si="40"/>
        <v>0.69317584095074125</v>
      </c>
      <c r="BS55">
        <f t="shared" si="41"/>
        <v>0.95244943915188174</v>
      </c>
      <c r="BU55">
        <f t="shared" si="45"/>
        <v>3.3000000000000016</v>
      </c>
      <c r="BV55">
        <f>MAX(0,($BG$16+1/($BG$17*$BG$18))-1/((10-BU55) * $BG$18))</f>
        <v>0.88843330949422994</v>
      </c>
    </row>
    <row r="56" spans="68:74" x14ac:dyDescent="0.25">
      <c r="BP56">
        <f t="shared" ref="BP56:BP70" si="50">BP55+50</f>
        <v>300</v>
      </c>
      <c r="BQ56">
        <f t="shared" si="39"/>
        <v>5.7037824746562009</v>
      </c>
      <c r="BR56">
        <f t="shared" si="40"/>
        <v>0.66711978373630698</v>
      </c>
      <c r="BS56">
        <f t="shared" si="41"/>
        <v>0.96758398203144513</v>
      </c>
      <c r="BU56">
        <f t="shared" si="45"/>
        <v>3.4000000000000017</v>
      </c>
      <c r="BV56">
        <f>MAX(0,($BG$16+1/($BG$17*$BG$18))-1/((10-BU56) * $BG$18))</f>
        <v>0.88570418404521867</v>
      </c>
    </row>
    <row r="57" spans="68:74" x14ac:dyDescent="0.25">
      <c r="BP57">
        <f t="shared" si="50"/>
        <v>350</v>
      </c>
      <c r="BQ57">
        <f t="shared" si="39"/>
        <v>5.857933154483459</v>
      </c>
      <c r="BR57">
        <f t="shared" si="40"/>
        <v>0.64205435800763322</v>
      </c>
      <c r="BS57">
        <f t="shared" si="41"/>
        <v>0.97789759943806631</v>
      </c>
      <c r="BU57">
        <f t="shared" si="45"/>
        <v>3.5000000000000018</v>
      </c>
      <c r="BV57">
        <f>MAX(0,($BG$16+1/($BG$17*$BG$18))-1/((10-BU57) * $BG$18))</f>
        <v>0.88289108550546846</v>
      </c>
    </row>
    <row r="58" spans="68:74" x14ac:dyDescent="0.25">
      <c r="BP58">
        <f t="shared" si="50"/>
        <v>400</v>
      </c>
      <c r="BQ58">
        <f t="shared" si="39"/>
        <v>5.9914645471079817</v>
      </c>
      <c r="BR58">
        <f t="shared" si="40"/>
        <v>0.61763593864421518</v>
      </c>
      <c r="BS58">
        <f t="shared" si="41"/>
        <v>0.9850015268695701</v>
      </c>
      <c r="BU58">
        <f t="shared" si="45"/>
        <v>3.6000000000000019</v>
      </c>
      <c r="BV58">
        <f>MAX(0,($BG$16+1/($BG$17*$BG$18))-1/((10-BU58) * $BG$18))</f>
        <v>0.87999007763635118</v>
      </c>
    </row>
    <row r="59" spans="68:74" x14ac:dyDescent="0.25">
      <c r="BP59">
        <f t="shared" si="50"/>
        <v>450</v>
      </c>
      <c r="BQ59">
        <f t="shared" si="39"/>
        <v>6.1092475827643655</v>
      </c>
      <c r="BR59">
        <f t="shared" si="40"/>
        <v>0.59362654672186865</v>
      </c>
      <c r="BS59">
        <f t="shared" si="41"/>
        <v>0.9899108493790626</v>
      </c>
      <c r="BU59">
        <f t="shared" si="45"/>
        <v>3.700000000000002</v>
      </c>
      <c r="BV59">
        <f>MAX(0,($BG$16+1/($BG$17*$BG$18))-1/((10-BU59) * $BG$18))</f>
        <v>0.87699697427932533</v>
      </c>
    </row>
    <row r="60" spans="68:74" x14ac:dyDescent="0.25">
      <c r="BP60">
        <f t="shared" si="50"/>
        <v>500</v>
      </c>
      <c r="BQ60">
        <f t="shared" si="39"/>
        <v>6.2146080984221914</v>
      </c>
      <c r="BR60">
        <f t="shared" si="40"/>
        <v>0.569851292413324</v>
      </c>
      <c r="BS60">
        <f t="shared" si="41"/>
        <v>0.99329595624928546</v>
      </c>
      <c r="BU60">
        <f t="shared" si="45"/>
        <v>3.800000000000002</v>
      </c>
      <c r="BV60">
        <f>MAX(0,($BG$16+1/($BG$17*$BG$18))-1/((10-BU60) * $BG$18))</f>
        <v>0.87390731920110509</v>
      </c>
    </row>
    <row r="61" spans="68:74" x14ac:dyDescent="0.25">
      <c r="BP61">
        <f t="shared" si="50"/>
        <v>550</v>
      </c>
      <c r="BQ61">
        <f t="shared" si="39"/>
        <v>6.3099182782265162</v>
      </c>
      <c r="BR61">
        <f t="shared" si="40"/>
        <v>0.54617525808218648</v>
      </c>
      <c r="BS61">
        <f t="shared" si="41"/>
        <v>0.99561427203877517</v>
      </c>
      <c r="BU61">
        <f t="shared" si="45"/>
        <v>3.9000000000000021</v>
      </c>
      <c r="BV61">
        <f>MAX(0,($BG$16+1/($BG$17*$BG$18))-1/((10-BU61) * $BG$18))</f>
        <v>0.87071636395638596</v>
      </c>
    </row>
    <row r="62" spans="68:74" x14ac:dyDescent="0.25">
      <c r="BP62">
        <f t="shared" si="50"/>
        <v>600</v>
      </c>
      <c r="BQ62">
        <f t="shared" si="39"/>
        <v>6.3969296552161463</v>
      </c>
      <c r="BR62">
        <f t="shared" si="40"/>
        <v>0.52248997636488048</v>
      </c>
      <c r="BS62">
        <f t="shared" si="41"/>
        <v>0.99718485288033465</v>
      </c>
      <c r="BU62">
        <f t="shared" si="45"/>
        <v>4.0000000000000018</v>
      </c>
      <c r="BV62">
        <f>MAX(0,($BG$16+1/($BG$17*$BG$18))-1/((10-BU62) * $BG$18))</f>
        <v>0.86741904353684274</v>
      </c>
    </row>
    <row r="63" spans="68:74" x14ac:dyDescent="0.25">
      <c r="BP63">
        <f t="shared" si="50"/>
        <v>650</v>
      </c>
      <c r="BQ63">
        <f t="shared" si="39"/>
        <v>6.4769723628896827</v>
      </c>
      <c r="BR63">
        <f t="shared" si="40"/>
        <v>0.49870504279401651</v>
      </c>
      <c r="BS63">
        <f t="shared" si="41"/>
        <v>0.99823331524566505</v>
      </c>
      <c r="BU63">
        <f t="shared" si="45"/>
        <v>4.1000000000000014</v>
      </c>
      <c r="BV63">
        <f>MAX(0,($BG$16+1/($BG$17*$BG$18))-1/((10-BU63) * $BG$18))</f>
        <v>0.86400994954375565</v>
      </c>
    </row>
    <row r="64" spans="68:74" x14ac:dyDescent="0.25">
      <c r="BP64">
        <f t="shared" si="50"/>
        <v>700</v>
      </c>
      <c r="BQ64">
        <f t="shared" si="39"/>
        <v>6.5510803350434044</v>
      </c>
      <c r="BR64">
        <f t="shared" si="40"/>
        <v>0.4747426555796147</v>
      </c>
      <c r="BS64">
        <f t="shared" si="41"/>
        <v>0.99892029773640656</v>
      </c>
      <c r="BU64">
        <f t="shared" si="45"/>
        <v>4.2000000000000011</v>
      </c>
      <c r="BV64">
        <f>MAX(0,($BG$16+1/($BG$17*$BG$18))-1/((10-BU64) * $BG$18))</f>
        <v>0.8604833005853898</v>
      </c>
    </row>
    <row r="65" spans="68:74" x14ac:dyDescent="0.25">
      <c r="BP65">
        <f t="shared" si="50"/>
        <v>750</v>
      </c>
      <c r="BQ65">
        <f t="shared" si="39"/>
        <v>6.620073206530356</v>
      </c>
      <c r="BR65">
        <f t="shared" si="40"/>
        <v>0.45053391098406859</v>
      </c>
      <c r="BS65">
        <f t="shared" si="41"/>
        <v>0.99936027059099286</v>
      </c>
      <c r="BU65">
        <f t="shared" si="45"/>
        <v>4.3000000000000007</v>
      </c>
      <c r="BV65">
        <f>MAX(0,($BG$16+1/($BG$17*$BG$18))-1/((10-BU65) * $BG$18))</f>
        <v>0.85683290955830937</v>
      </c>
    </row>
    <row r="66" spans="68:74" x14ac:dyDescent="0.25">
      <c r="BP66">
        <f t="shared" si="50"/>
        <v>800</v>
      </c>
      <c r="BQ66">
        <f t="shared" si="39"/>
        <v>6.6846117276679271</v>
      </c>
      <c r="BR66">
        <f t="shared" si="40"/>
        <v>0.42601619595390805</v>
      </c>
      <c r="BS66">
        <f t="shared" si="41"/>
        <v>0.99963441988520285</v>
      </c>
      <c r="BU66">
        <f t="shared" si="45"/>
        <v>4.4000000000000004</v>
      </c>
      <c r="BV66">
        <f>MAX(0,($BG$16+1/($BG$17*$BG$18))-1/((10-BU66) * $BG$18))</f>
        <v>0.85305214742311886</v>
      </c>
    </row>
    <row r="67" spans="68:74" x14ac:dyDescent="0.25">
      <c r="BP67">
        <f t="shared" si="50"/>
        <v>850</v>
      </c>
      <c r="BQ67">
        <f t="shared" si="39"/>
        <v>6.7452363494843626</v>
      </c>
      <c r="BR67">
        <f t="shared" si="40"/>
        <v>0.4011312899840046</v>
      </c>
      <c r="BS67">
        <f t="shared" si="41"/>
        <v>0.99979974338743116</v>
      </c>
      <c r="BU67">
        <f t="shared" si="45"/>
        <v>4.5</v>
      </c>
      <c r="BV67">
        <f>MAX(0,($BG$16+1/($BG$17*$BG$18))-1/((10-BU67) * $BG$18))</f>
        <v>0.84913390302846681</v>
      </c>
    </row>
    <row r="68" spans="68:74" x14ac:dyDescent="0.25">
      <c r="BP68">
        <f t="shared" si="50"/>
        <v>900</v>
      </c>
      <c r="BQ68">
        <f t="shared" si="39"/>
        <v>6.8023947633243109</v>
      </c>
      <c r="BR68">
        <f t="shared" si="40"/>
        <v>0.37582393798420943</v>
      </c>
      <c r="BS68">
        <f t="shared" si="41"/>
        <v>0.99989563236245727</v>
      </c>
      <c r="BU68">
        <f t="shared" si="45"/>
        <v>4.5999999999999996</v>
      </c>
      <c r="BV68">
        <f>MAX(0,($BG$16+1/($BG$17*$BG$18))-1/((10-BU68) * $BG$18))</f>
        <v>0.84507053847104996</v>
      </c>
    </row>
    <row r="69" spans="68:74" x14ac:dyDescent="0.25">
      <c r="BP69">
        <f t="shared" si="50"/>
        <v>950</v>
      </c>
      <c r="BQ69">
        <f t="shared" si="39"/>
        <v>6.8564619845945867</v>
      </c>
      <c r="BR69">
        <f t="shared" si="40"/>
        <v>0.35004074256376294</v>
      </c>
      <c r="BS69">
        <f t="shared" si="41"/>
        <v>0.9999487247922485</v>
      </c>
      <c r="BU69">
        <f t="shared" si="45"/>
        <v>4.6999999999999993</v>
      </c>
      <c r="BV69">
        <f>MAX(0,($BG$16+1/($BG$17*$BG$18))-1/((10-BU69) * $BG$18))</f>
        <v>0.84085383940203251</v>
      </c>
    </row>
    <row r="70" spans="68:74" x14ac:dyDescent="0.25">
      <c r="BP70">
        <f t="shared" si="50"/>
        <v>1000</v>
      </c>
      <c r="BQ70">
        <f t="shared" si="39"/>
        <v>6.9077552789821368</v>
      </c>
      <c r="BR70">
        <f t="shared" si="40"/>
        <v>0.32372927612893865</v>
      </c>
      <c r="BS70">
        <f t="shared" si="41"/>
        <v>0.99997652847943408</v>
      </c>
      <c r="BU70">
        <f t="shared" si="45"/>
        <v>4.7999999999999989</v>
      </c>
      <c r="BV70">
        <f>MAX(0,($BG$16+1/($BG$17*$BG$18))-1/((10-BU70) * $BG$18))</f>
        <v>0.83647495959959128</v>
      </c>
    </row>
    <row r="71" spans="68:74" x14ac:dyDescent="0.25">
      <c r="BP71">
        <f>BP70+100</f>
        <v>1100</v>
      </c>
      <c r="BQ71">
        <f t="shared" si="39"/>
        <v>7.0030654587864616</v>
      </c>
      <c r="BR71">
        <f t="shared" si="40"/>
        <v>0.26931236104985612</v>
      </c>
      <c r="BS71">
        <f t="shared" si="41"/>
        <v>0.99999627364404764</v>
      </c>
      <c r="BU71">
        <f t="shared" si="45"/>
        <v>4.8999999999999986</v>
      </c>
      <c r="BV71">
        <f>MAX(0,($BG$16+1/($BG$17*$BG$18))-1/((10-BU71) * $BG$18))</f>
        <v>0.83192435902058381</v>
      </c>
    </row>
    <row r="72" spans="68:74" x14ac:dyDescent="0.25">
      <c r="BP72">
        <f t="shared" ref="BP72:BP121" si="51">BP71+100</f>
        <v>1200</v>
      </c>
      <c r="BQ72">
        <f t="shared" si="39"/>
        <v>7.0900768357760917</v>
      </c>
      <c r="BR72">
        <f t="shared" si="40"/>
        <v>0.21214759125512084</v>
      </c>
      <c r="BS72">
        <f t="shared" si="41"/>
        <v>0.99999965715129369</v>
      </c>
      <c r="BU72">
        <f t="shared" si="45"/>
        <v>4.9999999999999982</v>
      </c>
      <c r="BV72">
        <f>MAX(0,($BG$16+1/($BG$17*$BG$18))-1/((10-BU72) * $BG$18))</f>
        <v>0.82719173441841587</v>
      </c>
    </row>
    <row r="73" spans="68:74" x14ac:dyDescent="0.25">
      <c r="BP73">
        <f t="shared" si="51"/>
        <v>1300</v>
      </c>
      <c r="BQ73">
        <f t="shared" si="39"/>
        <v>7.1701195434496281</v>
      </c>
      <c r="BR73">
        <f t="shared" si="40"/>
        <v>0.15178612941977676</v>
      </c>
      <c r="BS73">
        <f t="shared" si="41"/>
        <v>0.99999998794846601</v>
      </c>
      <c r="BU73">
        <f t="shared" si="45"/>
        <v>5.0999999999999979</v>
      </c>
      <c r="BV73">
        <f>MAX(0,($BG$16+1/($BG$17*$BG$18))-1/((10-BU73) * $BG$18))</f>
        <v>0.82226594146513921</v>
      </c>
    </row>
    <row r="74" spans="68:74" x14ac:dyDescent="0.25">
      <c r="BP74">
        <f t="shared" si="51"/>
        <v>1400</v>
      </c>
      <c r="BQ74">
        <f t="shared" si="39"/>
        <v>7.2442275156033498</v>
      </c>
      <c r="BR74">
        <f t="shared" si="40"/>
        <v>8.7740372980924741E-2</v>
      </c>
      <c r="BS74">
        <f t="shared" si="41"/>
        <v>0.9999999999497986</v>
      </c>
      <c r="BU74">
        <f t="shared" si="45"/>
        <v>5.1999999999999975</v>
      </c>
      <c r="BV74">
        <f>MAX(0,($BG$16+1/($BG$17*$BG$18))-1/((10-BU74) * $BG$18))</f>
        <v>0.81713490713880921</v>
      </c>
    </row>
    <row r="75" spans="68:74" x14ac:dyDescent="0.25">
      <c r="BP75">
        <f t="shared" si="51"/>
        <v>1500</v>
      </c>
      <c r="BQ75">
        <f t="shared" si="39"/>
        <v>7.3132203870903014</v>
      </c>
      <c r="BR75">
        <f t="shared" si="40"/>
        <v>1.9468474626479715E-2</v>
      </c>
      <c r="BS75">
        <f t="shared" si="41"/>
        <v>1</v>
      </c>
      <c r="BU75">
        <f t="shared" si="45"/>
        <v>5.2999999999999972</v>
      </c>
      <c r="BV75">
        <f>MAX(0,($BG$16+1/($BG$17*$BG$18))-1/((10-BU75) * $BG$18))</f>
        <v>0.8117855309262525</v>
      </c>
    </row>
    <row r="76" spans="68:74" x14ac:dyDescent="0.25">
      <c r="BP76">
        <f t="shared" si="51"/>
        <v>1600</v>
      </c>
      <c r="BQ76">
        <f t="shared" si="39"/>
        <v>7.3777589082278725</v>
      </c>
      <c r="BR76">
        <f t="shared" si="40"/>
        <v>0</v>
      </c>
      <c r="BS76">
        <f t="shared" si="41"/>
        <v>1</v>
      </c>
      <c r="BU76">
        <f t="shared" si="45"/>
        <v>5.3999999999999968</v>
      </c>
      <c r="BV76">
        <f>MAX(0,($BG$16+1/($BG$17*$BG$18))-1/((10-BU76) * $BG$18))</f>
        <v>0.80620357313923674</v>
      </c>
    </row>
    <row r="77" spans="68:74" x14ac:dyDescent="0.25">
      <c r="BP77">
        <f t="shared" si="51"/>
        <v>1700</v>
      </c>
      <c r="BQ77">
        <f t="shared" si="39"/>
        <v>7.4383835300443071</v>
      </c>
      <c r="BR77">
        <f t="shared" si="40"/>
        <v>0</v>
      </c>
      <c r="BS77">
        <f t="shared" si="41"/>
        <v>1</v>
      </c>
      <c r="BU77">
        <f t="shared" si="45"/>
        <v>5.4999999999999964</v>
      </c>
      <c r="BV77">
        <f>MAX(0,($BG$16+1/($BG$17*$BG$18))-1/((10-BU77) * $BG$18))</f>
        <v>0.80037352833946473</v>
      </c>
    </row>
    <row r="78" spans="68:74" x14ac:dyDescent="0.25">
      <c r="BP78">
        <f t="shared" si="51"/>
        <v>1800</v>
      </c>
      <c r="BQ78">
        <f t="shared" si="39"/>
        <v>7.4955419438842563</v>
      </c>
      <c r="BR78">
        <f t="shared" si="40"/>
        <v>0</v>
      </c>
      <c r="BS78">
        <f t="shared" si="41"/>
        <v>1</v>
      </c>
      <c r="BU78">
        <f t="shared" si="45"/>
        <v>5.5999999999999961</v>
      </c>
      <c r="BV78">
        <f>MAX(0,($BG$16+1/($BG$17*$BG$18))-1/((10-BU78) * $BG$18))</f>
        <v>0.79427848150333946</v>
      </c>
    </row>
    <row r="79" spans="68:74" x14ac:dyDescent="0.25">
      <c r="BP79">
        <f t="shared" si="51"/>
        <v>1900</v>
      </c>
      <c r="BQ79">
        <f t="shared" si="39"/>
        <v>7.5496091651545321</v>
      </c>
      <c r="BR79">
        <f t="shared" si="40"/>
        <v>0</v>
      </c>
      <c r="BS79">
        <f t="shared" si="41"/>
        <v>1</v>
      </c>
      <c r="BU79">
        <f t="shared" si="45"/>
        <v>5.6999999999999957</v>
      </c>
      <c r="BV79">
        <f>MAX(0,($BG$16+1/($BG$17*$BG$18))-1/((10-BU79) * $BG$18))</f>
        <v>0.78789994411669673</v>
      </c>
    </row>
    <row r="80" spans="68:74" x14ac:dyDescent="0.25">
      <c r="BP80">
        <f t="shared" si="51"/>
        <v>2000</v>
      </c>
      <c r="BQ80">
        <f t="shared" si="39"/>
        <v>7.6009024595420822</v>
      </c>
      <c r="BR80">
        <f t="shared" si="40"/>
        <v>0</v>
      </c>
      <c r="BS80">
        <f t="shared" si="41"/>
        <v>1</v>
      </c>
      <c r="BU80">
        <f t="shared" si="45"/>
        <v>5.7999999999999954</v>
      </c>
      <c r="BV80">
        <f>MAX(0,($BG$16+1/($BG$17*$BG$18))-1/((10-BU80) * $BG$18))</f>
        <v>0.78121766685449967</v>
      </c>
    </row>
    <row r="81" spans="68:74" x14ac:dyDescent="0.25">
      <c r="BP81">
        <f t="shared" si="51"/>
        <v>2100</v>
      </c>
      <c r="BQ81">
        <f t="shared" si="39"/>
        <v>7.6496926237115144</v>
      </c>
      <c r="BR81">
        <f t="shared" si="40"/>
        <v>0</v>
      </c>
      <c r="BS81">
        <f t="shared" si="41"/>
        <v>1</v>
      </c>
      <c r="BU81">
        <f t="shared" si="45"/>
        <v>5.899999999999995</v>
      </c>
      <c r="BV81">
        <f>MAX(0,($BG$16+1/($BG$17*$BG$18))-1/((10-BU81) * $BG$18))</f>
        <v>0.77420942484780508</v>
      </c>
    </row>
    <row r="82" spans="68:74" x14ac:dyDescent="0.25">
      <c r="BP82">
        <f t="shared" si="51"/>
        <v>2200</v>
      </c>
      <c r="BQ82">
        <f t="shared" si="39"/>
        <v>7.696212639346407</v>
      </c>
      <c r="BR82">
        <f t="shared" si="40"/>
        <v>0</v>
      </c>
      <c r="BS82">
        <f t="shared" si="41"/>
        <v>1</v>
      </c>
      <c r="BU82">
        <f t="shared" si="45"/>
        <v>5.9999999999999947</v>
      </c>
      <c r="BV82">
        <f>MAX(0,($BG$16+1/($BG$17*$BG$18))-1/((10-BU82) * $BG$18))</f>
        <v>0.76685077074077579</v>
      </c>
    </row>
    <row r="83" spans="68:74" x14ac:dyDescent="0.25">
      <c r="BP83">
        <f t="shared" si="51"/>
        <v>2300</v>
      </c>
      <c r="BQ83">
        <f t="shared" si="39"/>
        <v>7.7406644019172415</v>
      </c>
      <c r="BR83">
        <f t="shared" si="40"/>
        <v>0</v>
      </c>
      <c r="BS83">
        <f t="shared" si="41"/>
        <v>1</v>
      </c>
      <c r="BU83">
        <f t="shared" si="45"/>
        <v>6.0999999999999943</v>
      </c>
      <c r="BV83">
        <f>MAX(0,($BG$16+1/($BG$17*$BG$18))-1/((10-BU83) * $BG$18))</f>
        <v>0.75911474975646298</v>
      </c>
    </row>
    <row r="84" spans="68:74" x14ac:dyDescent="0.25">
      <c r="BP84">
        <f t="shared" si="51"/>
        <v>2400</v>
      </c>
      <c r="BQ84">
        <f t="shared" si="39"/>
        <v>7.7832240163360371</v>
      </c>
      <c r="BR84">
        <f t="shared" si="40"/>
        <v>0</v>
      </c>
      <c r="BS84">
        <f t="shared" si="41"/>
        <v>1</v>
      </c>
      <c r="BU84">
        <f t="shared" si="45"/>
        <v>6.199999999999994</v>
      </c>
      <c r="BV84">
        <f>MAX(0,($BG$16+1/($BG$17*$BG$18))-1/((10-BU84) * $BG$18))</f>
        <v>0.75097156977297574</v>
      </c>
    </row>
    <row r="85" spans="68:74" x14ac:dyDescent="0.25">
      <c r="BP85">
        <f t="shared" si="51"/>
        <v>2500</v>
      </c>
      <c r="BQ85">
        <f t="shared" si="39"/>
        <v>7.8240460108562919</v>
      </c>
      <c r="BR85">
        <f t="shared" si="40"/>
        <v>0</v>
      </c>
      <c r="BS85">
        <f t="shared" si="41"/>
        <v>1</v>
      </c>
      <c r="BU85">
        <f t="shared" si="45"/>
        <v>6.2999999999999936</v>
      </c>
      <c r="BV85">
        <f>MAX(0,($BG$16+1/($BG$17*$BG$18))-1/((10-BU85) * $BG$18))</f>
        <v>0.7423882178984893</v>
      </c>
    </row>
    <row r="86" spans="68:74" x14ac:dyDescent="0.25">
      <c r="BP86">
        <f t="shared" si="51"/>
        <v>2600</v>
      </c>
      <c r="BQ86">
        <f t="shared" si="39"/>
        <v>7.8632667240095735</v>
      </c>
      <c r="BR86">
        <f t="shared" si="40"/>
        <v>0</v>
      </c>
      <c r="BS86">
        <f t="shared" si="41"/>
        <v>1</v>
      </c>
      <c r="BU86">
        <f t="shared" si="45"/>
        <v>6.3999999999999932</v>
      </c>
      <c r="BV86">
        <f>MAX(0,($BG$16+1/($BG$17*$BG$18))-1/((10-BU86) * $BG$18))</f>
        <v>0.73332801314208684</v>
      </c>
    </row>
    <row r="87" spans="68:74" x14ac:dyDescent="0.25">
      <c r="BP87">
        <f t="shared" si="51"/>
        <v>2700</v>
      </c>
      <c r="BQ87">
        <f t="shared" ref="BQ87:BQ121" si="52">LN(BP87)</f>
        <v>7.90100705199242</v>
      </c>
      <c r="BR87">
        <f t="shared" ref="BR87:BR121" si="53">MAX(0,(0.94+1/(8.3*0.97))-1/((8.3-MIN(8.2,BQ87)) * 0.97))</f>
        <v>0</v>
      </c>
      <c r="BS87">
        <f t="shared" ref="BS87:BS121" si="54">1-(BR87/0.94)^10</f>
        <v>1</v>
      </c>
      <c r="BU87">
        <f t="shared" si="45"/>
        <v>6.4999999999999929</v>
      </c>
      <c r="BV87">
        <f>MAX(0,($BG$16+1/($BG$17*$BG$18))-1/((10-BU87) * $BG$18))</f>
        <v>0.72375008239960437</v>
      </c>
    </row>
    <row r="88" spans="68:74" x14ac:dyDescent="0.25">
      <c r="BP88">
        <f t="shared" si="51"/>
        <v>2800</v>
      </c>
      <c r="BQ88">
        <f t="shared" si="52"/>
        <v>7.9373746961632952</v>
      </c>
      <c r="BR88">
        <f t="shared" si="53"/>
        <v>0</v>
      </c>
      <c r="BS88">
        <f t="shared" si="54"/>
        <v>1</v>
      </c>
      <c r="BU88">
        <f t="shared" ref="BU88:BU96" si="55">BU87+0.1</f>
        <v>6.5999999999999925</v>
      </c>
      <c r="BV88">
        <f>MAX(0,($BG$16+1/($BG$17*$BG$18))-1/((10-BU88) * $BG$18))</f>
        <v>0.71360874396638752</v>
      </c>
    </row>
    <row r="89" spans="68:74" x14ac:dyDescent="0.25">
      <c r="BP89">
        <f t="shared" si="51"/>
        <v>2900</v>
      </c>
      <c r="BQ89">
        <f t="shared" si="52"/>
        <v>7.9724660159745655</v>
      </c>
      <c r="BR89">
        <f t="shared" si="53"/>
        <v>0</v>
      </c>
      <c r="BS89">
        <f t="shared" si="54"/>
        <v>1</v>
      </c>
      <c r="BU89">
        <f t="shared" si="55"/>
        <v>6.6999999999999922</v>
      </c>
      <c r="BV89">
        <f>MAX(0,($BG$16+1/($BG$17*$BG$18))-1/((10-BU89) * $BG$18))</f>
        <v>0.7028527789614607</v>
      </c>
    </row>
    <row r="90" spans="68:74" x14ac:dyDescent="0.25">
      <c r="BP90">
        <f t="shared" si="51"/>
        <v>3000</v>
      </c>
      <c r="BQ90">
        <f t="shared" si="52"/>
        <v>8.0063675676502459</v>
      </c>
      <c r="BR90">
        <f t="shared" si="53"/>
        <v>0</v>
      </c>
      <c r="BS90">
        <f t="shared" si="54"/>
        <v>1</v>
      </c>
      <c r="BU90">
        <f t="shared" si="55"/>
        <v>6.7999999999999918</v>
      </c>
      <c r="BV90">
        <f>MAX(0,($BG$16+1/($BG$17*$BG$18))-1/((10-BU90) * $BG$18))</f>
        <v>0.69142456614372583</v>
      </c>
    </row>
    <row r="91" spans="68:74" x14ac:dyDescent="0.25">
      <c r="BP91">
        <f t="shared" si="51"/>
        <v>3100</v>
      </c>
      <c r="BQ91">
        <f t="shared" si="52"/>
        <v>8.0391573904732372</v>
      </c>
      <c r="BR91">
        <f t="shared" si="53"/>
        <v>0</v>
      </c>
      <c r="BS91">
        <f t="shared" si="54"/>
        <v>1</v>
      </c>
      <c r="BU91">
        <f t="shared" si="55"/>
        <v>6.8999999999999915</v>
      </c>
      <c r="BV91">
        <f>MAX(0,($BG$16+1/($BG$17*$BG$18))-1/((10-BU91) * $BG$18))</f>
        <v>0.67925904927323388</v>
      </c>
    </row>
    <row r="92" spans="68:74" x14ac:dyDescent="0.25">
      <c r="BP92">
        <f t="shared" si="51"/>
        <v>3200</v>
      </c>
      <c r="BQ92">
        <f t="shared" si="52"/>
        <v>8.0709060887878188</v>
      </c>
      <c r="BR92">
        <f t="shared" si="53"/>
        <v>0</v>
      </c>
      <c r="BS92">
        <f t="shared" si="54"/>
        <v>1</v>
      </c>
      <c r="BU92">
        <f t="shared" si="55"/>
        <v>6.9999999999999911</v>
      </c>
      <c r="BV92">
        <f>MAX(0,($BG$16+1/($BG$17*$BG$18))-1/((10-BU92) * $BG$18))</f>
        <v>0.66628249794470928</v>
      </c>
    </row>
    <row r="93" spans="68:74" x14ac:dyDescent="0.25">
      <c r="BP93">
        <f t="shared" si="51"/>
        <v>3300</v>
      </c>
      <c r="BQ93">
        <f t="shared" si="52"/>
        <v>8.1016777474545716</v>
      </c>
      <c r="BR93">
        <f t="shared" si="53"/>
        <v>0</v>
      </c>
      <c r="BS93">
        <f t="shared" si="54"/>
        <v>1</v>
      </c>
      <c r="BU93">
        <f t="shared" si="55"/>
        <v>7.0999999999999908</v>
      </c>
      <c r="BV93">
        <f>MAX(0,($BG$16+1/($BG$17*$BG$18))-1/((10-BU93) * $BG$18))</f>
        <v>0.65241101204180352</v>
      </c>
    </row>
    <row r="94" spans="68:74" x14ac:dyDescent="0.25">
      <c r="BP94">
        <f t="shared" si="51"/>
        <v>3400</v>
      </c>
      <c r="BQ94">
        <f t="shared" si="52"/>
        <v>8.1315307106042525</v>
      </c>
      <c r="BR94">
        <f t="shared" si="53"/>
        <v>0</v>
      </c>
      <c r="BS94">
        <f t="shared" si="54"/>
        <v>1</v>
      </c>
      <c r="BU94">
        <f t="shared" si="55"/>
        <v>7.1999999999999904</v>
      </c>
      <c r="BV94">
        <f>MAX(0,($BG$16+1/($BG$17*$BG$18))-1/((10-BU94) * $BG$18))</f>
        <v>0.63754870571726174</v>
      </c>
    </row>
    <row r="95" spans="68:74" x14ac:dyDescent="0.25">
      <c r="BP95">
        <f t="shared" si="51"/>
        <v>3500</v>
      </c>
      <c r="BQ95">
        <f t="shared" si="52"/>
        <v>8.1605182474775049</v>
      </c>
      <c r="BR95">
        <f t="shared" si="53"/>
        <v>0</v>
      </c>
      <c r="BS95">
        <f t="shared" si="54"/>
        <v>1</v>
      </c>
      <c r="BU95">
        <f t="shared" si="55"/>
        <v>7.2999999999999901</v>
      </c>
      <c r="BV95">
        <f>MAX(0,($BG$16+1/($BG$17*$BG$18))-1/((10-BU95) * $BG$18))</f>
        <v>0.62158548781312417</v>
      </c>
    </row>
    <row r="96" spans="68:74" x14ac:dyDescent="0.25">
      <c r="BP96">
        <f t="shared" si="51"/>
        <v>3600</v>
      </c>
      <c r="BQ96">
        <f t="shared" si="52"/>
        <v>8.1886891244442008</v>
      </c>
      <c r="BR96">
        <f t="shared" si="53"/>
        <v>0</v>
      </c>
      <c r="BS96">
        <f t="shared" si="54"/>
        <v>1</v>
      </c>
      <c r="BU96">
        <f t="shared" si="55"/>
        <v>7.3999999999999897</v>
      </c>
      <c r="BV96">
        <f>MAX(0,($BG$16+1/($BG$17*$BG$18))-1/((10-BU96) * $BG$18))</f>
        <v>0.60439433007020682</v>
      </c>
    </row>
    <row r="97" spans="68:74" x14ac:dyDescent="0.25">
      <c r="BP97">
        <f t="shared" si="51"/>
        <v>3700</v>
      </c>
      <c r="BQ97">
        <f t="shared" si="52"/>
        <v>8.2160880986323157</v>
      </c>
      <c r="BR97">
        <f t="shared" si="53"/>
        <v>0</v>
      </c>
      <c r="BS97">
        <f t="shared" si="54"/>
        <v>1</v>
      </c>
      <c r="BU97">
        <v>7.49</v>
      </c>
      <c r="BV97">
        <f>MAX(0,($BG$16+1/($BG$17*$BG$18))-1/((10-BU97) * $BG$18))</f>
        <v>0.58775109767367528</v>
      </c>
    </row>
    <row r="98" spans="68:74" x14ac:dyDescent="0.25">
      <c r="BP98">
        <f t="shared" si="51"/>
        <v>3800</v>
      </c>
      <c r="BQ98">
        <f t="shared" si="52"/>
        <v>8.2427563457144775</v>
      </c>
      <c r="BR98">
        <f t="shared" si="53"/>
        <v>0</v>
      </c>
      <c r="BS98">
        <f t="shared" si="54"/>
        <v>1</v>
      </c>
    </row>
    <row r="99" spans="68:74" x14ac:dyDescent="0.25">
      <c r="BP99">
        <f t="shared" si="51"/>
        <v>3900</v>
      </c>
      <c r="BQ99">
        <f t="shared" si="52"/>
        <v>8.2687318321177372</v>
      </c>
      <c r="BR99">
        <f t="shared" si="53"/>
        <v>0</v>
      </c>
      <c r="BS99">
        <f t="shared" si="54"/>
        <v>1</v>
      </c>
    </row>
    <row r="100" spans="68:74" x14ac:dyDescent="0.25">
      <c r="BP100">
        <f t="shared" si="51"/>
        <v>4000</v>
      </c>
      <c r="BQ100">
        <f t="shared" si="52"/>
        <v>8.2940496401020276</v>
      </c>
      <c r="BR100">
        <f t="shared" si="53"/>
        <v>0</v>
      </c>
      <c r="BS100">
        <f t="shared" si="54"/>
        <v>1</v>
      </c>
    </row>
    <row r="101" spans="68:74" x14ac:dyDescent="0.25">
      <c r="BP101">
        <f t="shared" si="51"/>
        <v>4100</v>
      </c>
      <c r="BQ101">
        <f t="shared" si="52"/>
        <v>8.3187422526923989</v>
      </c>
      <c r="BR101">
        <f t="shared" si="53"/>
        <v>0</v>
      </c>
      <c r="BS101">
        <f t="shared" si="54"/>
        <v>1</v>
      </c>
    </row>
    <row r="102" spans="68:74" x14ac:dyDescent="0.25">
      <c r="BP102">
        <f t="shared" si="51"/>
        <v>4200</v>
      </c>
      <c r="BQ102">
        <f t="shared" si="52"/>
        <v>8.3428398042714598</v>
      </c>
      <c r="BR102">
        <f t="shared" si="53"/>
        <v>0</v>
      </c>
      <c r="BS102">
        <f t="shared" si="54"/>
        <v>1</v>
      </c>
    </row>
    <row r="103" spans="68:74" x14ac:dyDescent="0.25">
      <c r="BP103">
        <f t="shared" si="51"/>
        <v>4300</v>
      </c>
      <c r="BQ103">
        <f t="shared" si="52"/>
        <v>8.3663703016816537</v>
      </c>
      <c r="BR103">
        <f t="shared" si="53"/>
        <v>0</v>
      </c>
      <c r="BS103">
        <f t="shared" si="54"/>
        <v>1</v>
      </c>
    </row>
    <row r="104" spans="68:74" x14ac:dyDescent="0.25">
      <c r="BP104">
        <f t="shared" si="51"/>
        <v>4400</v>
      </c>
      <c r="BQ104">
        <f t="shared" si="52"/>
        <v>8.3893598199063533</v>
      </c>
      <c r="BR104">
        <f t="shared" si="53"/>
        <v>0</v>
      </c>
      <c r="BS104">
        <f t="shared" si="54"/>
        <v>1</v>
      </c>
    </row>
    <row r="105" spans="68:74" x14ac:dyDescent="0.25">
      <c r="BP105">
        <f t="shared" si="51"/>
        <v>4500</v>
      </c>
      <c r="BQ105">
        <f t="shared" si="52"/>
        <v>8.4118326757584114</v>
      </c>
      <c r="BR105">
        <f t="shared" si="53"/>
        <v>0</v>
      </c>
      <c r="BS105">
        <f t="shared" si="54"/>
        <v>1</v>
      </c>
    </row>
    <row r="106" spans="68:74" x14ac:dyDescent="0.25">
      <c r="BP106">
        <f t="shared" si="51"/>
        <v>4600</v>
      </c>
      <c r="BQ106">
        <f t="shared" si="52"/>
        <v>8.4338115824771869</v>
      </c>
      <c r="BR106">
        <f t="shared" si="53"/>
        <v>0</v>
      </c>
      <c r="BS106">
        <f t="shared" si="54"/>
        <v>1</v>
      </c>
    </row>
    <row r="107" spans="68:74" x14ac:dyDescent="0.25">
      <c r="BP107">
        <f t="shared" si="51"/>
        <v>4700</v>
      </c>
      <c r="BQ107">
        <f t="shared" si="52"/>
        <v>8.4553177876981493</v>
      </c>
      <c r="BR107">
        <f t="shared" si="53"/>
        <v>0</v>
      </c>
      <c r="BS107">
        <f t="shared" si="54"/>
        <v>1</v>
      </c>
    </row>
    <row r="108" spans="68:74" x14ac:dyDescent="0.25">
      <c r="BP108">
        <f t="shared" si="51"/>
        <v>4800</v>
      </c>
      <c r="BQ108">
        <f t="shared" si="52"/>
        <v>8.4763711968959825</v>
      </c>
      <c r="BR108">
        <f t="shared" si="53"/>
        <v>0</v>
      </c>
      <c r="BS108">
        <f t="shared" si="54"/>
        <v>1</v>
      </c>
    </row>
    <row r="109" spans="68:74" x14ac:dyDescent="0.25">
      <c r="BP109">
        <f t="shared" si="51"/>
        <v>4900</v>
      </c>
      <c r="BQ109">
        <f t="shared" si="52"/>
        <v>8.4969904840987187</v>
      </c>
      <c r="BR109">
        <f t="shared" si="53"/>
        <v>0</v>
      </c>
      <c r="BS109">
        <f t="shared" si="54"/>
        <v>1</v>
      </c>
    </row>
    <row r="110" spans="68:74" x14ac:dyDescent="0.25">
      <c r="BP110">
        <f t="shared" si="51"/>
        <v>5000</v>
      </c>
      <c r="BQ110">
        <f t="shared" si="52"/>
        <v>8.5171931914162382</v>
      </c>
      <c r="BR110">
        <f t="shared" si="53"/>
        <v>0</v>
      </c>
      <c r="BS110">
        <f t="shared" si="54"/>
        <v>1</v>
      </c>
    </row>
    <row r="111" spans="68:74" x14ac:dyDescent="0.25">
      <c r="BP111">
        <f t="shared" si="51"/>
        <v>5100</v>
      </c>
      <c r="BQ111">
        <f t="shared" si="52"/>
        <v>8.536995818712418</v>
      </c>
      <c r="BR111">
        <f t="shared" si="53"/>
        <v>0</v>
      </c>
      <c r="BS111">
        <f t="shared" si="54"/>
        <v>1</v>
      </c>
    </row>
    <row r="112" spans="68:74" x14ac:dyDescent="0.25">
      <c r="BP112">
        <f t="shared" si="51"/>
        <v>5200</v>
      </c>
      <c r="BQ112">
        <f t="shared" si="52"/>
        <v>8.5564139045695189</v>
      </c>
      <c r="BR112">
        <f t="shared" si="53"/>
        <v>0</v>
      </c>
      <c r="BS112">
        <f t="shared" si="54"/>
        <v>1</v>
      </c>
    </row>
    <row r="113" spans="68:71" x14ac:dyDescent="0.25">
      <c r="BP113">
        <f t="shared" si="51"/>
        <v>5300</v>
      </c>
      <c r="BQ113">
        <f t="shared" si="52"/>
        <v>8.5754620995402124</v>
      </c>
      <c r="BR113">
        <f t="shared" si="53"/>
        <v>0</v>
      </c>
      <c r="BS113">
        <f t="shared" si="54"/>
        <v>1</v>
      </c>
    </row>
    <row r="114" spans="68:71" x14ac:dyDescent="0.25">
      <c r="BP114">
        <f t="shared" si="51"/>
        <v>5400</v>
      </c>
      <c r="BQ114">
        <f t="shared" si="52"/>
        <v>8.5941542325523663</v>
      </c>
      <c r="BR114">
        <f t="shared" si="53"/>
        <v>0</v>
      </c>
      <c r="BS114">
        <f t="shared" si="54"/>
        <v>1</v>
      </c>
    </row>
    <row r="115" spans="68:71" x14ac:dyDescent="0.25">
      <c r="BP115">
        <f t="shared" si="51"/>
        <v>5500</v>
      </c>
      <c r="BQ115">
        <f t="shared" si="52"/>
        <v>8.6125033712205621</v>
      </c>
      <c r="BR115">
        <f t="shared" si="53"/>
        <v>0</v>
      </c>
      <c r="BS115">
        <f t="shared" si="54"/>
        <v>1</v>
      </c>
    </row>
    <row r="116" spans="68:71" x14ac:dyDescent="0.25">
      <c r="BP116">
        <f t="shared" si="51"/>
        <v>5600</v>
      </c>
      <c r="BQ116">
        <f t="shared" si="52"/>
        <v>8.6305218767232414</v>
      </c>
      <c r="BR116">
        <f t="shared" si="53"/>
        <v>0</v>
      </c>
      <c r="BS116">
        <f t="shared" si="54"/>
        <v>1</v>
      </c>
    </row>
    <row r="117" spans="68:71" x14ac:dyDescent="0.25">
      <c r="BP117">
        <f t="shared" si="51"/>
        <v>5700</v>
      </c>
      <c r="BQ117">
        <f t="shared" si="52"/>
        <v>8.6482214538226412</v>
      </c>
      <c r="BR117">
        <f t="shared" si="53"/>
        <v>0</v>
      </c>
      <c r="BS117">
        <f t="shared" si="54"/>
        <v>1</v>
      </c>
    </row>
    <row r="118" spans="68:71" x14ac:dyDescent="0.25">
      <c r="BP118">
        <f t="shared" si="51"/>
        <v>5800</v>
      </c>
      <c r="BQ118">
        <f t="shared" si="52"/>
        <v>8.66561319653451</v>
      </c>
      <c r="BR118">
        <f t="shared" si="53"/>
        <v>0</v>
      </c>
      <c r="BS118">
        <f t="shared" si="54"/>
        <v>1</v>
      </c>
    </row>
    <row r="119" spans="68:71" x14ac:dyDescent="0.25">
      <c r="BP119">
        <f t="shared" si="51"/>
        <v>5900</v>
      </c>
      <c r="BQ119">
        <f t="shared" si="52"/>
        <v>8.6827076298938106</v>
      </c>
      <c r="BR119">
        <f t="shared" si="53"/>
        <v>0</v>
      </c>
      <c r="BS119">
        <f t="shared" si="54"/>
        <v>1</v>
      </c>
    </row>
    <row r="120" spans="68:71" x14ac:dyDescent="0.25">
      <c r="BP120">
        <f t="shared" si="51"/>
        <v>6000</v>
      </c>
      <c r="BQ120">
        <f t="shared" si="52"/>
        <v>8.6995147482101913</v>
      </c>
      <c r="BR120">
        <f t="shared" si="53"/>
        <v>0</v>
      </c>
      <c r="BS120">
        <f t="shared" si="54"/>
        <v>1</v>
      </c>
    </row>
    <row r="121" spans="68:71" x14ac:dyDescent="0.25">
      <c r="BP121">
        <f t="shared" si="51"/>
        <v>6100</v>
      </c>
      <c r="BQ121">
        <f t="shared" si="52"/>
        <v>8.7160440501614023</v>
      </c>
      <c r="BR121">
        <f t="shared" si="53"/>
        <v>0</v>
      </c>
      <c r="BS121">
        <f t="shared" si="54"/>
        <v>1</v>
      </c>
    </row>
  </sheetData>
  <mergeCells count="8">
    <mergeCell ref="AE1:AR1"/>
    <mergeCell ref="C2:J2"/>
    <mergeCell ref="AF2:AK2"/>
    <mergeCell ref="AY2:BD2"/>
    <mergeCell ref="Q2:V2"/>
    <mergeCell ref="K2:P2"/>
    <mergeCell ref="AS2:AX2"/>
    <mergeCell ref="AM2:AR2"/>
  </mergeCells>
  <pageMargins left="0.7" right="0.7" top="0.75" bottom="0.75" header="0.3" footer="0.3"/>
  <pageSetup orientation="portrait" horizontalDpi="4294967293" verticalDpi="0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8B59D-EBDA-43F7-B410-55E5293E6FC5}">
  <dimension ref="A1:BV121"/>
  <sheetViews>
    <sheetView topLeftCell="AU6" workbookViewId="0">
      <selection activeCell="BE38" sqref="BE38:BM38"/>
    </sheetView>
  </sheetViews>
  <sheetFormatPr defaultRowHeight="15" x14ac:dyDescent="0.25"/>
  <cols>
    <col min="2" max="2" width="2.7109375" customWidth="1"/>
    <col min="3" max="3" width="9.140625" style="13"/>
    <col min="4" max="10" width="6.42578125" customWidth="1"/>
    <col min="11" max="11" width="6.42578125" style="13" customWidth="1"/>
    <col min="12" max="12" width="6.42578125" customWidth="1"/>
    <col min="16" max="16" width="6.85546875" customWidth="1"/>
    <col min="17" max="17" width="6.42578125" style="13" customWidth="1"/>
    <col min="18" max="18" width="6.42578125" customWidth="1"/>
    <col min="22" max="22" width="6.140625" customWidth="1"/>
    <col min="23" max="23" width="9.28515625" style="13" customWidth="1"/>
    <col min="24" max="27" width="9.28515625" style="6" customWidth="1"/>
    <col min="28" max="28" width="9.28515625" style="2" customWidth="1"/>
    <col min="29" max="29" width="7.140625" style="2" customWidth="1"/>
    <col min="31" max="31" width="9.140625" style="13"/>
    <col min="32" max="38" width="6" customWidth="1"/>
    <col min="39" max="39" width="9.140625" style="13"/>
    <col min="45" max="45" width="9.140625" style="13"/>
    <col min="51" max="51" width="9.5703125" style="13" customWidth="1"/>
    <col min="52" max="52" width="9.5703125" style="6" customWidth="1"/>
    <col min="53" max="55" width="9.140625" style="6"/>
    <col min="56" max="56" width="9.140625" style="2"/>
  </cols>
  <sheetData>
    <row r="1" spans="1:66" x14ac:dyDescent="0.25">
      <c r="A1" s="1" t="s">
        <v>46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4"/>
      <c r="R1" s="24"/>
      <c r="S1" s="24"/>
      <c r="T1" s="24"/>
      <c r="U1" s="24"/>
      <c r="V1" s="24"/>
      <c r="W1" s="12"/>
      <c r="X1" s="11"/>
      <c r="Y1" s="11"/>
      <c r="Z1" s="11"/>
      <c r="AA1" s="11"/>
      <c r="AB1" s="7"/>
      <c r="AC1" s="16"/>
      <c r="AD1" s="17"/>
      <c r="AE1" s="39" t="s">
        <v>47</v>
      </c>
      <c r="AF1" s="39"/>
      <c r="AG1" s="39"/>
      <c r="AH1" s="39"/>
      <c r="AI1" s="39"/>
      <c r="AJ1" s="39"/>
      <c r="AK1" s="39"/>
      <c r="AL1" s="39"/>
      <c r="AM1" s="39"/>
      <c r="AN1" s="39"/>
      <c r="AO1" s="39"/>
      <c r="AP1" s="39"/>
      <c r="AQ1" s="39"/>
      <c r="AR1" s="39"/>
      <c r="AS1" s="27"/>
      <c r="AT1" s="27"/>
      <c r="AU1" s="27"/>
      <c r="AV1" s="27"/>
      <c r="AW1" s="27"/>
      <c r="AX1" s="27"/>
    </row>
    <row r="2" spans="1:66" x14ac:dyDescent="0.25">
      <c r="A2" s="1"/>
      <c r="B2" s="1"/>
      <c r="C2" s="40" t="s">
        <v>87</v>
      </c>
      <c r="D2" s="34"/>
      <c r="E2" s="34"/>
      <c r="F2" s="34"/>
      <c r="G2" s="34"/>
      <c r="H2" s="34"/>
      <c r="I2" s="34"/>
      <c r="J2" s="35"/>
      <c r="K2" s="40" t="s">
        <v>183</v>
      </c>
      <c r="L2" s="41"/>
      <c r="M2" s="41"/>
      <c r="N2" s="41"/>
      <c r="O2" s="41"/>
      <c r="P2" s="35"/>
      <c r="Q2" s="40" t="s">
        <v>182</v>
      </c>
      <c r="R2" s="41"/>
      <c r="S2" s="41"/>
      <c r="T2" s="41"/>
      <c r="U2" s="41"/>
      <c r="V2" s="35"/>
      <c r="W2" s="12" t="s">
        <v>141</v>
      </c>
      <c r="X2" s="11"/>
      <c r="Y2" s="11"/>
      <c r="Z2" s="11"/>
      <c r="AA2" s="11"/>
      <c r="AB2" s="7"/>
      <c r="AC2" s="7"/>
      <c r="AE2" s="18"/>
      <c r="AF2" s="34" t="s">
        <v>87</v>
      </c>
      <c r="AG2" s="34"/>
      <c r="AH2" s="34"/>
      <c r="AI2" s="34"/>
      <c r="AJ2" s="34"/>
      <c r="AK2" s="34"/>
      <c r="AL2" s="1"/>
      <c r="AM2" s="42" t="s">
        <v>180</v>
      </c>
      <c r="AN2" s="37"/>
      <c r="AO2" s="37"/>
      <c r="AP2" s="37"/>
      <c r="AQ2" s="37"/>
      <c r="AR2" s="38"/>
      <c r="AS2" s="42" t="s">
        <v>181</v>
      </c>
      <c r="AT2" s="37"/>
      <c r="AU2" s="37"/>
      <c r="AV2" s="37"/>
      <c r="AW2" s="37"/>
      <c r="AX2" s="38"/>
      <c r="AY2" s="40" t="s">
        <v>141</v>
      </c>
      <c r="AZ2" s="41"/>
      <c r="BA2" s="41"/>
      <c r="BB2" s="41"/>
      <c r="BC2" s="41"/>
      <c r="BD2" s="35"/>
    </row>
    <row r="3" spans="1:66" x14ac:dyDescent="0.25">
      <c r="A3" t="s">
        <v>0</v>
      </c>
      <c r="B3" t="s">
        <v>86</v>
      </c>
      <c r="C3" s="13" t="s">
        <v>40</v>
      </c>
      <c r="D3">
        <v>1</v>
      </c>
      <c r="E3">
        <v>2</v>
      </c>
      <c r="F3">
        <v>3</v>
      </c>
      <c r="G3">
        <v>4</v>
      </c>
      <c r="H3">
        <v>5</v>
      </c>
      <c r="I3">
        <v>6</v>
      </c>
      <c r="J3">
        <v>7</v>
      </c>
      <c r="K3" s="13" t="s">
        <v>39</v>
      </c>
      <c r="L3" t="s">
        <v>41</v>
      </c>
      <c r="M3" t="s">
        <v>42</v>
      </c>
      <c r="N3" t="s">
        <v>43</v>
      </c>
      <c r="O3" t="s">
        <v>44</v>
      </c>
      <c r="P3" t="s">
        <v>88</v>
      </c>
      <c r="Q3" s="13" t="s">
        <v>39</v>
      </c>
      <c r="R3" t="s">
        <v>41</v>
      </c>
      <c r="S3" t="s">
        <v>42</v>
      </c>
      <c r="T3" t="s">
        <v>43</v>
      </c>
      <c r="U3" t="s">
        <v>44</v>
      </c>
      <c r="V3" t="s">
        <v>88</v>
      </c>
      <c r="W3" s="13" t="s">
        <v>142</v>
      </c>
      <c r="X3" s="6" t="s">
        <v>143</v>
      </c>
      <c r="Y3" s="6" t="s">
        <v>144</v>
      </c>
      <c r="Z3" s="6" t="s">
        <v>147</v>
      </c>
      <c r="AA3" s="6" t="s">
        <v>148</v>
      </c>
      <c r="AB3" s="2" t="s">
        <v>149</v>
      </c>
      <c r="AC3" s="2" t="s">
        <v>89</v>
      </c>
      <c r="AE3" s="13" t="s">
        <v>40</v>
      </c>
      <c r="AF3">
        <v>1</v>
      </c>
      <c r="AG3">
        <v>2</v>
      </c>
      <c r="AH3">
        <v>3</v>
      </c>
      <c r="AI3">
        <v>4</v>
      </c>
      <c r="AJ3">
        <v>5</v>
      </c>
      <c r="AK3">
        <v>6</v>
      </c>
      <c r="AL3">
        <v>7</v>
      </c>
      <c r="AM3" s="13" t="s">
        <v>39</v>
      </c>
      <c r="AN3" t="s">
        <v>41</v>
      </c>
      <c r="AO3" t="s">
        <v>42</v>
      </c>
      <c r="AP3" t="s">
        <v>43</v>
      </c>
      <c r="AQ3" t="s">
        <v>44</v>
      </c>
      <c r="AR3" t="s">
        <v>45</v>
      </c>
      <c r="AS3" s="13" t="s">
        <v>39</v>
      </c>
      <c r="AT3" t="s">
        <v>41</v>
      </c>
      <c r="AU3" t="s">
        <v>42</v>
      </c>
      <c r="AV3" t="s">
        <v>43</v>
      </c>
      <c r="AW3" t="s">
        <v>44</v>
      </c>
      <c r="AX3" t="s">
        <v>45</v>
      </c>
      <c r="AY3" s="13" t="s">
        <v>142</v>
      </c>
      <c r="AZ3" s="3" t="s">
        <v>145</v>
      </c>
      <c r="BA3" s="6" t="s">
        <v>146</v>
      </c>
      <c r="BB3" s="6" t="s">
        <v>147</v>
      </c>
      <c r="BC3" s="6" t="s">
        <v>148</v>
      </c>
      <c r="BD3" s="2" t="s">
        <v>149</v>
      </c>
    </row>
    <row r="4" spans="1:66" s="10" customFormat="1" x14ac:dyDescent="0.25">
      <c r="A4" s="10" t="s">
        <v>85</v>
      </c>
      <c r="C4" s="14"/>
      <c r="D4" s="10">
        <v>1</v>
      </c>
      <c r="E4" s="10">
        <v>2</v>
      </c>
      <c r="F4" s="10">
        <v>3</v>
      </c>
      <c r="G4" s="10">
        <v>4</v>
      </c>
      <c r="H4" s="10">
        <v>5</v>
      </c>
      <c r="I4" s="10">
        <v>6</v>
      </c>
      <c r="J4" s="10">
        <v>7</v>
      </c>
      <c r="K4" s="14"/>
      <c r="Q4" s="14">
        <f>AVERAGE(AM5:AM30)</f>
        <v>-1.5753030303030309</v>
      </c>
      <c r="R4" s="10">
        <f t="shared" ref="R4:V4" si="0">AVERAGE(AN5:AN30)</f>
        <v>-1.4865277777777779</v>
      </c>
      <c r="S4" s="10">
        <f t="shared" si="0"/>
        <v>-1.5688</v>
      </c>
      <c r="T4" s="10">
        <f t="shared" si="0"/>
        <v>-1.64897435897436</v>
      </c>
      <c r="U4" s="10">
        <f t="shared" si="0"/>
        <v>-1.4689743589743594</v>
      </c>
      <c r="V4" s="10">
        <f t="shared" si="0"/>
        <v>-0.77346153846153842</v>
      </c>
      <c r="W4" s="14">
        <v>0.64343257800571041</v>
      </c>
      <c r="X4" s="10">
        <v>0.71942527350070518</v>
      </c>
      <c r="Y4" s="10">
        <v>0.6844883101099235</v>
      </c>
      <c r="Z4" s="10">
        <v>0.80484749871160721</v>
      </c>
      <c r="AA4" s="10">
        <v>0.90085030673322286</v>
      </c>
      <c r="AB4" s="15">
        <v>0.96709630836294247</v>
      </c>
      <c r="AC4" s="15"/>
      <c r="AE4" s="14">
        <f ca="1">SQRT(SUMSQ(AE5:AE1001)/COUNT(AE5:AE1001))</f>
        <v>8.0052803000868451</v>
      </c>
      <c r="AF4" s="10">
        <f t="shared" ref="AF4:BD4" ca="1" si="1">SQRT(SUMSQ(AF5:AF1001)/COUNT(AF5:AF1001))</f>
        <v>6.5457743268815438</v>
      </c>
      <c r="AG4" s="10">
        <f t="shared" ca="1" si="1"/>
        <v>6.8205152213462128</v>
      </c>
      <c r="AH4" s="10">
        <f t="shared" ca="1" si="1"/>
        <v>6.7055280167117326</v>
      </c>
      <c r="AI4" s="10">
        <f t="shared" ca="1" si="1"/>
        <v>6.2531948180663859</v>
      </c>
      <c r="AJ4" s="10">
        <f t="shared" ca="1" si="1"/>
        <v>5.9395948709292652</v>
      </c>
      <c r="AK4" s="10">
        <f t="shared" ca="1" si="1"/>
        <v>5.6008553891118789</v>
      </c>
      <c r="AL4" s="10">
        <f t="shared" ca="1" si="1"/>
        <v>5.5028167041751281</v>
      </c>
      <c r="AM4" s="14">
        <f t="shared" si="1"/>
        <v>4.8061881933081798</v>
      </c>
      <c r="AN4" s="10">
        <f t="shared" si="1"/>
        <v>4.3774005583391782</v>
      </c>
      <c r="AO4" s="10">
        <f t="shared" si="1"/>
        <v>4.3142790307947818</v>
      </c>
      <c r="AP4" s="10">
        <f t="shared" si="1"/>
        <v>3.896959037966623</v>
      </c>
      <c r="AQ4" s="10">
        <f t="shared" si="1"/>
        <v>2.9440597878079915</v>
      </c>
      <c r="AR4" s="10">
        <f t="shared" si="1"/>
        <v>1.8052931433241899</v>
      </c>
      <c r="AS4" s="14">
        <f t="shared" ref="AS4:AX4" si="2">SQRT(SUMSQ(AS5:AS1001)/COUNT(AS5:AS1001))</f>
        <v>4.7569132913556915</v>
      </c>
      <c r="AT4" s="10">
        <f t="shared" si="2"/>
        <v>4.2962764880086191</v>
      </c>
      <c r="AU4" s="10">
        <f t="shared" si="2"/>
        <v>4.1863947177762277</v>
      </c>
      <c r="AV4" s="10">
        <f t="shared" si="2"/>
        <v>3.6721239969381334</v>
      </c>
      <c r="AW4" s="10">
        <f t="shared" si="2"/>
        <v>2.6534479305236043</v>
      </c>
      <c r="AX4" s="10">
        <f t="shared" si="2"/>
        <v>1.6964566523590674</v>
      </c>
      <c r="AY4" s="14">
        <f t="shared" ca="1" si="1"/>
        <v>4.4442195487086265</v>
      </c>
      <c r="AZ4" s="10">
        <f t="shared" ca="1" si="1"/>
        <v>4.0458486758012979</v>
      </c>
      <c r="BA4" s="10">
        <f t="shared" ca="1" si="1"/>
        <v>3.7909292903225573</v>
      </c>
      <c r="BB4" s="10">
        <f t="shared" ca="1" si="1"/>
        <v>3.5167180616117864</v>
      </c>
      <c r="BC4" s="10">
        <f t="shared" ca="1" si="1"/>
        <v>2.5966247127340574</v>
      </c>
      <c r="BD4" s="15">
        <f t="shared" ca="1" si="1"/>
        <v>1.6866966888107942</v>
      </c>
    </row>
    <row r="5" spans="1:66" x14ac:dyDescent="0.25">
      <c r="A5" t="s">
        <v>7</v>
      </c>
      <c r="B5">
        <v>0</v>
      </c>
      <c r="C5" s="13">
        <f ca="1">'Historical Trends'!P5</f>
        <v>43.197333333333333</v>
      </c>
      <c r="D5">
        <f ca="1">AVERAGE(OFFSET('Historical Trends'!$F$6,$B5,0,'Polling Correlations - LNP'!D$4,1))</f>
        <v>42.04</v>
      </c>
      <c r="E5">
        <f ca="1">AVERAGE(OFFSET('Historical Trends'!$F$6,$B5,0,'Polling Correlations - LNP'!E$4,1))</f>
        <v>43.795000000000002</v>
      </c>
      <c r="F5">
        <f ca="1">AVERAGE(OFFSET('Historical Trends'!$F$6,$B5,0,'Polling Correlations - LNP'!F$4,1))</f>
        <v>43.75</v>
      </c>
      <c r="G5">
        <f ca="1">AVERAGE(OFFSET('Historical Trends'!$F$6,$B5,0,'Polling Correlations - LNP'!G$4,1))</f>
        <v>43.335000000000001</v>
      </c>
      <c r="H5">
        <f ca="1">AVERAGE(OFFSET('Historical Trends'!$F$6,$B5,0,'Polling Correlations - LNP'!H$4,1))</f>
        <v>44.010000000000005</v>
      </c>
      <c r="I5">
        <f ca="1">AVERAGE(OFFSET('Historical Trends'!$F$6,$B5,0,'Polling Correlations - LNP'!I$4,1))</f>
        <v>43.82833333333334</v>
      </c>
      <c r="J5">
        <f ca="1">AVERAGE(OFFSET('Historical Trends'!$F$6,$B5,0,'Polling Correlations - LNP'!J$4,1))</f>
        <v>43.211428571428577</v>
      </c>
      <c r="K5" s="13">
        <f>(36+38+38+36+36)/5</f>
        <v>36.799999999999997</v>
      </c>
      <c r="L5">
        <f>(38+39+39+36+37)/5</f>
        <v>37.799999999999997</v>
      </c>
      <c r="M5">
        <f>(37+35+36+36+38)/5</f>
        <v>36.4</v>
      </c>
      <c r="N5">
        <f>(34+37+38+37+38)/5</f>
        <v>36.799999999999997</v>
      </c>
      <c r="O5">
        <f>(39+38+38+35+39)/5</f>
        <v>37.799999999999997</v>
      </c>
      <c r="P5">
        <f>(38+39+38.5+39+38)/5</f>
        <v>38.5</v>
      </c>
      <c r="Q5" s="30">
        <f>K5-AVERAGE(AM6:AM$30)</f>
        <v>38.229365079365074</v>
      </c>
      <c r="R5" s="31">
        <f>L5-AVERAGE(AN6:AN$30)</f>
        <v>39.192898550724635</v>
      </c>
      <c r="S5" s="31">
        <f>M5-AVERAGE(AO6:AO$30)</f>
        <v>37.824166666666663</v>
      </c>
      <c r="T5" s="31">
        <f>N5-AVERAGE(AP6:AP$30)</f>
        <v>38.329333333333331</v>
      </c>
      <c r="U5" s="31">
        <f>O5-AVERAGE(AQ6:AQ$30)</f>
        <v>39.182133333333333</v>
      </c>
      <c r="V5" s="31">
        <f>P5-AVERAGE(AR6:AR$30)</f>
        <v>39.186799999999998</v>
      </c>
      <c r="W5" s="13">
        <f t="shared" ref="W5:AB5" ca="1" si="3">Q5*W$4+$I5*(1-W$4)</f>
        <v>40.225774755510407</v>
      </c>
      <c r="X5" s="6">
        <f t="shared" ca="1" si="3"/>
        <v>40.493484397060392</v>
      </c>
      <c r="Y5" s="6">
        <f t="shared" ca="1" si="3"/>
        <v>39.718551438048337</v>
      </c>
      <c r="Z5" s="6">
        <f t="shared" ca="1" si="3"/>
        <v>39.402476937918209</v>
      </c>
      <c r="AA5" s="6">
        <f t="shared" ca="1" si="3"/>
        <v>39.64280263818943</v>
      </c>
      <c r="AB5" s="2">
        <f t="shared" ca="1" si="3"/>
        <v>39.339523581523117</v>
      </c>
      <c r="AC5" s="2">
        <f>'Historical Trends'!F5</f>
        <v>41.44</v>
      </c>
      <c r="AE5" s="13">
        <f t="shared" ref="AE5:AM9" ca="1" si="4">C5-$AC5</f>
        <v>1.7573333333333352</v>
      </c>
      <c r="AF5">
        <f t="shared" ca="1" si="4"/>
        <v>0.60000000000000142</v>
      </c>
      <c r="AG5">
        <f t="shared" ca="1" si="4"/>
        <v>2.355000000000004</v>
      </c>
      <c r="AH5">
        <f t="shared" ca="1" si="4"/>
        <v>2.3100000000000023</v>
      </c>
      <c r="AI5">
        <f t="shared" ca="1" si="4"/>
        <v>1.8950000000000031</v>
      </c>
      <c r="AJ5">
        <f t="shared" ca="1" si="4"/>
        <v>2.5700000000000074</v>
      </c>
      <c r="AK5">
        <f t="shared" ca="1" si="4"/>
        <v>2.3883333333333425</v>
      </c>
      <c r="AL5">
        <f t="shared" ca="1" si="4"/>
        <v>1.7714285714285793</v>
      </c>
      <c r="AM5" s="13">
        <f t="shared" si="4"/>
        <v>-4.6400000000000006</v>
      </c>
      <c r="AN5">
        <f t="shared" ref="AN5:AR5" si="5">L5-$AC5</f>
        <v>-3.6400000000000006</v>
      </c>
      <c r="AO5">
        <f t="shared" si="5"/>
        <v>-5.0399999999999991</v>
      </c>
      <c r="AP5">
        <f t="shared" si="5"/>
        <v>-4.6400000000000006</v>
      </c>
      <c r="AQ5">
        <f t="shared" si="5"/>
        <v>-3.6400000000000006</v>
      </c>
      <c r="AR5">
        <f t="shared" si="5"/>
        <v>-2.9399999999999977</v>
      </c>
      <c r="AS5" s="30">
        <f>Q5-$AC5</f>
        <v>-3.2106349206349236</v>
      </c>
      <c r="AT5">
        <f t="shared" ref="AT5:AX5" si="6">R5-$AC5</f>
        <v>-2.2471014492753625</v>
      </c>
      <c r="AU5">
        <f t="shared" si="6"/>
        <v>-3.6158333333333346</v>
      </c>
      <c r="AV5">
        <f t="shared" si="6"/>
        <v>-3.1106666666666669</v>
      </c>
      <c r="AW5">
        <f t="shared" si="6"/>
        <v>-2.2578666666666649</v>
      </c>
      <c r="AX5">
        <f t="shared" si="6"/>
        <v>-2.2531999999999996</v>
      </c>
      <c r="AY5" s="13">
        <f t="shared" ref="AY5:BD9" ca="1" si="7">W5-$AC5</f>
        <v>-1.2142252444895902</v>
      </c>
      <c r="AZ5" s="6">
        <f t="shared" ca="1" si="7"/>
        <v>-0.94651560293960557</v>
      </c>
      <c r="BA5" s="6">
        <f t="shared" ca="1" si="7"/>
        <v>-1.7214485619516608</v>
      </c>
      <c r="BB5" s="6">
        <f t="shared" ca="1" si="7"/>
        <v>-2.0375230620817888</v>
      </c>
      <c r="BC5" s="6">
        <f t="shared" ca="1" si="7"/>
        <v>-1.7971973618105679</v>
      </c>
      <c r="BD5" s="2">
        <f t="shared" ca="1" si="7"/>
        <v>-2.1004764184768803</v>
      </c>
      <c r="BG5" t="str">
        <f>AS3</f>
        <v>2 years</v>
      </c>
      <c r="BH5" t="str">
        <f t="shared" ref="BH5:BK5" si="8">AT3</f>
        <v>1 year</v>
      </c>
      <c r="BI5" t="str">
        <f t="shared" si="8"/>
        <v>6 months</v>
      </c>
      <c r="BJ5" t="str">
        <f t="shared" si="8"/>
        <v>3 months</v>
      </c>
      <c r="BK5" t="str">
        <f t="shared" si="8"/>
        <v>1 month</v>
      </c>
      <c r="BL5" s="33" t="s">
        <v>187</v>
      </c>
      <c r="BM5" s="33" t="str">
        <f>AX3</f>
        <v>Pre-election</v>
      </c>
    </row>
    <row r="6" spans="1:66" x14ac:dyDescent="0.25">
      <c r="A6" t="s">
        <v>9</v>
      </c>
      <c r="B6">
        <f>B5+1</f>
        <v>1</v>
      </c>
      <c r="C6" s="13">
        <f ca="1">'Historical Trends'!P6</f>
        <v>46.186666666666611</v>
      </c>
      <c r="D6">
        <f ca="1">AVERAGE(OFFSET('Historical Trends'!$F$6,$B6,0,'Polling Correlations - LNP'!D$4,1))</f>
        <v>45.550000000000004</v>
      </c>
      <c r="E6">
        <f ca="1">AVERAGE(OFFSET('Historical Trends'!$F$6,$B6,0,'Polling Correlations - LNP'!E$4,1))</f>
        <v>44.605000000000004</v>
      </c>
      <c r="F6">
        <f ca="1">AVERAGE(OFFSET('Historical Trends'!$F$6,$B6,0,'Polling Correlations - LNP'!F$4,1))</f>
        <v>43.766666666666673</v>
      </c>
      <c r="G6">
        <f ca="1">AVERAGE(OFFSET('Historical Trends'!$F$6,$B6,0,'Polling Correlations - LNP'!G$4,1))</f>
        <v>44.502500000000005</v>
      </c>
      <c r="H6">
        <f ca="1">AVERAGE(OFFSET('Historical Trends'!$F$6,$B6,0,'Polling Correlations - LNP'!H$4,1))</f>
        <v>44.186</v>
      </c>
      <c r="I6">
        <f ca="1">AVERAGE(OFFSET('Historical Trends'!$F$6,$B6,0,'Polling Correlations - LNP'!I$4,1))</f>
        <v>43.406666666666666</v>
      </c>
      <c r="J6">
        <f ca="1">AVERAGE(OFFSET('Historical Trends'!$F$6,$B6,0,'Polling Correlations - LNP'!J$4,1))</f>
        <v>43.955714285714286</v>
      </c>
      <c r="K6" s="13">
        <f>(35+39.6+39+37+36)/5</f>
        <v>37.32</v>
      </c>
      <c r="L6">
        <f>(41+40+41+41.4+39)/5</f>
        <v>40.480000000000004</v>
      </c>
      <c r="M6">
        <f>(45+48.8+46+46+45)/5</f>
        <v>46.160000000000004</v>
      </c>
      <c r="N6">
        <f>(46.6+43+43+43+48.1)/5</f>
        <v>44.739999999999995</v>
      </c>
      <c r="O6">
        <f>(41.5+41.4+41+42.6+41)/5</f>
        <v>41.5</v>
      </c>
      <c r="P6">
        <f>(42+42.8+43+43+42.3)/5</f>
        <v>42.620000000000005</v>
      </c>
      <c r="Q6" s="30">
        <f>K6-AVERAGE(AM5:AM$5,AM7:AM$30)</f>
        <v>38.745555555555555</v>
      </c>
      <c r="R6" s="31">
        <f>L6-AVERAGE(AN5:AN$5,AN7:AN$30)</f>
        <v>41.963333333333338</v>
      </c>
      <c r="S6" s="31">
        <f>M6-AVERAGE(AO5:AO$5,AO7:AO$30)</f>
        <v>47.965833333333336</v>
      </c>
      <c r="T6" s="31">
        <f>N6-AVERAGE(AP5:AP$5,AP7:AP$30)</f>
        <v>46.562933333333326</v>
      </c>
      <c r="U6" s="31">
        <f>O6-AVERAGE(AQ5:AQ$5,AQ7:AQ$30)</f>
        <v>43.006133333333331</v>
      </c>
      <c r="V6" s="31">
        <f>P6-AVERAGE(AR5:AR$5,AR7:AR$30)</f>
        <v>43.447600000000001</v>
      </c>
      <c r="W6" s="13">
        <f t="shared" ref="W6:W9" ca="1" si="9">Q6*W$4+$I6*(1-W$4)</f>
        <v>40.407555928073378</v>
      </c>
      <c r="X6" s="6">
        <f t="shared" ref="X6:X9" ca="1" si="10">R6*X$4+$I6*(1-X$4)</f>
        <v>42.368296188580658</v>
      </c>
      <c r="Y6" s="6">
        <f t="shared" ref="Y6:Y29" ca="1" si="11">S6*Y$4+$I6*(1-Y$4)</f>
        <v>46.527362953842825</v>
      </c>
      <c r="Z6" s="6">
        <f t="shared" ref="Z6:Z30" ca="1" si="12">T6*Z$4+$I6*(1-Z$4)</f>
        <v>45.946979998600149</v>
      </c>
      <c r="AA6" s="6">
        <f t="shared" ref="AA6:AA30" ca="1" si="13">U6*AA$4+$I6*(1-AA$4)</f>
        <v>43.045846090476452</v>
      </c>
      <c r="AB6" s="2">
        <f t="shared" ref="AB6:AB30" ca="1" si="14">V6*AB$4+$I6*(1-AB$4)</f>
        <v>43.446253142222325</v>
      </c>
      <c r="AC6" s="2">
        <f>'Historical Trends'!F6</f>
        <v>42.04</v>
      </c>
      <c r="AE6" s="13">
        <f t="shared" ca="1" si="4"/>
        <v>4.1466666666666114</v>
      </c>
      <c r="AF6">
        <f t="shared" ca="1" si="4"/>
        <v>3.5100000000000051</v>
      </c>
      <c r="AG6">
        <f t="shared" ca="1" si="4"/>
        <v>2.5650000000000048</v>
      </c>
      <c r="AH6">
        <f t="shared" ca="1" si="4"/>
        <v>1.7266666666666737</v>
      </c>
      <c r="AI6">
        <f t="shared" ca="1" si="4"/>
        <v>2.4625000000000057</v>
      </c>
      <c r="AJ6">
        <f t="shared" ca="1" si="4"/>
        <v>2.1460000000000008</v>
      </c>
      <c r="AK6">
        <f t="shared" ca="1" si="4"/>
        <v>1.3666666666666671</v>
      </c>
      <c r="AL6">
        <f t="shared" ca="1" si="4"/>
        <v>1.9157142857142873</v>
      </c>
      <c r="AM6" s="13">
        <f t="shared" si="4"/>
        <v>-4.7199999999999989</v>
      </c>
      <c r="AN6">
        <f t="shared" ref="AN6:AR9" si="15">L6-$AC6</f>
        <v>-1.5599999999999952</v>
      </c>
      <c r="AO6">
        <f t="shared" si="15"/>
        <v>4.1200000000000045</v>
      </c>
      <c r="AP6">
        <f t="shared" si="15"/>
        <v>2.6999999999999957</v>
      </c>
      <c r="AQ6">
        <f t="shared" si="15"/>
        <v>-0.53999999999999915</v>
      </c>
      <c r="AR6">
        <f t="shared" si="15"/>
        <v>0.5800000000000054</v>
      </c>
      <c r="AS6" s="30">
        <f t="shared" ref="AS6:AS29" si="16">Q6-$AC6</f>
        <v>-3.2944444444444443</v>
      </c>
      <c r="AT6">
        <f t="shared" ref="AT6:AT29" si="17">R6-$AC6</f>
        <v>-7.6666666666660888E-2</v>
      </c>
      <c r="AU6">
        <f t="shared" ref="AU6:AU29" si="18">S6-$AC6</f>
        <v>5.9258333333333368</v>
      </c>
      <c r="AV6">
        <f t="shared" ref="AV6:AV30" si="19">T6-$AC6</f>
        <v>4.5229333333333273</v>
      </c>
      <c r="AW6">
        <f t="shared" ref="AW6:AW30" si="20">U6-$AC6</f>
        <v>0.96613333333333173</v>
      </c>
      <c r="AX6">
        <f t="shared" ref="AX6:AX30" si="21">V6-$AC6</f>
        <v>1.4076000000000022</v>
      </c>
      <c r="AY6" s="13">
        <f t="shared" ca="1" si="7"/>
        <v>-1.6324440719266207</v>
      </c>
      <c r="AZ6" s="6">
        <f t="shared" ca="1" si="7"/>
        <v>0.32829618858065857</v>
      </c>
      <c r="BA6" s="6">
        <f t="shared" ca="1" si="7"/>
        <v>4.4873629538428261</v>
      </c>
      <c r="BB6" s="6">
        <f t="shared" ca="1" si="7"/>
        <v>3.9069799986001499</v>
      </c>
      <c r="BC6" s="6">
        <f t="shared" ca="1" si="7"/>
        <v>1.005846090476453</v>
      </c>
      <c r="BD6" s="2">
        <f t="shared" ca="1" si="7"/>
        <v>1.4062531422223259</v>
      </c>
      <c r="BE6" t="s">
        <v>150</v>
      </c>
      <c r="BG6">
        <f>LN(730)</f>
        <v>6.5930445341424369</v>
      </c>
      <c r="BH6">
        <f>LN(365)</f>
        <v>5.8998973535824915</v>
      </c>
      <c r="BI6">
        <f>LN(182)</f>
        <v>5.2040066870767951</v>
      </c>
      <c r="BJ6">
        <f>LN(90)</f>
        <v>4.499809670330265</v>
      </c>
      <c r="BK6">
        <f>LN(30)</f>
        <v>3.4011973816621555</v>
      </c>
      <c r="BL6">
        <f t="shared" ref="BL6:BL11" si="22">AVERAGE(BK6,BM6)</f>
        <v>2.0471722811110502</v>
      </c>
      <c r="BM6">
        <f>LN(2)</f>
        <v>0.69314718055994529</v>
      </c>
    </row>
    <row r="7" spans="1:66" x14ac:dyDescent="0.25">
      <c r="A7" t="s">
        <v>10</v>
      </c>
      <c r="B7">
        <f>B6+1</f>
        <v>2</v>
      </c>
      <c r="C7" s="13">
        <f ca="1">'Historical Trends'!P7</f>
        <v>43.252395348837226</v>
      </c>
      <c r="D7">
        <f ca="1">AVERAGE(OFFSET('Historical Trends'!$F$6,$B7,0,'Polling Correlations - LNP'!D$4,1))</f>
        <v>43.660000000000004</v>
      </c>
      <c r="E7">
        <f ca="1">AVERAGE(OFFSET('Historical Trends'!$F$6,$B7,0,'Polling Correlations - LNP'!E$4,1))</f>
        <v>42.875</v>
      </c>
      <c r="F7">
        <f ca="1">AVERAGE(OFFSET('Historical Trends'!$F$6,$B7,0,'Polling Correlations - LNP'!F$4,1))</f>
        <v>44.153333333333336</v>
      </c>
      <c r="G7">
        <f ca="1">AVERAGE(OFFSET('Historical Trends'!$F$6,$B7,0,'Polling Correlations - LNP'!G$4,1))</f>
        <v>43.844999999999999</v>
      </c>
      <c r="H7">
        <f ca="1">AVERAGE(OFFSET('Historical Trends'!$F$6,$B7,0,'Polling Correlations - LNP'!H$4,1))</f>
        <v>42.977999999999994</v>
      </c>
      <c r="I7">
        <f ca="1">AVERAGE(OFFSET('Historical Trends'!$F$6,$B7,0,'Polling Correlations - LNP'!I$4,1))</f>
        <v>43.69</v>
      </c>
      <c r="J7">
        <f ca="1">AVERAGE(OFFSET('Historical Trends'!$F$6,$B7,0,'Polling Correlations - LNP'!J$4,1))</f>
        <v>43.772857142857141</v>
      </c>
      <c r="K7" s="13">
        <f>(50+47+48+50+48)/5</f>
        <v>48.6</v>
      </c>
      <c r="L7">
        <f>(46+45+45+45+47)/5</f>
        <v>45.6</v>
      </c>
      <c r="M7">
        <f>(48+47+47+48+48)/5</f>
        <v>47.6</v>
      </c>
      <c r="N7">
        <f>(49+46+44+46+47)/5</f>
        <v>46.4</v>
      </c>
      <c r="O7">
        <f>(46+45.7+44+44+45)/5</f>
        <v>44.94</v>
      </c>
      <c r="P7">
        <f>(43.5+46+46+43.6+45)/5</f>
        <v>44.82</v>
      </c>
      <c r="Q7" s="30">
        <f>K7-AVERAGE(AM$5:AM6,AM8:AM$30)</f>
        <v>50.395555555555561</v>
      </c>
      <c r="R7" s="31">
        <f>L7-AVERAGE(AN$5:AN6,AN8:AN$30)</f>
        <v>47.153333333333336</v>
      </c>
      <c r="S7" s="31">
        <f>M7-AVERAGE(AO$5:AO6,AO8:AO$30)</f>
        <v>49.319583333333334</v>
      </c>
      <c r="T7" s="31">
        <f>N7-AVERAGE(AP$5:AP6,AP8:AP$30)</f>
        <v>48.148933333333332</v>
      </c>
      <c r="U7" s="31">
        <f>O7-AVERAGE(AQ$5:AQ6,AQ8:AQ$30)</f>
        <v>46.443333333333328</v>
      </c>
      <c r="V7" s="31">
        <f>P7-AVERAGE(AR$5:AR6,AR8:AR$30)</f>
        <v>45.595199999999998</v>
      </c>
      <c r="W7" s="13">
        <f t="shared" ca="1" si="9"/>
        <v>48.004572898071629</v>
      </c>
      <c r="X7" s="6">
        <f t="shared" ca="1" si="10"/>
        <v>46.181609530557445</v>
      </c>
      <c r="Y7" s="6">
        <f t="shared" ca="1" si="11"/>
        <v>47.543383982456326</v>
      </c>
      <c r="Z7" s="6">
        <f t="shared" ca="1" si="12"/>
        <v>47.278761340255137</v>
      </c>
      <c r="AA7" s="6">
        <f t="shared" ca="1" si="13"/>
        <v>46.170341177872132</v>
      </c>
      <c r="AB7" s="2">
        <f t="shared" ca="1" si="14"/>
        <v>45.532511886693079</v>
      </c>
      <c r="AC7" s="2">
        <f>'Historical Trends'!F7</f>
        <v>45.550000000000004</v>
      </c>
      <c r="AE7" s="13">
        <f t="shared" ca="1" si="4"/>
        <v>-2.2976046511627786</v>
      </c>
      <c r="AF7">
        <f t="shared" ca="1" si="4"/>
        <v>-1.8900000000000006</v>
      </c>
      <c r="AG7">
        <f t="shared" ca="1" si="4"/>
        <v>-2.6750000000000043</v>
      </c>
      <c r="AH7">
        <f t="shared" ca="1" si="4"/>
        <v>-1.3966666666666683</v>
      </c>
      <c r="AI7">
        <f t="shared" ca="1" si="4"/>
        <v>-1.7050000000000054</v>
      </c>
      <c r="AJ7">
        <f t="shared" ca="1" si="4"/>
        <v>-2.5720000000000098</v>
      </c>
      <c r="AK7">
        <f t="shared" ca="1" si="4"/>
        <v>-1.8600000000000065</v>
      </c>
      <c r="AL7">
        <f t="shared" ca="1" si="4"/>
        <v>-1.7771428571428629</v>
      </c>
      <c r="AM7" s="13">
        <f t="shared" si="4"/>
        <v>3.0499999999999972</v>
      </c>
      <c r="AN7">
        <f t="shared" si="15"/>
        <v>4.9999999999997158E-2</v>
      </c>
      <c r="AO7">
        <f t="shared" si="15"/>
        <v>2.0499999999999972</v>
      </c>
      <c r="AP7">
        <f t="shared" si="15"/>
        <v>0.84999999999999432</v>
      </c>
      <c r="AQ7">
        <f t="shared" si="15"/>
        <v>-0.61000000000000654</v>
      </c>
      <c r="AR7">
        <f t="shared" si="15"/>
        <v>-0.73000000000000398</v>
      </c>
      <c r="AS7" s="30">
        <f t="shared" si="16"/>
        <v>4.8455555555555563</v>
      </c>
      <c r="AT7">
        <f t="shared" si="17"/>
        <v>1.6033333333333317</v>
      </c>
      <c r="AU7">
        <f t="shared" si="18"/>
        <v>3.7695833333333297</v>
      </c>
      <c r="AV7">
        <f t="shared" si="19"/>
        <v>2.5989333333333278</v>
      </c>
      <c r="AW7">
        <f t="shared" si="20"/>
        <v>0.89333333333332376</v>
      </c>
      <c r="AX7">
        <f t="shared" si="21"/>
        <v>4.5199999999994134E-2</v>
      </c>
      <c r="AY7" s="13">
        <f t="shared" ca="1" si="7"/>
        <v>2.4545728980716248</v>
      </c>
      <c r="AZ7" s="6">
        <f t="shared" ca="1" si="7"/>
        <v>0.63160953055744073</v>
      </c>
      <c r="BA7" s="6">
        <f t="shared" ca="1" si="7"/>
        <v>1.9933839824563222</v>
      </c>
      <c r="BB7" s="6">
        <f t="shared" ca="1" si="7"/>
        <v>1.728761340255133</v>
      </c>
      <c r="BC7" s="6">
        <f t="shared" ca="1" si="7"/>
        <v>0.6203411778721275</v>
      </c>
      <c r="BD7" s="2">
        <f t="shared" ca="1" si="7"/>
        <v>-1.7488113306924902E-2</v>
      </c>
      <c r="BE7" t="s">
        <v>180</v>
      </c>
      <c r="BG7">
        <f>AM4</f>
        <v>4.8061881933081798</v>
      </c>
      <c r="BH7">
        <f>AN4</f>
        <v>4.3774005583391782</v>
      </c>
      <c r="BI7">
        <f>AO4</f>
        <v>4.3142790307947818</v>
      </c>
      <c r="BJ7">
        <f>AP4</f>
        <v>3.896959037966623</v>
      </c>
      <c r="BK7">
        <f>AQ4</f>
        <v>2.9440597878079915</v>
      </c>
      <c r="BL7">
        <f t="shared" si="22"/>
        <v>2.3746764655660906</v>
      </c>
      <c r="BM7">
        <f>AR4</f>
        <v>1.8052931433241899</v>
      </c>
    </row>
    <row r="8" spans="1:66" x14ac:dyDescent="0.25">
      <c r="A8" t="s">
        <v>11</v>
      </c>
      <c r="B8">
        <f>B7+1</f>
        <v>3</v>
      </c>
      <c r="C8" s="13">
        <f ca="1">'Historical Trends'!P8</f>
        <v>43.05813349814585</v>
      </c>
      <c r="D8">
        <f ca="1">AVERAGE(OFFSET('Historical Trends'!$F$6,$B8,0,'Polling Correlations - LNP'!D$4,1))</f>
        <v>42.09</v>
      </c>
      <c r="E8">
        <f ca="1">AVERAGE(OFFSET('Historical Trends'!$F$6,$B8,0,'Polling Correlations - LNP'!E$4,1))</f>
        <v>44.400000000000006</v>
      </c>
      <c r="F8">
        <f ca="1">AVERAGE(OFFSET('Historical Trends'!$F$6,$B8,0,'Polling Correlations - LNP'!F$4,1))</f>
        <v>43.906666666666673</v>
      </c>
      <c r="G8">
        <f ca="1">AVERAGE(OFFSET('Historical Trends'!$F$6,$B8,0,'Polling Correlations - LNP'!G$4,1))</f>
        <v>42.807500000000005</v>
      </c>
      <c r="H8">
        <f ca="1">AVERAGE(OFFSET('Historical Trends'!$F$6,$B8,0,'Polling Correlations - LNP'!H$4,1))</f>
        <v>43.696000000000005</v>
      </c>
      <c r="I8">
        <f ca="1">AVERAGE(OFFSET('Historical Trends'!$F$6,$B8,0,'Polling Correlations - LNP'!I$4,1))</f>
        <v>43.791666666666664</v>
      </c>
      <c r="J8">
        <f ca="1">AVERAGE(OFFSET('Historical Trends'!$F$6,$B8,0,'Polling Correlations - LNP'!J$4,1))</f>
        <v>43.744285714285709</v>
      </c>
      <c r="K8" s="13">
        <f>(39+41+39+41+40)/5</f>
        <v>40</v>
      </c>
      <c r="L8">
        <f>(39+38+37+40+38)/5</f>
        <v>38.4</v>
      </c>
      <c r="M8">
        <f>(36+36+39+35+38)/5</f>
        <v>36.799999999999997</v>
      </c>
      <c r="N8">
        <f>(43+43+42+43+40)/5</f>
        <v>42.2</v>
      </c>
      <c r="O8">
        <f>(41+44+38+42+42)/5</f>
        <v>41.4</v>
      </c>
      <c r="P8">
        <f>(41.5+43.6+41+41+41)/5</f>
        <v>41.62</v>
      </c>
      <c r="Q8" s="30">
        <f>K8-AVERAGE(AM$5:AM7,AM9:AM$30)</f>
        <v>41.476031746031744</v>
      </c>
      <c r="R8" s="31">
        <f>L8-AVERAGE(AN$5:AN7,AN9:AN$30)</f>
        <v>39.722463768115944</v>
      </c>
      <c r="S8" s="31">
        <f>M8-AVERAGE(AO$5:AO7,AO9:AO$30)</f>
        <v>38.148333333333333</v>
      </c>
      <c r="T8" s="31">
        <f>N8-AVERAGE(AP$5:AP7,AP9:AP$30)</f>
        <v>43.856533333333338</v>
      </c>
      <c r="U8" s="31">
        <f>O8-AVERAGE(AQ$5:AQ7,AQ9:AQ$30)</f>
        <v>42.837333333333333</v>
      </c>
      <c r="V8" s="31">
        <f>P8-AVERAGE(AR$5:AR7,AR9:AR$30)</f>
        <v>42.342799999999997</v>
      </c>
      <c r="W8" s="13">
        <f t="shared" ca="1" si="9"/>
        <v>42.301711719962491</v>
      </c>
      <c r="X8" s="6">
        <f t="shared" ca="1" si="10"/>
        <v>40.864179258446953</v>
      </c>
      <c r="Y8" s="6">
        <f t="shared" ca="1" si="11"/>
        <v>39.928870969946331</v>
      </c>
      <c r="Z8" s="6">
        <f t="shared" ca="1" si="12"/>
        <v>43.843874441083095</v>
      </c>
      <c r="AA8" s="6">
        <f t="shared" ca="1" si="13"/>
        <v>42.931955190607596</v>
      </c>
      <c r="AB8" s="2">
        <f t="shared" ca="1" si="14"/>
        <v>42.390473062023212</v>
      </c>
      <c r="AC8" s="2">
        <f>'Historical Trends'!F8</f>
        <v>43.660000000000004</v>
      </c>
      <c r="AE8" s="13">
        <f t="shared" ca="1" si="4"/>
        <v>-0.60186650185415402</v>
      </c>
      <c r="AF8">
        <f t="shared" ca="1" si="4"/>
        <v>-1.5700000000000003</v>
      </c>
      <c r="AG8">
        <f t="shared" ca="1" si="4"/>
        <v>0.74000000000000199</v>
      </c>
      <c r="AH8">
        <f t="shared" ca="1" si="4"/>
        <v>0.2466666666666697</v>
      </c>
      <c r="AI8">
        <f t="shared" ca="1" si="4"/>
        <v>-0.85249999999999915</v>
      </c>
      <c r="AJ8">
        <f t="shared" ca="1" si="4"/>
        <v>3.6000000000001364E-2</v>
      </c>
      <c r="AK8">
        <f t="shared" ca="1" si="4"/>
        <v>0.1316666666666606</v>
      </c>
      <c r="AL8">
        <f t="shared" ca="1" si="4"/>
        <v>8.4285714285705637E-2</v>
      </c>
      <c r="AM8" s="13">
        <f t="shared" si="4"/>
        <v>-3.6600000000000037</v>
      </c>
      <c r="AN8">
        <f t="shared" si="15"/>
        <v>-5.2600000000000051</v>
      </c>
      <c r="AO8">
        <f t="shared" si="15"/>
        <v>-6.8600000000000065</v>
      </c>
      <c r="AP8">
        <f t="shared" si="15"/>
        <v>-1.4600000000000009</v>
      </c>
      <c r="AQ8">
        <f t="shared" si="15"/>
        <v>-2.2600000000000051</v>
      </c>
      <c r="AR8">
        <f t="shared" si="15"/>
        <v>-2.0400000000000063</v>
      </c>
      <c r="AS8" s="30">
        <f t="shared" si="16"/>
        <v>-2.1839682539682599</v>
      </c>
      <c r="AT8">
        <f t="shared" si="17"/>
        <v>-3.9375362318840601</v>
      </c>
      <c r="AU8">
        <f t="shared" si="18"/>
        <v>-5.5116666666666703</v>
      </c>
      <c r="AV8">
        <f t="shared" si="19"/>
        <v>0.19653333333333478</v>
      </c>
      <c r="AW8">
        <f t="shared" si="20"/>
        <v>-0.82266666666667021</v>
      </c>
      <c r="AX8">
        <f t="shared" si="21"/>
        <v>-1.3172000000000068</v>
      </c>
      <c r="AY8" s="13">
        <f t="shared" ca="1" si="7"/>
        <v>-1.3582882800375131</v>
      </c>
      <c r="AZ8" s="6">
        <f t="shared" ca="1" si="7"/>
        <v>-2.7958207415530509</v>
      </c>
      <c r="BA8" s="6">
        <f t="shared" ca="1" si="7"/>
        <v>-3.7311290300536726</v>
      </c>
      <c r="BB8" s="6">
        <f t="shared" ca="1" si="7"/>
        <v>0.18387444108309126</v>
      </c>
      <c r="BC8" s="6">
        <f t="shared" ca="1" si="7"/>
        <v>-0.7280448093924079</v>
      </c>
      <c r="BD8" s="2">
        <f t="shared" ca="1" si="7"/>
        <v>-1.2695269379767922</v>
      </c>
      <c r="BE8" t="s">
        <v>184</v>
      </c>
      <c r="BG8">
        <f ca="1">AY4</f>
        <v>4.4442195487086265</v>
      </c>
      <c r="BH8">
        <f ca="1">AZ4</f>
        <v>4.0458486758012979</v>
      </c>
      <c r="BI8">
        <f ca="1">BA4</f>
        <v>3.7909292903225573</v>
      </c>
      <c r="BJ8">
        <f ca="1">BB4</f>
        <v>3.5167180616117864</v>
      </c>
      <c r="BK8">
        <f ca="1">BC4</f>
        <v>2.5966247127340574</v>
      </c>
      <c r="BL8">
        <f t="shared" ca="1" si="22"/>
        <v>2.1416607007724258</v>
      </c>
      <c r="BM8">
        <f ca="1">BD4</f>
        <v>1.6866966888107942</v>
      </c>
    </row>
    <row r="9" spans="1:66" x14ac:dyDescent="0.25">
      <c r="A9" t="s">
        <v>12</v>
      </c>
      <c r="B9">
        <f>B8+1</f>
        <v>4</v>
      </c>
      <c r="C9" s="13">
        <f ca="1">'Historical Trends'!P9</f>
        <v>44.748030303030333</v>
      </c>
      <c r="D9">
        <f ca="1">AVERAGE(OFFSET('Historical Trends'!$F$6,$B9,0,'Polling Correlations - LNP'!D$4,1))</f>
        <v>46.71</v>
      </c>
      <c r="E9">
        <f ca="1">AVERAGE(OFFSET('Historical Trends'!$F$6,$B9,0,'Polling Correlations - LNP'!E$4,1))</f>
        <v>44.814999999999998</v>
      </c>
      <c r="F9">
        <f ca="1">AVERAGE(OFFSET('Historical Trends'!$F$6,$B9,0,'Polling Correlations - LNP'!F$4,1))</f>
        <v>43.04666666666666</v>
      </c>
      <c r="G9">
        <f ca="1">AVERAGE(OFFSET('Historical Trends'!$F$6,$B9,0,'Polling Correlations - LNP'!G$4,1))</f>
        <v>44.097499999999997</v>
      </c>
      <c r="H9">
        <f ca="1">AVERAGE(OFFSET('Historical Trends'!$F$6,$B9,0,'Polling Correlations - LNP'!H$4,1))</f>
        <v>44.131999999999998</v>
      </c>
      <c r="I9">
        <f ca="1">AVERAGE(OFFSET('Historical Trends'!$F$6,$B9,0,'Polling Correlations - LNP'!I$4,1))</f>
        <v>44.02</v>
      </c>
      <c r="J9">
        <f ca="1">AVERAGE(OFFSET('Historical Trends'!$F$6,$B9,0,'Polling Correlations - LNP'!J$4,1))</f>
        <v>44.288571428571423</v>
      </c>
      <c r="K9" s="13">
        <f>(39+41+37+43+44)/5</f>
        <v>40.799999999999997</v>
      </c>
      <c r="L9">
        <f>(41+42+41+41+39)/5</f>
        <v>40.799999999999997</v>
      </c>
      <c r="M9">
        <f>AVERAGE(39+39+39+39+36)/5</f>
        <v>38.4</v>
      </c>
      <c r="N9">
        <f>(39+41+39+41+40)/5</f>
        <v>40</v>
      </c>
      <c r="O9">
        <f>(38+42+43+39+40)/5</f>
        <v>40.4</v>
      </c>
      <c r="P9">
        <f>(43+40+42.5+41+43)/5</f>
        <v>41.9</v>
      </c>
      <c r="Q9" s="30">
        <f>K9-AVERAGE(AM$5:AM8,AM10:AM$30)</f>
        <v>42.388888888888886</v>
      </c>
      <c r="R9" s="31">
        <f>L9-AVERAGE(AN$5:AN8,AN10:AN$30)</f>
        <v>42.295072463768115</v>
      </c>
      <c r="S9" s="31">
        <f>M9-AVERAGE(AO$5:AO8,AO10:AO$30)</f>
        <v>39.880416666666662</v>
      </c>
      <c r="T9" s="31">
        <f>N9-AVERAGE(AP$5:AP8,AP10:AP$30)</f>
        <v>41.631333333333338</v>
      </c>
      <c r="U9" s="31">
        <f>O9-AVERAGE(AQ$5:AQ8,AQ10:AQ$30)</f>
        <v>41.86013333333333</v>
      </c>
      <c r="V9" s="31">
        <f>P9-AVERAGE(AR$5:AR8,AR10:AR$30)</f>
        <v>42.696799999999996</v>
      </c>
      <c r="W9" s="13">
        <f t="shared" ca="1" si="9"/>
        <v>42.970489972764021</v>
      </c>
      <c r="X9" s="6">
        <f t="shared" ca="1" si="10"/>
        <v>42.779043535477477</v>
      </c>
      <c r="Y9" s="6">
        <f t="shared" ca="1" si="11"/>
        <v>41.186503599607462</v>
      </c>
      <c r="Z9" s="6">
        <f t="shared" ca="1" si="12"/>
        <v>42.097487608077543</v>
      </c>
      <c r="AA9" s="6">
        <f t="shared" ca="1" si="13"/>
        <v>42.074283450830471</v>
      </c>
      <c r="AB9" s="2">
        <f t="shared" ca="1" si="14"/>
        <v>42.740338164774151</v>
      </c>
      <c r="AC9" s="2">
        <f>'Historical Trends'!F9</f>
        <v>42.09</v>
      </c>
      <c r="AE9" s="13">
        <f t="shared" ca="1" si="4"/>
        <v>2.6580303030303298</v>
      </c>
      <c r="AF9">
        <f t="shared" ca="1" si="4"/>
        <v>4.6199999999999974</v>
      </c>
      <c r="AG9">
        <f t="shared" ca="1" si="4"/>
        <v>2.7249999999999943</v>
      </c>
      <c r="AH9">
        <f t="shared" ca="1" si="4"/>
        <v>0.95666666666665634</v>
      </c>
      <c r="AI9">
        <f t="shared" ca="1" si="4"/>
        <v>2.0074999999999932</v>
      </c>
      <c r="AJ9">
        <f t="shared" ca="1" si="4"/>
        <v>2.0419999999999945</v>
      </c>
      <c r="AK9">
        <f t="shared" ca="1" si="4"/>
        <v>1.9299999999999997</v>
      </c>
      <c r="AL9">
        <f t="shared" ca="1" si="4"/>
        <v>2.1985714285714195</v>
      </c>
      <c r="AM9" s="13">
        <f t="shared" si="4"/>
        <v>-1.2900000000000063</v>
      </c>
      <c r="AN9">
        <f t="shared" si="15"/>
        <v>-1.2900000000000063</v>
      </c>
      <c r="AO9">
        <f t="shared" si="15"/>
        <v>-3.6900000000000048</v>
      </c>
      <c r="AP9">
        <f t="shared" si="15"/>
        <v>-2.0900000000000034</v>
      </c>
      <c r="AQ9">
        <f t="shared" si="15"/>
        <v>-1.6900000000000048</v>
      </c>
      <c r="AR9">
        <f t="shared" si="15"/>
        <v>-0.19000000000000483</v>
      </c>
      <c r="AS9" s="30">
        <f t="shared" si="16"/>
        <v>0.29888888888888232</v>
      </c>
      <c r="AT9">
        <f t="shared" si="17"/>
        <v>0.20507246376811139</v>
      </c>
      <c r="AU9">
        <f t="shared" si="18"/>
        <v>-2.2095833333333417</v>
      </c>
      <c r="AV9">
        <f t="shared" si="19"/>
        <v>-0.45866666666666589</v>
      </c>
      <c r="AW9">
        <f t="shared" si="20"/>
        <v>-0.22986666666667332</v>
      </c>
      <c r="AX9">
        <f t="shared" si="21"/>
        <v>0.60679999999999268</v>
      </c>
      <c r="AY9" s="13">
        <f t="shared" ca="1" si="7"/>
        <v>0.88048997276401764</v>
      </c>
      <c r="AZ9" s="6">
        <f t="shared" ca="1" si="7"/>
        <v>0.68904353547747377</v>
      </c>
      <c r="BA9" s="6">
        <f t="shared" ca="1" si="7"/>
        <v>-0.90349640039254098</v>
      </c>
      <c r="BB9" s="6">
        <f t="shared" ca="1" si="7"/>
        <v>7.4876080775396758E-3</v>
      </c>
      <c r="BC9" s="6">
        <f t="shared" ca="1" si="7"/>
        <v>-1.5716549169532357E-2</v>
      </c>
      <c r="BD9" s="2">
        <f t="shared" ca="1" si="7"/>
        <v>0.65033816477414774</v>
      </c>
      <c r="BE9" t="s">
        <v>185</v>
      </c>
      <c r="BG9">
        <f t="shared" ref="BG9:BM9" ca="1" si="23">$AK$4</f>
        <v>5.6008553891118789</v>
      </c>
      <c r="BH9">
        <f t="shared" ca="1" si="23"/>
        <v>5.6008553891118789</v>
      </c>
      <c r="BI9">
        <f t="shared" ca="1" si="23"/>
        <v>5.6008553891118789</v>
      </c>
      <c r="BJ9">
        <f t="shared" ca="1" si="23"/>
        <v>5.6008553891118789</v>
      </c>
      <c r="BK9">
        <f t="shared" ca="1" si="23"/>
        <v>5.6008553891118789</v>
      </c>
      <c r="BL9">
        <f t="shared" ca="1" si="22"/>
        <v>5.6008553891118789</v>
      </c>
      <c r="BM9">
        <f t="shared" ca="1" si="23"/>
        <v>5.6008553891118789</v>
      </c>
    </row>
    <row r="10" spans="1:66" x14ac:dyDescent="0.25">
      <c r="A10" t="s">
        <v>14</v>
      </c>
      <c r="B10">
        <f>B9+1</f>
        <v>5</v>
      </c>
      <c r="C10" s="13">
        <f ca="1">'Historical Trends'!P10</f>
        <v>41.67414091470954</v>
      </c>
      <c r="D10">
        <f ca="1">AVERAGE(OFFSET('Historical Trends'!$F$6,$B10,0,'Polling Correlations - LNP'!D$4,1))</f>
        <v>42.92</v>
      </c>
      <c r="E10">
        <f ca="1">AVERAGE(OFFSET('Historical Trends'!$F$6,$B10,0,'Polling Correlations - LNP'!E$4,1))</f>
        <v>41.215000000000003</v>
      </c>
      <c r="F10">
        <f ca="1">AVERAGE(OFFSET('Historical Trends'!$F$6,$B10,0,'Polling Correlations - LNP'!F$4,1))</f>
        <v>43.226666666666667</v>
      </c>
      <c r="G10">
        <f ca="1">AVERAGE(OFFSET('Historical Trends'!$F$6,$B10,0,'Polling Correlations - LNP'!G$4,1))</f>
        <v>43.487500000000004</v>
      </c>
      <c r="H10">
        <f ca="1">AVERAGE(OFFSET('Historical Trends'!$F$6,$B10,0,'Polling Correlations - LNP'!H$4,1))</f>
        <v>43.482000000000006</v>
      </c>
      <c r="I10">
        <f ca="1">AVERAGE(OFFSET('Historical Trends'!$F$6,$B10,0,'Polling Correlations - LNP'!I$4,1))</f>
        <v>43.884999999999998</v>
      </c>
      <c r="J10">
        <f ca="1">AVERAGE(OFFSET('Historical Trends'!$F$6,$B10,0,'Polling Correlations - LNP'!J$4,1))</f>
        <v>44.045714285714283</v>
      </c>
      <c r="M10">
        <f>(39+41+42+42+43)/5</f>
        <v>41.4</v>
      </c>
      <c r="N10">
        <f>AVERAGE(43+43+43+47+39)/5</f>
        <v>43</v>
      </c>
      <c r="O10">
        <f>AVERAGE(46+45+43+46+43)/5</f>
        <v>44.6</v>
      </c>
      <c r="P10">
        <f>(45+46+43+43+48)/5</f>
        <v>45</v>
      </c>
      <c r="Q10" s="30"/>
      <c r="R10" s="31"/>
      <c r="S10" s="31">
        <f>M10-AVERAGE(AO$5:AO9,AO11:AO$30)</f>
        <v>42.812916666666666</v>
      </c>
      <c r="T10" s="31">
        <f>N10-AVERAGE(AP$5:AP9,AP11:AP$30)</f>
        <v>44.566533333333332</v>
      </c>
      <c r="U10" s="31">
        <f>O10-AVERAGE(AQ$5:AQ9,AQ11:AQ$30)</f>
        <v>46.043333333333337</v>
      </c>
      <c r="V10" s="31">
        <f>P10-AVERAGE(AR$5:AR9,AR11:AR$30)</f>
        <v>45.735999999999997</v>
      </c>
      <c r="Y10" s="6">
        <f t="shared" ca="1" si="11"/>
        <v>43.15117149086965</v>
      </c>
      <c r="Z10" s="6">
        <f t="shared" ca="1" si="12"/>
        <v>44.433530398621919</v>
      </c>
      <c r="AA10" s="6">
        <f t="shared" ca="1" si="13"/>
        <v>45.829335245365876</v>
      </c>
      <c r="AB10" s="2">
        <f t="shared" ca="1" si="14"/>
        <v>45.675095266779799</v>
      </c>
      <c r="AC10" s="2">
        <f>'Historical Trends'!F10</f>
        <v>46.71</v>
      </c>
      <c r="AE10" s="13">
        <f t="shared" ref="AE10:AE30" ca="1" si="24">C10-$AC10</f>
        <v>-5.0358590852904612</v>
      </c>
      <c r="AF10">
        <f t="shared" ref="AF10:AF30" ca="1" si="25">D10-$AC10</f>
        <v>-3.7899999999999991</v>
      </c>
      <c r="AG10">
        <f t="shared" ref="AG10:AG30" ca="1" si="26">E10-$AC10</f>
        <v>-5.4949999999999974</v>
      </c>
      <c r="AH10">
        <f t="shared" ref="AH10:AH30" ca="1" si="27">F10-$AC10</f>
        <v>-3.4833333333333343</v>
      </c>
      <c r="AI10">
        <f t="shared" ref="AI10:AI30" ca="1" si="28">G10-$AC10</f>
        <v>-3.2224999999999966</v>
      </c>
      <c r="AJ10">
        <f t="shared" ref="AJ10:AJ30" ca="1" si="29">H10-$AC10</f>
        <v>-3.2279999999999944</v>
      </c>
      <c r="AK10">
        <f t="shared" ref="AK10:AK30" ca="1" si="30">I10-$AC10</f>
        <v>-2.8250000000000028</v>
      </c>
      <c r="AL10">
        <f t="shared" ref="AL10:AL30" ca="1" si="31">J10-$AC10</f>
        <v>-2.6642857142857181</v>
      </c>
      <c r="AO10">
        <f t="shared" ref="AO10:AO29" si="32">M10-$AC10</f>
        <v>-5.3100000000000023</v>
      </c>
      <c r="AP10">
        <f t="shared" ref="AP10:AP29" si="33">N10-$AC10</f>
        <v>-3.7100000000000009</v>
      </c>
      <c r="AQ10">
        <f t="shared" ref="AQ10:AQ29" si="34">O10-$AC10</f>
        <v>-2.1099999999999994</v>
      </c>
      <c r="AR10">
        <f t="shared" ref="AR10:AR29" si="35">P10-$AC10</f>
        <v>-1.7100000000000009</v>
      </c>
      <c r="AS10" s="30"/>
      <c r="AU10">
        <f t="shared" si="18"/>
        <v>-3.8970833333333346</v>
      </c>
      <c r="AV10">
        <f t="shared" si="19"/>
        <v>-2.1434666666666686</v>
      </c>
      <c r="AW10">
        <f t="shared" si="20"/>
        <v>-0.6666666666666643</v>
      </c>
      <c r="AX10">
        <f t="shared" si="21"/>
        <v>-0.97400000000000375</v>
      </c>
      <c r="BA10" s="6">
        <f t="shared" ref="BA10:BA29" ca="1" si="36">Y10-$AC10</f>
        <v>-3.5588285091303504</v>
      </c>
      <c r="BB10" s="6">
        <f t="shared" ref="BB10:BB29" ca="1" si="37">Z10-$AC10</f>
        <v>-2.2764696013780821</v>
      </c>
      <c r="BC10" s="6">
        <f t="shared" ref="BC10:BC29" ca="1" si="38">AA10-$AC10</f>
        <v>-0.8806647546341253</v>
      </c>
      <c r="BD10" s="2">
        <f t="shared" ref="BD10:BD29" ca="1" si="39">AB10-$AC10</f>
        <v>-1.0349047332202019</v>
      </c>
      <c r="BE10" t="s">
        <v>153</v>
      </c>
      <c r="BG10">
        <f>W4</f>
        <v>0.64343257800571041</v>
      </c>
      <c r="BH10">
        <f>X4</f>
        <v>0.71942527350070518</v>
      </c>
      <c r="BI10">
        <f>Y4</f>
        <v>0.6844883101099235</v>
      </c>
      <c r="BJ10">
        <f>Z4</f>
        <v>0.80484749871160721</v>
      </c>
      <c r="BK10">
        <f>AA4</f>
        <v>0.90085030673322286</v>
      </c>
      <c r="BL10">
        <f t="shared" si="22"/>
        <v>0.93397330754808272</v>
      </c>
      <c r="BM10">
        <f>AB4</f>
        <v>0.96709630836294247</v>
      </c>
    </row>
    <row r="11" spans="1:66" x14ac:dyDescent="0.25">
      <c r="A11" t="s">
        <v>49</v>
      </c>
      <c r="B11">
        <v>0</v>
      </c>
      <c r="C11" s="13">
        <f ca="1">'Historical Trends'!P27</f>
        <v>49.373992583436575</v>
      </c>
      <c r="D11">
        <f ca="1">AVERAGE(OFFSET('Historical Trends'!$F$28,$B5,0,'Polling Correlations - LNP'!D$4,1))</f>
        <v>41.32</v>
      </c>
      <c r="E11">
        <f ca="1">AVERAGE(OFFSET('Historical Trends'!$F$28,$B5,0,'Polling Correlations - LNP'!E$4,1))</f>
        <v>45.489999999999995</v>
      </c>
      <c r="F11">
        <f ca="1">AVERAGE(OFFSET('Historical Trends'!$F$28,$B5,0,'Polling Correlations - LNP'!F$4,1))</f>
        <v>44.193333333333328</v>
      </c>
      <c r="G11">
        <f ca="1">AVERAGE(OFFSET('Historical Trends'!$F$28,$B5,0,'Polling Correlations - LNP'!G$4,1))</f>
        <v>42.625</v>
      </c>
      <c r="H11">
        <f ca="1">AVERAGE(OFFSET('Historical Trends'!$F$28,$B5,0,'Polling Correlations - LNP'!H$4,1))</f>
        <v>41.192</v>
      </c>
      <c r="I11">
        <f ca="1">AVERAGE(OFFSET('Historical Trends'!$F$28,$B5,0,'Polling Correlations - LNP'!I$4,1))</f>
        <v>39.073333333333331</v>
      </c>
      <c r="J11">
        <f ca="1">AVERAGE(OFFSET('Historical Trends'!$F$28,$B5,0,'Polling Correlations - LNP'!J$4,1))</f>
        <v>37.957142857142856</v>
      </c>
      <c r="K11" s="13">
        <f>(42+41+39+42+38)/5</f>
        <v>40.4</v>
      </c>
      <c r="L11">
        <f>(32+37+35+37+35)/5</f>
        <v>35.200000000000003</v>
      </c>
      <c r="M11">
        <f>(34+34+31+33.2+33)/5</f>
        <v>33.04</v>
      </c>
      <c r="N11">
        <f>(33+34+36+34+35.3)/5</f>
        <v>34.46</v>
      </c>
      <c r="O11">
        <f>(38+34+33.2+35+33)/5</f>
        <v>34.64</v>
      </c>
      <c r="P11">
        <f>(35+34+30+29+32)/5</f>
        <v>32</v>
      </c>
      <c r="Q11" s="30">
        <f>K11-AVERAGE(AM$5:AM10,AM12:AM$30)</f>
        <v>42.369841269841267</v>
      </c>
      <c r="R11" s="31">
        <f>L11-AVERAGE(AN$5:AN10,AN12:AN$30)</f>
        <v>36.816811594202903</v>
      </c>
      <c r="S11" s="31">
        <f>M11-AVERAGE(AO$5:AO10,AO12:AO$30)</f>
        <v>34.647083333333335</v>
      </c>
      <c r="T11" s="31">
        <f>N11-AVERAGE(AP$5:AP10,AP12:AP$30)</f>
        <v>36.205733333333335</v>
      </c>
      <c r="U11" s="31">
        <f>O11-AVERAGE(AQ$5:AQ10,AQ12:AQ$30)</f>
        <v>36.205733333333335</v>
      </c>
      <c r="V11" s="31">
        <f>P11-AVERAGE(AR$5:AR10,AR12:AR$30)</f>
        <v>32.736800000000002</v>
      </c>
      <c r="W11" s="13">
        <f t="shared" ref="W11:W29" ca="1" si="40">Q11*W$4+$I11*(1-W$4)</f>
        <v>41.194413933336918</v>
      </c>
      <c r="X11" s="6">
        <f t="shared" ref="X11:X29" ca="1" si="41">R11*X$4+$I11*(1-X$4)</f>
        <v>37.449934563999136</v>
      </c>
      <c r="Y11" s="6">
        <f t="shared" ca="1" si="11"/>
        <v>36.043616950709286</v>
      </c>
      <c r="Z11" s="6">
        <f t="shared" ca="1" si="12"/>
        <v>36.765352646027928</v>
      </c>
      <c r="AA11" s="6">
        <f t="shared" ca="1" si="13"/>
        <v>36.49005499374514</v>
      </c>
      <c r="AB11" s="2">
        <f t="shared" ca="1" si="14"/>
        <v>32.945295338847941</v>
      </c>
      <c r="AC11" s="2">
        <f>'Historical Trends'!F27</f>
        <v>33.69</v>
      </c>
      <c r="AE11" s="13">
        <f t="shared" ca="1" si="24"/>
        <v>15.683992583436577</v>
      </c>
      <c r="AF11">
        <f t="shared" ca="1" si="25"/>
        <v>7.6300000000000026</v>
      </c>
      <c r="AG11">
        <f t="shared" ca="1" si="26"/>
        <v>11.799999999999997</v>
      </c>
      <c r="AH11">
        <f t="shared" ca="1" si="27"/>
        <v>10.50333333333333</v>
      </c>
      <c r="AI11">
        <f t="shared" ca="1" si="28"/>
        <v>8.9350000000000023</v>
      </c>
      <c r="AJ11">
        <f t="shared" ca="1" si="29"/>
        <v>7.5020000000000024</v>
      </c>
      <c r="AK11">
        <f t="shared" ca="1" si="30"/>
        <v>5.3833333333333329</v>
      </c>
      <c r="AL11">
        <f t="shared" ca="1" si="31"/>
        <v>4.2671428571428578</v>
      </c>
      <c r="AM11" s="13">
        <f t="shared" ref="AM11:AN14" si="42">K11-$AC11</f>
        <v>6.7100000000000009</v>
      </c>
      <c r="AN11">
        <f t="shared" si="42"/>
        <v>1.5100000000000051</v>
      </c>
      <c r="AO11">
        <f t="shared" si="32"/>
        <v>-0.64999999999999858</v>
      </c>
      <c r="AP11">
        <f t="shared" si="33"/>
        <v>0.77000000000000313</v>
      </c>
      <c r="AQ11">
        <f t="shared" si="34"/>
        <v>0.95000000000000284</v>
      </c>
      <c r="AR11">
        <f t="shared" si="35"/>
        <v>-1.6899999999999977</v>
      </c>
      <c r="AS11" s="30">
        <f t="shared" si="16"/>
        <v>8.679841269841269</v>
      </c>
      <c r="AT11">
        <f t="shared" si="17"/>
        <v>3.1268115942029056</v>
      </c>
      <c r="AU11">
        <f t="shared" si="18"/>
        <v>0.95708333333333684</v>
      </c>
      <c r="AV11">
        <f t="shared" si="19"/>
        <v>2.5157333333333369</v>
      </c>
      <c r="AW11">
        <f t="shared" si="20"/>
        <v>2.5157333333333369</v>
      </c>
      <c r="AX11">
        <f t="shared" si="21"/>
        <v>-0.95319999999999538</v>
      </c>
      <c r="AY11" s="13">
        <f t="shared" ref="AY11:AZ14" ca="1" si="43">W11-$AC11</f>
        <v>7.5044139333369202</v>
      </c>
      <c r="AZ11" s="6">
        <f t="shared" ca="1" si="43"/>
        <v>3.7599345639991384</v>
      </c>
      <c r="BA11" s="6">
        <f t="shared" ca="1" si="36"/>
        <v>2.3536169507092879</v>
      </c>
      <c r="BB11" s="6">
        <f t="shared" ca="1" si="37"/>
        <v>3.0753526460279303</v>
      </c>
      <c r="BC11" s="6">
        <f t="shared" ca="1" si="38"/>
        <v>2.8000549937451424</v>
      </c>
      <c r="BD11" s="2">
        <f t="shared" ca="1" si="39"/>
        <v>-0.74470466115205625</v>
      </c>
      <c r="BE11" t="s">
        <v>186</v>
      </c>
      <c r="BG11">
        <f>BG10</f>
        <v>0.64343257800571041</v>
      </c>
      <c r="BH11">
        <f>AVERAGE(BG10:BI10)</f>
        <v>0.6824487205387797</v>
      </c>
      <c r="BI11">
        <f>AVERAGE(BH10:BJ10)</f>
        <v>0.73625369410741204</v>
      </c>
      <c r="BJ11">
        <f>AVERAGE(BI10:BK10)</f>
        <v>0.7967287051849179</v>
      </c>
      <c r="BK11">
        <f>AVERAGE(BJ10:BM10)</f>
        <v>0.90169185533896379</v>
      </c>
      <c r="BL11">
        <f t="shared" si="22"/>
        <v>0.93439408185095307</v>
      </c>
      <c r="BM11">
        <f>BM10</f>
        <v>0.96709630836294247</v>
      </c>
    </row>
    <row r="12" spans="1:66" x14ac:dyDescent="0.25">
      <c r="A12" t="s">
        <v>51</v>
      </c>
      <c r="B12">
        <f>B11+1</f>
        <v>1</v>
      </c>
      <c r="C12" s="13">
        <f ca="1">'Historical Trends'!P28</f>
        <v>51.316363636363349</v>
      </c>
      <c r="D12">
        <f ca="1">AVERAGE(OFFSET('Historical Trends'!$F$28,$B6,0,'Polling Correlations - LNP'!D$4,1))</f>
        <v>49.66</v>
      </c>
      <c r="E12">
        <f ca="1">AVERAGE(OFFSET('Historical Trends'!$F$28,$B6,0,'Polling Correlations - LNP'!E$4,1))</f>
        <v>45.629999999999995</v>
      </c>
      <c r="F12">
        <f ca="1">AVERAGE(OFFSET('Historical Trends'!$F$28,$B6,0,'Polling Correlations - LNP'!F$4,1))</f>
        <v>43.06</v>
      </c>
      <c r="G12">
        <f ca="1">AVERAGE(OFFSET('Historical Trends'!$F$28,$B6,0,'Polling Correlations - LNP'!G$4,1))</f>
        <v>41.160000000000004</v>
      </c>
      <c r="H12">
        <f ca="1">AVERAGE(OFFSET('Historical Trends'!$F$28,$B6,0,'Polling Correlations - LNP'!H$4,1))</f>
        <v>38.624000000000002</v>
      </c>
      <c r="I12">
        <f ca="1">AVERAGE(OFFSET('Historical Trends'!$F$28,$B6,0,'Polling Correlations - LNP'!I$4,1))</f>
        <v>37.396666666666668</v>
      </c>
      <c r="J12">
        <f ca="1">AVERAGE(OFFSET('Historical Trends'!$F$28,$B6,0,'Polling Correlations - LNP'!J$4,1))</f>
        <v>39.052857142857142</v>
      </c>
      <c r="K12" s="13">
        <f>AVERAGE(42.5+41.9+41+44+42)/5</f>
        <v>42.28</v>
      </c>
      <c r="L12">
        <f>(40+44+46+40+45)/5</f>
        <v>43</v>
      </c>
      <c r="M12">
        <f>AVERAGE(37.6+38.7+40.9+43+41)/5</f>
        <v>40.24</v>
      </c>
      <c r="N12">
        <f>(40.9+41.2+39+39+34.4)/5</f>
        <v>38.9</v>
      </c>
      <c r="O12">
        <f>(38+39.2+37+37+40.9)/5</f>
        <v>38.42</v>
      </c>
      <c r="P12">
        <f>(41.5+41+41+42+39)/5</f>
        <v>40.9</v>
      </c>
      <c r="Q12" s="30">
        <f>K12-AVERAGE(AM$5:AM11,AM13:AM$30)</f>
        <v>43.976031746031751</v>
      </c>
      <c r="R12" s="31">
        <f>L12-AVERAGE(AN$5:AN11,AN13:AN$30)</f>
        <v>44.624202898550728</v>
      </c>
      <c r="S12" s="31">
        <f>M12-AVERAGE(AO$5:AO11,AO13:AO$30)</f>
        <v>41.829166666666666</v>
      </c>
      <c r="T12" s="31">
        <f>N12-AVERAGE(AP$5:AP11,AP13:AP$30)</f>
        <v>40.518133333333331</v>
      </c>
      <c r="U12" s="31">
        <f>O12-AVERAGE(AQ$5:AQ11,AQ13:AQ$30)</f>
        <v>39.831733333333332</v>
      </c>
      <c r="V12" s="31">
        <f>P12-AVERAGE(AR$5:AR11,AR13:AR$30)</f>
        <v>41.687599999999996</v>
      </c>
      <c r="W12" s="13">
        <f t="shared" ca="1" si="40"/>
        <v>41.63004450132329</v>
      </c>
      <c r="X12" s="6">
        <f t="shared" ca="1" si="41"/>
        <v>42.596338897026115</v>
      </c>
      <c r="Y12" s="6">
        <f t="shared" ca="1" si="11"/>
        <v>40.430661101228907</v>
      </c>
      <c r="Z12" s="6">
        <f t="shared" ca="1" si="12"/>
        <v>39.90897130564499</v>
      </c>
      <c r="AA12" s="6">
        <f t="shared" ca="1" si="13"/>
        <v>39.590297220249177</v>
      </c>
      <c r="AB12" s="2">
        <f t="shared" ca="1" si="14"/>
        <v>41.54641245276482</v>
      </c>
      <c r="AC12" s="2">
        <f>'Historical Trends'!F28</f>
        <v>41.32</v>
      </c>
      <c r="AE12" s="13">
        <f t="shared" ca="1" si="24"/>
        <v>9.9963636363633483</v>
      </c>
      <c r="AF12">
        <f t="shared" ca="1" si="25"/>
        <v>8.3399999999999963</v>
      </c>
      <c r="AG12">
        <f t="shared" ca="1" si="26"/>
        <v>4.3099999999999952</v>
      </c>
      <c r="AH12">
        <f t="shared" ca="1" si="27"/>
        <v>1.740000000000002</v>
      </c>
      <c r="AI12" s="6">
        <f t="shared" ca="1" si="28"/>
        <v>-0.15999999999999659</v>
      </c>
      <c r="AJ12">
        <f t="shared" ca="1" si="29"/>
        <v>-2.695999999999998</v>
      </c>
      <c r="AK12">
        <f t="shared" ca="1" si="30"/>
        <v>-3.923333333333332</v>
      </c>
      <c r="AL12">
        <f t="shared" ca="1" si="31"/>
        <v>-2.2671428571428578</v>
      </c>
      <c r="AM12" s="13">
        <f t="shared" si="42"/>
        <v>0.96000000000000085</v>
      </c>
      <c r="AN12">
        <f t="shared" si="42"/>
        <v>1.6799999999999997</v>
      </c>
      <c r="AO12">
        <f t="shared" si="32"/>
        <v>-1.0799999999999983</v>
      </c>
      <c r="AP12">
        <f t="shared" si="33"/>
        <v>-2.4200000000000017</v>
      </c>
      <c r="AQ12">
        <f t="shared" si="34"/>
        <v>-2.8999999999999986</v>
      </c>
      <c r="AR12">
        <f t="shared" si="35"/>
        <v>-0.42000000000000171</v>
      </c>
      <c r="AS12" s="30">
        <f t="shared" si="16"/>
        <v>2.6560317460317506</v>
      </c>
      <c r="AT12">
        <f t="shared" si="17"/>
        <v>3.3042028985507272</v>
      </c>
      <c r="AU12">
        <f t="shared" si="18"/>
        <v>0.50916666666666544</v>
      </c>
      <c r="AV12">
        <f t="shared" si="19"/>
        <v>-0.80186666666666895</v>
      </c>
      <c r="AW12">
        <f t="shared" si="20"/>
        <v>-1.488266666666668</v>
      </c>
      <c r="AX12">
        <f t="shared" si="21"/>
        <v>0.36759999999999593</v>
      </c>
      <c r="AY12" s="13">
        <f t="shared" ca="1" si="43"/>
        <v>0.31004450132328998</v>
      </c>
      <c r="AZ12" s="6">
        <f t="shared" ca="1" si="43"/>
        <v>1.2763388970261147</v>
      </c>
      <c r="BA12" s="6">
        <f t="shared" ca="1" si="36"/>
        <v>-0.88933889877109351</v>
      </c>
      <c r="BB12" s="6">
        <f t="shared" ca="1" si="37"/>
        <v>-1.4110286943550108</v>
      </c>
      <c r="BC12" s="6">
        <f t="shared" ca="1" si="38"/>
        <v>-1.7297027797508235</v>
      </c>
      <c r="BD12" s="2">
        <f t="shared" ca="1" si="39"/>
        <v>0.22641245276481925</v>
      </c>
      <c r="BE12" t="s">
        <v>193</v>
      </c>
      <c r="BG12">
        <f>MAX(0,($BG$16+1/($BG$17*$BG$18))-1/((10-BG6) * $BG$18))</f>
        <v>0.6115238677910646</v>
      </c>
      <c r="BH12">
        <f t="shared" ref="BH12:BM12" si="44">MAX(0,($BG$16+1/($BG$17*$BG$18))-1/((10-BH6) * $BG$18))</f>
        <v>0.70335376437607888</v>
      </c>
      <c r="BI12">
        <f t="shared" si="44"/>
        <v>0.76884565587541132</v>
      </c>
      <c r="BJ12">
        <f t="shared" si="44"/>
        <v>0.81824915547826649</v>
      </c>
      <c r="BK12">
        <f t="shared" si="44"/>
        <v>0.87426635802286423</v>
      </c>
      <c r="BL12">
        <f t="shared" si="44"/>
        <v>0.92201486793126086</v>
      </c>
      <c r="BM12">
        <f t="shared" si="44"/>
        <v>0.95586981313326458</v>
      </c>
    </row>
    <row r="13" spans="1:66" x14ac:dyDescent="0.25">
      <c r="A13" t="s">
        <v>52</v>
      </c>
      <c r="B13">
        <f>B12+1</f>
        <v>2</v>
      </c>
      <c r="C13" s="13">
        <f ca="1">'Historical Trends'!P29</f>
        <v>35.831149567367163</v>
      </c>
      <c r="D13">
        <f ca="1">AVERAGE(OFFSET('Historical Trends'!$F$28,$B7,0,'Polling Correlations - LNP'!D$4,1))</f>
        <v>41.6</v>
      </c>
      <c r="E13">
        <f ca="1">AVERAGE(OFFSET('Historical Trends'!$F$28,$B7,0,'Polling Correlations - LNP'!E$4,1))</f>
        <v>39.760000000000005</v>
      </c>
      <c r="F13">
        <f ca="1">AVERAGE(OFFSET('Historical Trends'!$F$28,$B7,0,'Polling Correlations - LNP'!F$4,1))</f>
        <v>38.326666666666675</v>
      </c>
      <c r="G13">
        <f ca="1">AVERAGE(OFFSET('Historical Trends'!$F$28,$B7,0,'Polling Correlations - LNP'!G$4,1))</f>
        <v>35.865000000000002</v>
      </c>
      <c r="H13">
        <f ca="1">AVERAGE(OFFSET('Historical Trends'!$F$28,$B7,0,'Polling Correlations - LNP'!H$4,1))</f>
        <v>34.944000000000003</v>
      </c>
      <c r="I13">
        <f ca="1">AVERAGE(OFFSET('Historical Trends'!$F$28,$B7,0,'Polling Correlations - LNP'!I$4,1))</f>
        <v>37.285000000000004</v>
      </c>
      <c r="J13">
        <f ca="1">AVERAGE(OFFSET('Historical Trends'!$F$28,$B7,0,'Polling Correlations - LNP'!J$4,1))</f>
        <v>38.265714285714289</v>
      </c>
      <c r="K13" s="13">
        <f>(48+43+43+48+47)/5</f>
        <v>45.8</v>
      </c>
      <c r="L13">
        <f>(46+37+48+45+50)/5</f>
        <v>45.2</v>
      </c>
      <c r="M13">
        <f>(52+50+52+51+47)/5</f>
        <v>50.4</v>
      </c>
      <c r="N13">
        <f>(50+44+52+50+52)/5</f>
        <v>49.6</v>
      </c>
      <c r="O13">
        <f>(49+47+49+50+44)/5</f>
        <v>47.8</v>
      </c>
      <c r="P13">
        <f>(50+47+49+47+49)/5</f>
        <v>48.4</v>
      </c>
      <c r="Q13" s="30">
        <f>K13-AVERAGE(AM$5:AM12,AM14:AM$30)</f>
        <v>47.266507936507935</v>
      </c>
      <c r="R13" s="31">
        <f>L13-AVERAGE(AN$5:AN12,AN14:AN$30)</f>
        <v>46.557246376811598</v>
      </c>
      <c r="S13" s="31">
        <f>M13-AVERAGE(AO$5:AO12,AO14:AO$30)</f>
        <v>52.064999999999998</v>
      </c>
      <c r="T13" s="31">
        <f>N13-AVERAGE(AP$5:AP12,AP14:AP$30)</f>
        <v>51.312533333333334</v>
      </c>
      <c r="U13" s="31">
        <f>O13-AVERAGE(AQ$5:AQ12,AQ14:AQ$30)</f>
        <v>49.25333333333333</v>
      </c>
      <c r="V13" s="31">
        <f>P13-AVERAGE(AR$5:AR12,AR14:AR$30)</f>
        <v>49.153999999999996</v>
      </c>
      <c r="W13" s="13">
        <f t="shared" ca="1" si="40"/>
        <v>43.707427383971762</v>
      </c>
      <c r="X13" s="6">
        <f t="shared" ca="1" si="41"/>
        <v>43.955688385603608</v>
      </c>
      <c r="Y13" s="6">
        <f t="shared" ca="1" si="11"/>
        <v>47.401737223424668</v>
      </c>
      <c r="Z13" s="6">
        <f t="shared" ca="1" si="12"/>
        <v>48.575025116427028</v>
      </c>
      <c r="AA13" s="6">
        <f t="shared" ca="1" si="13"/>
        <v>48.066676754418786</v>
      </c>
      <c r="AB13" s="2">
        <f t="shared" ca="1" si="14"/>
        <v>48.763466083959756</v>
      </c>
      <c r="AC13" s="2">
        <f>'Historical Trends'!F29</f>
        <v>49.66</v>
      </c>
      <c r="AE13" s="13">
        <f t="shared" ca="1" si="24"/>
        <v>-13.828850432632834</v>
      </c>
      <c r="AF13">
        <f t="shared" ca="1" si="25"/>
        <v>-8.0599999999999952</v>
      </c>
      <c r="AG13">
        <f t="shared" ca="1" si="26"/>
        <v>-9.8999999999999915</v>
      </c>
      <c r="AH13">
        <f t="shared" ca="1" si="27"/>
        <v>-11.333333333333321</v>
      </c>
      <c r="AI13">
        <f t="shared" ca="1" si="28"/>
        <v>-13.794999999999995</v>
      </c>
      <c r="AJ13">
        <f t="shared" ca="1" si="29"/>
        <v>-14.715999999999994</v>
      </c>
      <c r="AK13">
        <f t="shared" ca="1" si="30"/>
        <v>-12.374999999999993</v>
      </c>
      <c r="AL13">
        <f t="shared" ca="1" si="31"/>
        <v>-11.394285714285708</v>
      </c>
      <c r="AM13" s="13">
        <f t="shared" si="42"/>
        <v>-3.8599999999999994</v>
      </c>
      <c r="AN13">
        <f t="shared" si="42"/>
        <v>-4.4599999999999937</v>
      </c>
      <c r="AO13">
        <f t="shared" si="32"/>
        <v>0.74000000000000199</v>
      </c>
      <c r="AP13">
        <f t="shared" si="33"/>
        <v>-5.9999999999995168E-2</v>
      </c>
      <c r="AQ13">
        <f t="shared" si="34"/>
        <v>-1.8599999999999994</v>
      </c>
      <c r="AR13">
        <f t="shared" si="35"/>
        <v>-1.259999999999998</v>
      </c>
      <c r="AS13" s="30">
        <f t="shared" si="16"/>
        <v>-2.3934920634920616</v>
      </c>
      <c r="AT13">
        <f t="shared" si="17"/>
        <v>-3.1027536231883985</v>
      </c>
      <c r="AU13">
        <f t="shared" si="18"/>
        <v>2.4050000000000011</v>
      </c>
      <c r="AV13">
        <f t="shared" si="19"/>
        <v>1.6525333333333379</v>
      </c>
      <c r="AW13">
        <f t="shared" si="20"/>
        <v>-0.40666666666666629</v>
      </c>
      <c r="AX13">
        <f t="shared" si="21"/>
        <v>-0.50600000000000023</v>
      </c>
      <c r="AY13" s="13">
        <f t="shared" ca="1" si="43"/>
        <v>-5.9525726160282346</v>
      </c>
      <c r="AZ13" s="6">
        <f t="shared" ca="1" si="43"/>
        <v>-5.7043116143963886</v>
      </c>
      <c r="BA13" s="6">
        <f t="shared" ca="1" si="36"/>
        <v>-2.2582627765753287</v>
      </c>
      <c r="BB13" s="6">
        <f t="shared" ca="1" si="37"/>
        <v>-1.0849748835729685</v>
      </c>
      <c r="BC13" s="6">
        <f t="shared" ca="1" si="38"/>
        <v>-1.5933232455812103</v>
      </c>
      <c r="BD13" s="2">
        <f t="shared" ca="1" si="39"/>
        <v>-0.8965339160402408</v>
      </c>
      <c r="BE13" t="s">
        <v>192</v>
      </c>
      <c r="BG13">
        <f>(BG12-BG10)^2</f>
        <v>1.0181657875622417E-3</v>
      </c>
      <c r="BH13">
        <f t="shared" ref="BH13:BM13" si="45">(BH12-BH10)^2</f>
        <v>2.5829340554294622E-4</v>
      </c>
      <c r="BI13">
        <f t="shared" si="45"/>
        <v>7.1161617845980647E-3</v>
      </c>
      <c r="BJ13">
        <f t="shared" si="45"/>
        <v>1.7960440409134435E-4</v>
      </c>
      <c r="BK13">
        <f t="shared" si="45"/>
        <v>7.0670632903497817E-4</v>
      </c>
      <c r="BL13">
        <f t="shared" si="45"/>
        <v>1.4300427806917453E-4</v>
      </c>
      <c r="BM13">
        <f t="shared" si="45"/>
        <v>1.2603419514198045E-4</v>
      </c>
      <c r="BN13">
        <f>SQRT(SUM(BG13:BM13))</f>
        <v>9.7713715434634502E-2</v>
      </c>
    </row>
    <row r="14" spans="1:66" x14ac:dyDescent="0.25">
      <c r="A14" t="s">
        <v>53</v>
      </c>
      <c r="B14">
        <f>B13+1</f>
        <v>3</v>
      </c>
      <c r="C14" s="13">
        <f ca="1">'Historical Trends'!P30</f>
        <v>30.157186046511697</v>
      </c>
      <c r="D14">
        <f ca="1">AVERAGE(OFFSET('Historical Trends'!$F$28,$B8,0,'Polling Correlations - LNP'!D$4,1))</f>
        <v>37.92</v>
      </c>
      <c r="E14">
        <f ca="1">AVERAGE(OFFSET('Historical Trends'!$F$28,$B8,0,'Polling Correlations - LNP'!E$4,1))</f>
        <v>36.69</v>
      </c>
      <c r="F14">
        <f ca="1">AVERAGE(OFFSET('Historical Trends'!$F$28,$B8,0,'Polling Correlations - LNP'!F$4,1))</f>
        <v>33.953333333333333</v>
      </c>
      <c r="G14">
        <f ca="1">AVERAGE(OFFSET('Historical Trends'!$F$28,$B8,0,'Polling Correlations - LNP'!G$4,1))</f>
        <v>33.28</v>
      </c>
      <c r="H14">
        <f ca="1">AVERAGE(OFFSET('Historical Trends'!$F$28,$B8,0,'Polling Correlations - LNP'!H$4,1))</f>
        <v>36.422000000000004</v>
      </c>
      <c r="I14">
        <f ca="1">AVERAGE(OFFSET('Historical Trends'!$F$28,$B8,0,'Polling Correlations - LNP'!I$4,1))</f>
        <v>37.71</v>
      </c>
      <c r="J14">
        <f ca="1">AVERAGE(OFFSET('Historical Trends'!$F$28,$B8,0,'Polling Correlations - LNP'!J$4,1))</f>
        <v>38.771428571428579</v>
      </c>
      <c r="K14" s="13">
        <f>(35+39+38)/3</f>
        <v>37.333333333333336</v>
      </c>
      <c r="L14">
        <f>(32+32+39)/3</f>
        <v>34.333333333333336</v>
      </c>
      <c r="M14">
        <f>(38+40+42)/3</f>
        <v>40</v>
      </c>
      <c r="N14">
        <f>(37+42+38)/3</f>
        <v>39</v>
      </c>
      <c r="O14">
        <f>(42+37+42)/3</f>
        <v>40.333333333333336</v>
      </c>
      <c r="P14">
        <f>AVERAGE(42+43+42)/3</f>
        <v>42.333333333333336</v>
      </c>
      <c r="Q14" s="30">
        <f>K14-AVERAGE(AM$5:AM13,AM15:AM$30)</f>
        <v>38.780476190476193</v>
      </c>
      <c r="R14" s="31">
        <f>L14-AVERAGE(AN$5:AN13,AN15:AN$30)</f>
        <v>35.568550724637682</v>
      </c>
      <c r="S14" s="31">
        <f>M14-AVERAGE(AO$5:AO13,AO15:AO$30)</f>
        <v>41.567500000000003</v>
      </c>
      <c r="T14" s="31">
        <f>N14-AVERAGE(AP$5:AP13,AP15:AP$30)</f>
        <v>40.610933333333335</v>
      </c>
      <c r="U14" s="31">
        <f>O14-AVERAGE(AQ$5:AQ13,AQ15:AQ$30)</f>
        <v>41.810400000000001</v>
      </c>
      <c r="V14" s="31">
        <f>P14-AVERAGE(AR$5:AR13,AR15:AR$30)</f>
        <v>43.16706666666667</v>
      </c>
      <c r="W14" s="13">
        <f t="shared" ca="1" si="40"/>
        <v>38.398779254931831</v>
      </c>
      <c r="X14" s="6">
        <f t="shared" ca="1" si="41"/>
        <v>36.169387269384579</v>
      </c>
      <c r="Y14" s="6">
        <f t="shared" ca="1" si="11"/>
        <v>40.350413656249032</v>
      </c>
      <c r="Z14" s="6">
        <f t="shared" ca="1" si="12"/>
        <v>40.044808937262459</v>
      </c>
      <c r="AA14" s="6">
        <f t="shared" ca="1" si="13"/>
        <v>41.403846597728908</v>
      </c>
      <c r="AB14" s="2">
        <f t="shared" ca="1" si="14"/>
        <v>42.987509027823805</v>
      </c>
      <c r="AC14" s="2">
        <f>'Historical Trends'!F30</f>
        <v>41.6</v>
      </c>
      <c r="AE14" s="13">
        <f t="shared" ca="1" si="24"/>
        <v>-11.442813953488304</v>
      </c>
      <c r="AF14">
        <f t="shared" ca="1" si="25"/>
        <v>-3.6799999999999997</v>
      </c>
      <c r="AG14">
        <f t="shared" ca="1" si="26"/>
        <v>-4.9100000000000037</v>
      </c>
      <c r="AH14">
        <f t="shared" ca="1" si="27"/>
        <v>-7.6466666666666683</v>
      </c>
      <c r="AI14">
        <f t="shared" ca="1" si="28"/>
        <v>-8.32</v>
      </c>
      <c r="AJ14">
        <f t="shared" ca="1" si="29"/>
        <v>-5.1779999999999973</v>
      </c>
      <c r="AK14">
        <f t="shared" ca="1" si="30"/>
        <v>-3.8900000000000006</v>
      </c>
      <c r="AL14">
        <f t="shared" ca="1" si="31"/>
        <v>-2.8285714285714221</v>
      </c>
      <c r="AM14" s="13">
        <f t="shared" si="42"/>
        <v>-4.2666666666666657</v>
      </c>
      <c r="AN14">
        <f t="shared" si="42"/>
        <v>-7.2666666666666657</v>
      </c>
      <c r="AO14">
        <f t="shared" si="32"/>
        <v>-1.6000000000000014</v>
      </c>
      <c r="AP14">
        <f t="shared" si="33"/>
        <v>-2.6000000000000014</v>
      </c>
      <c r="AQ14">
        <f t="shared" si="34"/>
        <v>-1.2666666666666657</v>
      </c>
      <c r="AR14">
        <f t="shared" si="35"/>
        <v>0.73333333333333428</v>
      </c>
      <c r="AS14" s="30">
        <f t="shared" si="16"/>
        <v>-2.8195238095238082</v>
      </c>
      <c r="AT14">
        <f t="shared" si="17"/>
        <v>-6.0314492753623199</v>
      </c>
      <c r="AU14">
        <f t="shared" si="18"/>
        <v>-3.2499999999998863E-2</v>
      </c>
      <c r="AV14">
        <f t="shared" si="19"/>
        <v>-0.98906666666666609</v>
      </c>
      <c r="AW14">
        <f t="shared" si="20"/>
        <v>0.21039999999999992</v>
      </c>
      <c r="AX14">
        <f t="shared" si="21"/>
        <v>1.5670666666666691</v>
      </c>
      <c r="AY14" s="13">
        <f t="shared" ca="1" si="43"/>
        <v>-3.20122074506817</v>
      </c>
      <c r="AZ14" s="6">
        <f t="shared" ca="1" si="43"/>
        <v>-5.4306127306154224</v>
      </c>
      <c r="BA14" s="6">
        <f t="shared" ca="1" si="36"/>
        <v>-1.2495863437509698</v>
      </c>
      <c r="BB14" s="6">
        <f t="shared" ca="1" si="37"/>
        <v>-1.555191062737542</v>
      </c>
      <c r="BC14" s="6">
        <f t="shared" ca="1" si="38"/>
        <v>-0.19615340227109357</v>
      </c>
      <c r="BD14" s="2">
        <f t="shared" ca="1" si="39"/>
        <v>1.3875090278238034</v>
      </c>
    </row>
    <row r="15" spans="1:66" x14ac:dyDescent="0.25">
      <c r="A15" t="s">
        <v>54</v>
      </c>
      <c r="B15">
        <f>B14+1</f>
        <v>4</v>
      </c>
      <c r="C15" s="13">
        <f ca="1">'Historical Trends'!P31</f>
        <v>28.676857142856989</v>
      </c>
      <c r="D15">
        <f ca="1">AVERAGE(OFFSET('Historical Trends'!$F$28,$B9,0,'Polling Correlations - LNP'!D$4,1))</f>
        <v>35.46</v>
      </c>
      <c r="E15">
        <f ca="1">AVERAGE(OFFSET('Historical Trends'!$F$28,$B9,0,'Polling Correlations - LNP'!E$4,1))</f>
        <v>31.97</v>
      </c>
      <c r="F15">
        <f ca="1">AVERAGE(OFFSET('Historical Trends'!$F$28,$B9,0,'Polling Correlations - LNP'!F$4,1))</f>
        <v>31.733333333333334</v>
      </c>
      <c r="G15">
        <f ca="1">AVERAGE(OFFSET('Historical Trends'!$F$28,$B9,0,'Polling Correlations - LNP'!G$4,1))</f>
        <v>36.047499999999999</v>
      </c>
      <c r="H15">
        <f ca="1">AVERAGE(OFFSET('Historical Trends'!$F$28,$B9,0,'Polling Correlations - LNP'!H$4,1))</f>
        <v>37.667999999999999</v>
      </c>
      <c r="I15">
        <f ca="1">AVERAGE(OFFSET('Historical Trends'!$F$28,$B9,0,'Polling Correlations - LNP'!I$4,1))</f>
        <v>38.913333333333334</v>
      </c>
      <c r="J15">
        <f ca="1">AVERAGE(OFFSET('Historical Trends'!$F$28,$B9,0,'Polling Correlations - LNP'!J$4,1))</f>
        <v>41.374285714285712</v>
      </c>
      <c r="L15">
        <f>(42+42+37)/3</f>
        <v>40.333333333333336</v>
      </c>
      <c r="M15">
        <f>(42+43+42)/3</f>
        <v>42.333333333333336</v>
      </c>
      <c r="N15">
        <f>(39+42+43)/3</f>
        <v>41.333333333333336</v>
      </c>
      <c r="O15">
        <f>(38+39+42)/3</f>
        <v>39.666666666666664</v>
      </c>
      <c r="P15">
        <f>(38+38+38)/3</f>
        <v>38</v>
      </c>
      <c r="Q15" s="30"/>
      <c r="R15" s="31">
        <f>L15-AVERAGE(AN$5:AN14,AN16:AN$30)</f>
        <v>41.989420289855076</v>
      </c>
      <c r="S15" s="31">
        <f>M15-AVERAGE(AO$5:AO14,AO16:AO$30)</f>
        <v>44.151388888888889</v>
      </c>
      <c r="T15" s="31">
        <f>N15-AVERAGE(AP$5:AP14,AP16:AP$30)</f>
        <v>43.184800000000003</v>
      </c>
      <c r="U15" s="31">
        <f>O15-AVERAGE(AQ$5:AQ14,AQ16:AQ$30)</f>
        <v>41.264266666666664</v>
      </c>
      <c r="V15" s="31">
        <f>P15-AVERAGE(AR$5:AR14,AR16:AR$30)</f>
        <v>38.807600000000001</v>
      </c>
      <c r="X15" s="6">
        <f t="shared" ca="1" si="41"/>
        <v>41.126348033340939</v>
      </c>
      <c r="Y15" s="6">
        <f t="shared" ca="1" si="11"/>
        <v>42.498721128817451</v>
      </c>
      <c r="Z15" s="6">
        <f t="shared" ca="1" si="12"/>
        <v>42.351212595830006</v>
      </c>
      <c r="AA15" s="6">
        <f t="shared" ca="1" si="13"/>
        <v>41.031172347776021</v>
      </c>
      <c r="AB15" s="2">
        <f t="shared" ca="1" si="14"/>
        <v>38.811079016995755</v>
      </c>
      <c r="AC15" s="2">
        <f>'Historical Trends'!F31</f>
        <v>37.92</v>
      </c>
      <c r="AE15" s="13">
        <f t="shared" ca="1" si="24"/>
        <v>-9.2431428571430132</v>
      </c>
      <c r="AF15">
        <f t="shared" ca="1" si="25"/>
        <v>-2.4600000000000009</v>
      </c>
      <c r="AG15">
        <f t="shared" ca="1" si="26"/>
        <v>-5.9500000000000028</v>
      </c>
      <c r="AH15">
        <f t="shared" ca="1" si="27"/>
        <v>-6.1866666666666674</v>
      </c>
      <c r="AI15">
        <f t="shared" ca="1" si="28"/>
        <v>-1.8725000000000023</v>
      </c>
      <c r="AJ15">
        <f t="shared" ca="1" si="29"/>
        <v>-0.25200000000000244</v>
      </c>
      <c r="AK15">
        <f t="shared" ca="1" si="30"/>
        <v>0.99333333333333229</v>
      </c>
      <c r="AL15">
        <f t="shared" ca="1" si="31"/>
        <v>3.4542857142857102</v>
      </c>
      <c r="AN15">
        <f t="shared" ref="AN15:AN29" si="46">L15-$AC15</f>
        <v>2.413333333333334</v>
      </c>
      <c r="AO15">
        <f t="shared" si="32"/>
        <v>4.413333333333334</v>
      </c>
      <c r="AP15">
        <f t="shared" si="33"/>
        <v>3.413333333333334</v>
      </c>
      <c r="AQ15">
        <f t="shared" si="34"/>
        <v>1.7466666666666626</v>
      </c>
      <c r="AR15">
        <f t="shared" si="35"/>
        <v>7.9999999999998295E-2</v>
      </c>
      <c r="AS15" s="30"/>
      <c r="AT15">
        <f t="shared" si="17"/>
        <v>4.0694202898550742</v>
      </c>
      <c r="AU15">
        <f t="shared" si="18"/>
        <v>6.2313888888888869</v>
      </c>
      <c r="AV15">
        <f t="shared" si="19"/>
        <v>5.264800000000001</v>
      </c>
      <c r="AW15">
        <f t="shared" si="20"/>
        <v>3.3442666666666625</v>
      </c>
      <c r="AX15">
        <f t="shared" si="21"/>
        <v>0.88759999999999906</v>
      </c>
      <c r="AZ15" s="6">
        <f t="shared" ref="AZ15:AZ29" ca="1" si="47">X15-$AC15</f>
        <v>3.2063480333409373</v>
      </c>
      <c r="BA15" s="6">
        <f t="shared" ca="1" si="36"/>
        <v>4.578721128817449</v>
      </c>
      <c r="BB15" s="6">
        <f t="shared" ca="1" si="37"/>
        <v>4.4312125958300044</v>
      </c>
      <c r="BC15" s="6">
        <f t="shared" ca="1" si="38"/>
        <v>3.1111723477760194</v>
      </c>
      <c r="BD15" s="2">
        <f t="shared" ca="1" si="39"/>
        <v>0.89107901699575365</v>
      </c>
      <c r="BE15" t="s">
        <v>188</v>
      </c>
    </row>
    <row r="16" spans="1:66" x14ac:dyDescent="0.25">
      <c r="A16" t="s">
        <v>48</v>
      </c>
      <c r="B16">
        <v>0</v>
      </c>
      <c r="C16" s="13">
        <f ca="1">'Historical Trends'!P46</f>
        <v>49.273999999999887</v>
      </c>
      <c r="D16">
        <f ca="1">AVERAGE(OFFSET('Historical Trends'!$F$48,$B5,0,'Polling Correlations - LNP'!D$4,1))</f>
        <v>45.63</v>
      </c>
      <c r="E16">
        <f ca="1">AVERAGE(OFFSET('Historical Trends'!$F$48,$B5,0,'Polling Correlations - LNP'!E$4,1))</f>
        <v>48.385000000000005</v>
      </c>
      <c r="F16">
        <f ca="1">AVERAGE(OFFSET('Historical Trends'!$F$48,$B5,0,'Polling Correlations - LNP'!F$4,1))</f>
        <v>44.586666666666673</v>
      </c>
      <c r="G16">
        <f ca="1">AVERAGE(OFFSET('Historical Trends'!$F$48,$B5,0,'Polling Correlations - LNP'!G$4,1))</f>
        <v>42.027500000000003</v>
      </c>
      <c r="H16">
        <f ca="1">AVERAGE(OFFSET('Historical Trends'!$F$48,$B5,0,'Polling Correlations - LNP'!H$4,1))</f>
        <v>40.380000000000003</v>
      </c>
      <c r="I16">
        <f ca="1">AVERAGE(OFFSET('Historical Trends'!$F$48,$B5,0,'Polling Correlations - LNP'!I$4,1))</f>
        <v>40.973333333333336</v>
      </c>
      <c r="J16">
        <f ca="1">AVERAGE(OFFSET('Historical Trends'!$F$48,$B5,0,'Polling Correlations - LNP'!J$4,1))</f>
        <v>41.502857142857138</v>
      </c>
      <c r="K16" s="13">
        <f>(40+43+42.7)/3</f>
        <v>41.9</v>
      </c>
      <c r="L16">
        <f>(44.7+38+40)/3</f>
        <v>40.9</v>
      </c>
      <c r="M16">
        <f>(37.3+44.7+38)/3</f>
        <v>40</v>
      </c>
      <c r="N16">
        <f>(38+37+37.3)/3</f>
        <v>37.43333333333333</v>
      </c>
      <c r="O16">
        <f>(39+39+38+37+37.3)/5</f>
        <v>38.06</v>
      </c>
      <c r="P16">
        <f>(41+41+40+37.5+39)/5</f>
        <v>39.700000000000003</v>
      </c>
      <c r="Q16" s="30">
        <f>K16-AVERAGE(AM$5:AM15,AM17:AM$30)</f>
        <v>43.565555555555555</v>
      </c>
      <c r="R16" s="31">
        <f>L16-AVERAGE(AN$5:AN15,AN17:AN$30)</f>
        <v>42.421594202898547</v>
      </c>
      <c r="S16" s="31">
        <f>M16-AVERAGE(AO$5:AO15,AO17:AO$30)</f>
        <v>41.568333333333335</v>
      </c>
      <c r="T16" s="31">
        <f>N16-AVERAGE(AP$5:AP15,AP17:AP$30)</f>
        <v>38.982399999999998</v>
      </c>
      <c r="U16" s="31">
        <f>O16-AVERAGE(AQ$5:AQ15,AQ17:AQ$30)</f>
        <v>39.446933333333334</v>
      </c>
      <c r="V16" s="31">
        <f>P16-AVERAGE(AR$5:AR15,AR17:AR$30)</f>
        <v>40.429200000000002</v>
      </c>
      <c r="W16" s="13">
        <f t="shared" ca="1" si="40"/>
        <v>42.641253560541472</v>
      </c>
      <c r="X16" s="6">
        <f t="shared" ca="1" si="41"/>
        <v>42.015248805520656</v>
      </c>
      <c r="Y16" s="6">
        <f t="shared" ca="1" si="11"/>
        <v>41.380603877848742</v>
      </c>
      <c r="Z16" s="6">
        <f t="shared" ca="1" si="12"/>
        <v>39.370935619898439</v>
      </c>
      <c r="AA16" s="6">
        <f t="shared" ca="1" si="13"/>
        <v>39.598275425135739</v>
      </c>
      <c r="AB16" s="2">
        <f t="shared" ca="1" si="14"/>
        <v>40.447103995409449</v>
      </c>
      <c r="AC16" s="2">
        <f>'Historical Trends'!F47</f>
        <v>41.58</v>
      </c>
      <c r="AE16" s="13">
        <f t="shared" ca="1" si="24"/>
        <v>7.6939999999998889</v>
      </c>
      <c r="AF16">
        <f t="shared" ca="1" si="25"/>
        <v>4.0500000000000043</v>
      </c>
      <c r="AG16">
        <f t="shared" ca="1" si="26"/>
        <v>6.8050000000000068</v>
      </c>
      <c r="AH16">
        <f t="shared" ca="1" si="27"/>
        <v>3.0066666666666748</v>
      </c>
      <c r="AI16">
        <f t="shared" ca="1" si="28"/>
        <v>0.44750000000000512</v>
      </c>
      <c r="AJ16">
        <f t="shared" ca="1" si="29"/>
        <v>-1.1999999999999957</v>
      </c>
      <c r="AK16">
        <f t="shared" ca="1" si="30"/>
        <v>-0.60666666666666202</v>
      </c>
      <c r="AL16">
        <f t="shared" ca="1" si="31"/>
        <v>-7.7142857142860066E-2</v>
      </c>
      <c r="AM16" s="13">
        <f t="shared" ref="AM16:AM22" si="48">K16-$AC16</f>
        <v>0.32000000000000028</v>
      </c>
      <c r="AN16">
        <f t="shared" si="46"/>
        <v>-0.67999999999999972</v>
      </c>
      <c r="AO16">
        <f t="shared" si="32"/>
        <v>-1.5799999999999983</v>
      </c>
      <c r="AP16">
        <f t="shared" si="33"/>
        <v>-4.1466666666666683</v>
      </c>
      <c r="AQ16">
        <f t="shared" si="34"/>
        <v>-3.519999999999996</v>
      </c>
      <c r="AR16">
        <f t="shared" si="35"/>
        <v>-1.8799999999999955</v>
      </c>
      <c r="AS16" s="30">
        <f t="shared" si="16"/>
        <v>1.9855555555555569</v>
      </c>
      <c r="AT16">
        <f t="shared" si="17"/>
        <v>0.84159420289854836</v>
      </c>
      <c r="AU16">
        <f t="shared" si="18"/>
        <v>-1.1666666666663161E-2</v>
      </c>
      <c r="AV16">
        <f t="shared" si="19"/>
        <v>-2.5975999999999999</v>
      </c>
      <c r="AW16">
        <f t="shared" si="20"/>
        <v>-2.1330666666666644</v>
      </c>
      <c r="AX16">
        <f t="shared" si="21"/>
        <v>-1.1507999999999967</v>
      </c>
      <c r="AY16" s="13">
        <f ca="1">W16-$AC16</f>
        <v>1.0612535605414735</v>
      </c>
      <c r="AZ16" s="6">
        <f t="shared" ca="1" si="47"/>
        <v>0.43524880552065781</v>
      </c>
      <c r="BA16" s="6">
        <f t="shared" ca="1" si="36"/>
        <v>-0.19939612215125635</v>
      </c>
      <c r="BB16" s="6">
        <f t="shared" ca="1" si="37"/>
        <v>-2.2090643801015588</v>
      </c>
      <c r="BC16" s="6">
        <f t="shared" ca="1" si="38"/>
        <v>-1.9817245748642591</v>
      </c>
      <c r="BD16" s="2">
        <f t="shared" ca="1" si="39"/>
        <v>-1.132896004590549</v>
      </c>
      <c r="BE16" t="s">
        <v>189</v>
      </c>
      <c r="BG16">
        <v>0.94183863973355375</v>
      </c>
    </row>
    <row r="17" spans="1:74" x14ac:dyDescent="0.25">
      <c r="A17" t="s">
        <v>70</v>
      </c>
      <c r="B17">
        <f>B16+1</f>
        <v>1</v>
      </c>
      <c r="C17" s="13">
        <f ca="1">'Historical Trends'!P47</f>
        <v>47.287333333333436</v>
      </c>
      <c r="D17">
        <f ca="1">AVERAGE(OFFSET('Historical Trends'!$F$48,$B6,0,'Polling Correlations - LNP'!D$4,1))</f>
        <v>51.14</v>
      </c>
      <c r="E17">
        <f ca="1">AVERAGE(OFFSET('Historical Trends'!$F$48,$B6,0,'Polling Correlations - LNP'!E$4,1))</f>
        <v>44.064999999999998</v>
      </c>
      <c r="F17">
        <f ca="1">AVERAGE(OFFSET('Historical Trends'!$F$48,$B6,0,'Polling Correlations - LNP'!F$4,1))</f>
        <v>40.826666666666661</v>
      </c>
      <c r="G17">
        <f ca="1">AVERAGE(OFFSET('Historical Trends'!$F$48,$B6,0,'Polling Correlations - LNP'!G$4,1))</f>
        <v>39.067499999999995</v>
      </c>
      <c r="H17">
        <f ca="1">AVERAGE(OFFSET('Historical Trends'!$F$48,$B6,0,'Polling Correlations - LNP'!H$4,1))</f>
        <v>40.041999999999994</v>
      </c>
      <c r="I17">
        <f ca="1">AVERAGE(OFFSET('Historical Trends'!$F$48,$B6,0,'Polling Correlations - LNP'!I$4,1))</f>
        <v>40.814999999999998</v>
      </c>
      <c r="J17">
        <f ca="1">AVERAGE(OFFSET('Historical Trends'!$F$48,$B6,0,'Polling Correlations - LNP'!J$4,1))</f>
        <v>42.061428571428571</v>
      </c>
      <c r="K17" s="13">
        <f>(52+46+45+51+45)/5</f>
        <v>47.8</v>
      </c>
      <c r="L17">
        <f>(40+46+45+49+47)/5</f>
        <v>45.4</v>
      </c>
      <c r="M17">
        <f>(45+40+43+43+43)/5</f>
        <v>42.8</v>
      </c>
      <c r="N17">
        <f>(45+44+46+42+45)/5</f>
        <v>44.4</v>
      </c>
      <c r="O17">
        <f>(44.6+43+43+45+44)/5</f>
        <v>43.92</v>
      </c>
      <c r="P17">
        <f>(45.5+44+45+45+44)/5</f>
        <v>44.7</v>
      </c>
      <c r="Q17" s="30">
        <f>K17-AVERAGE(AM$5:AM16,AM18:AM$30)</f>
        <v>49.553650793650789</v>
      </c>
      <c r="R17" s="31">
        <f>L17-AVERAGE(AN$5:AN16,AN18:AN$30)</f>
        <v>46.941159420289857</v>
      </c>
      <c r="S17" s="31">
        <f>M17-AVERAGE(AO$5:AO16,AO18:AO$30)</f>
        <v>44.316249999999997</v>
      </c>
      <c r="T17" s="31">
        <f>N17-AVERAGE(AP$5:AP16,AP18:AP$30)</f>
        <v>46.065733333333334</v>
      </c>
      <c r="U17" s="31">
        <f>O17-AVERAGE(AQ$5:AQ16,AQ18:AQ$30)</f>
        <v>45.379333333333335</v>
      </c>
      <c r="V17" s="31">
        <f>P17-AVERAGE(AR$5:AR16,AR18:AR$30)</f>
        <v>45.467200000000005</v>
      </c>
      <c r="W17" s="13">
        <f t="shared" ca="1" si="40"/>
        <v>46.437732608450375</v>
      </c>
      <c r="X17" s="6">
        <f t="shared" ca="1" si="41"/>
        <v>45.22231391645095</v>
      </c>
      <c r="Y17" s="6">
        <f t="shared" ca="1" si="11"/>
        <v>43.211564695772367</v>
      </c>
      <c r="Z17" s="6">
        <f t="shared" ca="1" si="12"/>
        <v>45.041039589734993</v>
      </c>
      <c r="AA17" s="6">
        <f t="shared" ca="1" si="13"/>
        <v>44.926781083366009</v>
      </c>
      <c r="AB17" s="2">
        <f t="shared" ca="1" si="14"/>
        <v>45.314125445766088</v>
      </c>
      <c r="AC17" s="2">
        <f>'Historical Trends'!F48</f>
        <v>45.63</v>
      </c>
      <c r="AE17" s="13">
        <f t="shared" ca="1" si="24"/>
        <v>1.6573333333334332</v>
      </c>
      <c r="AF17">
        <f t="shared" ca="1" si="25"/>
        <v>5.509999999999998</v>
      </c>
      <c r="AG17">
        <f t="shared" ca="1" si="26"/>
        <v>-1.5650000000000048</v>
      </c>
      <c r="AH17">
        <f t="shared" ca="1" si="27"/>
        <v>-4.8033333333333417</v>
      </c>
      <c r="AI17">
        <f t="shared" ca="1" si="28"/>
        <v>-6.5625000000000071</v>
      </c>
      <c r="AJ17">
        <f t="shared" ca="1" si="29"/>
        <v>-5.5880000000000081</v>
      </c>
      <c r="AK17">
        <f t="shared" ca="1" si="30"/>
        <v>-4.8150000000000048</v>
      </c>
      <c r="AL17">
        <f t="shared" ca="1" si="31"/>
        <v>-3.5685714285714312</v>
      </c>
      <c r="AM17" s="13">
        <f t="shared" si="48"/>
        <v>2.1699999999999946</v>
      </c>
      <c r="AN17">
        <f t="shared" si="46"/>
        <v>-0.23000000000000398</v>
      </c>
      <c r="AO17">
        <f t="shared" si="32"/>
        <v>-2.8300000000000054</v>
      </c>
      <c r="AP17">
        <f t="shared" si="33"/>
        <v>-1.230000000000004</v>
      </c>
      <c r="AQ17">
        <f t="shared" si="34"/>
        <v>-1.7100000000000009</v>
      </c>
      <c r="AR17">
        <f t="shared" si="35"/>
        <v>-0.92999999999999972</v>
      </c>
      <c r="AS17" s="30">
        <f t="shared" si="16"/>
        <v>3.9236507936507863</v>
      </c>
      <c r="AT17">
        <f t="shared" si="17"/>
        <v>1.3111594202898544</v>
      </c>
      <c r="AU17">
        <f t="shared" si="18"/>
        <v>-1.313750000000006</v>
      </c>
      <c r="AV17">
        <f t="shared" si="19"/>
        <v>0.43573333333333153</v>
      </c>
      <c r="AW17">
        <f t="shared" si="20"/>
        <v>-0.25066666666666748</v>
      </c>
      <c r="AX17">
        <f t="shared" si="21"/>
        <v>-0.16279999999999717</v>
      </c>
      <c r="AY17" s="13" t="s">
        <v>173</v>
      </c>
      <c r="AZ17" s="6">
        <f t="shared" ca="1" si="47"/>
        <v>-0.40768608354905211</v>
      </c>
      <c r="BA17" s="6">
        <f t="shared" ca="1" si="36"/>
        <v>-2.4184353042276356</v>
      </c>
      <c r="BB17" s="6">
        <f t="shared" ca="1" si="37"/>
        <v>-0.58896041026500967</v>
      </c>
      <c r="BC17" s="6">
        <f t="shared" ca="1" si="38"/>
        <v>-0.70321891663399327</v>
      </c>
      <c r="BD17" s="2">
        <f t="shared" ca="1" si="39"/>
        <v>-0.31587455423391475</v>
      </c>
      <c r="BE17" t="s">
        <v>190</v>
      </c>
      <c r="BG17">
        <v>8.6934191137677619</v>
      </c>
    </row>
    <row r="18" spans="1:74" x14ac:dyDescent="0.25">
      <c r="A18" t="s">
        <v>72</v>
      </c>
      <c r="B18">
        <f>B17+1</f>
        <v>2</v>
      </c>
      <c r="C18" s="13">
        <f ca="1">'Historical Trends'!P48</f>
        <v>42.015999999999991</v>
      </c>
      <c r="D18">
        <f ca="1">AVERAGE(OFFSET('Historical Trends'!$F$48,$B7,0,'Polling Correlations - LNP'!D$4,1))</f>
        <v>36.99</v>
      </c>
      <c r="E18">
        <f ca="1">AVERAGE(OFFSET('Historical Trends'!$F$48,$B7,0,'Polling Correlations - LNP'!E$4,1))</f>
        <v>35.67</v>
      </c>
      <c r="F18">
        <f ca="1">AVERAGE(OFFSET('Historical Trends'!$F$48,$B7,0,'Polling Correlations - LNP'!F$4,1))</f>
        <v>35.043333333333329</v>
      </c>
      <c r="G18">
        <f ca="1">AVERAGE(OFFSET('Historical Trends'!$F$48,$B7,0,'Polling Correlations - LNP'!G$4,1))</f>
        <v>37.267499999999998</v>
      </c>
      <c r="H18">
        <f ca="1">AVERAGE(OFFSET('Historical Trends'!$F$48,$B7,0,'Polling Correlations - LNP'!H$4,1))</f>
        <v>38.75</v>
      </c>
      <c r="I18">
        <f ca="1">AVERAGE(OFFSET('Historical Trends'!$F$48,$B7,0,'Polling Correlations - LNP'!I$4,1))</f>
        <v>40.548333333333332</v>
      </c>
      <c r="J18">
        <f ca="1">AVERAGE(OFFSET('Historical Trends'!$F$48,$B7,0,'Polling Correlations - LNP'!J$4,1))</f>
        <v>40.898571428571422</v>
      </c>
      <c r="K18" s="13">
        <f>(42+43+42+40+41)/5</f>
        <v>41.6</v>
      </c>
      <c r="L18">
        <f>(44+42+43+50+44)/5</f>
        <v>44.6</v>
      </c>
      <c r="M18">
        <f>(46+46+42+44+42)/5</f>
        <v>44</v>
      </c>
      <c r="N18">
        <f>(45+46+46+46+42)/5</f>
        <v>45</v>
      </c>
      <c r="O18">
        <f>(53+54+46+51+51)/5</f>
        <v>51</v>
      </c>
      <c r="P18">
        <f>(50+51+50+55+50)/5</f>
        <v>51.2</v>
      </c>
      <c r="Q18" s="30">
        <f>K18-AVERAGE(AM$5:AM17,AM19:AM$30)</f>
        <v>42.796031746031751</v>
      </c>
      <c r="R18" s="31">
        <f>L18-AVERAGE(AN$5:AN17,AN19:AN$30)</f>
        <v>45.8668115942029</v>
      </c>
      <c r="S18" s="31">
        <f>M18-AVERAGE(AO$5:AO17,AO19:AO$30)</f>
        <v>45.336666666666666</v>
      </c>
      <c r="T18" s="31">
        <f>N18-AVERAGE(AP$5:AP17,AP19:AP$30)</f>
        <v>46.469333333333331</v>
      </c>
      <c r="U18" s="31">
        <f>O18-AVERAGE(AQ$5:AQ17,AQ19:AQ$30)</f>
        <v>52.522133333333336</v>
      </c>
      <c r="V18" s="31">
        <f>P18-AVERAGE(AR$5:AR17,AR19:AR$30)</f>
        <v>52.006800000000005</v>
      </c>
      <c r="W18" s="13">
        <f t="shared" ca="1" si="40"/>
        <v>41.994575717595218</v>
      </c>
      <c r="X18" s="6">
        <f t="shared" ca="1" si="41"/>
        <v>44.374581010766974</v>
      </c>
      <c r="Y18" s="6">
        <f t="shared" ca="1" si="11"/>
        <v>43.825891524909679</v>
      </c>
      <c r="Z18" s="6">
        <f t="shared" ca="1" si="12"/>
        <v>45.313835373204761</v>
      </c>
      <c r="AA18" s="6">
        <f t="shared" ca="1" si="13"/>
        <v>51.334934736095597</v>
      </c>
      <c r="AB18" s="2">
        <f t="shared" ca="1" si="14"/>
        <v>51.629774146166504</v>
      </c>
      <c r="AC18" s="2">
        <f>'Historical Trends'!F49</f>
        <v>51.14</v>
      </c>
      <c r="AE18" s="13">
        <f t="shared" ca="1" si="24"/>
        <v>-9.1240000000000094</v>
      </c>
      <c r="AF18">
        <f t="shared" ca="1" si="25"/>
        <v>-14.149999999999999</v>
      </c>
      <c r="AG18">
        <f t="shared" ca="1" si="26"/>
        <v>-15.469999999999999</v>
      </c>
      <c r="AH18">
        <f t="shared" ca="1" si="27"/>
        <v>-16.096666666666671</v>
      </c>
      <c r="AI18">
        <f t="shared" ca="1" si="28"/>
        <v>-13.872500000000002</v>
      </c>
      <c r="AJ18">
        <f t="shared" ca="1" si="29"/>
        <v>-12.39</v>
      </c>
      <c r="AK18">
        <f t="shared" ca="1" si="30"/>
        <v>-10.591666666666669</v>
      </c>
      <c r="AL18">
        <f t="shared" ca="1" si="31"/>
        <v>-10.241428571428578</v>
      </c>
      <c r="AM18" s="13">
        <f t="shared" si="48"/>
        <v>-9.5399999999999991</v>
      </c>
      <c r="AN18">
        <f t="shared" si="46"/>
        <v>-6.5399999999999991</v>
      </c>
      <c r="AO18">
        <f t="shared" si="32"/>
        <v>-7.1400000000000006</v>
      </c>
      <c r="AP18">
        <f t="shared" si="33"/>
        <v>-6.1400000000000006</v>
      </c>
      <c r="AQ18">
        <f t="shared" si="34"/>
        <v>-0.14000000000000057</v>
      </c>
      <c r="AR18">
        <f t="shared" si="35"/>
        <v>6.0000000000002274E-2</v>
      </c>
      <c r="AS18" s="30">
        <f t="shared" si="16"/>
        <v>-8.3439682539682494</v>
      </c>
      <c r="AT18">
        <f t="shared" si="17"/>
        <v>-5.2731884057971001</v>
      </c>
      <c r="AU18">
        <f t="shared" si="18"/>
        <v>-5.8033333333333346</v>
      </c>
      <c r="AV18">
        <f t="shared" si="19"/>
        <v>-4.6706666666666692</v>
      </c>
      <c r="AW18">
        <f t="shared" si="20"/>
        <v>1.3821333333333357</v>
      </c>
      <c r="AX18">
        <f t="shared" si="21"/>
        <v>0.8668000000000049</v>
      </c>
      <c r="AY18" s="13">
        <f ca="1">W18-$AC18</f>
        <v>-9.1454242824047824</v>
      </c>
      <c r="AZ18" s="6">
        <f t="shared" ca="1" si="47"/>
        <v>-6.7654189892330265</v>
      </c>
      <c r="BA18" s="6">
        <f t="shared" ca="1" si="36"/>
        <v>-7.3141084750903218</v>
      </c>
      <c r="BB18" s="6">
        <f t="shared" ca="1" si="37"/>
        <v>-5.8261646267952401</v>
      </c>
      <c r="BC18" s="6">
        <f t="shared" ca="1" si="38"/>
        <v>0.19493473609559686</v>
      </c>
      <c r="BD18" s="2">
        <f t="shared" ca="1" si="39"/>
        <v>0.4897741461665035</v>
      </c>
      <c r="BE18" t="s">
        <v>191</v>
      </c>
      <c r="BG18">
        <v>0.54035625071266424</v>
      </c>
    </row>
    <row r="19" spans="1:74" x14ac:dyDescent="0.25">
      <c r="A19" t="s">
        <v>73</v>
      </c>
      <c r="B19">
        <f>B18+1</f>
        <v>3</v>
      </c>
      <c r="C19" s="13">
        <f ca="1">'Historical Trends'!P49</f>
        <v>30.005565495207748</v>
      </c>
      <c r="D19">
        <f ca="1">AVERAGE(OFFSET('Historical Trends'!$F$48,$B8,0,'Polling Correlations - LNP'!D$4,1))</f>
        <v>34.35</v>
      </c>
      <c r="E19">
        <f ca="1">AVERAGE(OFFSET('Historical Trends'!$F$48,$B8,0,'Polling Correlations - LNP'!E$4,1))</f>
        <v>34.07</v>
      </c>
      <c r="F19">
        <f ca="1">AVERAGE(OFFSET('Historical Trends'!$F$48,$B8,0,'Polling Correlations - LNP'!F$4,1))</f>
        <v>37.36</v>
      </c>
      <c r="G19">
        <f ca="1">AVERAGE(OFFSET('Historical Trends'!$F$48,$B8,0,'Polling Correlations - LNP'!G$4,1))</f>
        <v>39.19</v>
      </c>
      <c r="H19">
        <f ca="1">AVERAGE(OFFSET('Historical Trends'!$F$48,$B8,0,'Polling Correlations - LNP'!H$4,1))</f>
        <v>41.26</v>
      </c>
      <c r="I19">
        <f ca="1">AVERAGE(OFFSET('Historical Trends'!$F$48,$B8,0,'Polling Correlations - LNP'!I$4,1))</f>
        <v>41.55</v>
      </c>
      <c r="J19">
        <f ca="1">AVERAGE(OFFSET('Historical Trends'!$F$48,$B8,0,'Polling Correlations - LNP'!J$4,1))</f>
        <v>41.161428571428573</v>
      </c>
      <c r="K19" s="13">
        <f>AVERAGE(44+46+44+38+39)/5</f>
        <v>42.2</v>
      </c>
      <c r="L19">
        <f>(43+43+38+43+43)/5</f>
        <v>42</v>
      </c>
      <c r="M19">
        <f>(36+42+39+44+43)/5</f>
        <v>40.799999999999997</v>
      </c>
      <c r="N19">
        <f>(37+41+37+36+42)/5</f>
        <v>38.6</v>
      </c>
      <c r="O19">
        <f>(33+37+33+37+41)/5</f>
        <v>36.200000000000003</v>
      </c>
      <c r="P19">
        <f>(35+36+37+33+37)/5</f>
        <v>35.6</v>
      </c>
      <c r="Q19" s="30">
        <f>K19-AVERAGE(AM$5:AM18,AM20:AM$30)</f>
        <v>44.098412698412702</v>
      </c>
      <c r="R19" s="31">
        <f>L19-AVERAGE(AN$5:AN18,AN20:AN$30)</f>
        <v>43.768985507246377</v>
      </c>
      <c r="S19" s="31">
        <f>M19-AVERAGE(AO$5:AO18,AO20:AO$30)</f>
        <v>42.592916666666667</v>
      </c>
      <c r="T19" s="31">
        <f>N19-AVERAGE(AP$5:AP18,AP20:AP$30)</f>
        <v>40.379333333333335</v>
      </c>
      <c r="U19" s="31">
        <f>O19-AVERAGE(AQ$5:AQ18,AQ20:AQ$30)</f>
        <v>37.696133333333336</v>
      </c>
      <c r="V19" s="31">
        <f>P19-AVERAGE(AR$5:AR18,AR20:AR$30)</f>
        <v>36.348800000000004</v>
      </c>
      <c r="W19" s="13">
        <f t="shared" ca="1" si="40"/>
        <v>43.189731752362171</v>
      </c>
      <c r="X19" s="6">
        <f t="shared" ca="1" si="41"/>
        <v>43.146394255444825</v>
      </c>
      <c r="Y19" s="6">
        <f t="shared" ca="1" si="11"/>
        <v>42.263864266752137</v>
      </c>
      <c r="Z19" s="6">
        <f t="shared" ca="1" si="12"/>
        <v>40.607791861508275</v>
      </c>
      <c r="AA19" s="6">
        <f t="shared" ca="1" si="13"/>
        <v>38.078243031224389</v>
      </c>
      <c r="AB19" s="2">
        <f t="shared" ca="1" si="14"/>
        <v>36.519938680942666</v>
      </c>
      <c r="AC19" s="2">
        <f>'Historical Trends'!F50</f>
        <v>36.99</v>
      </c>
      <c r="AE19" s="13">
        <f t="shared" ca="1" si="24"/>
        <v>-6.9844345047922545</v>
      </c>
      <c r="AF19">
        <f t="shared" ca="1" si="25"/>
        <v>-2.6400000000000006</v>
      </c>
      <c r="AG19">
        <f t="shared" ca="1" si="26"/>
        <v>-2.9200000000000017</v>
      </c>
      <c r="AH19">
        <f t="shared" ca="1" si="27"/>
        <v>0.36999999999999744</v>
      </c>
      <c r="AI19">
        <f t="shared" ca="1" si="28"/>
        <v>2.1999999999999957</v>
      </c>
      <c r="AJ19">
        <f t="shared" ca="1" si="29"/>
        <v>4.269999999999996</v>
      </c>
      <c r="AK19">
        <f t="shared" ca="1" si="30"/>
        <v>4.5599999999999952</v>
      </c>
      <c r="AL19">
        <f t="shared" ca="1" si="31"/>
        <v>4.1714285714285708</v>
      </c>
      <c r="AM19" s="13">
        <f t="shared" si="48"/>
        <v>5.2100000000000009</v>
      </c>
      <c r="AN19">
        <f t="shared" si="46"/>
        <v>5.009999999999998</v>
      </c>
      <c r="AO19">
        <f t="shared" si="32"/>
        <v>3.8099999999999952</v>
      </c>
      <c r="AP19">
        <f t="shared" si="33"/>
        <v>1.6099999999999994</v>
      </c>
      <c r="AQ19">
        <f t="shared" si="34"/>
        <v>-0.78999999999999915</v>
      </c>
      <c r="AR19">
        <f t="shared" si="35"/>
        <v>-1.3900000000000006</v>
      </c>
      <c r="AS19" s="30">
        <f t="shared" si="16"/>
        <v>7.1084126984126996</v>
      </c>
      <c r="AT19">
        <f t="shared" si="17"/>
        <v>6.7789855072463752</v>
      </c>
      <c r="AU19">
        <f t="shared" si="18"/>
        <v>5.6029166666666654</v>
      </c>
      <c r="AV19">
        <f t="shared" si="19"/>
        <v>3.3893333333333331</v>
      </c>
      <c r="AW19">
        <f t="shared" si="20"/>
        <v>0.70613333333333372</v>
      </c>
      <c r="AX19">
        <f t="shared" si="21"/>
        <v>-0.64119999999999777</v>
      </c>
      <c r="AY19" s="13">
        <f ca="1">W19-$AC19</f>
        <v>6.1997317523621689</v>
      </c>
      <c r="AZ19" s="6">
        <f t="shared" ca="1" si="47"/>
        <v>6.1563942554448232</v>
      </c>
      <c r="BA19" s="6">
        <f t="shared" ca="1" si="36"/>
        <v>5.2738642667521347</v>
      </c>
      <c r="BB19" s="6">
        <f t="shared" ca="1" si="37"/>
        <v>3.6177918615082731</v>
      </c>
      <c r="BC19" s="6">
        <f t="shared" ca="1" si="38"/>
        <v>1.0882430312243869</v>
      </c>
      <c r="BD19" s="2">
        <f t="shared" ca="1" si="39"/>
        <v>-0.47006131905733639</v>
      </c>
    </row>
    <row r="20" spans="1:74" x14ac:dyDescent="0.25">
      <c r="A20" t="s">
        <v>91</v>
      </c>
      <c r="B20">
        <v>0</v>
      </c>
      <c r="C20" s="13">
        <f ca="1">'Historical Trends'!P65</f>
        <v>39.036652267818567</v>
      </c>
      <c r="D20">
        <f ca="1">AVERAGE(OFFSET('Historical Trends'!$F$66,$B5,0,'Polling Correlations - LNP'!D$4,1))</f>
        <v>42</v>
      </c>
      <c r="E20">
        <f ca="1">AVERAGE(OFFSET('Historical Trends'!$F$66,$B5,0,'Polling Correlations - LNP'!E$4,1))</f>
        <v>43.39</v>
      </c>
      <c r="F20">
        <f ca="1">AVERAGE(OFFSET('Historical Trends'!$F$66,$B5,0,'Polling Correlations - LNP'!F$4,1))</f>
        <v>42.126666666666665</v>
      </c>
      <c r="G20">
        <f ca="1">AVERAGE(OFFSET('Historical Trends'!$F$66,$B5,0,'Polling Correlations - LNP'!G$4,1))</f>
        <v>41.147500000000001</v>
      </c>
      <c r="H20">
        <f ca="1">AVERAGE(OFFSET('Historical Trends'!$F$66,$B5,0,'Polling Correlations - LNP'!H$4,1))</f>
        <v>42.322000000000003</v>
      </c>
      <c r="I20">
        <f ca="1">AVERAGE(OFFSET('Historical Trends'!$F$66,$B5,0,'Polling Correlations - LNP'!I$4,1))</f>
        <v>43.715000000000003</v>
      </c>
      <c r="J20">
        <f ca="1">AVERAGE(OFFSET('Historical Trends'!$F$66,$B5,0,'Polling Correlations - LNP'!J$4,1))</f>
        <v>44.89714285714286</v>
      </c>
      <c r="K20" s="13">
        <f>(42+42+40.1+41+43)/5</f>
        <v>41.62</v>
      </c>
      <c r="L20">
        <f>(43+42+44+39.8+41)/5</f>
        <v>41.96</v>
      </c>
      <c r="M20">
        <f>(41+39+41+43+42)/5</f>
        <v>41.2</v>
      </c>
      <c r="N20">
        <f>(42+40.8+41+39+41)/5</f>
        <v>40.760000000000005</v>
      </c>
      <c r="O20">
        <f>(39.4+40+42+40.8+41)/5</f>
        <v>40.64</v>
      </c>
      <c r="P20">
        <f>(40+37.8+40+36.8+39)/5</f>
        <v>38.72</v>
      </c>
      <c r="Q20" s="30">
        <f>K20-AVERAGE(AM$5:AM19,AM21:AM$30)</f>
        <v>43.576507936507937</v>
      </c>
      <c r="R20" s="31">
        <f>L20-AVERAGE(AN$5:AN19,AN21:AN$30)</f>
        <v>43.805507246376813</v>
      </c>
      <c r="S20" s="31">
        <f>M20-AVERAGE(AO$5:AO19,AO21:AO$30)</f>
        <v>43.084583333333335</v>
      </c>
      <c r="T20" s="31">
        <f>N20-AVERAGE(AP$5:AP19,AP21:AP$30)</f>
        <v>42.697733333333339</v>
      </c>
      <c r="U20" s="31">
        <f>O20-AVERAGE(AQ$5:AQ19,AQ21:AQ$30)</f>
        <v>42.385733333333334</v>
      </c>
      <c r="V20" s="31">
        <f>P20-AVERAGE(AR$5:AR19,AR21:AR$30)</f>
        <v>39.665599999999998</v>
      </c>
      <c r="W20" s="13">
        <f t="shared" ca="1" si="40"/>
        <v>43.625889694553976</v>
      </c>
      <c r="X20" s="6">
        <f t="shared" ca="1" si="41"/>
        <v>43.780113200478439</v>
      </c>
      <c r="Y20" s="6">
        <f t="shared" ca="1" si="11"/>
        <v>43.283487161168203</v>
      </c>
      <c r="Z20" s="6">
        <f t="shared" ca="1" si="12"/>
        <v>42.89625546781064</v>
      </c>
      <c r="AA20" s="6">
        <f t="shared" ca="1" si="13"/>
        <v>42.517529715603089</v>
      </c>
      <c r="AB20" s="2">
        <f t="shared" ca="1" si="14"/>
        <v>39.798840208915095</v>
      </c>
      <c r="AC20" s="2">
        <f>'Historical Trends'!F65</f>
        <v>35.19</v>
      </c>
      <c r="AE20" s="13">
        <f t="shared" ca="1" si="24"/>
        <v>3.8466522678185697</v>
      </c>
      <c r="AF20">
        <f t="shared" ca="1" si="25"/>
        <v>6.8100000000000023</v>
      </c>
      <c r="AG20">
        <f t="shared" ca="1" si="26"/>
        <v>8.2000000000000028</v>
      </c>
      <c r="AH20">
        <f t="shared" ca="1" si="27"/>
        <v>6.9366666666666674</v>
      </c>
      <c r="AI20">
        <f t="shared" ca="1" si="28"/>
        <v>5.9575000000000031</v>
      </c>
      <c r="AJ20">
        <f t="shared" ca="1" si="29"/>
        <v>7.132000000000005</v>
      </c>
      <c r="AK20">
        <f t="shared" ca="1" si="30"/>
        <v>8.5250000000000057</v>
      </c>
      <c r="AL20">
        <f t="shared" ca="1" si="31"/>
        <v>9.7071428571428626</v>
      </c>
      <c r="AM20" s="13">
        <f t="shared" si="48"/>
        <v>6.43</v>
      </c>
      <c r="AN20">
        <f t="shared" si="46"/>
        <v>6.7700000000000031</v>
      </c>
      <c r="AO20">
        <f t="shared" si="32"/>
        <v>6.0100000000000051</v>
      </c>
      <c r="AP20">
        <f t="shared" si="33"/>
        <v>5.5700000000000074</v>
      </c>
      <c r="AQ20">
        <f t="shared" si="34"/>
        <v>5.4500000000000028</v>
      </c>
      <c r="AR20">
        <f t="shared" si="35"/>
        <v>3.5300000000000011</v>
      </c>
      <c r="AS20" s="30">
        <f t="shared" si="16"/>
        <v>8.3865079365079396</v>
      </c>
      <c r="AT20">
        <f t="shared" si="17"/>
        <v>8.615507246376815</v>
      </c>
      <c r="AU20">
        <f t="shared" si="18"/>
        <v>7.8945833333333368</v>
      </c>
      <c r="AV20">
        <f t="shared" si="19"/>
        <v>7.5077333333333414</v>
      </c>
      <c r="AW20">
        <f t="shared" si="20"/>
        <v>7.1957333333333366</v>
      </c>
      <c r="AX20">
        <f t="shared" si="21"/>
        <v>4.4756</v>
      </c>
      <c r="AY20" s="13">
        <f ca="1">W20-$AC20</f>
        <v>8.4358896945539783</v>
      </c>
      <c r="AZ20" s="6">
        <f t="shared" ca="1" si="47"/>
        <v>8.5901132004784415</v>
      </c>
      <c r="BA20" s="6">
        <f t="shared" ca="1" si="36"/>
        <v>8.0934871611682055</v>
      </c>
      <c r="BB20" s="6">
        <f t="shared" ca="1" si="37"/>
        <v>7.7062554678106423</v>
      </c>
      <c r="BC20" s="6">
        <f t="shared" ca="1" si="38"/>
        <v>7.3275297156030916</v>
      </c>
      <c r="BD20" s="2">
        <f t="shared" ca="1" si="39"/>
        <v>4.6088402089150975</v>
      </c>
      <c r="BE20" t="s">
        <v>194</v>
      </c>
      <c r="BG20">
        <f ca="1">SLOPE(BG8:BM8,BG6:BM6)</f>
        <v>0.48459074603743929</v>
      </c>
    </row>
    <row r="21" spans="1:74" x14ac:dyDescent="0.25">
      <c r="A21" t="s">
        <v>92</v>
      </c>
      <c r="B21">
        <f>B20+1</f>
        <v>1</v>
      </c>
      <c r="C21" s="13">
        <f ca="1">'Historical Trends'!P66</f>
        <v>37.441137586471996</v>
      </c>
      <c r="D21">
        <f ca="1">AVERAGE(OFFSET('Historical Trends'!$F$66,$B6,0,'Polling Correlations - LNP'!D$4,1))</f>
        <v>44.78</v>
      </c>
      <c r="E21">
        <f ca="1">AVERAGE(OFFSET('Historical Trends'!$F$66,$B6,0,'Polling Correlations - LNP'!E$4,1))</f>
        <v>42.19</v>
      </c>
      <c r="F21">
        <f ca="1">AVERAGE(OFFSET('Historical Trends'!$F$66,$B6,0,'Polling Correlations - LNP'!F$4,1))</f>
        <v>40.863333333333337</v>
      </c>
      <c r="G21">
        <f ca="1">AVERAGE(OFFSET('Historical Trends'!$F$66,$B6,0,'Polling Correlations - LNP'!G$4,1))</f>
        <v>42.402500000000003</v>
      </c>
      <c r="H21">
        <f ca="1">AVERAGE(OFFSET('Historical Trends'!$F$66,$B6,0,'Polling Correlations - LNP'!H$4,1))</f>
        <v>44.058000000000007</v>
      </c>
      <c r="I21">
        <f ca="1">AVERAGE(OFFSET('Historical Trends'!$F$66,$B6,0,'Polling Correlations - LNP'!I$4,1))</f>
        <v>45.38</v>
      </c>
      <c r="J21">
        <f ca="1">AVERAGE(OFFSET('Historical Trends'!$F$66,$B6,0,'Polling Correlations - LNP'!J$4,1))</f>
        <v>45.792857142857144</v>
      </c>
      <c r="K21" s="13">
        <f>(43+37+41+42+45)/5</f>
        <v>41.6</v>
      </c>
      <c r="L21">
        <f>(40+43.4+41+39+41)/5</f>
        <v>40.880000000000003</v>
      </c>
      <c r="M21">
        <f>(38+42+41+40+43.4)/5</f>
        <v>40.880000000000003</v>
      </c>
      <c r="N21">
        <f>(40+35+41+37+37)/5</f>
        <v>38</v>
      </c>
      <c r="O21">
        <f>(38.6+39+39+40+35)/5</f>
        <v>38.32</v>
      </c>
      <c r="P21">
        <f>(39.7+40+40+40+40)/5</f>
        <v>39.94</v>
      </c>
      <c r="Q21" s="30">
        <f>K21-AVERAGE(AM$5:AM20,AM22:AM$30)</f>
        <v>43.231269841269842</v>
      </c>
      <c r="R21" s="31">
        <f>L21-AVERAGE(AN$5:AN20,AN22:AN$30)</f>
        <v>42.382463768115947</v>
      </c>
      <c r="S21" s="31">
        <f>M21-AVERAGE(AO$5:AO20,AO22:AO$30)</f>
        <v>42.467500000000001</v>
      </c>
      <c r="T21" s="31">
        <f>N21-AVERAGE(AP$5:AP20,AP22:AP$30)</f>
        <v>39.554933333333331</v>
      </c>
      <c r="U21" s="31">
        <f>O21-AVERAGE(AQ$5:AQ20,AQ22:AQ$30)</f>
        <v>39.700533333333333</v>
      </c>
      <c r="V21" s="31">
        <f>P21-AVERAGE(AR$5:AR20,AR22:AR$30)</f>
        <v>40.661999999999999</v>
      </c>
      <c r="W21" s="13">
        <f t="shared" ca="1" si="40"/>
        <v>43.997437014529638</v>
      </c>
      <c r="X21" s="6">
        <f t="shared" ca="1" si="41"/>
        <v>43.223496676548542</v>
      </c>
      <c r="Y21" s="6">
        <f t="shared" ca="1" si="11"/>
        <v>43.386427796804853</v>
      </c>
      <c r="Z21" s="6">
        <f t="shared" ca="1" si="12"/>
        <v>40.691709663504973</v>
      </c>
      <c r="AA21" s="6">
        <f t="shared" ca="1" si="13"/>
        <v>40.263650711252218</v>
      </c>
      <c r="AB21" s="2">
        <f t="shared" ca="1" si="14"/>
        <v>40.817239617143642</v>
      </c>
      <c r="AC21" s="2">
        <f>'Historical Trends'!F66</f>
        <v>42</v>
      </c>
      <c r="AE21" s="13">
        <f t="shared" ca="1" si="24"/>
        <v>-4.5588624135280043</v>
      </c>
      <c r="AF21">
        <f t="shared" ca="1" si="25"/>
        <v>2.7800000000000011</v>
      </c>
      <c r="AG21">
        <f t="shared" ca="1" si="26"/>
        <v>0.18999999999999773</v>
      </c>
      <c r="AH21">
        <f t="shared" ca="1" si="27"/>
        <v>-1.1366666666666632</v>
      </c>
      <c r="AI21">
        <f t="shared" ca="1" si="28"/>
        <v>0.40250000000000341</v>
      </c>
      <c r="AJ21">
        <f t="shared" ca="1" si="29"/>
        <v>2.0580000000000069</v>
      </c>
      <c r="AK21">
        <f t="shared" ca="1" si="30"/>
        <v>3.3800000000000026</v>
      </c>
      <c r="AL21">
        <f t="shared" ca="1" si="31"/>
        <v>3.7928571428571445</v>
      </c>
      <c r="AM21" s="13">
        <f t="shared" si="48"/>
        <v>-0.39999999999999858</v>
      </c>
      <c r="AN21">
        <f t="shared" si="46"/>
        <v>-1.1199999999999974</v>
      </c>
      <c r="AO21">
        <f t="shared" si="32"/>
        <v>-1.1199999999999974</v>
      </c>
      <c r="AP21">
        <f t="shared" si="33"/>
        <v>-4</v>
      </c>
      <c r="AQ21">
        <f t="shared" si="34"/>
        <v>-3.6799999999999997</v>
      </c>
      <c r="AR21">
        <f t="shared" si="35"/>
        <v>-2.0600000000000023</v>
      </c>
      <c r="AS21" s="30">
        <f t="shared" si="16"/>
        <v>1.2312698412698424</v>
      </c>
      <c r="AT21">
        <f t="shared" si="17"/>
        <v>0.38246376811594729</v>
      </c>
      <c r="AU21">
        <f t="shared" si="18"/>
        <v>0.46750000000000114</v>
      </c>
      <c r="AV21">
        <f t="shared" si="19"/>
        <v>-2.4450666666666692</v>
      </c>
      <c r="AW21">
        <f t="shared" si="20"/>
        <v>-2.2994666666666674</v>
      </c>
      <c r="AX21">
        <f t="shared" si="21"/>
        <v>-1.338000000000001</v>
      </c>
      <c r="AY21" s="13">
        <f ca="1">W21-$AC21</f>
        <v>1.9974370145296376</v>
      </c>
      <c r="AZ21" s="6">
        <f t="shared" ca="1" si="47"/>
        <v>1.2234966765485424</v>
      </c>
      <c r="BA21" s="6">
        <f t="shared" ca="1" si="36"/>
        <v>1.3864277968048526</v>
      </c>
      <c r="BB21" s="6">
        <f t="shared" ca="1" si="37"/>
        <v>-1.3082903364950269</v>
      </c>
      <c r="BC21" s="6">
        <f t="shared" ca="1" si="38"/>
        <v>-1.7363492887477818</v>
      </c>
      <c r="BD21" s="2">
        <f t="shared" ca="1" si="39"/>
        <v>-1.1827603828563582</v>
      </c>
      <c r="BE21" t="s">
        <v>195</v>
      </c>
      <c r="BG21">
        <f ca="1">INTERCEPT(BG8:BM8,BG6:BM6)</f>
        <v>1.2128902588897208</v>
      </c>
      <c r="BP21" t="s">
        <v>152</v>
      </c>
      <c r="BQ21" t="s">
        <v>154</v>
      </c>
      <c r="BR21" t="s">
        <v>153</v>
      </c>
      <c r="BS21" t="s">
        <v>156</v>
      </c>
      <c r="BU21" t="s">
        <v>154</v>
      </c>
      <c r="BV21" t="s">
        <v>155</v>
      </c>
    </row>
    <row r="22" spans="1:74" x14ac:dyDescent="0.25">
      <c r="A22" t="s">
        <v>93</v>
      </c>
      <c r="B22">
        <f>B21+1</f>
        <v>2</v>
      </c>
      <c r="C22" s="13">
        <f ca="1">'Historical Trends'!P67</f>
        <v>37.11159877017667</v>
      </c>
      <c r="D22">
        <f ca="1">AVERAGE(OFFSET('Historical Trends'!$F$66,$B7,0,'Polling Correlations - LNP'!D$4,1))</f>
        <v>39.6</v>
      </c>
      <c r="E22">
        <f ca="1">AVERAGE(OFFSET('Historical Trends'!$F$66,$B7,0,'Polling Correlations - LNP'!E$4,1))</f>
        <v>38.905000000000001</v>
      </c>
      <c r="F22">
        <f ca="1">AVERAGE(OFFSET('Historical Trends'!$F$66,$B7,0,'Polling Correlations - LNP'!F$4,1))</f>
        <v>41.610000000000007</v>
      </c>
      <c r="G22">
        <f ca="1">AVERAGE(OFFSET('Historical Trends'!$F$66,$B7,0,'Polling Correlations - LNP'!G$4,1))</f>
        <v>43.877500000000005</v>
      </c>
      <c r="H22">
        <f ca="1">AVERAGE(OFFSET('Historical Trends'!$F$66,$B7,0,'Polling Correlations - LNP'!H$4,1))</f>
        <v>45.500000000000007</v>
      </c>
      <c r="I22">
        <f ca="1">AVERAGE(OFFSET('Historical Trends'!$F$66,$B7,0,'Polling Correlations - LNP'!I$4,1))</f>
        <v>45.961666666666673</v>
      </c>
      <c r="J22">
        <f ca="1">AVERAGE(OFFSET('Historical Trends'!$F$66,$B7,0,'Polling Correlations - LNP'!J$4,1))</f>
        <v>46.417142857142856</v>
      </c>
      <c r="K22" s="13">
        <f>(39+41+38+38+36)/5</f>
        <v>38.4</v>
      </c>
      <c r="L22">
        <f>(35+35+37+33+37)/5</f>
        <v>35.4</v>
      </c>
      <c r="M22">
        <f>(41+39+39+35+35)/5</f>
        <v>37.799999999999997</v>
      </c>
      <c r="N22">
        <f>(36+36+41+39+39)/5</f>
        <v>38.200000000000003</v>
      </c>
      <c r="O22">
        <f>(38+40+43+44+36)/5</f>
        <v>40.200000000000003</v>
      </c>
      <c r="P22">
        <f>(45+45+44+44+40)/5</f>
        <v>43.6</v>
      </c>
      <c r="Q22" s="30">
        <f>K22-AVERAGE(AM$5:AM21,AM23:AM$30)</f>
        <v>39.746507936507939</v>
      </c>
      <c r="R22" s="31">
        <f>L22-AVERAGE(AN$5:AN21,AN23:AN$30)</f>
        <v>36.543333333333329</v>
      </c>
      <c r="S22" s="31">
        <f>M22-AVERAGE(AO$5:AO21,AO23:AO$30)</f>
        <v>39.143333333333331</v>
      </c>
      <c r="T22" s="31">
        <f>N22-AVERAGE(AP$5:AP21,AP23:AP$30)</f>
        <v>39.65173333333334</v>
      </c>
      <c r="U22" s="31">
        <f>O22-AVERAGE(AQ$5:AQ21,AQ23:AQ$30)</f>
        <v>41.544533333333334</v>
      </c>
      <c r="V22" s="31">
        <f>P22-AVERAGE(AR$5:AR21,AR23:AR$30)</f>
        <v>44.357199999999999</v>
      </c>
      <c r="W22" s="13">
        <f t="shared" ca="1" si="40"/>
        <v>41.962631062205944</v>
      </c>
      <c r="X22" s="6">
        <f t="shared" ca="1" si="41"/>
        <v>39.185879632412522</v>
      </c>
      <c r="Y22" s="6">
        <f t="shared" ca="1" si="11"/>
        <v>41.294597205567172</v>
      </c>
      <c r="Z22" s="6">
        <f t="shared" ca="1" si="12"/>
        <v>40.883132606296343</v>
      </c>
      <c r="AA22" s="6">
        <f t="shared" ca="1" si="13"/>
        <v>41.982490748451788</v>
      </c>
      <c r="AB22" s="2">
        <f t="shared" ca="1" si="14"/>
        <v>44.40999287644194</v>
      </c>
      <c r="AC22" s="2">
        <f>'Historical Trends'!F67</f>
        <v>44.78</v>
      </c>
      <c r="AE22" s="13">
        <f t="shared" ca="1" si="24"/>
        <v>-7.6684012298233313</v>
      </c>
      <c r="AF22">
        <f t="shared" ca="1" si="25"/>
        <v>-5.18</v>
      </c>
      <c r="AG22">
        <f t="shared" ca="1" si="26"/>
        <v>-5.875</v>
      </c>
      <c r="AH22">
        <f t="shared" ca="1" si="27"/>
        <v>-3.1699999999999946</v>
      </c>
      <c r="AI22">
        <f t="shared" ca="1" si="28"/>
        <v>-0.90249999999999631</v>
      </c>
      <c r="AJ22">
        <f t="shared" ca="1" si="29"/>
        <v>0.72000000000000597</v>
      </c>
      <c r="AK22">
        <f t="shared" ca="1" si="30"/>
        <v>1.181666666666672</v>
      </c>
      <c r="AL22">
        <f t="shared" ca="1" si="31"/>
        <v>1.6371428571428552</v>
      </c>
      <c r="AM22" s="13">
        <f t="shared" si="48"/>
        <v>-6.3800000000000026</v>
      </c>
      <c r="AN22">
        <f t="shared" si="46"/>
        <v>-9.3800000000000026</v>
      </c>
      <c r="AO22">
        <f t="shared" si="32"/>
        <v>-6.980000000000004</v>
      </c>
      <c r="AP22">
        <f t="shared" si="33"/>
        <v>-6.5799999999999983</v>
      </c>
      <c r="AQ22">
        <f t="shared" si="34"/>
        <v>-4.5799999999999983</v>
      </c>
      <c r="AR22">
        <f t="shared" si="35"/>
        <v>-1.1799999999999997</v>
      </c>
      <c r="AS22" s="30">
        <f t="shared" si="16"/>
        <v>-5.0334920634920621</v>
      </c>
      <c r="AT22">
        <f t="shared" si="17"/>
        <v>-8.2366666666666717</v>
      </c>
      <c r="AU22">
        <f t="shared" si="18"/>
        <v>-5.6366666666666703</v>
      </c>
      <c r="AV22">
        <f t="shared" si="19"/>
        <v>-5.1282666666666614</v>
      </c>
      <c r="AW22">
        <f t="shared" si="20"/>
        <v>-3.2354666666666674</v>
      </c>
      <c r="AX22">
        <f t="shared" si="21"/>
        <v>-0.42280000000000229</v>
      </c>
      <c r="AY22" s="13">
        <f ca="1">W22-$AC22</f>
        <v>-2.8173689377940576</v>
      </c>
      <c r="AZ22" s="6">
        <f t="shared" ca="1" si="47"/>
        <v>-5.5941203675874789</v>
      </c>
      <c r="BA22" s="6">
        <f t="shared" ca="1" si="36"/>
        <v>-3.4854027944328294</v>
      </c>
      <c r="BB22" s="6">
        <f t="shared" ca="1" si="37"/>
        <v>-3.8968673937036584</v>
      </c>
      <c r="BC22" s="6">
        <f t="shared" ca="1" si="38"/>
        <v>-2.7975092515482132</v>
      </c>
      <c r="BD22" s="2">
        <f t="shared" ca="1" si="39"/>
        <v>-0.37000712355806087</v>
      </c>
      <c r="BP22">
        <v>1</v>
      </c>
      <c r="BQ22">
        <f>LN(BP22)</f>
        <v>0</v>
      </c>
      <c r="BR22">
        <f>MAX(0,(0.94+1/(8.3*0.97))-1/((8.3-MIN(8.2,BQ22)) * 0.97))</f>
        <v>0.94</v>
      </c>
      <c r="BS22">
        <f>1-(BR22/0.94)^10</f>
        <v>0</v>
      </c>
      <c r="BU22">
        <f>0</f>
        <v>0</v>
      </c>
      <c r="BV22">
        <f t="shared" ref="BV22:BV53" si="49">MAX(0,($BG$16+1/($BG$17*$BG$18))-1/((10-BU22) * $BG$18))</f>
        <v>0.96965277121899152</v>
      </c>
    </row>
    <row r="23" spans="1:74" x14ac:dyDescent="0.25">
      <c r="A23" t="s">
        <v>94</v>
      </c>
      <c r="B23">
        <f>B22+1</f>
        <v>3</v>
      </c>
      <c r="C23" s="13">
        <f ca="1">'Historical Trends'!P68</f>
        <v>41.847046874999933</v>
      </c>
      <c r="D23">
        <f ca="1">AVERAGE(OFFSET('Historical Trends'!$F$66,$B8,0,'Polling Correlations - LNP'!D$4,1))</f>
        <v>38.21</v>
      </c>
      <c r="E23">
        <f ca="1">AVERAGE(OFFSET('Historical Trends'!$F$66,$B8,0,'Polling Correlations - LNP'!E$4,1))</f>
        <v>42.615000000000002</v>
      </c>
      <c r="F23">
        <f ca="1">AVERAGE(OFFSET('Historical Trends'!$F$66,$B8,0,'Polling Correlations - LNP'!F$4,1))</f>
        <v>45.303333333333335</v>
      </c>
      <c r="G23">
        <f ca="1">AVERAGE(OFFSET('Historical Trends'!$F$66,$B8,0,'Polling Correlations - LNP'!G$4,1))</f>
        <v>46.975000000000001</v>
      </c>
      <c r="H23">
        <f ca="1">AVERAGE(OFFSET('Historical Trends'!$F$66,$B8,0,'Polling Correlations - LNP'!H$4,1))</f>
        <v>47.234000000000002</v>
      </c>
      <c r="I23">
        <f ca="1">AVERAGE(OFFSET('Historical Trends'!$F$66,$B8,0,'Polling Correlations - LNP'!I$4,1))</f>
        <v>47.553333333333335</v>
      </c>
      <c r="J23">
        <f ca="1">AVERAGE(OFFSET('Historical Trends'!$F$66,$B8,0,'Polling Correlations - LNP'!J$4,1))</f>
        <v>46.945714285714288</v>
      </c>
      <c r="L23">
        <f>(39+41+41+39)/4</f>
        <v>40</v>
      </c>
      <c r="M23">
        <f>AVERAGE(39+38+40+40+39)/5</f>
        <v>39.200000000000003</v>
      </c>
      <c r="N23">
        <f>(41+40+36+39+38)/5</f>
        <v>38.799999999999997</v>
      </c>
      <c r="O23">
        <f>(40+39+41+40+36)/5</f>
        <v>39.200000000000003</v>
      </c>
      <c r="P23">
        <f>(37+39+40+40+40)/5</f>
        <v>39.200000000000003</v>
      </c>
      <c r="Q23" s="30"/>
      <c r="R23" s="31">
        <f>L23-AVERAGE(AN$5:AN22,AN24:AN$30)</f>
        <v>41.568550724637682</v>
      </c>
      <c r="S23" s="31">
        <f>M23-AVERAGE(AO$5:AO22,AO24:AO$30)</f>
        <v>40.817500000000003</v>
      </c>
      <c r="T23" s="31">
        <f>N23-AVERAGE(AP$5:AP22,AP24:AP$30)</f>
        <v>40.482933333333328</v>
      </c>
      <c r="U23" s="31">
        <f>O23-AVERAGE(AQ$5:AQ22,AQ24:AQ$30)</f>
        <v>40.711733333333335</v>
      </c>
      <c r="V23" s="31">
        <f>P23-AVERAGE(AR$5:AR22,AR24:AR$30)</f>
        <v>39.988400000000006</v>
      </c>
      <c r="X23" s="6">
        <f t="shared" ca="1" si="41"/>
        <v>43.247729468230204</v>
      </c>
      <c r="Y23" s="6">
        <f t="shared" ca="1" si="11"/>
        <v>42.94273415781791</v>
      </c>
      <c r="Z23" s="6">
        <f t="shared" ca="1" si="12"/>
        <v>41.862739578442778</v>
      </c>
      <c r="AA23" s="6">
        <f t="shared" ca="1" si="13"/>
        <v>41.390075874787321</v>
      </c>
      <c r="AB23" s="2">
        <f t="shared" ca="1" si="14"/>
        <v>40.237314233654899</v>
      </c>
      <c r="AC23" s="2">
        <f>'Historical Trends'!F68</f>
        <v>39.6</v>
      </c>
      <c r="AE23" s="13">
        <f t="shared" ca="1" si="24"/>
        <v>2.2470468749999313</v>
      </c>
      <c r="AF23">
        <f t="shared" ca="1" si="25"/>
        <v>-1.3900000000000006</v>
      </c>
      <c r="AG23">
        <f t="shared" ca="1" si="26"/>
        <v>3.0150000000000006</v>
      </c>
      <c r="AH23">
        <f t="shared" ca="1" si="27"/>
        <v>5.7033333333333331</v>
      </c>
      <c r="AI23">
        <f t="shared" ca="1" si="28"/>
        <v>7.375</v>
      </c>
      <c r="AJ23">
        <f t="shared" ca="1" si="29"/>
        <v>7.6340000000000003</v>
      </c>
      <c r="AK23">
        <f t="shared" ca="1" si="30"/>
        <v>7.9533333333333331</v>
      </c>
      <c r="AL23">
        <f t="shared" ca="1" si="31"/>
        <v>7.345714285714287</v>
      </c>
      <c r="AN23">
        <f t="shared" si="46"/>
        <v>0.39999999999999858</v>
      </c>
      <c r="AO23">
        <f t="shared" si="32"/>
        <v>-0.39999999999999858</v>
      </c>
      <c r="AP23">
        <f t="shared" si="33"/>
        <v>-0.80000000000000426</v>
      </c>
      <c r="AQ23">
        <f t="shared" si="34"/>
        <v>-0.39999999999999858</v>
      </c>
      <c r="AR23">
        <f t="shared" si="35"/>
        <v>-0.39999999999999858</v>
      </c>
      <c r="AS23" s="30"/>
      <c r="AT23">
        <f t="shared" si="17"/>
        <v>1.9685507246376801</v>
      </c>
      <c r="AU23">
        <f t="shared" si="18"/>
        <v>1.2175000000000011</v>
      </c>
      <c r="AV23">
        <f t="shared" si="19"/>
        <v>0.88293333333332669</v>
      </c>
      <c r="AW23">
        <f t="shared" si="20"/>
        <v>1.1117333333333335</v>
      </c>
      <c r="AX23">
        <f t="shared" si="21"/>
        <v>0.3884000000000043</v>
      </c>
      <c r="AZ23" s="6">
        <f t="shared" ca="1" si="47"/>
        <v>3.6477294682302031</v>
      </c>
      <c r="BA23" s="6">
        <f t="shared" ca="1" si="36"/>
        <v>3.3427341578179082</v>
      </c>
      <c r="BB23" s="6">
        <f t="shared" ca="1" si="37"/>
        <v>2.2627395784427762</v>
      </c>
      <c r="BC23" s="6">
        <f t="shared" ca="1" si="38"/>
        <v>1.7900758747873198</v>
      </c>
      <c r="BD23" s="2">
        <f t="shared" ca="1" si="39"/>
        <v>0.63731423365489803</v>
      </c>
      <c r="BP23">
        <f>BP22+1</f>
        <v>2</v>
      </c>
      <c r="BQ23">
        <f t="shared" ref="BQ23:BQ86" si="50">LN(BP23)</f>
        <v>0.69314718055994529</v>
      </c>
      <c r="BR23">
        <f t="shared" ref="BR23:BR86" si="51">MAX(0,(0.94+1/(8.3*0.97))-1/((8.3-MIN(8.2,BQ23)) * 0.97))</f>
        <v>0.92868197572765254</v>
      </c>
      <c r="BS23">
        <f t="shared" ref="BS23:BS86" si="52">1-(BR23/0.94)^10</f>
        <v>0.1140858660754307</v>
      </c>
      <c r="BU23">
        <f>BU22+0.1</f>
        <v>0.1</v>
      </c>
      <c r="BV23">
        <f t="shared" si="49"/>
        <v>0.96778344703005348</v>
      </c>
    </row>
    <row r="24" spans="1:74" x14ac:dyDescent="0.25">
      <c r="A24" t="s">
        <v>106</v>
      </c>
      <c r="B24">
        <v>0</v>
      </c>
      <c r="C24" s="13">
        <f ca="1">'Historical Trends'!P83</f>
        <v>45.873483412322258</v>
      </c>
      <c r="D24">
        <f ca="1">AVERAGE(OFFSET('Historical Trends'!$F$84,$B5,0,'Polling Correlations - LNP'!D$4,1))</f>
        <v>53.15</v>
      </c>
      <c r="E24">
        <f ca="1">AVERAGE(OFFSET('Historical Trends'!$F$84,$B5,0,'Polling Correlations - LNP'!E$4,1))</f>
        <v>48.254999999999995</v>
      </c>
      <c r="F24">
        <f ca="1">AVERAGE(OFFSET('Historical Trends'!$F$84,$B5,0,'Polling Correlations - LNP'!F$4,1))</f>
        <v>45.279999999999994</v>
      </c>
      <c r="G24">
        <f ca="1">AVERAGE(OFFSET('Historical Trends'!$F$84,$B5,0,'Polling Correlations - LNP'!G$4,1))</f>
        <v>42.564999999999998</v>
      </c>
      <c r="H24">
        <f ca="1">AVERAGE(OFFSET('Historical Trends'!$F$84,$B5,0,'Polling Correlations - LNP'!H$4,1))</f>
        <v>43.19</v>
      </c>
      <c r="I24">
        <f ca="1">AVERAGE(OFFSET('Historical Trends'!$F$84,$B5,0,'Polling Correlations - LNP'!I$4,1))</f>
        <v>44.234999999999992</v>
      </c>
      <c r="J24">
        <f ca="1">AVERAGE(OFFSET('Historical Trends'!$F$84,$B5,0,'Polling Correlations - LNP'!J$4,1))</f>
        <v>44.685714285714276</v>
      </c>
      <c r="K24" s="13">
        <f>(34+34+35+6+8+6)/3</f>
        <v>41</v>
      </c>
      <c r="L24">
        <f>(40+34+37+4+6+5)/3</f>
        <v>42</v>
      </c>
      <c r="M24">
        <f>(34+36+34+4+6+6)/3</f>
        <v>40</v>
      </c>
      <c r="N24">
        <f>(35.9+38.2+34+6.1+5.4+4)/3</f>
        <v>41.199999999999996</v>
      </c>
      <c r="O24">
        <f>(30+36.1+34+5+6+6)/3</f>
        <v>39.033333333333331</v>
      </c>
      <c r="P24">
        <f>(33.9+32+31+34.6+35.4+6+5+5+6.8+8.4)/5</f>
        <v>39.620000000000005</v>
      </c>
      <c r="Q24" s="30">
        <f>K24-AVERAGE(AM$5:AM23,AM25:AM$30)</f>
        <v>42.8584126984127</v>
      </c>
      <c r="R24" s="31">
        <f>L24-AVERAGE(AN$5:AN23,AN25:AN$30)</f>
        <v>43.784637681159417</v>
      </c>
      <c r="S24" s="31">
        <f>M24-AVERAGE(AO$5:AO23,AO25:AO$30)</f>
        <v>41.774583333333332</v>
      </c>
      <c r="T24" s="31">
        <f>N24-AVERAGE(AP$5:AP23,AP25:AP$30)</f>
        <v>43.097733333333331</v>
      </c>
      <c r="U24" s="31">
        <f>O24-AVERAGE(AQ$5:AQ23,AQ25:AQ$30)</f>
        <v>40.657199999999996</v>
      </c>
      <c r="V24" s="31">
        <f>P24-AVERAGE(AR$5:AR23,AR25:AR$30)</f>
        <v>40.544000000000004</v>
      </c>
      <c r="W24" s="13">
        <f t="shared" ca="1" si="40"/>
        <v>43.349258883689757</v>
      </c>
      <c r="X24" s="6">
        <f t="shared" ca="1" si="41"/>
        <v>43.910997965593701</v>
      </c>
      <c r="Y24" s="6">
        <f t="shared" ca="1" si="11"/>
        <v>42.550873553667039</v>
      </c>
      <c r="Z24" s="6">
        <f t="shared" ca="1" si="12"/>
        <v>43.319673767965241</v>
      </c>
      <c r="AA24" s="6">
        <f t="shared" ca="1" si="13"/>
        <v>41.011937772569866</v>
      </c>
      <c r="AB24" s="2">
        <f t="shared" ca="1" si="14"/>
        <v>40.665447525832377</v>
      </c>
      <c r="AC24" s="2">
        <f>'Historical Trends'!F83</f>
        <v>36.630000000000003</v>
      </c>
      <c r="AE24" s="13">
        <f t="shared" ca="1" si="24"/>
        <v>9.2434834123222558</v>
      </c>
      <c r="AF24">
        <f t="shared" ca="1" si="25"/>
        <v>16.519999999999996</v>
      </c>
      <c r="AG24">
        <f t="shared" ca="1" si="26"/>
        <v>11.624999999999993</v>
      </c>
      <c r="AH24">
        <f t="shared" ca="1" si="27"/>
        <v>8.6499999999999915</v>
      </c>
      <c r="AI24">
        <f t="shared" ca="1" si="28"/>
        <v>5.9349999999999952</v>
      </c>
      <c r="AJ24">
        <f t="shared" ca="1" si="29"/>
        <v>6.5599999999999952</v>
      </c>
      <c r="AK24">
        <f t="shared" ca="1" si="30"/>
        <v>7.6049999999999898</v>
      </c>
      <c r="AL24">
        <f t="shared" ca="1" si="31"/>
        <v>8.0557142857142736</v>
      </c>
      <c r="AM24" s="13">
        <f t="shared" ref="AM24:AM29" si="53">K24-$AC24</f>
        <v>4.3699999999999974</v>
      </c>
      <c r="AN24">
        <f t="shared" si="46"/>
        <v>5.3699999999999974</v>
      </c>
      <c r="AO24">
        <f t="shared" si="32"/>
        <v>3.3699999999999974</v>
      </c>
      <c r="AP24">
        <f t="shared" si="33"/>
        <v>4.5699999999999932</v>
      </c>
      <c r="AQ24">
        <f t="shared" si="34"/>
        <v>2.4033333333333289</v>
      </c>
      <c r="AR24">
        <f t="shared" si="35"/>
        <v>2.990000000000002</v>
      </c>
      <c r="AS24" s="30">
        <f t="shared" si="16"/>
        <v>6.2284126984126971</v>
      </c>
      <c r="AT24">
        <f t="shared" si="17"/>
        <v>7.1546376811594143</v>
      </c>
      <c r="AU24">
        <f t="shared" si="18"/>
        <v>5.1445833333333297</v>
      </c>
      <c r="AV24">
        <f t="shared" si="19"/>
        <v>6.467733333333328</v>
      </c>
      <c r="AW24">
        <f t="shared" si="20"/>
        <v>4.0271999999999935</v>
      </c>
      <c r="AX24">
        <f t="shared" si="21"/>
        <v>3.9140000000000015</v>
      </c>
      <c r="AY24" s="13">
        <f t="shared" ref="AY24:AY29" ca="1" si="54">W24-$AC24</f>
        <v>6.7192588836897542</v>
      </c>
      <c r="AZ24" s="6">
        <f t="shared" ca="1" si="47"/>
        <v>7.2809979655936985</v>
      </c>
      <c r="BA24" s="6">
        <f t="shared" ca="1" si="36"/>
        <v>5.920873553667036</v>
      </c>
      <c r="BB24" s="6">
        <f t="shared" ca="1" si="37"/>
        <v>6.6896737679652389</v>
      </c>
      <c r="BC24" s="6">
        <f t="shared" ca="1" si="38"/>
        <v>4.3819377725698629</v>
      </c>
      <c r="BD24" s="2">
        <f t="shared" ca="1" si="39"/>
        <v>4.0354475258323745</v>
      </c>
      <c r="BP24">
        <f t="shared" ref="BP24:BP31" si="55">BP23+1</f>
        <v>3</v>
      </c>
      <c r="BQ24">
        <f t="shared" si="50"/>
        <v>1.0986122886681098</v>
      </c>
      <c r="BR24">
        <f t="shared" si="51"/>
        <v>0.92105134307880865</v>
      </c>
      <c r="BS24">
        <f t="shared" si="52"/>
        <v>0.18424477193938826</v>
      </c>
      <c r="BU24">
        <f t="shared" ref="BU24:BU87" si="56">BU23+0.1</f>
        <v>0.2</v>
      </c>
      <c r="BV24">
        <f t="shared" si="49"/>
        <v>0.9658759733678719</v>
      </c>
    </row>
    <row r="25" spans="1:74" x14ac:dyDescent="0.25">
      <c r="A25" t="s">
        <v>107</v>
      </c>
      <c r="B25">
        <f>B24+1</f>
        <v>1</v>
      </c>
      <c r="C25" s="13">
        <f ca="1">'Historical Trends'!P84</f>
        <v>36.461984924623152</v>
      </c>
      <c r="D25">
        <f ca="1">AVERAGE(OFFSET('Historical Trends'!$F$84,$B6,0,'Polling Correlations - LNP'!D$4,1))</f>
        <v>43.36</v>
      </c>
      <c r="E25">
        <f ca="1">AVERAGE(OFFSET('Historical Trends'!$F$84,$B6,0,'Polling Correlations - LNP'!E$4,1))</f>
        <v>41.344999999999999</v>
      </c>
      <c r="F25">
        <f ca="1">AVERAGE(OFFSET('Historical Trends'!$F$84,$B6,0,'Polling Correlations - LNP'!F$4,1))</f>
        <v>39.036666666666669</v>
      </c>
      <c r="G25">
        <f ca="1">AVERAGE(OFFSET('Historical Trends'!$F$84,$B6,0,'Polling Correlations - LNP'!G$4,1))</f>
        <v>40.700000000000003</v>
      </c>
      <c r="H25">
        <f ca="1">AVERAGE(OFFSET('Historical Trends'!$F$84,$B6,0,'Polling Correlations - LNP'!H$4,1))</f>
        <v>42.452000000000005</v>
      </c>
      <c r="I25">
        <f ca="1">AVERAGE(OFFSET('Historical Trends'!$F$84,$B6,0,'Polling Correlations - LNP'!I$4,1))</f>
        <v>43.275000000000006</v>
      </c>
      <c r="J25">
        <f ca="1">AVERAGE(OFFSET('Historical Trends'!$F$84,$B6,0,'Polling Correlations - LNP'!J$4,1))</f>
        <v>43.525714285714294</v>
      </c>
      <c r="K25" s="13">
        <f>(43+43+41+6+6+6)/3</f>
        <v>48.333333333333336</v>
      </c>
      <c r="L25">
        <f>(39+52+46+6+2+4)/3</f>
        <v>49.666666666666664</v>
      </c>
      <c r="M25">
        <f>(43+47+39+5+2+6)/3</f>
        <v>47.333333333333336</v>
      </c>
      <c r="N25">
        <f>(43+43+47+6+5+2)/3</f>
        <v>48.666666666666664</v>
      </c>
      <c r="O25">
        <f>(45+50+43+6+5+6)/3</f>
        <v>51.666666666666664</v>
      </c>
      <c r="P25">
        <f>(48+43+45+6+7+6)/3</f>
        <v>51.666666666666664</v>
      </c>
      <c r="Q25" s="30">
        <f>K25-AVERAGE(AM$5:AM24,AM26:AM$30)</f>
        <v>49.754285714285714</v>
      </c>
      <c r="R25" s="31">
        <f>L25-AVERAGE(AN$5:AN24,AN26:AN$30)</f>
        <v>51.066376811594203</v>
      </c>
      <c r="S25" s="31">
        <f>M25-AVERAGE(AO$5:AO24,AO26:AO$30)</f>
        <v>48.725138888888893</v>
      </c>
      <c r="T25" s="31">
        <f>N25-AVERAGE(AP$5:AP24,AP26:AP$30)</f>
        <v>50.202266666666667</v>
      </c>
      <c r="U25" s="31">
        <f>O25-AVERAGE(AQ$5:AQ24,AQ26:AQ$30)</f>
        <v>53.135066666666667</v>
      </c>
      <c r="V25" s="31">
        <f>P25-AVERAGE(AR$5:AR24,AR26:AR$30)</f>
        <v>52.411733333333331</v>
      </c>
      <c r="W25" s="13">
        <f t="shared" ca="1" si="40"/>
        <v>47.443983510778438</v>
      </c>
      <c r="X25" s="6">
        <f t="shared" ca="1" si="41"/>
        <v>48.880313393628214</v>
      </c>
      <c r="Y25" s="6">
        <f t="shared" ca="1" si="11"/>
        <v>47.005556357919936</v>
      </c>
      <c r="Z25" s="6">
        <f t="shared" ca="1" si="12"/>
        <v>48.850393249574964</v>
      </c>
      <c r="AA25" s="6">
        <f t="shared" ca="1" si="13"/>
        <v>52.157444081076697</v>
      </c>
      <c r="AB25" s="2">
        <f t="shared" ca="1" si="14"/>
        <v>52.111101077163305</v>
      </c>
      <c r="AC25" s="2">
        <f>'Historical Trends'!F84</f>
        <v>53.15</v>
      </c>
      <c r="AE25" s="13">
        <f t="shared" ca="1" si="24"/>
        <v>-16.688015075376846</v>
      </c>
      <c r="AF25">
        <f t="shared" ca="1" si="25"/>
        <v>-9.7899999999999991</v>
      </c>
      <c r="AG25">
        <f t="shared" ca="1" si="26"/>
        <v>-11.805</v>
      </c>
      <c r="AH25">
        <f t="shared" ca="1" si="27"/>
        <v>-14.11333333333333</v>
      </c>
      <c r="AI25">
        <f t="shared" ca="1" si="28"/>
        <v>-12.449999999999996</v>
      </c>
      <c r="AJ25">
        <f t="shared" ca="1" si="29"/>
        <v>-10.697999999999993</v>
      </c>
      <c r="AK25">
        <f t="shared" ca="1" si="30"/>
        <v>-9.8749999999999929</v>
      </c>
      <c r="AL25">
        <f t="shared" ca="1" si="31"/>
        <v>-9.6242857142857048</v>
      </c>
      <c r="AM25" s="13">
        <f t="shared" si="53"/>
        <v>-4.8166666666666629</v>
      </c>
      <c r="AN25">
        <f t="shared" si="46"/>
        <v>-3.4833333333333343</v>
      </c>
      <c r="AO25">
        <f t="shared" si="32"/>
        <v>-5.8166666666666629</v>
      </c>
      <c r="AP25">
        <f t="shared" si="33"/>
        <v>-4.4833333333333343</v>
      </c>
      <c r="AQ25">
        <f t="shared" si="34"/>
        <v>-1.4833333333333343</v>
      </c>
      <c r="AR25">
        <f t="shared" si="35"/>
        <v>-1.4833333333333343</v>
      </c>
      <c r="AS25" s="30">
        <f t="shared" si="16"/>
        <v>-3.3957142857142841</v>
      </c>
      <c r="AT25">
        <f t="shared" si="17"/>
        <v>-2.0836231884057952</v>
      </c>
      <c r="AU25">
        <f t="shared" si="18"/>
        <v>-4.424861111111106</v>
      </c>
      <c r="AV25">
        <f t="shared" si="19"/>
        <v>-2.947733333333332</v>
      </c>
      <c r="AW25">
        <f t="shared" si="20"/>
        <v>-1.4933333333331689E-2</v>
      </c>
      <c r="AX25">
        <f t="shared" si="21"/>
        <v>-0.73826666666666796</v>
      </c>
      <c r="AY25" s="13">
        <f t="shared" ca="1" si="54"/>
        <v>-5.706016489221561</v>
      </c>
      <c r="AZ25" s="6">
        <f t="shared" ca="1" si="47"/>
        <v>-4.2696866063717849</v>
      </c>
      <c r="BA25" s="6">
        <f t="shared" ca="1" si="36"/>
        <v>-6.1444436420800628</v>
      </c>
      <c r="BB25" s="6">
        <f t="shared" ca="1" si="37"/>
        <v>-4.2996067504250348</v>
      </c>
      <c r="BC25" s="6">
        <f t="shared" ca="1" si="38"/>
        <v>-0.99255591892330131</v>
      </c>
      <c r="BD25" s="2">
        <f t="shared" ca="1" si="39"/>
        <v>-1.0388989228366938</v>
      </c>
      <c r="BP25">
        <f t="shared" si="55"/>
        <v>4</v>
      </c>
      <c r="BQ25">
        <f t="shared" si="50"/>
        <v>1.3862943611198906</v>
      </c>
      <c r="BR25">
        <f t="shared" si="51"/>
        <v>0.91509452980976436</v>
      </c>
      <c r="BS25">
        <f t="shared" si="52"/>
        <v>0.23549372110487321</v>
      </c>
      <c r="BU25">
        <f t="shared" si="56"/>
        <v>0.30000000000000004</v>
      </c>
      <c r="BV25">
        <f t="shared" si="49"/>
        <v>0.9639291703518309</v>
      </c>
    </row>
    <row r="26" spans="1:74" x14ac:dyDescent="0.25">
      <c r="A26" t="s">
        <v>108</v>
      </c>
      <c r="B26">
        <f>B25+1</f>
        <v>2</v>
      </c>
      <c r="C26" s="13">
        <f ca="1">'Historical Trends'!P85</f>
        <v>36.346899224806066</v>
      </c>
      <c r="D26">
        <f ca="1">AVERAGE(OFFSET('Historical Trends'!$F$84,$B7,0,'Polling Correlations - LNP'!D$4,1))</f>
        <v>39.33</v>
      </c>
      <c r="E26">
        <f ca="1">AVERAGE(OFFSET('Historical Trends'!$F$84,$B7,0,'Polling Correlations - LNP'!E$4,1))</f>
        <v>36.875</v>
      </c>
      <c r="F26">
        <f ca="1">AVERAGE(OFFSET('Historical Trends'!$F$84,$B7,0,'Polling Correlations - LNP'!F$4,1))</f>
        <v>39.813333333333333</v>
      </c>
      <c r="G26">
        <f ca="1">AVERAGE(OFFSET('Historical Trends'!$F$84,$B7,0,'Polling Correlations - LNP'!G$4,1))</f>
        <v>42.225000000000001</v>
      </c>
      <c r="H26">
        <f ca="1">AVERAGE(OFFSET('Historical Trends'!$F$84,$B7,0,'Polling Correlations - LNP'!H$4,1))</f>
        <v>43.258000000000003</v>
      </c>
      <c r="I26">
        <f ca="1">AVERAGE(OFFSET('Historical Trends'!$F$84,$B7,0,'Polling Correlations - LNP'!I$4,1))</f>
        <v>43.553333333333342</v>
      </c>
      <c r="J26">
        <f ca="1">AVERAGE(OFFSET('Historical Trends'!$F$84,$B7,0,'Polling Correlations - LNP'!J$4,1))</f>
        <v>43.755714285714298</v>
      </c>
      <c r="K26" s="13">
        <f>(37+37+35+3+3+4)/3</f>
        <v>39.666666666666664</v>
      </c>
      <c r="L26">
        <f>(38+35+35+5+3+4)/3</f>
        <v>40</v>
      </c>
      <c r="M26">
        <f>(35+41+38+3+4+5)/3</f>
        <v>42</v>
      </c>
      <c r="N26">
        <f>(31+35+41+4+3+4)/3</f>
        <v>39.333333333333336</v>
      </c>
      <c r="O26">
        <f>(31+35+41+4+3+4)/3</f>
        <v>39.333333333333336</v>
      </c>
      <c r="P26">
        <f>(37+35+37+6+7+5)/3</f>
        <v>42.333333333333336</v>
      </c>
      <c r="Q26" s="30">
        <f>K26-AVERAGE(AM$5:AM25,AM27:AM$30)</f>
        <v>41.141111111111108</v>
      </c>
      <c r="R26" s="31">
        <f>L26-AVERAGE(AN$5:AN25,AN27:AN$30)</f>
        <v>41.405072463768114</v>
      </c>
      <c r="S26" s="31">
        <f>M26-AVERAGE(AO$5:AO25,AO27:AO$30)</f>
        <v>43.577500000000001</v>
      </c>
      <c r="T26" s="31">
        <f>N26-AVERAGE(AP$5:AP25,AP27:AP$30)</f>
        <v>40.8872</v>
      </c>
      <c r="U26" s="31">
        <f>O26-AVERAGE(AQ$5:AQ25,AQ27:AQ$30)</f>
        <v>40.700000000000003</v>
      </c>
      <c r="V26" s="31">
        <f>P26-AVERAGE(AR$5:AR25,AR27:AR$30)</f>
        <v>43.096666666666671</v>
      </c>
      <c r="W26" s="13">
        <f t="shared" ca="1" si="40"/>
        <v>42.001230970166226</v>
      </c>
      <c r="X26" s="6">
        <f t="shared" ca="1" si="41"/>
        <v>42.007820169695513</v>
      </c>
      <c r="Y26" s="6">
        <f t="shared" ca="1" si="11"/>
        <v>43.569875134160995</v>
      </c>
      <c r="Z26" s="6">
        <f t="shared" ca="1" si="12"/>
        <v>41.407502588768359</v>
      </c>
      <c r="AA26" s="6">
        <f t="shared" ca="1" si="13"/>
        <v>40.982907124787872</v>
      </c>
      <c r="AB26" s="2">
        <f t="shared" ca="1" si="14"/>
        <v>43.111692685847594</v>
      </c>
      <c r="AC26" s="2">
        <f>'Historical Trends'!F85</f>
        <v>43.36</v>
      </c>
      <c r="AE26" s="13">
        <f t="shared" ca="1" si="24"/>
        <v>-7.0131007751939336</v>
      </c>
      <c r="AF26">
        <f t="shared" ca="1" si="25"/>
        <v>-4.0300000000000011</v>
      </c>
      <c r="AG26">
        <f t="shared" ca="1" si="26"/>
        <v>-6.4849999999999994</v>
      </c>
      <c r="AH26">
        <f t="shared" ca="1" si="27"/>
        <v>-3.5466666666666669</v>
      </c>
      <c r="AI26">
        <f t="shared" ca="1" si="28"/>
        <v>-1.134999999999998</v>
      </c>
      <c r="AJ26">
        <f t="shared" ca="1" si="29"/>
        <v>-0.10199999999999676</v>
      </c>
      <c r="AK26">
        <f t="shared" ca="1" si="30"/>
        <v>0.19333333333334224</v>
      </c>
      <c r="AL26">
        <f t="shared" ca="1" si="31"/>
        <v>0.39571428571429834</v>
      </c>
      <c r="AM26" s="13">
        <f t="shared" si="53"/>
        <v>-3.6933333333333351</v>
      </c>
      <c r="AN26">
        <f t="shared" si="46"/>
        <v>-3.3599999999999994</v>
      </c>
      <c r="AO26">
        <f t="shared" si="32"/>
        <v>-1.3599999999999994</v>
      </c>
      <c r="AP26">
        <f t="shared" si="33"/>
        <v>-4.0266666666666637</v>
      </c>
      <c r="AQ26">
        <f t="shared" si="34"/>
        <v>-4.0266666666666637</v>
      </c>
      <c r="AR26">
        <f t="shared" si="35"/>
        <v>-1.0266666666666637</v>
      </c>
      <c r="AS26" s="30">
        <f t="shared" si="16"/>
        <v>-2.2188888888888911</v>
      </c>
      <c r="AT26">
        <f t="shared" si="17"/>
        <v>-1.9549275362318852</v>
      </c>
      <c r="AU26">
        <f t="shared" si="18"/>
        <v>0.21750000000000114</v>
      </c>
      <c r="AV26">
        <f t="shared" si="19"/>
        <v>-2.4727999999999994</v>
      </c>
      <c r="AW26">
        <f t="shared" si="20"/>
        <v>-2.6599999999999966</v>
      </c>
      <c r="AX26">
        <f t="shared" si="21"/>
        <v>-0.26333333333332831</v>
      </c>
      <c r="AY26" s="13">
        <f t="shared" ca="1" si="54"/>
        <v>-1.3587690298337733</v>
      </c>
      <c r="AZ26" s="6">
        <f t="shared" ca="1" si="47"/>
        <v>-1.3521798303044861</v>
      </c>
      <c r="BA26" s="6">
        <f t="shared" ca="1" si="36"/>
        <v>0.20987513416099546</v>
      </c>
      <c r="BB26" s="6">
        <f t="shared" ca="1" si="37"/>
        <v>-1.95249741123164</v>
      </c>
      <c r="BC26" s="6">
        <f t="shared" ca="1" si="38"/>
        <v>-2.3770928752121279</v>
      </c>
      <c r="BD26" s="2">
        <f t="shared" ca="1" si="39"/>
        <v>-0.24830731415240592</v>
      </c>
      <c r="BP26">
        <f t="shared" si="55"/>
        <v>5</v>
      </c>
      <c r="BQ26">
        <f t="shared" si="50"/>
        <v>1.6094379124341003</v>
      </c>
      <c r="BR26">
        <f t="shared" si="51"/>
        <v>0.91012129326662006</v>
      </c>
      <c r="BS26">
        <f t="shared" si="52"/>
        <v>0.27604059116565138</v>
      </c>
      <c r="BU26">
        <f t="shared" si="56"/>
        <v>0.4</v>
      </c>
      <c r="BV26">
        <f t="shared" si="49"/>
        <v>0.96194180893962233</v>
      </c>
    </row>
    <row r="27" spans="1:74" x14ac:dyDescent="0.25">
      <c r="A27" t="s">
        <v>124</v>
      </c>
      <c r="B27" s="2">
        <v>0</v>
      </c>
      <c r="C27" s="13">
        <f ca="1">'Historical Trends'!P100</f>
        <v>38.657776595744622</v>
      </c>
      <c r="D27">
        <f ca="1">AVERAGE(OFFSET('Historical Trends'!$F$101,$B5,0,'Polling Correlations - LNP'!D$4,1))</f>
        <v>44.91</v>
      </c>
      <c r="E27">
        <f ca="1">AVERAGE(OFFSET('Historical Trends'!$F$101,$B5,0,'Polling Correlations - LNP'!E$4,1))</f>
        <v>43.805</v>
      </c>
      <c r="F27">
        <f ca="1">AVERAGE(OFFSET('Historical Trends'!$F$101,$B5,0,'Polling Correlations - LNP'!F$4,1))</f>
        <v>41.223333333333336</v>
      </c>
      <c r="G27">
        <f ca="1">AVERAGE(OFFSET('Historical Trends'!$F$101,$B5,0,'Polling Correlations - LNP'!G$4,1))</f>
        <v>41.272500000000001</v>
      </c>
      <c r="H27">
        <f ca="1">AVERAGE(OFFSET('Historical Trends'!$F$101,$B5,0,'Polling Correlations - LNP'!H$4,1))</f>
        <v>41.446000000000005</v>
      </c>
      <c r="I27">
        <f ca="1">AVERAGE(OFFSET('Historical Trends'!$F$101,$B5,0,'Polling Correlations - LNP'!I$4,1))</f>
        <v>43.523333333333333</v>
      </c>
      <c r="J27">
        <f ca="1">AVERAGE(OFFSET('Historical Trends'!$F$101,$B5,0,'Polling Correlations - LNP'!J$4,1))</f>
        <v>43.79</v>
      </c>
      <c r="K27" s="13">
        <f>(29+33+32)/3</f>
        <v>31.333333333333332</v>
      </c>
      <c r="L27">
        <f>(28+38+32)/3</f>
        <v>32.666666666666664</v>
      </c>
      <c r="M27">
        <f>(30+34+31)/3</f>
        <v>31.666666666666668</v>
      </c>
      <c r="N27">
        <f>(31+29+30)/3</f>
        <v>30</v>
      </c>
      <c r="O27">
        <f>(33.4+32+31)/3</f>
        <v>32.133333333333333</v>
      </c>
      <c r="P27">
        <f>(34+34+32)/3</f>
        <v>33.333333333333336</v>
      </c>
      <c r="Q27" s="30">
        <f>K27-AVERAGE(AM$5:AM26,AM28:AM$30)</f>
        <v>32.666190476190479</v>
      </c>
      <c r="R27" s="31">
        <f>L27-AVERAGE(AN$5:AN26,AN28:AN$30)</f>
        <v>33.985942028985505</v>
      </c>
      <c r="S27" s="31">
        <f>M27-AVERAGE(AO$5:AO26,AO28:AO$30)</f>
        <v>33.036944444444444</v>
      </c>
      <c r="T27" s="31">
        <f>N27-AVERAGE(AP$5:AP26,AP28:AP$30)</f>
        <v>31.394933333333334</v>
      </c>
      <c r="U27" s="31">
        <f>O27-AVERAGE(AQ$5:AQ26,AQ28:AQ$30)</f>
        <v>33.426400000000001</v>
      </c>
      <c r="V27" s="31">
        <f>P27-AVERAGE(AR$5:AR26,AR28:AR$30)</f>
        <v>33.951066666666669</v>
      </c>
      <c r="W27" s="13">
        <f t="shared" ca="1" si="40"/>
        <v>36.537493914985617</v>
      </c>
      <c r="X27" s="6">
        <f t="shared" ca="1" si="41"/>
        <v>36.661892985719646</v>
      </c>
      <c r="Y27" s="6">
        <f t="shared" ca="1" si="11"/>
        <v>36.345522723622302</v>
      </c>
      <c r="Z27" s="6">
        <f t="shared" ca="1" si="12"/>
        <v>33.761820929959477</v>
      </c>
      <c r="AA27" s="6">
        <f t="shared" ca="1" si="13"/>
        <v>34.4275078429351</v>
      </c>
      <c r="AB27" s="2">
        <f t="shared" ca="1" si="14"/>
        <v>34.266029577334358</v>
      </c>
      <c r="AC27" s="2">
        <f>'Historical Trends'!F100</f>
        <v>38</v>
      </c>
      <c r="AE27" s="13">
        <f t="shared" ca="1" si="24"/>
        <v>0.65777659574462177</v>
      </c>
      <c r="AF27">
        <f t="shared" ca="1" si="25"/>
        <v>6.9099999999999966</v>
      </c>
      <c r="AG27">
        <f t="shared" ca="1" si="26"/>
        <v>5.8049999999999997</v>
      </c>
      <c r="AH27">
        <f t="shared" ca="1" si="27"/>
        <v>3.2233333333333363</v>
      </c>
      <c r="AI27">
        <f t="shared" ca="1" si="28"/>
        <v>3.2725000000000009</v>
      </c>
      <c r="AJ27">
        <f t="shared" ca="1" si="29"/>
        <v>3.4460000000000051</v>
      </c>
      <c r="AK27">
        <f t="shared" ca="1" si="30"/>
        <v>5.5233333333333334</v>
      </c>
      <c r="AL27">
        <f t="shared" ca="1" si="31"/>
        <v>5.7899999999999991</v>
      </c>
      <c r="AM27" s="13">
        <f t="shared" si="53"/>
        <v>-6.6666666666666679</v>
      </c>
      <c r="AN27">
        <f t="shared" si="46"/>
        <v>-5.3333333333333357</v>
      </c>
      <c r="AO27">
        <f t="shared" si="32"/>
        <v>-6.3333333333333321</v>
      </c>
      <c r="AP27">
        <f t="shared" si="33"/>
        <v>-8</v>
      </c>
      <c r="AQ27">
        <f t="shared" si="34"/>
        <v>-5.8666666666666671</v>
      </c>
      <c r="AR27">
        <f t="shared" si="35"/>
        <v>-4.6666666666666643</v>
      </c>
      <c r="AS27" s="30">
        <f t="shared" si="16"/>
        <v>-5.3338095238095207</v>
      </c>
      <c r="AT27">
        <f t="shared" si="17"/>
        <v>-4.0140579710144948</v>
      </c>
      <c r="AU27">
        <f t="shared" si="18"/>
        <v>-4.963055555555556</v>
      </c>
      <c r="AV27">
        <f t="shared" si="19"/>
        <v>-6.6050666666666658</v>
      </c>
      <c r="AW27">
        <f t="shared" si="20"/>
        <v>-4.573599999999999</v>
      </c>
      <c r="AX27">
        <f t="shared" si="21"/>
        <v>-4.0489333333333306</v>
      </c>
      <c r="AY27" s="13">
        <f t="shared" ca="1" si="54"/>
        <v>-1.4625060850143825</v>
      </c>
      <c r="AZ27" s="6">
        <f t="shared" ca="1" si="47"/>
        <v>-1.3381070142803537</v>
      </c>
      <c r="BA27" s="6">
        <f t="shared" ca="1" si="36"/>
        <v>-1.6544772763776976</v>
      </c>
      <c r="BB27" s="6">
        <f t="shared" ca="1" si="37"/>
        <v>-4.2381790700405233</v>
      </c>
      <c r="BC27" s="6">
        <f t="shared" ca="1" si="38"/>
        <v>-3.5724921570649002</v>
      </c>
      <c r="BD27" s="2">
        <f t="shared" ca="1" si="39"/>
        <v>-3.7339704226656423</v>
      </c>
      <c r="BP27">
        <f t="shared" si="55"/>
        <v>6</v>
      </c>
      <c r="BQ27">
        <f t="shared" si="50"/>
        <v>1.791759469228055</v>
      </c>
      <c r="BR27">
        <f t="shared" si="51"/>
        <v>0.90580471036790178</v>
      </c>
      <c r="BS27">
        <f t="shared" si="52"/>
        <v>0.30965336588943237</v>
      </c>
      <c r="BU27">
        <f t="shared" si="56"/>
        <v>0.5</v>
      </c>
      <c r="BV27">
        <f t="shared" si="49"/>
        <v>0.95991260833978842</v>
      </c>
    </row>
    <row r="28" spans="1:74" x14ac:dyDescent="0.25">
      <c r="A28" t="s">
        <v>125</v>
      </c>
      <c r="B28" s="2">
        <f>B27+1</f>
        <v>1</v>
      </c>
      <c r="C28" s="13">
        <f ca="1">'Historical Trends'!P101</f>
        <v>36.93241994750656</v>
      </c>
      <c r="D28">
        <f ca="1">AVERAGE(OFFSET('Historical Trends'!$F$101,$B6,0,'Polling Correlations - LNP'!D$4,1))</f>
        <v>42.7</v>
      </c>
      <c r="E28">
        <f ca="1">AVERAGE(OFFSET('Historical Trends'!$F$101,$B6,0,'Polling Correlations - LNP'!E$4,1))</f>
        <v>39.380000000000003</v>
      </c>
      <c r="F28">
        <f ca="1">AVERAGE(OFFSET('Historical Trends'!$F$101,$B6,0,'Polling Correlations - LNP'!F$4,1))</f>
        <v>40.06</v>
      </c>
      <c r="G28">
        <f ca="1">AVERAGE(OFFSET('Historical Trends'!$F$101,$B6,0,'Polling Correlations - LNP'!G$4,1))</f>
        <v>40.58</v>
      </c>
      <c r="H28">
        <f ca="1">AVERAGE(OFFSET('Historical Trends'!$F$101,$B6,0,'Polling Correlations - LNP'!H$4,1))</f>
        <v>43.245999999999995</v>
      </c>
      <c r="I28">
        <f ca="1">AVERAGE(OFFSET('Historical Trends'!$F$101,$B6,0,'Polling Correlations - LNP'!I$4,1))</f>
        <v>43.603333333333332</v>
      </c>
      <c r="J28">
        <f ca="1">AVERAGE(OFFSET('Historical Trends'!$F$101,$B6,0,'Polling Correlations - LNP'!J$4,1))</f>
        <v>43.64142857142857</v>
      </c>
      <c r="K28" s="13">
        <f>(40+42+43)/3</f>
        <v>41.666666666666664</v>
      </c>
      <c r="L28">
        <f>(44+54+41)/3</f>
        <v>46.333333333333336</v>
      </c>
      <c r="M28">
        <f>(44+54+41)/3</f>
        <v>46.333333333333336</v>
      </c>
      <c r="N28">
        <f>(40+44+44)/3</f>
        <v>42.666666666666664</v>
      </c>
      <c r="O28">
        <f>(46+40+44)/3</f>
        <v>43.333333333333336</v>
      </c>
      <c r="P28">
        <f>(41+44+46)/3</f>
        <v>43.666666666666664</v>
      </c>
      <c r="Q28" s="30">
        <f>K28-AVERAGE(AM$5:AM27,AM29:AM$30)</f>
        <v>43.162539682539681</v>
      </c>
      <c r="R28" s="31">
        <f>L28-AVERAGE(AN$5:AN27,AN29:AN$30)</f>
        <v>47.946376811594206</v>
      </c>
      <c r="S28" s="31">
        <f>M28-AVERAGE(AO$5:AO27,AO29:AO$30)</f>
        <v>48.026805555555555</v>
      </c>
      <c r="T28" s="31">
        <f>N28-AVERAGE(AP$5:AP27,AP29:AP$30)</f>
        <v>44.291866666666664</v>
      </c>
      <c r="U28" s="31">
        <f>O28-AVERAGE(AQ$5:AQ27,AQ29:AQ$30)</f>
        <v>44.798000000000002</v>
      </c>
      <c r="V28" s="31">
        <f>P28-AVERAGE(AR$5:AR27,AR29:AR$30)</f>
        <v>44.42133333333333</v>
      </c>
      <c r="W28" s="13">
        <f t="shared" ca="1" si="40"/>
        <v>43.319712338234623</v>
      </c>
      <c r="X28" s="6">
        <f t="shared" ca="1" si="41"/>
        <v>46.727828575506614</v>
      </c>
      <c r="Y28" s="6">
        <f t="shared" ca="1" si="11"/>
        <v>46.631148359540411</v>
      </c>
      <c r="Z28" s="6">
        <f t="shared" ca="1" si="12"/>
        <v>44.157497664446225</v>
      </c>
      <c r="AA28" s="6">
        <f t="shared" ca="1" si="13"/>
        <v>44.679549166443955</v>
      </c>
      <c r="AB28" s="2">
        <f t="shared" ca="1" si="14"/>
        <v>44.394418113574218</v>
      </c>
      <c r="AC28" s="2">
        <f>'Historical Trends'!F101</f>
        <v>44.91</v>
      </c>
      <c r="AE28" s="13">
        <f t="shared" ca="1" si="24"/>
        <v>-7.9775800524934368</v>
      </c>
      <c r="AF28">
        <f t="shared" ca="1" si="25"/>
        <v>-2.2099999999999937</v>
      </c>
      <c r="AG28">
        <f t="shared" ca="1" si="26"/>
        <v>-5.529999999999994</v>
      </c>
      <c r="AH28">
        <f t="shared" ca="1" si="27"/>
        <v>-4.8499999999999943</v>
      </c>
      <c r="AI28">
        <f t="shared" ca="1" si="28"/>
        <v>-4.3299999999999983</v>
      </c>
      <c r="AJ28">
        <f t="shared" ca="1" si="29"/>
        <v>-1.6640000000000015</v>
      </c>
      <c r="AK28">
        <f t="shared" ca="1" si="30"/>
        <v>-1.3066666666666649</v>
      </c>
      <c r="AL28">
        <f t="shared" ca="1" si="31"/>
        <v>-1.2685714285714269</v>
      </c>
      <c r="AM28" s="13">
        <f t="shared" si="53"/>
        <v>-3.2433333333333323</v>
      </c>
      <c r="AN28">
        <f t="shared" si="46"/>
        <v>1.4233333333333391</v>
      </c>
      <c r="AO28">
        <f t="shared" si="32"/>
        <v>1.4233333333333391</v>
      </c>
      <c r="AP28">
        <f t="shared" si="33"/>
        <v>-2.2433333333333323</v>
      </c>
      <c r="AQ28">
        <f t="shared" si="34"/>
        <v>-1.5766666666666609</v>
      </c>
      <c r="AR28">
        <f t="shared" si="35"/>
        <v>-1.2433333333333323</v>
      </c>
      <c r="AS28" s="30">
        <f t="shared" si="16"/>
        <v>-1.747460317460316</v>
      </c>
      <c r="AT28">
        <f t="shared" si="17"/>
        <v>3.0363768115942094</v>
      </c>
      <c r="AU28">
        <f t="shared" si="18"/>
        <v>3.1168055555555583</v>
      </c>
      <c r="AV28">
        <f t="shared" si="19"/>
        <v>-0.61813333333333276</v>
      </c>
      <c r="AW28">
        <f t="shared" si="20"/>
        <v>-0.11199999999999477</v>
      </c>
      <c r="AX28">
        <f t="shared" si="21"/>
        <v>-0.48866666666666703</v>
      </c>
      <c r="AY28" s="13">
        <f t="shared" ca="1" si="54"/>
        <v>-1.5902876617653732</v>
      </c>
      <c r="AZ28" s="6">
        <f t="shared" ca="1" si="47"/>
        <v>1.817828575506617</v>
      </c>
      <c r="BA28" s="6">
        <f t="shared" ca="1" si="36"/>
        <v>1.7211483595404147</v>
      </c>
      <c r="BB28" s="6">
        <f t="shared" ca="1" si="37"/>
        <v>-0.75250233555377122</v>
      </c>
      <c r="BC28" s="6">
        <f t="shared" ca="1" si="38"/>
        <v>-0.23045083355604135</v>
      </c>
      <c r="BD28" s="2">
        <f t="shared" ca="1" si="39"/>
        <v>-0.51558188642577818</v>
      </c>
      <c r="BP28">
        <f t="shared" si="55"/>
        <v>7</v>
      </c>
      <c r="BQ28">
        <f t="shared" si="50"/>
        <v>1.9459101490553132</v>
      </c>
      <c r="BR28">
        <f t="shared" si="51"/>
        <v>0.90196183089833593</v>
      </c>
      <c r="BS28">
        <f t="shared" si="52"/>
        <v>0.33838847910654657</v>
      </c>
      <c r="BU28">
        <f t="shared" si="56"/>
        <v>0.6</v>
      </c>
      <c r="BV28">
        <f t="shared" si="49"/>
        <v>0.95784023325910694</v>
      </c>
    </row>
    <row r="29" spans="1:74" x14ac:dyDescent="0.25">
      <c r="A29" t="s">
        <v>127</v>
      </c>
      <c r="B29" s="2">
        <f>B28+1</f>
        <v>2</v>
      </c>
      <c r="C29" s="13">
        <f ca="1">'Historical Trends'!P102</f>
        <v>37.452191489361667</v>
      </c>
      <c r="D29">
        <f ca="1">AVERAGE(OFFSET('Historical Trends'!$F$101,$B7,0,'Polling Correlations - LNP'!D$4,1))</f>
        <v>36.06</v>
      </c>
      <c r="E29">
        <f ca="1">AVERAGE(OFFSET('Historical Trends'!$F$101,$B7,0,'Polling Correlations - LNP'!E$4,1))</f>
        <v>38.74</v>
      </c>
      <c r="F29">
        <f ca="1">AVERAGE(OFFSET('Historical Trends'!$F$101,$B7,0,'Polling Correlations - LNP'!F$4,1))</f>
        <v>39.873333333333335</v>
      </c>
      <c r="G29">
        <f ca="1">AVERAGE(OFFSET('Historical Trends'!$F$101,$B7,0,'Polling Correlations - LNP'!G$4,1))</f>
        <v>43.3825</v>
      </c>
      <c r="H29">
        <f ca="1">AVERAGE(OFFSET('Historical Trends'!$F$101,$B7,0,'Polling Correlations - LNP'!H$4,1))</f>
        <v>43.784000000000006</v>
      </c>
      <c r="I29">
        <f ca="1">AVERAGE(OFFSET('Historical Trends'!$F$101,$B7,0,'Polling Correlations - LNP'!I$4,1))</f>
        <v>43.798333333333339</v>
      </c>
      <c r="J29">
        <f ca="1">AVERAGE(OFFSET('Historical Trends'!$F$101,$B7,0,'Polling Correlations - LNP'!J$4,1))</f>
        <v>43.96857142857143</v>
      </c>
      <c r="K29" s="13">
        <f>(37+37+34)/3</f>
        <v>36</v>
      </c>
      <c r="L29">
        <f>(37+35+36)/3</f>
        <v>36</v>
      </c>
      <c r="M29">
        <f>(34+37+35)/3</f>
        <v>35.333333333333336</v>
      </c>
      <c r="N29">
        <f>(35+36+38.6)/3</f>
        <v>36.533333333333331</v>
      </c>
      <c r="O29">
        <f>(39+35+36)/3</f>
        <v>36.666666666666664</v>
      </c>
      <c r="P29">
        <f>(42.5+42+39)/3</f>
        <v>41.166666666666664</v>
      </c>
      <c r="Q29" s="30">
        <f>K29-AVERAGE(AM$5:AM28,AM30:AM$30)</f>
        <v>37.331269841269844</v>
      </c>
      <c r="R29" s="31">
        <f>L29-AVERAGE(AN$5:AN28,AN30:AN$30)</f>
        <v>37.259855072463765</v>
      </c>
      <c r="S29" s="31">
        <f>M29-AVERAGE(AO$5:AO28,AO30:AO$30)</f>
        <v>36.660555555555561</v>
      </c>
      <c r="T29" s="31">
        <f>N29-AVERAGE(AP$5:AP28,AP30:AP$30)</f>
        <v>38.001599999999996</v>
      </c>
      <c r="U29" s="31">
        <f>O29-AVERAGE(AQ$5:AQ28,AQ30:AQ$30)</f>
        <v>37.953066666666665</v>
      </c>
      <c r="V29" s="31">
        <f>P29-AVERAGE(AR$5:AR28,AR30:AR$30)</f>
        <v>41.909733333333328</v>
      </c>
      <c r="W29" s="13">
        <f t="shared" ca="1" si="40"/>
        <v>39.637213998508315</v>
      </c>
      <c r="X29" s="6">
        <f t="shared" ca="1" si="41"/>
        <v>39.094386822228827</v>
      </c>
      <c r="Y29" s="6">
        <f t="shared" ca="1" si="11"/>
        <v>38.912607884282068</v>
      </c>
      <c r="Z29" s="6">
        <f t="shared" ca="1" si="12"/>
        <v>39.132847009301798</v>
      </c>
      <c r="AA29" s="6">
        <f t="shared" ca="1" si="13"/>
        <v>38.532623063729183</v>
      </c>
      <c r="AB29" s="2">
        <f t="shared" ca="1" si="14"/>
        <v>41.97187524535908</v>
      </c>
      <c r="AC29" s="2">
        <f>'Historical Trends'!F102</f>
        <v>42.7</v>
      </c>
      <c r="AE29" s="13">
        <f t="shared" ca="1" si="24"/>
        <v>-5.2478085106383361</v>
      </c>
      <c r="AF29">
        <f t="shared" ca="1" si="25"/>
        <v>-6.6400000000000006</v>
      </c>
      <c r="AG29">
        <f t="shared" ca="1" si="26"/>
        <v>-3.9600000000000009</v>
      </c>
      <c r="AH29">
        <f t="shared" ca="1" si="27"/>
        <v>-2.826666666666668</v>
      </c>
      <c r="AI29">
        <f t="shared" ca="1" si="28"/>
        <v>0.68249999999999744</v>
      </c>
      <c r="AJ29">
        <f t="shared" ca="1" si="29"/>
        <v>1.0840000000000032</v>
      </c>
      <c r="AK29">
        <f t="shared" ca="1" si="30"/>
        <v>1.0983333333333363</v>
      </c>
      <c r="AL29">
        <f t="shared" ca="1" si="31"/>
        <v>1.2685714285714269</v>
      </c>
      <c r="AM29" s="13">
        <f t="shared" si="53"/>
        <v>-6.7000000000000028</v>
      </c>
      <c r="AN29">
        <f t="shared" si="46"/>
        <v>-6.7000000000000028</v>
      </c>
      <c r="AO29">
        <f t="shared" si="32"/>
        <v>-7.3666666666666671</v>
      </c>
      <c r="AP29">
        <f t="shared" si="33"/>
        <v>-6.1666666666666714</v>
      </c>
      <c r="AQ29">
        <f t="shared" si="34"/>
        <v>-6.0333333333333385</v>
      </c>
      <c r="AR29">
        <f t="shared" si="35"/>
        <v>-1.5333333333333385</v>
      </c>
      <c r="AS29" s="30">
        <f t="shared" si="16"/>
        <v>-5.368730158730159</v>
      </c>
      <c r="AT29">
        <f t="shared" si="17"/>
        <v>-5.4401449275362381</v>
      </c>
      <c r="AU29">
        <f t="shared" si="18"/>
        <v>-6.0394444444444417</v>
      </c>
      <c r="AV29">
        <f t="shared" si="19"/>
        <v>-4.6984000000000066</v>
      </c>
      <c r="AW29">
        <f t="shared" si="20"/>
        <v>-4.7469333333333381</v>
      </c>
      <c r="AX29">
        <f t="shared" si="21"/>
        <v>-0.79026666666667467</v>
      </c>
      <c r="AY29" s="13">
        <f t="shared" ca="1" si="54"/>
        <v>-3.0627860014916877</v>
      </c>
      <c r="AZ29" s="6">
        <f t="shared" ca="1" si="47"/>
        <v>-3.6056131777711755</v>
      </c>
      <c r="BA29" s="6">
        <f t="shared" ca="1" si="36"/>
        <v>-3.7873921157179353</v>
      </c>
      <c r="BB29" s="6">
        <f t="shared" ca="1" si="37"/>
        <v>-3.5671529906982045</v>
      </c>
      <c r="BC29" s="6">
        <f t="shared" ca="1" si="38"/>
        <v>-4.16737693627082</v>
      </c>
      <c r="BD29" s="2">
        <f t="shared" ca="1" si="39"/>
        <v>-0.7281247546409233</v>
      </c>
      <c r="BP29">
        <f t="shared" si="55"/>
        <v>8</v>
      </c>
      <c r="BQ29">
        <f t="shared" si="50"/>
        <v>2.0794415416798357</v>
      </c>
      <c r="BR29">
        <f t="shared" si="51"/>
        <v>0.89847902784446509</v>
      </c>
      <c r="BS29">
        <f t="shared" si="52"/>
        <v>0.36349633700567485</v>
      </c>
      <c r="BU29">
        <f t="shared" si="56"/>
        <v>0.7</v>
      </c>
      <c r="BV29">
        <f t="shared" si="49"/>
        <v>0.95572329097238928</v>
      </c>
    </row>
    <row r="30" spans="1:74" x14ac:dyDescent="0.25">
      <c r="A30" t="s">
        <v>128</v>
      </c>
      <c r="B30" s="2">
        <f>B29+1</f>
        <v>3</v>
      </c>
      <c r="C30" s="13">
        <f ca="1">'Historical Trends'!P103</f>
        <v>43.555687203791479</v>
      </c>
      <c r="D30">
        <f ca="1">AVERAGE(OFFSET('Historical Trends'!$F$101,$B8,0,'Polling Correlations - LNP'!D$4,1))</f>
        <v>41.42</v>
      </c>
      <c r="E30">
        <f ca="1">AVERAGE(OFFSET('Historical Trends'!$F$101,$B8,0,'Polling Correlations - LNP'!E$4,1))</f>
        <v>41.78</v>
      </c>
      <c r="F30">
        <f ca="1">AVERAGE(OFFSET('Historical Trends'!$F$101,$B8,0,'Polling Correlations - LNP'!F$4,1))</f>
        <v>45.823333333333331</v>
      </c>
      <c r="G30">
        <f ca="1">AVERAGE(OFFSET('Historical Trends'!$F$101,$B8,0,'Polling Correlations - LNP'!G$4,1))</f>
        <v>45.715000000000003</v>
      </c>
      <c r="H30">
        <f ca="1">AVERAGE(OFFSET('Historical Trends'!$F$101,$B8,0,'Polling Correlations - LNP'!H$4,1))</f>
        <v>45.346000000000004</v>
      </c>
      <c r="I30">
        <f ca="1">AVERAGE(OFFSET('Historical Trends'!$F$101,$B8,0,'Polling Correlations - LNP'!I$4,1))</f>
        <v>45.286666666666669</v>
      </c>
      <c r="J30">
        <f ca="1">AVERAGE(OFFSET('Historical Trends'!$F$101,$B8,0,'Polling Correlations - LNP'!J$4,1))</f>
        <v>45.938571428571436</v>
      </c>
      <c r="N30">
        <f>(37+40)/2</f>
        <v>38.5</v>
      </c>
      <c r="O30">
        <f>(39+37)/2</f>
        <v>38</v>
      </c>
      <c r="P30">
        <f>(34.5+39)/2</f>
        <v>36.75</v>
      </c>
      <c r="Q30" s="30"/>
      <c r="R30" s="31"/>
      <c r="S30" s="31"/>
      <c r="T30" s="31">
        <f>N30-AVERAGE(AP$5:AP29)</f>
        <v>40.312533333333334</v>
      </c>
      <c r="U30" s="31">
        <f>O30-AVERAGE(AQ$5:AQ29)</f>
        <v>39.605333333333334</v>
      </c>
      <c r="V30" s="31">
        <f>P30-AVERAGE(AR$5:AR29)</f>
        <v>37.582000000000001</v>
      </c>
      <c r="Z30" s="6">
        <f t="shared" ca="1" si="12"/>
        <v>41.283247895075306</v>
      </c>
      <c r="AA30" s="6">
        <f t="shared" ca="1" si="13"/>
        <v>40.168635790679652</v>
      </c>
      <c r="AB30" s="2">
        <f t="shared" ca="1" si="14"/>
        <v>37.835511976166316</v>
      </c>
      <c r="AC30" s="2">
        <f>'Historical Trends'!F103</f>
        <v>36.06</v>
      </c>
      <c r="AE30" s="13">
        <f t="shared" ca="1" si="24"/>
        <v>7.4956872037914763</v>
      </c>
      <c r="AF30">
        <f t="shared" ca="1" si="25"/>
        <v>5.3599999999999994</v>
      </c>
      <c r="AG30">
        <f t="shared" ca="1" si="26"/>
        <v>5.7199999999999989</v>
      </c>
      <c r="AH30">
        <f t="shared" ca="1" si="27"/>
        <v>9.7633333333333283</v>
      </c>
      <c r="AI30">
        <f t="shared" ca="1" si="28"/>
        <v>9.6550000000000011</v>
      </c>
      <c r="AJ30">
        <f t="shared" ca="1" si="29"/>
        <v>9.2860000000000014</v>
      </c>
      <c r="AK30">
        <f t="shared" ca="1" si="30"/>
        <v>9.2266666666666666</v>
      </c>
      <c r="AL30">
        <f t="shared" ca="1" si="31"/>
        <v>9.8785714285714334</v>
      </c>
      <c r="AP30">
        <f>N30-$AC30</f>
        <v>2.4399999999999977</v>
      </c>
      <c r="AQ30">
        <f>O30-$AC30</f>
        <v>1.9399999999999977</v>
      </c>
      <c r="AR30">
        <f>P30-$AC30</f>
        <v>0.68999999999999773</v>
      </c>
      <c r="AS30" s="30"/>
      <c r="AV30">
        <f t="shared" si="19"/>
        <v>4.2525333333333322</v>
      </c>
      <c r="AW30">
        <f t="shared" si="20"/>
        <v>3.5453333333333319</v>
      </c>
      <c r="AX30">
        <f t="shared" si="21"/>
        <v>1.5219999999999985</v>
      </c>
      <c r="BB30" s="6">
        <f ca="1">Z30-$AC30</f>
        <v>5.2232478950753034</v>
      </c>
      <c r="BC30" s="6">
        <f ca="1">AA30-$AC30</f>
        <v>4.1086357906796493</v>
      </c>
      <c r="BD30" s="2">
        <f ca="1">AB30-$AC30</f>
        <v>1.7755119761663138</v>
      </c>
      <c r="BP30">
        <f t="shared" si="55"/>
        <v>9</v>
      </c>
      <c r="BQ30">
        <f t="shared" si="50"/>
        <v>2.1972245773362196</v>
      </c>
      <c r="BR30">
        <f t="shared" si="51"/>
        <v>0.89528046973783304</v>
      </c>
      <c r="BS30">
        <f t="shared" si="52"/>
        <v>0.38579609965964168</v>
      </c>
      <c r="BU30">
        <f t="shared" si="56"/>
        <v>0.79999999999999993</v>
      </c>
      <c r="BV30">
        <f t="shared" si="49"/>
        <v>0.95356032820117764</v>
      </c>
    </row>
    <row r="31" spans="1:74" x14ac:dyDescent="0.25">
      <c r="BP31">
        <f t="shared" si="55"/>
        <v>10</v>
      </c>
      <c r="BQ31">
        <f t="shared" si="50"/>
        <v>2.3025850929940459</v>
      </c>
      <c r="BR31">
        <f t="shared" si="51"/>
        <v>0.89231280613779884</v>
      </c>
      <c r="BS31">
        <f t="shared" si="52"/>
        <v>0.4058546225073032</v>
      </c>
      <c r="BU31">
        <f t="shared" si="56"/>
        <v>0.89999999999999991</v>
      </c>
      <c r="BV31">
        <f t="shared" si="49"/>
        <v>0.95134982778664279</v>
      </c>
    </row>
    <row r="32" spans="1:74" x14ac:dyDescent="0.25">
      <c r="Q32" s="32"/>
      <c r="BP32">
        <f>BP31+5</f>
        <v>15</v>
      </c>
      <c r="BQ32">
        <f t="shared" si="50"/>
        <v>2.7080502011022101</v>
      </c>
      <c r="BR32">
        <f t="shared" si="51"/>
        <v>0.879848893553969</v>
      </c>
      <c r="BS32">
        <f t="shared" si="52"/>
        <v>0.4838185582782154</v>
      </c>
      <c r="BU32">
        <f t="shared" si="56"/>
        <v>0.99999999999999989</v>
      </c>
      <c r="BV32">
        <f t="shared" si="49"/>
        <v>0.94909020514067388</v>
      </c>
    </row>
    <row r="33" spans="57:74" x14ac:dyDescent="0.25">
      <c r="BP33">
        <f t="shared" ref="BP33:BP39" si="57">BP32+5</f>
        <v>20</v>
      </c>
      <c r="BQ33">
        <f t="shared" si="50"/>
        <v>2.9957322735539909</v>
      </c>
      <c r="BR33">
        <f t="shared" si="51"/>
        <v>0.86984999035138133</v>
      </c>
      <c r="BS33">
        <f t="shared" si="52"/>
        <v>0.53956842999097721</v>
      </c>
      <c r="BU33">
        <f t="shared" si="56"/>
        <v>1.0999999999999999</v>
      </c>
      <c r="BV33">
        <f t="shared" si="49"/>
        <v>0.94677980445771692</v>
      </c>
    </row>
    <row r="34" spans="57:74" x14ac:dyDescent="0.25">
      <c r="BP34">
        <f t="shared" si="57"/>
        <v>25</v>
      </c>
      <c r="BQ34">
        <f t="shared" si="50"/>
        <v>3.2188758248682006</v>
      </c>
      <c r="BR34">
        <f t="shared" si="51"/>
        <v>0.86131452190275737</v>
      </c>
      <c r="BS34">
        <f t="shared" si="52"/>
        <v>0.5828049378614828</v>
      </c>
      <c r="BU34">
        <f t="shared" si="56"/>
        <v>1.2</v>
      </c>
      <c r="BV34">
        <f t="shared" si="49"/>
        <v>0.94441689466832901</v>
      </c>
    </row>
    <row r="35" spans="57:74" x14ac:dyDescent="0.25">
      <c r="BP35">
        <f t="shared" si="57"/>
        <v>30</v>
      </c>
      <c r="BQ35">
        <f t="shared" si="50"/>
        <v>3.4011973816621555</v>
      </c>
      <c r="BR35">
        <f t="shared" si="51"/>
        <v>0.85376331210823564</v>
      </c>
      <c r="BS35">
        <f t="shared" si="52"/>
        <v>0.61797098580623311</v>
      </c>
      <c r="BU35">
        <f t="shared" si="56"/>
        <v>1.3</v>
      </c>
      <c r="BV35">
        <f t="shared" si="49"/>
        <v>0.94199966511366773</v>
      </c>
    </row>
    <row r="36" spans="57:74" x14ac:dyDescent="0.25">
      <c r="BP36">
        <f t="shared" si="57"/>
        <v>35</v>
      </c>
      <c r="BQ36">
        <f t="shared" si="50"/>
        <v>3.5553480614894135</v>
      </c>
      <c r="BR36">
        <f t="shared" si="51"/>
        <v>0.84692609437819422</v>
      </c>
      <c r="BS36">
        <f t="shared" si="52"/>
        <v>0.64748580981932835</v>
      </c>
      <c r="BU36">
        <f t="shared" si="56"/>
        <v>1.4000000000000001</v>
      </c>
      <c r="BV36">
        <f t="shared" si="49"/>
        <v>0.93952622091820059</v>
      </c>
    </row>
    <row r="37" spans="57:74" x14ac:dyDescent="0.25">
      <c r="BP37">
        <f t="shared" si="57"/>
        <v>40</v>
      </c>
      <c r="BQ37">
        <f t="shared" si="50"/>
        <v>3.6888794541139363</v>
      </c>
      <c r="BR37">
        <f t="shared" si="51"/>
        <v>0.84063391913611418</v>
      </c>
      <c r="BS37">
        <f t="shared" si="52"/>
        <v>0.67281712840632812</v>
      </c>
      <c r="BU37">
        <f t="shared" si="56"/>
        <v>1.5000000000000002</v>
      </c>
      <c r="BV37">
        <f t="shared" si="49"/>
        <v>0.93699457803578112</v>
      </c>
    </row>
    <row r="38" spans="57:74" x14ac:dyDescent="0.25">
      <c r="BE38" t="s">
        <v>217</v>
      </c>
      <c r="BG38">
        <f>Q4</f>
        <v>-1.5753030303030309</v>
      </c>
      <c r="BH38">
        <f t="shared" ref="BH38:BK38" si="58">R4</f>
        <v>-1.4865277777777779</v>
      </c>
      <c r="BI38">
        <f t="shared" si="58"/>
        <v>-1.5688</v>
      </c>
      <c r="BJ38">
        <f t="shared" si="58"/>
        <v>-1.64897435897436</v>
      </c>
      <c r="BK38">
        <f t="shared" si="58"/>
        <v>-1.4689743589743594</v>
      </c>
      <c r="BL38">
        <f t="shared" ref="BL38" si="59">AVERAGE(BK38,BM38)</f>
        <v>-1.1212179487179488</v>
      </c>
      <c r="BM38">
        <f>V4</f>
        <v>-0.77346153846153842</v>
      </c>
      <c r="BP38">
        <f t="shared" si="57"/>
        <v>45</v>
      </c>
      <c r="BQ38">
        <f t="shared" si="50"/>
        <v>3.8066624897703196</v>
      </c>
      <c r="BR38">
        <f t="shared" si="51"/>
        <v>0.8347734080477065</v>
      </c>
      <c r="BS38">
        <f t="shared" si="52"/>
        <v>0.6949243646841885</v>
      </c>
      <c r="BU38">
        <f t="shared" si="56"/>
        <v>1.6000000000000003</v>
      </c>
      <c r="BV38">
        <f t="shared" si="49"/>
        <v>0.9344026579418756</v>
      </c>
    </row>
    <row r="39" spans="57:74" x14ac:dyDescent="0.25">
      <c r="BP39">
        <f t="shared" si="57"/>
        <v>50</v>
      </c>
      <c r="BQ39">
        <f t="shared" si="50"/>
        <v>3.912023005428146</v>
      </c>
      <c r="BR39">
        <f t="shared" si="51"/>
        <v>0.82926440807702773</v>
      </c>
      <c r="BS39">
        <f t="shared" si="52"/>
        <v>0.71447001455916515</v>
      </c>
      <c r="BU39">
        <f t="shared" si="56"/>
        <v>1.7000000000000004</v>
      </c>
      <c r="BV39">
        <f t="shared" si="49"/>
        <v>0.9317482819420928</v>
      </c>
    </row>
    <row r="40" spans="57:74" x14ac:dyDescent="0.25">
      <c r="BP40">
        <f>BP39+10</f>
        <v>60</v>
      </c>
      <c r="BQ40">
        <f t="shared" si="50"/>
        <v>4.0943445622221004</v>
      </c>
      <c r="BR40">
        <f t="shared" si="51"/>
        <v>0.81907923870333688</v>
      </c>
      <c r="BS40">
        <f t="shared" si="52"/>
        <v>0.74766316959566648</v>
      </c>
      <c r="BU40">
        <f t="shared" si="56"/>
        <v>1.8000000000000005</v>
      </c>
      <c r="BV40">
        <f t="shared" si="49"/>
        <v>0.92902916506426647</v>
      </c>
    </row>
    <row r="41" spans="57:74" x14ac:dyDescent="0.25">
      <c r="BP41">
        <f t="shared" ref="BP41:BP54" si="60">BP40+10</f>
        <v>70</v>
      </c>
      <c r="BQ41">
        <f t="shared" si="50"/>
        <v>4.2484952420493594</v>
      </c>
      <c r="BR41">
        <f t="shared" si="51"/>
        <v>0.80975263189700109</v>
      </c>
      <c r="BS41">
        <f t="shared" si="52"/>
        <v>0.77496755104351545</v>
      </c>
      <c r="BU41">
        <f t="shared" si="56"/>
        <v>1.9000000000000006</v>
      </c>
      <c r="BV41">
        <f t="shared" si="49"/>
        <v>0.92624290949809873</v>
      </c>
    </row>
    <row r="42" spans="57:74" x14ac:dyDescent="0.25">
      <c r="BP42">
        <f t="shared" si="60"/>
        <v>80</v>
      </c>
      <c r="BQ42">
        <f t="shared" si="50"/>
        <v>4.3820266346738812</v>
      </c>
      <c r="BR42">
        <f t="shared" si="51"/>
        <v>0.80108034151045548</v>
      </c>
      <c r="BS42">
        <f t="shared" si="52"/>
        <v>0.79793913541597239</v>
      </c>
      <c r="BU42">
        <f t="shared" si="56"/>
        <v>2.0000000000000004</v>
      </c>
      <c r="BV42">
        <f t="shared" si="49"/>
        <v>0.92338699754277687</v>
      </c>
    </row>
    <row r="43" spans="57:74" x14ac:dyDescent="0.25">
      <c r="BP43">
        <f t="shared" si="60"/>
        <v>90</v>
      </c>
      <c r="BQ43">
        <f t="shared" si="50"/>
        <v>4.499809670330265</v>
      </c>
      <c r="BR43">
        <f t="shared" si="51"/>
        <v>0.79292496189577877</v>
      </c>
      <c r="BS43">
        <f t="shared" si="52"/>
        <v>0.81759263741514543</v>
      </c>
      <c r="BU43">
        <f t="shared" si="56"/>
        <v>2.1000000000000005</v>
      </c>
      <c r="BV43">
        <f t="shared" si="49"/>
        <v>0.92045878401896575</v>
      </c>
    </row>
    <row r="44" spans="57:74" x14ac:dyDescent="0.25">
      <c r="BP44">
        <f t="shared" si="60"/>
        <v>100</v>
      </c>
      <c r="BQ44">
        <f t="shared" si="50"/>
        <v>4.6051701859880918</v>
      </c>
      <c r="BR44">
        <f t="shared" si="51"/>
        <v>0.78518914172563514</v>
      </c>
      <c r="BS44">
        <f t="shared" si="52"/>
        <v>0.83462711013196844</v>
      </c>
      <c r="BU44">
        <f t="shared" si="56"/>
        <v>2.2000000000000006</v>
      </c>
      <c r="BV44">
        <f t="shared" si="49"/>
        <v>0.91745548809710831</v>
      </c>
    </row>
    <row r="45" spans="57:74" x14ac:dyDescent="0.25">
      <c r="BP45">
        <f t="shared" si="60"/>
        <v>110</v>
      </c>
      <c r="BQ45">
        <f t="shared" si="50"/>
        <v>4.7004803657924166</v>
      </c>
      <c r="BR45">
        <f t="shared" si="51"/>
        <v>0.77780111311839573</v>
      </c>
      <c r="BS45">
        <f t="shared" si="52"/>
        <v>0.84954484676076014</v>
      </c>
      <c r="BU45">
        <f t="shared" si="56"/>
        <v>2.3000000000000007</v>
      </c>
      <c r="BV45">
        <f t="shared" si="49"/>
        <v>0.91437418448896879</v>
      </c>
    </row>
    <row r="46" spans="57:74" x14ac:dyDescent="0.25">
      <c r="BP46">
        <f t="shared" si="60"/>
        <v>120</v>
      </c>
      <c r="BQ46">
        <f t="shared" si="50"/>
        <v>4.7874917427820458</v>
      </c>
      <c r="BR46">
        <f t="shared" si="51"/>
        <v>0.77070627637324507</v>
      </c>
      <c r="BS46">
        <f t="shared" si="52"/>
        <v>0.86271900397276902</v>
      </c>
      <c r="BU46">
        <f t="shared" si="56"/>
        <v>2.4000000000000008</v>
      </c>
      <c r="BV46">
        <f t="shared" si="49"/>
        <v>0.91121179394377294</v>
      </c>
    </row>
    <row r="47" spans="57:74" x14ac:dyDescent="0.25">
      <c r="BP47">
        <f t="shared" si="60"/>
        <v>130</v>
      </c>
      <c r="BQ47">
        <f t="shared" si="50"/>
        <v>4.8675344504555822</v>
      </c>
      <c r="BR47">
        <f t="shared" si="51"/>
        <v>0.76386201641897999</v>
      </c>
      <c r="BS47">
        <f t="shared" si="52"/>
        <v>0.87443441809294398</v>
      </c>
      <c r="BU47">
        <f t="shared" si="56"/>
        <v>2.5000000000000009</v>
      </c>
      <c r="BV47">
        <f t="shared" si="49"/>
        <v>0.90796507298403861</v>
      </c>
    </row>
    <row r="48" spans="57:74" x14ac:dyDescent="0.25">
      <c r="BP48">
        <f t="shared" si="60"/>
        <v>140</v>
      </c>
      <c r="BQ48">
        <f t="shared" si="50"/>
        <v>4.9416424226093039</v>
      </c>
      <c r="BR48">
        <f t="shared" si="51"/>
        <v>0.7572343586762027</v>
      </c>
      <c r="BS48">
        <f t="shared" si="52"/>
        <v>0.88491344827388807</v>
      </c>
      <c r="BU48">
        <f t="shared" si="56"/>
        <v>2.600000000000001</v>
      </c>
      <c r="BV48">
        <f t="shared" si="49"/>
        <v>0.90463060280917629</v>
      </c>
    </row>
    <row r="49" spans="68:74" x14ac:dyDescent="0.25">
      <c r="BP49">
        <f t="shared" si="60"/>
        <v>150</v>
      </c>
      <c r="BQ49">
        <f t="shared" si="50"/>
        <v>5.0106352940962555</v>
      </c>
      <c r="BR49">
        <f t="shared" si="51"/>
        <v>0.75079572787420124</v>
      </c>
      <c r="BS49">
        <f t="shared" si="52"/>
        <v>0.89433299656138121</v>
      </c>
      <c r="BU49">
        <f t="shared" si="56"/>
        <v>2.7000000000000011</v>
      </c>
      <c r="BV49">
        <f t="shared" si="49"/>
        <v>0.9012047772870575</v>
      </c>
    </row>
    <row r="50" spans="68:74" x14ac:dyDescent="0.25">
      <c r="BP50">
        <f t="shared" si="60"/>
        <v>160</v>
      </c>
      <c r="BQ50">
        <f t="shared" si="50"/>
        <v>5.0751738152338266</v>
      </c>
      <c r="BR50">
        <f t="shared" si="51"/>
        <v>0.74452339735186701</v>
      </c>
      <c r="BS50">
        <f t="shared" si="52"/>
        <v>0.90283609332738779</v>
      </c>
      <c r="BU50">
        <f t="shared" si="56"/>
        <v>2.8000000000000012</v>
      </c>
      <c r="BV50">
        <f t="shared" si="49"/>
        <v>0.89768378994487985</v>
      </c>
    </row>
    <row r="51" spans="68:74" x14ac:dyDescent="0.25">
      <c r="BP51">
        <f t="shared" si="60"/>
        <v>170</v>
      </c>
      <c r="BQ51">
        <f t="shared" si="50"/>
        <v>5.1357984370502621</v>
      </c>
      <c r="BR51">
        <f t="shared" si="51"/>
        <v>0.73839838659247792</v>
      </c>
      <c r="BS51">
        <f t="shared" si="52"/>
        <v>0.91054000803782009</v>
      </c>
      <c r="BU51">
        <f t="shared" si="56"/>
        <v>2.9000000000000012</v>
      </c>
      <c r="BV51">
        <f t="shared" si="49"/>
        <v>0.89406361986066907</v>
      </c>
    </row>
    <row r="52" spans="68:74" x14ac:dyDescent="0.25">
      <c r="BP52">
        <f t="shared" si="60"/>
        <v>180</v>
      </c>
      <c r="BQ52">
        <f t="shared" si="50"/>
        <v>5.1929568508902104</v>
      </c>
      <c r="BR52">
        <f t="shared" si="51"/>
        <v>0.73240465888899264</v>
      </c>
      <c r="BS52">
        <f t="shared" si="52"/>
        <v>0.91754206657603909</v>
      </c>
      <c r="BU52">
        <f t="shared" si="56"/>
        <v>3.0000000000000013</v>
      </c>
      <c r="BV52">
        <f t="shared" si="49"/>
        <v>0.89034001634548066</v>
      </c>
    </row>
    <row r="53" spans="68:74" x14ac:dyDescent="0.25">
      <c r="BP53">
        <f t="shared" si="60"/>
        <v>190</v>
      </c>
      <c r="BQ53">
        <f t="shared" si="50"/>
        <v>5.2470240721604862</v>
      </c>
      <c r="BR53">
        <f t="shared" si="51"/>
        <v>0.72652852542636714</v>
      </c>
      <c r="BS53">
        <f t="shared" si="52"/>
        <v>0.92392391251925343</v>
      </c>
      <c r="BU53">
        <f t="shared" si="56"/>
        <v>3.1000000000000014</v>
      </c>
      <c r="BV53">
        <f t="shared" si="49"/>
        <v>0.88650848229362023</v>
      </c>
    </row>
    <row r="54" spans="68:74" x14ac:dyDescent="0.25">
      <c r="BP54">
        <f t="shared" si="60"/>
        <v>200</v>
      </c>
      <c r="BQ54">
        <f t="shared" si="50"/>
        <v>5.2983173665480363</v>
      </c>
      <c r="BR54">
        <f t="shared" si="51"/>
        <v>0.72075819468806512</v>
      </c>
      <c r="BS54">
        <f t="shared" si="52"/>
        <v>0.92975468696968566</v>
      </c>
      <c r="BU54">
        <f t="shared" si="56"/>
        <v>3.2000000000000015</v>
      </c>
      <c r="BV54">
        <f t="shared" ref="BV54:BV85" si="61">MAX(0,($BG$16+1/($BG$17*$BG$18))-1/((10-BU54) * $BG$18))</f>
        <v>0.88256425606376387</v>
      </c>
    </row>
    <row r="55" spans="68:74" x14ac:dyDescent="0.25">
      <c r="BP55">
        <f>BP54+50</f>
        <v>250</v>
      </c>
      <c r="BQ55">
        <f t="shared" si="50"/>
        <v>5.521460917862246</v>
      </c>
      <c r="BR55">
        <f t="shared" si="51"/>
        <v>0.69317584095074125</v>
      </c>
      <c r="BS55">
        <f t="shared" si="52"/>
        <v>0.95244943915188174</v>
      </c>
      <c r="BU55">
        <f t="shared" si="56"/>
        <v>3.3000000000000016</v>
      </c>
      <c r="BV55">
        <f t="shared" si="61"/>
        <v>0.87850229173749406</v>
      </c>
    </row>
    <row r="56" spans="68:74" x14ac:dyDescent="0.25">
      <c r="BP56">
        <f t="shared" ref="BP56:BP70" si="62">BP55+50</f>
        <v>300</v>
      </c>
      <c r="BQ56">
        <f t="shared" si="50"/>
        <v>5.7037824746562009</v>
      </c>
      <c r="BR56">
        <f t="shared" si="51"/>
        <v>0.66711978373630698</v>
      </c>
      <c r="BS56">
        <f t="shared" si="52"/>
        <v>0.96758398203144513</v>
      </c>
      <c r="BU56">
        <f t="shared" si="56"/>
        <v>3.4000000000000017</v>
      </c>
      <c r="BV56">
        <f t="shared" si="61"/>
        <v>0.87431723758315516</v>
      </c>
    </row>
    <row r="57" spans="68:74" x14ac:dyDescent="0.25">
      <c r="BP57">
        <f t="shared" si="62"/>
        <v>350</v>
      </c>
      <c r="BQ57">
        <f t="shared" si="50"/>
        <v>5.857933154483459</v>
      </c>
      <c r="BR57">
        <f t="shared" si="51"/>
        <v>0.64205435800763322</v>
      </c>
      <c r="BS57">
        <f t="shared" si="52"/>
        <v>0.97789759943806631</v>
      </c>
      <c r="BU57">
        <f t="shared" si="56"/>
        <v>3.5000000000000018</v>
      </c>
      <c r="BV57">
        <f t="shared" si="61"/>
        <v>0.87000341253175995</v>
      </c>
    </row>
    <row r="58" spans="68:74" x14ac:dyDescent="0.25">
      <c r="BP58">
        <f t="shared" si="62"/>
        <v>400</v>
      </c>
      <c r="BQ58">
        <f t="shared" si="50"/>
        <v>5.9914645471079817</v>
      </c>
      <c r="BR58">
        <f t="shared" si="51"/>
        <v>0.61763593864421518</v>
      </c>
      <c r="BS58">
        <f t="shared" si="52"/>
        <v>0.9850015268695701</v>
      </c>
      <c r="BU58">
        <f t="shared" si="56"/>
        <v>3.6000000000000019</v>
      </c>
      <c r="BV58">
        <f t="shared" si="61"/>
        <v>0.86555478044750855</v>
      </c>
    </row>
    <row r="59" spans="68:74" x14ac:dyDescent="0.25">
      <c r="BP59">
        <f t="shared" si="62"/>
        <v>450</v>
      </c>
      <c r="BQ59">
        <f t="shared" si="50"/>
        <v>6.1092475827643655</v>
      </c>
      <c r="BR59">
        <f t="shared" si="51"/>
        <v>0.59362654672186865</v>
      </c>
      <c r="BS59">
        <f t="shared" si="52"/>
        <v>0.9899108493790626</v>
      </c>
      <c r="BU59">
        <f t="shared" si="56"/>
        <v>3.700000000000002</v>
      </c>
      <c r="BV59">
        <f t="shared" si="61"/>
        <v>0.8609649219478841</v>
      </c>
    </row>
    <row r="60" spans="68:74" x14ac:dyDescent="0.25">
      <c r="BP60">
        <f t="shared" si="62"/>
        <v>500</v>
      </c>
      <c r="BQ60">
        <f t="shared" si="50"/>
        <v>6.2146080984221914</v>
      </c>
      <c r="BR60">
        <f t="shared" si="51"/>
        <v>0.569851292413324</v>
      </c>
      <c r="BS60">
        <f t="shared" si="52"/>
        <v>0.99329595624928546</v>
      </c>
      <c r="BU60">
        <f t="shared" si="56"/>
        <v>3.800000000000002</v>
      </c>
      <c r="BV60">
        <f t="shared" si="61"/>
        <v>0.85622700349665881</v>
      </c>
    </row>
    <row r="61" spans="68:74" x14ac:dyDescent="0.25">
      <c r="BP61">
        <f t="shared" si="62"/>
        <v>550</v>
      </c>
      <c r="BQ61">
        <f t="shared" si="50"/>
        <v>6.3099182782265162</v>
      </c>
      <c r="BR61">
        <f t="shared" si="51"/>
        <v>0.54617525808218648</v>
      </c>
      <c r="BS61">
        <f t="shared" si="52"/>
        <v>0.99561427203877517</v>
      </c>
      <c r="BU61">
        <f t="shared" si="56"/>
        <v>3.9000000000000021</v>
      </c>
      <c r="BV61">
        <f t="shared" si="61"/>
        <v>0.85133374345686885</v>
      </c>
    </row>
    <row r="62" spans="68:74" x14ac:dyDescent="0.25">
      <c r="BP62">
        <f t="shared" si="62"/>
        <v>600</v>
      </c>
      <c r="BQ62">
        <f t="shared" si="50"/>
        <v>6.3969296552161463</v>
      </c>
      <c r="BR62">
        <f t="shared" si="51"/>
        <v>0.52248997636488048</v>
      </c>
      <c r="BS62">
        <f t="shared" si="52"/>
        <v>0.99718485288033465</v>
      </c>
      <c r="BU62">
        <f t="shared" si="56"/>
        <v>4.0000000000000018</v>
      </c>
      <c r="BV62">
        <f t="shared" si="61"/>
        <v>0.84627737474908571</v>
      </c>
    </row>
    <row r="63" spans="68:74" x14ac:dyDescent="0.25">
      <c r="BP63">
        <f t="shared" si="62"/>
        <v>650</v>
      </c>
      <c r="BQ63">
        <f t="shared" si="50"/>
        <v>6.4769723628896827</v>
      </c>
      <c r="BR63">
        <f t="shared" si="51"/>
        <v>0.49870504279401651</v>
      </c>
      <c r="BS63">
        <f t="shared" si="52"/>
        <v>0.99823331524566505</v>
      </c>
      <c r="BU63">
        <f t="shared" si="56"/>
        <v>4.1000000000000014</v>
      </c>
      <c r="BV63">
        <f t="shared" si="61"/>
        <v>0.84104960371222548</v>
      </c>
    </row>
    <row r="64" spans="68:74" x14ac:dyDescent="0.25">
      <c r="BP64">
        <f t="shared" si="62"/>
        <v>700</v>
      </c>
      <c r="BQ64">
        <f t="shared" si="50"/>
        <v>6.5510803350434044</v>
      </c>
      <c r="BR64">
        <f t="shared" si="51"/>
        <v>0.4747426555796147</v>
      </c>
      <c r="BS64">
        <f t="shared" si="52"/>
        <v>0.99892029773640656</v>
      </c>
      <c r="BU64">
        <f t="shared" si="56"/>
        <v>4.2000000000000011</v>
      </c>
      <c r="BV64">
        <f t="shared" si="61"/>
        <v>0.83564156470857665</v>
      </c>
    </row>
    <row r="65" spans="68:74" x14ac:dyDescent="0.25">
      <c r="BP65">
        <f t="shared" si="62"/>
        <v>750</v>
      </c>
      <c r="BQ65">
        <f t="shared" si="50"/>
        <v>6.620073206530356</v>
      </c>
      <c r="BR65">
        <f t="shared" si="51"/>
        <v>0.45053391098406859</v>
      </c>
      <c r="BS65">
        <f t="shared" si="52"/>
        <v>0.99936027059099286</v>
      </c>
      <c r="BU65">
        <f t="shared" si="56"/>
        <v>4.3000000000000007</v>
      </c>
      <c r="BV65">
        <f t="shared" si="61"/>
        <v>0.83004376995041396</v>
      </c>
    </row>
    <row r="66" spans="68:74" x14ac:dyDescent="0.25">
      <c r="BP66">
        <f t="shared" si="62"/>
        <v>800</v>
      </c>
      <c r="BQ66">
        <f t="shared" si="50"/>
        <v>6.6846117276679271</v>
      </c>
      <c r="BR66">
        <f t="shared" si="51"/>
        <v>0.42601619595390805</v>
      </c>
      <c r="BS66">
        <f t="shared" si="52"/>
        <v>0.99963441988520285</v>
      </c>
      <c r="BU66">
        <f t="shared" si="56"/>
        <v>4.4000000000000004</v>
      </c>
      <c r="BV66">
        <f t="shared" si="61"/>
        <v>0.82424605395088846</v>
      </c>
    </row>
    <row r="67" spans="68:74" x14ac:dyDescent="0.25">
      <c r="BP67">
        <f t="shared" si="62"/>
        <v>850</v>
      </c>
      <c r="BQ67">
        <f t="shared" si="50"/>
        <v>6.7452363494843626</v>
      </c>
      <c r="BR67">
        <f t="shared" si="51"/>
        <v>0.4011312899840046</v>
      </c>
      <c r="BS67">
        <f t="shared" si="52"/>
        <v>0.99979974338743116</v>
      </c>
      <c r="BU67">
        <f t="shared" si="56"/>
        <v>4.5</v>
      </c>
      <c r="BV67">
        <f t="shared" si="61"/>
        <v>0.81823751191501648</v>
      </c>
    </row>
    <row r="68" spans="68:74" x14ac:dyDescent="0.25">
      <c r="BP68">
        <f t="shared" si="62"/>
        <v>900</v>
      </c>
      <c r="BQ68">
        <f t="shared" si="50"/>
        <v>6.8023947633243109</v>
      </c>
      <c r="BR68">
        <f t="shared" si="51"/>
        <v>0.37582393798420943</v>
      </c>
      <c r="BS68">
        <f t="shared" si="52"/>
        <v>0.99989563236245727</v>
      </c>
      <c r="BU68">
        <f t="shared" si="56"/>
        <v>4.5999999999999996</v>
      </c>
      <c r="BV68">
        <f t="shared" si="61"/>
        <v>0.81200643128522332</v>
      </c>
    </row>
    <row r="69" spans="68:74" x14ac:dyDescent="0.25">
      <c r="BP69">
        <f t="shared" si="62"/>
        <v>950</v>
      </c>
      <c r="BQ69">
        <f t="shared" si="50"/>
        <v>6.8564619845945867</v>
      </c>
      <c r="BR69">
        <f t="shared" si="51"/>
        <v>0.35004074256376294</v>
      </c>
      <c r="BS69">
        <f t="shared" si="52"/>
        <v>0.9999487247922485</v>
      </c>
      <c r="BU69">
        <f t="shared" si="56"/>
        <v>4.6999999999999993</v>
      </c>
      <c r="BV69">
        <f t="shared" si="61"/>
        <v>0.80554021553732458</v>
      </c>
    </row>
    <row r="70" spans="68:74" x14ac:dyDescent="0.25">
      <c r="BP70">
        <f t="shared" si="62"/>
        <v>1000</v>
      </c>
      <c r="BQ70">
        <f t="shared" si="50"/>
        <v>6.9077552789821368</v>
      </c>
      <c r="BR70">
        <f t="shared" si="51"/>
        <v>0.32372927612893865</v>
      </c>
      <c r="BS70">
        <f t="shared" si="52"/>
        <v>0.99997652847943408</v>
      </c>
      <c r="BU70">
        <f t="shared" si="56"/>
        <v>4.7999999999999989</v>
      </c>
      <c r="BV70">
        <f t="shared" si="61"/>
        <v>0.79882529918373768</v>
      </c>
    </row>
    <row r="71" spans="68:74" x14ac:dyDescent="0.25">
      <c r="BP71">
        <f>BP70+100</f>
        <v>1100</v>
      </c>
      <c r="BQ71">
        <f t="shared" si="50"/>
        <v>7.0030654587864616</v>
      </c>
      <c r="BR71">
        <f t="shared" si="51"/>
        <v>0.26931236104985612</v>
      </c>
      <c r="BS71">
        <f t="shared" si="52"/>
        <v>0.99999627364404764</v>
      </c>
      <c r="BU71">
        <f t="shared" si="56"/>
        <v>4.8999999999999986</v>
      </c>
      <c r="BV71">
        <f t="shared" si="61"/>
        <v>0.79184705277706879</v>
      </c>
    </row>
    <row r="72" spans="68:74" x14ac:dyDescent="0.25">
      <c r="BP72">
        <f t="shared" ref="BP72:BP121" si="63">BP71+100</f>
        <v>1200</v>
      </c>
      <c r="BQ72">
        <f t="shared" si="50"/>
        <v>7.0900768357760917</v>
      </c>
      <c r="BR72">
        <f t="shared" si="51"/>
        <v>0.21214759125512084</v>
      </c>
      <c r="BS72">
        <f t="shared" si="52"/>
        <v>0.99999965715129369</v>
      </c>
      <c r="BU72">
        <f t="shared" si="56"/>
        <v>4.9999999999999982</v>
      </c>
      <c r="BV72">
        <f t="shared" si="61"/>
        <v>0.78458967651413314</v>
      </c>
    </row>
    <row r="73" spans="68:74" x14ac:dyDescent="0.25">
      <c r="BP73">
        <f t="shared" si="63"/>
        <v>1300</v>
      </c>
      <c r="BQ73">
        <f t="shared" si="50"/>
        <v>7.1701195434496281</v>
      </c>
      <c r="BR73">
        <f t="shared" si="51"/>
        <v>0.15178612941977676</v>
      </c>
      <c r="BS73">
        <f t="shared" si="52"/>
        <v>0.99999998794846601</v>
      </c>
      <c r="BU73">
        <f t="shared" si="56"/>
        <v>5.0999999999999979</v>
      </c>
      <c r="BV73">
        <f t="shared" si="61"/>
        <v>0.77703608081189413</v>
      </c>
    </row>
    <row r="74" spans="68:74" x14ac:dyDescent="0.25">
      <c r="BP74">
        <f t="shared" si="63"/>
        <v>1400</v>
      </c>
      <c r="BQ74">
        <f t="shared" si="50"/>
        <v>7.2442275156033498</v>
      </c>
      <c r="BR74">
        <f t="shared" si="51"/>
        <v>8.7740372980924741E-2</v>
      </c>
      <c r="BS74">
        <f t="shared" si="52"/>
        <v>0.9999999999497986</v>
      </c>
      <c r="BU74">
        <f t="shared" si="56"/>
        <v>5.1999999999999975</v>
      </c>
      <c r="BV74">
        <f t="shared" si="61"/>
        <v>0.769167751955395</v>
      </c>
    </row>
    <row r="75" spans="68:74" x14ac:dyDescent="0.25">
      <c r="BP75">
        <f t="shared" si="63"/>
        <v>1500</v>
      </c>
      <c r="BQ75">
        <f t="shared" si="50"/>
        <v>7.3132203870903014</v>
      </c>
      <c r="BR75">
        <f t="shared" si="51"/>
        <v>1.9468474626479715E-2</v>
      </c>
      <c r="BS75">
        <f t="shared" si="52"/>
        <v>1</v>
      </c>
      <c r="BU75">
        <f t="shared" si="56"/>
        <v>5.2999999999999972</v>
      </c>
      <c r="BV75">
        <f t="shared" si="61"/>
        <v>0.76096460059436422</v>
      </c>
    </row>
    <row r="76" spans="68:74" x14ac:dyDescent="0.25">
      <c r="BP76">
        <f t="shared" si="63"/>
        <v>1600</v>
      </c>
      <c r="BQ76">
        <f t="shared" si="50"/>
        <v>7.3777589082278725</v>
      </c>
      <c r="BR76">
        <f t="shared" si="51"/>
        <v>0</v>
      </c>
      <c r="BS76">
        <f t="shared" si="52"/>
        <v>1</v>
      </c>
      <c r="BU76">
        <f t="shared" si="56"/>
        <v>5.3999999999999968</v>
      </c>
      <c r="BV76">
        <f t="shared" si="61"/>
        <v>0.75240479047850584</v>
      </c>
    </row>
    <row r="77" spans="68:74" x14ac:dyDescent="0.25">
      <c r="BP77">
        <f t="shared" si="63"/>
        <v>1700</v>
      </c>
      <c r="BQ77">
        <f t="shared" si="50"/>
        <v>7.4383835300443071</v>
      </c>
      <c r="BR77">
        <f t="shared" si="51"/>
        <v>0</v>
      </c>
      <c r="BS77">
        <f t="shared" si="52"/>
        <v>1</v>
      </c>
      <c r="BU77">
        <f t="shared" si="56"/>
        <v>5.4999999999999964</v>
      </c>
      <c r="BV77">
        <f t="shared" si="61"/>
        <v>0.7434645443574982</v>
      </c>
    </row>
    <row r="78" spans="68:74" x14ac:dyDescent="0.25">
      <c r="BP78">
        <f t="shared" si="63"/>
        <v>1800</v>
      </c>
      <c r="BQ78">
        <f t="shared" si="50"/>
        <v>7.4955419438842563</v>
      </c>
      <c r="BR78">
        <f t="shared" si="51"/>
        <v>0</v>
      </c>
      <c r="BS78">
        <f t="shared" si="52"/>
        <v>1</v>
      </c>
      <c r="BU78">
        <f t="shared" si="56"/>
        <v>5.5999999999999961</v>
      </c>
      <c r="BV78">
        <f t="shared" si="61"/>
        <v>0.73411792341280835</v>
      </c>
    </row>
    <row r="79" spans="68:74" x14ac:dyDescent="0.25">
      <c r="BP79">
        <f t="shared" si="63"/>
        <v>1900</v>
      </c>
      <c r="BQ79">
        <f t="shared" si="50"/>
        <v>7.5496091651545321</v>
      </c>
      <c r="BR79">
        <f t="shared" si="51"/>
        <v>0</v>
      </c>
      <c r="BS79">
        <f t="shared" si="52"/>
        <v>1</v>
      </c>
      <c r="BU79">
        <f t="shared" si="56"/>
        <v>5.6999999999999957</v>
      </c>
      <c r="BV79">
        <f t="shared" si="61"/>
        <v>0.72433657591255174</v>
      </c>
    </row>
    <row r="80" spans="68:74" x14ac:dyDescent="0.25">
      <c r="BP80">
        <f t="shared" si="63"/>
        <v>2000</v>
      </c>
      <c r="BQ80">
        <f t="shared" si="50"/>
        <v>7.6009024595420822</v>
      </c>
      <c r="BR80">
        <f t="shared" si="51"/>
        <v>0</v>
      </c>
      <c r="BS80">
        <f t="shared" si="52"/>
        <v>1</v>
      </c>
      <c r="BU80">
        <f t="shared" si="56"/>
        <v>5.7999999999999954</v>
      </c>
      <c r="BV80">
        <f t="shared" si="61"/>
        <v>0.71408944995990176</v>
      </c>
    </row>
    <row r="81" spans="68:74" x14ac:dyDescent="0.25">
      <c r="BP81">
        <f t="shared" si="63"/>
        <v>2100</v>
      </c>
      <c r="BQ81">
        <f t="shared" si="50"/>
        <v>7.6496926237115144</v>
      </c>
      <c r="BR81">
        <f t="shared" si="51"/>
        <v>0</v>
      </c>
      <c r="BS81">
        <f t="shared" si="52"/>
        <v>1</v>
      </c>
      <c r="BU81">
        <f t="shared" si="56"/>
        <v>5.899999999999995</v>
      </c>
      <c r="BV81">
        <f t="shared" si="61"/>
        <v>0.7033424642046836</v>
      </c>
    </row>
    <row r="82" spans="68:74" x14ac:dyDescent="0.25">
      <c r="BP82">
        <f t="shared" si="63"/>
        <v>2200</v>
      </c>
      <c r="BQ82">
        <f t="shared" si="50"/>
        <v>7.696212639346407</v>
      </c>
      <c r="BR82">
        <f t="shared" si="51"/>
        <v>0</v>
      </c>
      <c r="BS82">
        <f t="shared" si="52"/>
        <v>1</v>
      </c>
      <c r="BU82">
        <f t="shared" si="56"/>
        <v>5.9999999999999947</v>
      </c>
      <c r="BV82">
        <f t="shared" si="61"/>
        <v>0.6920581291617045</v>
      </c>
    </row>
    <row r="83" spans="68:74" x14ac:dyDescent="0.25">
      <c r="BP83">
        <f t="shared" si="63"/>
        <v>2300</v>
      </c>
      <c r="BQ83">
        <f t="shared" si="50"/>
        <v>7.7406644019172415</v>
      </c>
      <c r="BR83">
        <f t="shared" si="51"/>
        <v>0</v>
      </c>
      <c r="BS83">
        <f t="shared" si="52"/>
        <v>1</v>
      </c>
      <c r="BU83">
        <f t="shared" si="56"/>
        <v>6.0999999999999943</v>
      </c>
      <c r="BV83">
        <f t="shared" si="61"/>
        <v>0.68019511027036739</v>
      </c>
    </row>
    <row r="84" spans="68:74" x14ac:dyDescent="0.25">
      <c r="BP84">
        <f t="shared" si="63"/>
        <v>2400</v>
      </c>
      <c r="BQ84">
        <f t="shared" si="50"/>
        <v>7.7832240163360371</v>
      </c>
      <c r="BR84">
        <f t="shared" si="51"/>
        <v>0</v>
      </c>
      <c r="BS84">
        <f t="shared" si="52"/>
        <v>1</v>
      </c>
      <c r="BU84">
        <f t="shared" si="56"/>
        <v>6.199999999999994</v>
      </c>
      <c r="BV84">
        <f t="shared" si="61"/>
        <v>0.66770772196369688</v>
      </c>
    </row>
    <row r="85" spans="68:74" x14ac:dyDescent="0.25">
      <c r="BP85">
        <f t="shared" si="63"/>
        <v>2500</v>
      </c>
      <c r="BQ85">
        <f t="shared" si="50"/>
        <v>7.8240460108562919</v>
      </c>
      <c r="BR85">
        <f t="shared" si="51"/>
        <v>0</v>
      </c>
      <c r="BS85">
        <f t="shared" si="52"/>
        <v>1</v>
      </c>
      <c r="BU85">
        <f t="shared" si="56"/>
        <v>6.2999999999999936</v>
      </c>
      <c r="BV85">
        <f t="shared" si="61"/>
        <v>0.65454533969450368</v>
      </c>
    </row>
    <row r="86" spans="68:74" x14ac:dyDescent="0.25">
      <c r="BP86">
        <f t="shared" si="63"/>
        <v>2600</v>
      </c>
      <c r="BQ86">
        <f t="shared" si="50"/>
        <v>7.8632667240095735</v>
      </c>
      <c r="BR86">
        <f t="shared" si="51"/>
        <v>0</v>
      </c>
      <c r="BS86">
        <f t="shared" si="52"/>
        <v>1</v>
      </c>
      <c r="BU86">
        <f t="shared" si="56"/>
        <v>6.3999999999999932</v>
      </c>
      <c r="BV86">
        <f t="shared" ref="BV86:BV117" si="64">MAX(0,($BG$16+1/($BG$17*$BG$18))-1/((10-BU86) * $BG$18))</f>
        <v>0.64065171396591081</v>
      </c>
    </row>
    <row r="87" spans="68:74" x14ac:dyDescent="0.25">
      <c r="BP87">
        <f t="shared" si="63"/>
        <v>2700</v>
      </c>
      <c r="BQ87">
        <f t="shared" ref="BQ87:BQ121" si="65">LN(BP87)</f>
        <v>7.90100705199242</v>
      </c>
      <c r="BR87">
        <f t="shared" ref="BR87:BR121" si="66">MAX(0,(0.94+1/(8.3*0.97))-1/((8.3-MIN(8.2,BQ87)) * 0.97))</f>
        <v>0</v>
      </c>
      <c r="BS87">
        <f t="shared" ref="BS87:BS121" si="67">1-(BR87/0.94)^10</f>
        <v>1</v>
      </c>
      <c r="BU87">
        <f t="shared" si="56"/>
        <v>6.4999999999999929</v>
      </c>
      <c r="BV87">
        <f t="shared" si="64"/>
        <v>0.62596416676711264</v>
      </c>
    </row>
    <row r="88" spans="68:74" x14ac:dyDescent="0.25">
      <c r="BP88">
        <f t="shared" si="63"/>
        <v>2800</v>
      </c>
      <c r="BQ88">
        <f t="shared" si="65"/>
        <v>7.9373746961632952</v>
      </c>
      <c r="BR88">
        <f t="shared" si="66"/>
        <v>0</v>
      </c>
      <c r="BS88">
        <f t="shared" si="67"/>
        <v>1</v>
      </c>
      <c r="BU88">
        <f t="shared" ref="BU88:BU96" si="68">BU87+0.1</f>
        <v>6.5999999999999925</v>
      </c>
      <c r="BV88">
        <f t="shared" si="64"/>
        <v>0.6104126462036793</v>
      </c>
    </row>
    <row r="89" spans="68:74" x14ac:dyDescent="0.25">
      <c r="BP89">
        <f t="shared" si="63"/>
        <v>2900</v>
      </c>
      <c r="BQ89">
        <f t="shared" si="65"/>
        <v>7.9724660159745655</v>
      </c>
      <c r="BR89">
        <f t="shared" si="66"/>
        <v>0</v>
      </c>
      <c r="BS89">
        <f t="shared" si="67"/>
        <v>1</v>
      </c>
      <c r="BU89">
        <f t="shared" si="68"/>
        <v>6.6999999999999922</v>
      </c>
      <c r="BV89">
        <f t="shared" si="64"/>
        <v>0.59391860924246209</v>
      </c>
    </row>
    <row r="90" spans="68:74" x14ac:dyDescent="0.25">
      <c r="BP90">
        <f t="shared" si="63"/>
        <v>3000</v>
      </c>
      <c r="BQ90">
        <f t="shared" si="65"/>
        <v>8.0063675676502459</v>
      </c>
      <c r="BR90">
        <f t="shared" si="66"/>
        <v>0</v>
      </c>
      <c r="BS90">
        <f t="shared" si="67"/>
        <v>1</v>
      </c>
      <c r="BU90">
        <f t="shared" si="68"/>
        <v>6.7999999999999918</v>
      </c>
      <c r="BV90">
        <f t="shared" si="64"/>
        <v>0.57639369497116877</v>
      </c>
    </row>
    <row r="91" spans="68:74" x14ac:dyDescent="0.25">
      <c r="BP91">
        <f t="shared" si="63"/>
        <v>3100</v>
      </c>
      <c r="BQ91">
        <f t="shared" si="65"/>
        <v>8.0391573904732372</v>
      </c>
      <c r="BR91">
        <f t="shared" si="66"/>
        <v>0</v>
      </c>
      <c r="BS91">
        <f t="shared" si="67"/>
        <v>1</v>
      </c>
      <c r="BU91">
        <f t="shared" si="68"/>
        <v>6.8999999999999915</v>
      </c>
      <c r="BV91">
        <f t="shared" si="64"/>
        <v>0.55773814106946951</v>
      </c>
    </row>
    <row r="92" spans="68:74" x14ac:dyDescent="0.25">
      <c r="BP92">
        <f t="shared" si="63"/>
        <v>3200</v>
      </c>
      <c r="BQ92">
        <f t="shared" si="65"/>
        <v>8.0709060887878188</v>
      </c>
      <c r="BR92">
        <f t="shared" si="66"/>
        <v>0</v>
      </c>
      <c r="BS92">
        <f t="shared" si="67"/>
        <v>1</v>
      </c>
      <c r="BU92">
        <f t="shared" si="68"/>
        <v>6.9999999999999911</v>
      </c>
      <c r="BV92">
        <f t="shared" si="64"/>
        <v>0.53783888357432375</v>
      </c>
    </row>
    <row r="93" spans="68:74" x14ac:dyDescent="0.25">
      <c r="BP93">
        <f t="shared" si="63"/>
        <v>3300</v>
      </c>
      <c r="BQ93">
        <f t="shared" si="65"/>
        <v>8.1016777474545716</v>
      </c>
      <c r="BR93">
        <f t="shared" si="66"/>
        <v>0</v>
      </c>
      <c r="BS93">
        <f t="shared" si="67"/>
        <v>1</v>
      </c>
      <c r="BU93">
        <f t="shared" si="68"/>
        <v>7.0999999999999908</v>
      </c>
      <c r="BV93">
        <f t="shared" si="64"/>
        <v>0.51656726349330562</v>
      </c>
    </row>
    <row r="94" spans="68:74" x14ac:dyDescent="0.25">
      <c r="BP94">
        <f t="shared" si="63"/>
        <v>3400</v>
      </c>
      <c r="BQ94">
        <f t="shared" si="65"/>
        <v>8.1315307106042525</v>
      </c>
      <c r="BR94">
        <f t="shared" si="66"/>
        <v>0</v>
      </c>
      <c r="BS94">
        <f t="shared" si="67"/>
        <v>1</v>
      </c>
      <c r="BU94">
        <f t="shared" si="68"/>
        <v>7.1999999999999904</v>
      </c>
      <c r="BV94">
        <f t="shared" si="64"/>
        <v>0.49377624197792924</v>
      </c>
    </row>
    <row r="95" spans="68:74" x14ac:dyDescent="0.25">
      <c r="BP95">
        <f t="shared" si="63"/>
        <v>3500</v>
      </c>
      <c r="BQ95">
        <f t="shared" si="65"/>
        <v>8.1605182474775049</v>
      </c>
      <c r="BR95">
        <f t="shared" si="66"/>
        <v>0</v>
      </c>
      <c r="BS95">
        <f t="shared" si="67"/>
        <v>1</v>
      </c>
      <c r="BU95">
        <f t="shared" si="68"/>
        <v>7.2999999999999901</v>
      </c>
      <c r="BV95">
        <f t="shared" si="64"/>
        <v>0.46929699664659896</v>
      </c>
    </row>
    <row r="96" spans="68:74" x14ac:dyDescent="0.25">
      <c r="BP96">
        <f t="shared" si="63"/>
        <v>3600</v>
      </c>
      <c r="BQ96">
        <f t="shared" si="65"/>
        <v>8.1886891244442008</v>
      </c>
      <c r="BR96">
        <f t="shared" si="66"/>
        <v>0</v>
      </c>
      <c r="BS96">
        <f t="shared" si="67"/>
        <v>1</v>
      </c>
      <c r="BU96">
        <f t="shared" si="68"/>
        <v>7.3999999999999897</v>
      </c>
      <c r="BV96">
        <f t="shared" si="64"/>
        <v>0.44293473244362802</v>
      </c>
    </row>
    <row r="97" spans="68:74" x14ac:dyDescent="0.25">
      <c r="BP97">
        <f t="shared" si="63"/>
        <v>3700</v>
      </c>
      <c r="BQ97">
        <f t="shared" si="65"/>
        <v>8.2160880986323157</v>
      </c>
      <c r="BR97">
        <f t="shared" si="66"/>
        <v>0</v>
      </c>
      <c r="BS97">
        <f t="shared" si="67"/>
        <v>1</v>
      </c>
      <c r="BU97">
        <v>7.49</v>
      </c>
      <c r="BV97">
        <f t="shared" si="64"/>
        <v>0.4174126997690355</v>
      </c>
    </row>
    <row r="98" spans="68:74" x14ac:dyDescent="0.25">
      <c r="BP98">
        <f t="shared" si="63"/>
        <v>3800</v>
      </c>
      <c r="BQ98">
        <f t="shared" si="65"/>
        <v>8.2427563457144775</v>
      </c>
      <c r="BR98">
        <f t="shared" si="66"/>
        <v>0</v>
      </c>
      <c r="BS98">
        <f t="shared" si="67"/>
        <v>1</v>
      </c>
    </row>
    <row r="99" spans="68:74" x14ac:dyDescent="0.25">
      <c r="BP99">
        <f t="shared" si="63"/>
        <v>3900</v>
      </c>
      <c r="BQ99">
        <f t="shared" si="65"/>
        <v>8.2687318321177372</v>
      </c>
      <c r="BR99">
        <f t="shared" si="66"/>
        <v>0</v>
      </c>
      <c r="BS99">
        <f t="shared" si="67"/>
        <v>1</v>
      </c>
    </row>
    <row r="100" spans="68:74" x14ac:dyDescent="0.25">
      <c r="BP100">
        <f t="shared" si="63"/>
        <v>4000</v>
      </c>
      <c r="BQ100">
        <f t="shared" si="65"/>
        <v>8.2940496401020276</v>
      </c>
      <c r="BR100">
        <f t="shared" si="66"/>
        <v>0</v>
      </c>
      <c r="BS100">
        <f t="shared" si="67"/>
        <v>1</v>
      </c>
    </row>
    <row r="101" spans="68:74" x14ac:dyDescent="0.25">
      <c r="BP101">
        <f t="shared" si="63"/>
        <v>4100</v>
      </c>
      <c r="BQ101">
        <f t="shared" si="65"/>
        <v>8.3187422526923989</v>
      </c>
      <c r="BR101">
        <f t="shared" si="66"/>
        <v>0</v>
      </c>
      <c r="BS101">
        <f t="shared" si="67"/>
        <v>1</v>
      </c>
    </row>
    <row r="102" spans="68:74" x14ac:dyDescent="0.25">
      <c r="BP102">
        <f t="shared" si="63"/>
        <v>4200</v>
      </c>
      <c r="BQ102">
        <f t="shared" si="65"/>
        <v>8.3428398042714598</v>
      </c>
      <c r="BR102">
        <f t="shared" si="66"/>
        <v>0</v>
      </c>
      <c r="BS102">
        <f t="shared" si="67"/>
        <v>1</v>
      </c>
    </row>
    <row r="103" spans="68:74" x14ac:dyDescent="0.25">
      <c r="BP103">
        <f t="shared" si="63"/>
        <v>4300</v>
      </c>
      <c r="BQ103">
        <f t="shared" si="65"/>
        <v>8.3663703016816537</v>
      </c>
      <c r="BR103">
        <f t="shared" si="66"/>
        <v>0</v>
      </c>
      <c r="BS103">
        <f t="shared" si="67"/>
        <v>1</v>
      </c>
    </row>
    <row r="104" spans="68:74" x14ac:dyDescent="0.25">
      <c r="BP104">
        <f t="shared" si="63"/>
        <v>4400</v>
      </c>
      <c r="BQ104">
        <f t="shared" si="65"/>
        <v>8.3893598199063533</v>
      </c>
      <c r="BR104">
        <f t="shared" si="66"/>
        <v>0</v>
      </c>
      <c r="BS104">
        <f t="shared" si="67"/>
        <v>1</v>
      </c>
    </row>
    <row r="105" spans="68:74" x14ac:dyDescent="0.25">
      <c r="BP105">
        <f t="shared" si="63"/>
        <v>4500</v>
      </c>
      <c r="BQ105">
        <f t="shared" si="65"/>
        <v>8.4118326757584114</v>
      </c>
      <c r="BR105">
        <f t="shared" si="66"/>
        <v>0</v>
      </c>
      <c r="BS105">
        <f t="shared" si="67"/>
        <v>1</v>
      </c>
    </row>
    <row r="106" spans="68:74" x14ac:dyDescent="0.25">
      <c r="BP106">
        <f t="shared" si="63"/>
        <v>4600</v>
      </c>
      <c r="BQ106">
        <f t="shared" si="65"/>
        <v>8.4338115824771869</v>
      </c>
      <c r="BR106">
        <f t="shared" si="66"/>
        <v>0</v>
      </c>
      <c r="BS106">
        <f t="shared" si="67"/>
        <v>1</v>
      </c>
    </row>
    <row r="107" spans="68:74" x14ac:dyDescent="0.25">
      <c r="BP107">
        <f t="shared" si="63"/>
        <v>4700</v>
      </c>
      <c r="BQ107">
        <f t="shared" si="65"/>
        <v>8.4553177876981493</v>
      </c>
      <c r="BR107">
        <f t="shared" si="66"/>
        <v>0</v>
      </c>
      <c r="BS107">
        <f t="shared" si="67"/>
        <v>1</v>
      </c>
    </row>
    <row r="108" spans="68:74" x14ac:dyDescent="0.25">
      <c r="BP108">
        <f t="shared" si="63"/>
        <v>4800</v>
      </c>
      <c r="BQ108">
        <f t="shared" si="65"/>
        <v>8.4763711968959825</v>
      </c>
      <c r="BR108">
        <f t="shared" si="66"/>
        <v>0</v>
      </c>
      <c r="BS108">
        <f t="shared" si="67"/>
        <v>1</v>
      </c>
    </row>
    <row r="109" spans="68:74" x14ac:dyDescent="0.25">
      <c r="BP109">
        <f t="shared" si="63"/>
        <v>4900</v>
      </c>
      <c r="BQ109">
        <f t="shared" si="65"/>
        <v>8.4969904840987187</v>
      </c>
      <c r="BR109">
        <f t="shared" si="66"/>
        <v>0</v>
      </c>
      <c r="BS109">
        <f t="shared" si="67"/>
        <v>1</v>
      </c>
    </row>
    <row r="110" spans="68:74" x14ac:dyDescent="0.25">
      <c r="BP110">
        <f t="shared" si="63"/>
        <v>5000</v>
      </c>
      <c r="BQ110">
        <f t="shared" si="65"/>
        <v>8.5171931914162382</v>
      </c>
      <c r="BR110">
        <f t="shared" si="66"/>
        <v>0</v>
      </c>
      <c r="BS110">
        <f t="shared" si="67"/>
        <v>1</v>
      </c>
    </row>
    <row r="111" spans="68:74" x14ac:dyDescent="0.25">
      <c r="BP111">
        <f t="shared" si="63"/>
        <v>5100</v>
      </c>
      <c r="BQ111">
        <f t="shared" si="65"/>
        <v>8.536995818712418</v>
      </c>
      <c r="BR111">
        <f t="shared" si="66"/>
        <v>0</v>
      </c>
      <c r="BS111">
        <f t="shared" si="67"/>
        <v>1</v>
      </c>
    </row>
    <row r="112" spans="68:74" x14ac:dyDescent="0.25">
      <c r="BP112">
        <f t="shared" si="63"/>
        <v>5200</v>
      </c>
      <c r="BQ112">
        <f t="shared" si="65"/>
        <v>8.5564139045695189</v>
      </c>
      <c r="BR112">
        <f t="shared" si="66"/>
        <v>0</v>
      </c>
      <c r="BS112">
        <f t="shared" si="67"/>
        <v>1</v>
      </c>
    </row>
    <row r="113" spans="68:71" x14ac:dyDescent="0.25">
      <c r="BP113">
        <f t="shared" si="63"/>
        <v>5300</v>
      </c>
      <c r="BQ113">
        <f t="shared" si="65"/>
        <v>8.5754620995402124</v>
      </c>
      <c r="BR113">
        <f t="shared" si="66"/>
        <v>0</v>
      </c>
      <c r="BS113">
        <f t="shared" si="67"/>
        <v>1</v>
      </c>
    </row>
    <row r="114" spans="68:71" x14ac:dyDescent="0.25">
      <c r="BP114">
        <f t="shared" si="63"/>
        <v>5400</v>
      </c>
      <c r="BQ114">
        <f t="shared" si="65"/>
        <v>8.5941542325523663</v>
      </c>
      <c r="BR114">
        <f t="shared" si="66"/>
        <v>0</v>
      </c>
      <c r="BS114">
        <f t="shared" si="67"/>
        <v>1</v>
      </c>
    </row>
    <row r="115" spans="68:71" x14ac:dyDescent="0.25">
      <c r="BP115">
        <f t="shared" si="63"/>
        <v>5500</v>
      </c>
      <c r="BQ115">
        <f t="shared" si="65"/>
        <v>8.6125033712205621</v>
      </c>
      <c r="BR115">
        <f t="shared" si="66"/>
        <v>0</v>
      </c>
      <c r="BS115">
        <f t="shared" si="67"/>
        <v>1</v>
      </c>
    </row>
    <row r="116" spans="68:71" x14ac:dyDescent="0.25">
      <c r="BP116">
        <f t="shared" si="63"/>
        <v>5600</v>
      </c>
      <c r="BQ116">
        <f t="shared" si="65"/>
        <v>8.6305218767232414</v>
      </c>
      <c r="BR116">
        <f t="shared" si="66"/>
        <v>0</v>
      </c>
      <c r="BS116">
        <f t="shared" si="67"/>
        <v>1</v>
      </c>
    </row>
    <row r="117" spans="68:71" x14ac:dyDescent="0.25">
      <c r="BP117">
        <f t="shared" si="63"/>
        <v>5700</v>
      </c>
      <c r="BQ117">
        <f t="shared" si="65"/>
        <v>8.6482214538226412</v>
      </c>
      <c r="BR117">
        <f t="shared" si="66"/>
        <v>0</v>
      </c>
      <c r="BS117">
        <f t="shared" si="67"/>
        <v>1</v>
      </c>
    </row>
    <row r="118" spans="68:71" x14ac:dyDescent="0.25">
      <c r="BP118">
        <f t="shared" si="63"/>
        <v>5800</v>
      </c>
      <c r="BQ118">
        <f t="shared" si="65"/>
        <v>8.66561319653451</v>
      </c>
      <c r="BR118">
        <f t="shared" si="66"/>
        <v>0</v>
      </c>
      <c r="BS118">
        <f t="shared" si="67"/>
        <v>1</v>
      </c>
    </row>
    <row r="119" spans="68:71" x14ac:dyDescent="0.25">
      <c r="BP119">
        <f t="shared" si="63"/>
        <v>5900</v>
      </c>
      <c r="BQ119">
        <f t="shared" si="65"/>
        <v>8.6827076298938106</v>
      </c>
      <c r="BR119">
        <f t="shared" si="66"/>
        <v>0</v>
      </c>
      <c r="BS119">
        <f t="shared" si="67"/>
        <v>1</v>
      </c>
    </row>
    <row r="120" spans="68:71" x14ac:dyDescent="0.25">
      <c r="BP120">
        <f t="shared" si="63"/>
        <v>6000</v>
      </c>
      <c r="BQ120">
        <f t="shared" si="65"/>
        <v>8.6995147482101913</v>
      </c>
      <c r="BR120">
        <f t="shared" si="66"/>
        <v>0</v>
      </c>
      <c r="BS120">
        <f t="shared" si="67"/>
        <v>1</v>
      </c>
    </row>
    <row r="121" spans="68:71" x14ac:dyDescent="0.25">
      <c r="BP121">
        <f t="shared" si="63"/>
        <v>6100</v>
      </c>
      <c r="BQ121">
        <f t="shared" si="65"/>
        <v>8.7160440501614023</v>
      </c>
      <c r="BR121">
        <f t="shared" si="66"/>
        <v>0</v>
      </c>
      <c r="BS121">
        <f t="shared" si="67"/>
        <v>1</v>
      </c>
    </row>
  </sheetData>
  <mergeCells count="8">
    <mergeCell ref="AY2:BD2"/>
    <mergeCell ref="AE1:AR1"/>
    <mergeCell ref="AF2:AK2"/>
    <mergeCell ref="C2:J2"/>
    <mergeCell ref="AM2:AR2"/>
    <mergeCell ref="AS2:AX2"/>
    <mergeCell ref="K2:P2"/>
    <mergeCell ref="Q2:V2"/>
  </mergeCells>
  <phoneticPr fontId="2" type="noConversion"/>
  <pageMargins left="0.7" right="0.7" top="0.75" bottom="0.75" header="0.3" footer="0.3"/>
  <pageSetup orientation="portrait" horizontalDpi="4294967293" verticalDpi="0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191B6-9A91-451E-AC43-2B71CA0018EA}">
  <dimension ref="A1:BV121"/>
  <sheetViews>
    <sheetView topLeftCell="AV4" workbookViewId="0">
      <selection activeCell="BM20" sqref="BM20"/>
    </sheetView>
  </sheetViews>
  <sheetFormatPr defaultRowHeight="15" x14ac:dyDescent="0.25"/>
  <cols>
    <col min="2" max="2" width="2.7109375" customWidth="1"/>
    <col min="3" max="3" width="9.140625" style="13"/>
    <col min="4" max="10" width="6.42578125" customWidth="1"/>
    <col min="11" max="11" width="6.42578125" style="13" customWidth="1"/>
    <col min="12" max="12" width="6.42578125" customWidth="1"/>
    <col min="16" max="16" width="6.140625" customWidth="1"/>
    <col min="17" max="17" width="6.42578125" style="13" customWidth="1"/>
    <col min="18" max="18" width="6.42578125" customWidth="1"/>
    <col min="22" max="22" width="6.140625" customWidth="1"/>
    <col min="23" max="23" width="9.28515625" style="13" customWidth="1"/>
    <col min="24" max="27" width="9.28515625" style="6" customWidth="1"/>
    <col min="28" max="28" width="9.28515625" style="2" customWidth="1"/>
    <col min="29" max="29" width="7.140625" style="2" customWidth="1"/>
    <col min="31" max="31" width="9.140625" style="13"/>
    <col min="32" max="38" width="6" customWidth="1"/>
    <col min="39" max="39" width="9.140625" style="13"/>
    <col min="45" max="45" width="9.140625" style="13"/>
    <col min="51" max="51" width="9.5703125" style="13" customWidth="1"/>
    <col min="52" max="52" width="9.5703125" style="6" customWidth="1"/>
    <col min="53" max="55" width="9.140625" style="6"/>
    <col min="56" max="56" width="9.140625" style="2"/>
  </cols>
  <sheetData>
    <row r="1" spans="1:66" x14ac:dyDescent="0.25">
      <c r="A1" s="1" t="s">
        <v>46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4"/>
      <c r="R1" s="24"/>
      <c r="S1" s="24"/>
      <c r="T1" s="24"/>
      <c r="U1" s="24"/>
      <c r="V1" s="24"/>
      <c r="W1" s="12"/>
      <c r="X1" s="11"/>
      <c r="Y1" s="11"/>
      <c r="Z1" s="11"/>
      <c r="AA1" s="11"/>
      <c r="AB1" s="7"/>
      <c r="AC1" s="16"/>
      <c r="AD1" s="17"/>
      <c r="AE1" s="39" t="s">
        <v>47</v>
      </c>
      <c r="AF1" s="39"/>
      <c r="AG1" s="39"/>
      <c r="AH1" s="39"/>
      <c r="AI1" s="39"/>
      <c r="AJ1" s="39"/>
      <c r="AK1" s="39"/>
      <c r="AL1" s="39"/>
      <c r="AM1" s="39"/>
      <c r="AN1" s="39"/>
      <c r="AO1" s="39"/>
      <c r="AP1" s="39"/>
      <c r="AQ1" s="39"/>
      <c r="AR1" s="39"/>
      <c r="AS1" s="27"/>
      <c r="AT1" s="27"/>
      <c r="AU1" s="27"/>
      <c r="AV1" s="27"/>
      <c r="AW1" s="27"/>
      <c r="AX1" s="27"/>
    </row>
    <row r="2" spans="1:66" x14ac:dyDescent="0.25">
      <c r="A2" s="1"/>
      <c r="B2" s="1"/>
      <c r="C2" s="40" t="s">
        <v>87</v>
      </c>
      <c r="D2" s="34"/>
      <c r="E2" s="34"/>
      <c r="F2" s="34"/>
      <c r="G2" s="34"/>
      <c r="H2" s="34"/>
      <c r="I2" s="34"/>
      <c r="J2" s="35"/>
      <c r="K2" s="40" t="s">
        <v>183</v>
      </c>
      <c r="L2" s="41"/>
      <c r="M2" s="41"/>
      <c r="N2" s="41"/>
      <c r="O2" s="41"/>
      <c r="P2" s="35"/>
      <c r="Q2" s="40" t="s">
        <v>182</v>
      </c>
      <c r="R2" s="41"/>
      <c r="S2" s="41"/>
      <c r="T2" s="41"/>
      <c r="U2" s="41"/>
      <c r="V2" s="35"/>
      <c r="W2" s="12" t="s">
        <v>141</v>
      </c>
      <c r="X2" s="11"/>
      <c r="Y2" s="11"/>
      <c r="Z2" s="11"/>
      <c r="AA2" s="11"/>
      <c r="AB2" s="7"/>
      <c r="AC2" s="7"/>
      <c r="AE2" s="18"/>
      <c r="AF2" s="34" t="s">
        <v>87</v>
      </c>
      <c r="AG2" s="34"/>
      <c r="AH2" s="34"/>
      <c r="AI2" s="34"/>
      <c r="AJ2" s="34"/>
      <c r="AK2" s="34"/>
      <c r="AL2" s="1"/>
      <c r="AM2" s="42" t="s">
        <v>180</v>
      </c>
      <c r="AN2" s="37"/>
      <c r="AO2" s="37"/>
      <c r="AP2" s="37"/>
      <c r="AQ2" s="37"/>
      <c r="AR2" s="38"/>
      <c r="AS2" s="42" t="s">
        <v>181</v>
      </c>
      <c r="AT2" s="37"/>
      <c r="AU2" s="37"/>
      <c r="AV2" s="37"/>
      <c r="AW2" s="37"/>
      <c r="AX2" s="38"/>
      <c r="AY2" s="40" t="s">
        <v>141</v>
      </c>
      <c r="AZ2" s="41"/>
      <c r="BA2" s="41"/>
      <c r="BB2" s="41"/>
      <c r="BC2" s="41"/>
      <c r="BD2" s="35"/>
    </row>
    <row r="3" spans="1:66" x14ac:dyDescent="0.25">
      <c r="A3" t="s">
        <v>0</v>
      </c>
      <c r="B3" t="s">
        <v>86</v>
      </c>
      <c r="C3" s="13" t="s">
        <v>40</v>
      </c>
      <c r="D3">
        <v>1</v>
      </c>
      <c r="E3">
        <v>2</v>
      </c>
      <c r="F3">
        <v>3</v>
      </c>
      <c r="G3">
        <v>4</v>
      </c>
      <c r="H3">
        <v>5</v>
      </c>
      <c r="I3">
        <v>6</v>
      </c>
      <c r="J3">
        <v>7</v>
      </c>
      <c r="K3" s="13" t="s">
        <v>39</v>
      </c>
      <c r="L3" t="s">
        <v>41</v>
      </c>
      <c r="M3" t="s">
        <v>42</v>
      </c>
      <c r="N3" t="s">
        <v>43</v>
      </c>
      <c r="O3" t="s">
        <v>44</v>
      </c>
      <c r="P3" t="s">
        <v>88</v>
      </c>
      <c r="Q3" s="13" t="s">
        <v>39</v>
      </c>
      <c r="R3" t="s">
        <v>41</v>
      </c>
      <c r="S3" t="s">
        <v>42</v>
      </c>
      <c r="T3" t="s">
        <v>43</v>
      </c>
      <c r="U3" t="s">
        <v>44</v>
      </c>
      <c r="V3" t="s">
        <v>88</v>
      </c>
      <c r="W3" s="13" t="s">
        <v>174</v>
      </c>
      <c r="X3" s="6" t="s">
        <v>175</v>
      </c>
      <c r="Y3" s="6" t="s">
        <v>146</v>
      </c>
      <c r="Z3" s="6" t="s">
        <v>176</v>
      </c>
      <c r="AA3" s="6" t="s">
        <v>177</v>
      </c>
      <c r="AB3" s="2" t="s">
        <v>178</v>
      </c>
      <c r="AC3" s="2" t="s">
        <v>89</v>
      </c>
      <c r="AE3" s="13" t="s">
        <v>40</v>
      </c>
      <c r="AF3">
        <v>1</v>
      </c>
      <c r="AG3">
        <v>2</v>
      </c>
      <c r="AH3">
        <v>3</v>
      </c>
      <c r="AI3">
        <v>4</v>
      </c>
      <c r="AJ3">
        <v>5</v>
      </c>
      <c r="AK3">
        <v>6</v>
      </c>
      <c r="AL3">
        <v>7</v>
      </c>
      <c r="AM3" s="13" t="s">
        <v>39</v>
      </c>
      <c r="AN3" t="s">
        <v>41</v>
      </c>
      <c r="AO3" t="s">
        <v>42</v>
      </c>
      <c r="AP3" t="s">
        <v>43</v>
      </c>
      <c r="AQ3" t="s">
        <v>44</v>
      </c>
      <c r="AR3" t="s">
        <v>45</v>
      </c>
      <c r="AS3" s="13" t="s">
        <v>39</v>
      </c>
      <c r="AT3" t="s">
        <v>41</v>
      </c>
      <c r="AU3" t="s">
        <v>42</v>
      </c>
      <c r="AV3" t="s">
        <v>43</v>
      </c>
      <c r="AW3" t="s">
        <v>44</v>
      </c>
      <c r="AX3" t="s">
        <v>45</v>
      </c>
      <c r="AY3" s="13" t="s">
        <v>174</v>
      </c>
      <c r="AZ3" s="3" t="s">
        <v>179</v>
      </c>
      <c r="BA3" s="6" t="s">
        <v>146</v>
      </c>
      <c r="BB3" s="6" t="s">
        <v>176</v>
      </c>
      <c r="BC3" s="6" t="s">
        <v>177</v>
      </c>
      <c r="BD3" s="2" t="s">
        <v>178</v>
      </c>
    </row>
    <row r="4" spans="1:66" s="10" customFormat="1" x14ac:dyDescent="0.25">
      <c r="A4" s="10" t="s">
        <v>85</v>
      </c>
      <c r="C4" s="14"/>
      <c r="D4" s="10">
        <v>1</v>
      </c>
      <c r="E4" s="10">
        <v>2</v>
      </c>
      <c r="F4" s="10">
        <v>3</v>
      </c>
      <c r="G4" s="10">
        <v>4</v>
      </c>
      <c r="H4" s="10">
        <v>5</v>
      </c>
      <c r="I4" s="10">
        <v>6</v>
      </c>
      <c r="J4" s="10">
        <v>7</v>
      </c>
      <c r="K4" s="14"/>
      <c r="Q4" s="14">
        <f>AVERAGE(AM5:AM30)</f>
        <v>1.1065079365079364</v>
      </c>
      <c r="R4" s="10">
        <f t="shared" ref="R4:V4" si="0">AVERAGE(AN5:AN30)</f>
        <v>0.21625000000000019</v>
      </c>
      <c r="S4" s="10">
        <f t="shared" si="0"/>
        <v>4.7733333333333371E-2</v>
      </c>
      <c r="T4" s="10">
        <f t="shared" si="0"/>
        <v>0.2019230769230769</v>
      </c>
      <c r="U4" s="10">
        <f t="shared" si="0"/>
        <v>7.987179487179491E-2</v>
      </c>
      <c r="V4" s="10">
        <f t="shared" si="0"/>
        <v>-0.14730769230769211</v>
      </c>
      <c r="W4" s="14">
        <v>1.549937284371472E-2</v>
      </c>
      <c r="X4" s="10">
        <v>0.273289404976995</v>
      </c>
      <c r="Y4" s="10">
        <v>0.35098024649675996</v>
      </c>
      <c r="Z4" s="10">
        <v>0.44318166395343112</v>
      </c>
      <c r="AA4" s="10">
        <v>0.50814439620859964</v>
      </c>
      <c r="AB4" s="15">
        <v>0.62739270684500381</v>
      </c>
      <c r="AC4" s="15"/>
      <c r="AE4" s="14">
        <f ca="1">SQRT(SUMSQ(AE5:AE1001)/COUNT(AE5:AE1001))</f>
        <v>3.6788870141257961</v>
      </c>
      <c r="AF4" s="10">
        <f t="shared" ref="AF4:BD4" ca="1" si="1">SQRT(SUMSQ(AF5:AF1001)/COUNT(AF5:AF1001))</f>
        <v>1.9564528341638323</v>
      </c>
      <c r="AG4" s="10">
        <f t="shared" ca="1" si="1"/>
        <v>2.379421996717173</v>
      </c>
      <c r="AH4" s="10">
        <f t="shared" ca="1" si="1"/>
        <v>2.8808694267262713</v>
      </c>
      <c r="AI4" s="10">
        <f t="shared" ca="1" si="1"/>
        <v>3.3022590809010066</v>
      </c>
      <c r="AJ4" s="10">
        <f t="shared" ca="1" si="1"/>
        <v>3.7045759046815343</v>
      </c>
      <c r="AK4" s="10">
        <f t="shared" ca="1" si="1"/>
        <v>3.992574169764211</v>
      </c>
      <c r="AL4" s="10">
        <f t="shared" ca="1" si="1"/>
        <v>4.1925030707118944</v>
      </c>
      <c r="AM4" s="14">
        <f t="shared" si="1"/>
        <v>2.9311753425697491</v>
      </c>
      <c r="AN4" s="10">
        <f t="shared" si="1"/>
        <v>2.2901397943745216</v>
      </c>
      <c r="AO4" s="10">
        <f t="shared" si="1"/>
        <v>2.1571446147370117</v>
      </c>
      <c r="AP4" s="10">
        <f t="shared" si="1"/>
        <v>2.0679128790192483</v>
      </c>
      <c r="AQ4" s="10">
        <f t="shared" si="1"/>
        <v>1.8575584793684163</v>
      </c>
      <c r="AR4" s="10">
        <f t="shared" si="1"/>
        <v>1.55326524006137</v>
      </c>
      <c r="AS4" s="14">
        <f t="shared" si="1"/>
        <v>2.8500158868952918</v>
      </c>
      <c r="AT4" s="10">
        <f t="shared" si="1"/>
        <v>2.3790334568971319</v>
      </c>
      <c r="AU4" s="10">
        <f t="shared" si="1"/>
        <v>2.2464754458957135</v>
      </c>
      <c r="AV4" s="10">
        <f t="shared" si="1"/>
        <v>2.1403520250442707</v>
      </c>
      <c r="AW4" s="10">
        <f t="shared" si="1"/>
        <v>1.9300741309885254</v>
      </c>
      <c r="AX4" s="10">
        <f t="shared" si="1"/>
        <v>1.6081148936289071</v>
      </c>
      <c r="AY4" s="14">
        <f t="shared" ca="1" si="1"/>
        <v>1.8944530897654939</v>
      </c>
      <c r="AZ4" s="10">
        <f t="shared" ca="1" si="1"/>
        <v>1.6817665972403486</v>
      </c>
      <c r="BA4" s="10">
        <f t="shared" ca="1" si="1"/>
        <v>1.6049928054812506</v>
      </c>
      <c r="BB4" s="10">
        <f t="shared" ca="1" si="1"/>
        <v>1.5891917070738593</v>
      </c>
      <c r="BC4" s="10">
        <f t="shared" ca="1" si="1"/>
        <v>1.4840927379644144</v>
      </c>
      <c r="BD4" s="15">
        <f t="shared" ca="1" si="1"/>
        <v>1.3818203912295837</v>
      </c>
    </row>
    <row r="5" spans="1:66" x14ac:dyDescent="0.25">
      <c r="A5" t="s">
        <v>7</v>
      </c>
      <c r="B5">
        <v>0</v>
      </c>
      <c r="C5" s="13">
        <f ca="1">'Historical Trends'!Q5</f>
        <v>11.899999999999864</v>
      </c>
      <c r="D5">
        <f ca="1">AVERAGE(OFFSET('Historical Trends'!$G$6,$B5,0,'Polling Correlations - GRN'!D$4,1))</f>
        <v>10.23</v>
      </c>
      <c r="E5">
        <f ca="1">AVERAGE(OFFSET('Historical Trends'!$G$6,$B5,0,'Polling Correlations - GRN'!E$4,1))</f>
        <v>9.4400000000000013</v>
      </c>
      <c r="F5">
        <f ca="1">AVERAGE(OFFSET('Historical Trends'!$G$6,$B5,0,'Polling Correlations - GRN'!F$4,1))</f>
        <v>10.213333333333333</v>
      </c>
      <c r="G5">
        <f ca="1">AVERAGE(OFFSET('Historical Trends'!$G$6,$B5,0,'Polling Correlations - GRN'!G$4,1))</f>
        <v>9.6074999999999999</v>
      </c>
      <c r="H5">
        <f ca="1">AVERAGE(OFFSET('Historical Trends'!$G$6,$B5,0,'Polling Correlations - GRN'!H$4,1))</f>
        <v>9.1239999999999988</v>
      </c>
      <c r="I5">
        <f ca="1">AVERAGE(OFFSET('Historical Trends'!$G$6,$B5,0,'Polling Correlations - GRN'!I$4,1))</f>
        <v>8.43</v>
      </c>
      <c r="J5">
        <f ca="1">AVERAGE(OFFSET('Historical Trends'!$G$6,$B5,0,'Polling Correlations - GRN'!J$4,1))</f>
        <v>7.6</v>
      </c>
      <c r="K5" s="13">
        <f>(10+10.9+9+9+10)/5</f>
        <v>9.7799999999999994</v>
      </c>
      <c r="L5">
        <f>(10+9+10+11+11)/5</f>
        <v>10.199999999999999</v>
      </c>
      <c r="M5">
        <f>(11+9+10+9+10)/5</f>
        <v>9.8000000000000007</v>
      </c>
      <c r="N5">
        <f>(10+9+10+9+10)/5</f>
        <v>9.6</v>
      </c>
      <c r="O5">
        <f>(9+11+9+10+10)/5</f>
        <v>9.8000000000000007</v>
      </c>
      <c r="P5">
        <f>(9+9+9.1+9+12)/5</f>
        <v>9.620000000000001</v>
      </c>
      <c r="Q5" s="30">
        <f>K5-AVERAGE(AM6:AM$30)</f>
        <v>8.5871666666666666</v>
      </c>
      <c r="R5" s="31">
        <f>L5-AVERAGE(AN6:AN$30)</f>
        <v>9.9656521739130426</v>
      </c>
      <c r="S5" s="31">
        <f>M5-AVERAGE(AO6:AO$30)</f>
        <v>9.7252777777777784</v>
      </c>
      <c r="T5" s="31">
        <f>N5-AVERAGE(AP6:AP$30)</f>
        <v>9.3580000000000005</v>
      </c>
      <c r="U5" s="31">
        <f>O5-AVERAGE(AQ6:AQ$30)</f>
        <v>9.6929333333333343</v>
      </c>
      <c r="V5" s="31">
        <f>P5-AVERAGE(AR6:AR$30)</f>
        <v>9.7420000000000009</v>
      </c>
      <c r="W5" s="13">
        <f ca="1">Q5*W$4+$D5*(1-W$4)</f>
        <v>10.204537113646584</v>
      </c>
      <c r="X5" s="6">
        <f t="shared" ref="X5:AB5" ca="1" si="2">R5*X$4+$D5*(1-X$4)</f>
        <v>10.157756539901733</v>
      </c>
      <c r="Y5" s="6">
        <f t="shared" ca="1" si="2"/>
        <v>10.052852470032054</v>
      </c>
      <c r="Z5" s="6">
        <f t="shared" ca="1" si="2"/>
        <v>9.8435455890326082</v>
      </c>
      <c r="AA5" s="6">
        <f t="shared" ca="1" si="2"/>
        <v>9.9570925829429022</v>
      </c>
      <c r="AB5" s="2">
        <f t="shared" ca="1" si="2"/>
        <v>9.923832359059638</v>
      </c>
      <c r="AC5" s="2">
        <f>'Historical Trends'!G5</f>
        <v>10.4</v>
      </c>
      <c r="AE5" s="13">
        <f t="shared" ref="AE5:AS5" ca="1" si="3">C5-$AC5</f>
        <v>1.4999999999998632</v>
      </c>
      <c r="AF5">
        <f t="shared" ca="1" si="3"/>
        <v>-0.16999999999999993</v>
      </c>
      <c r="AG5">
        <f t="shared" ca="1" si="3"/>
        <v>-0.95999999999999908</v>
      </c>
      <c r="AH5">
        <f t="shared" ca="1" si="3"/>
        <v>-0.18666666666666742</v>
      </c>
      <c r="AI5">
        <f t="shared" ca="1" si="3"/>
        <v>-0.79250000000000043</v>
      </c>
      <c r="AJ5">
        <f t="shared" ca="1" si="3"/>
        <v>-1.2760000000000016</v>
      </c>
      <c r="AK5">
        <f t="shared" ca="1" si="3"/>
        <v>-1.9700000000000006</v>
      </c>
      <c r="AL5">
        <f t="shared" ca="1" si="3"/>
        <v>-2.8000000000000007</v>
      </c>
      <c r="AM5" s="13">
        <f t="shared" si="3"/>
        <v>-0.62000000000000099</v>
      </c>
      <c r="AN5">
        <f t="shared" si="3"/>
        <v>-0.20000000000000107</v>
      </c>
      <c r="AO5">
        <f t="shared" si="3"/>
        <v>-0.59999999999999964</v>
      </c>
      <c r="AP5">
        <f t="shared" si="3"/>
        <v>-0.80000000000000071</v>
      </c>
      <c r="AQ5">
        <f t="shared" si="3"/>
        <v>-0.59999999999999964</v>
      </c>
      <c r="AR5">
        <f t="shared" si="3"/>
        <v>-0.77999999999999936</v>
      </c>
      <c r="AS5" s="30">
        <f t="shared" si="3"/>
        <v>-1.8128333333333337</v>
      </c>
      <c r="AT5">
        <f t="shared" ref="AT5:AX20" si="4">R5-$AC5</f>
        <v>-0.43434782608695777</v>
      </c>
      <c r="AU5">
        <f t="shared" si="4"/>
        <v>-0.674722222222222</v>
      </c>
      <c r="AV5">
        <f t="shared" si="4"/>
        <v>-1.0419999999999998</v>
      </c>
      <c r="AW5">
        <f t="shared" si="4"/>
        <v>-0.70706666666666607</v>
      </c>
      <c r="AX5">
        <f t="shared" si="4"/>
        <v>-0.65799999999999947</v>
      </c>
      <c r="AY5" s="13">
        <f t="shared" ref="AY5:BD9" ca="1" si="5">W5-$AC5</f>
        <v>-0.19546288635341647</v>
      </c>
      <c r="AZ5" s="6">
        <f t="shared" ca="1" si="5"/>
        <v>-0.24224346009826725</v>
      </c>
      <c r="BA5" s="6">
        <f t="shared" ca="1" si="5"/>
        <v>-0.34714752996794651</v>
      </c>
      <c r="BB5" s="6">
        <f t="shared" ca="1" si="5"/>
        <v>-0.55645441096739212</v>
      </c>
      <c r="BC5" s="6">
        <f t="shared" ca="1" si="5"/>
        <v>-0.44290741705709813</v>
      </c>
      <c r="BD5" s="2">
        <f t="shared" ca="1" si="5"/>
        <v>-0.47616764094036235</v>
      </c>
      <c r="BG5" t="str">
        <f>AS3</f>
        <v>2 years</v>
      </c>
      <c r="BH5" t="str">
        <f t="shared" ref="BH5:BK5" si="6">AT3</f>
        <v>1 year</v>
      </c>
      <c r="BI5" t="str">
        <f t="shared" si="6"/>
        <v>6 months</v>
      </c>
      <c r="BJ5" t="str">
        <f t="shared" si="6"/>
        <v>3 months</v>
      </c>
      <c r="BK5" t="str">
        <f t="shared" si="6"/>
        <v>1 month</v>
      </c>
      <c r="BL5" s="33" t="s">
        <v>187</v>
      </c>
      <c r="BM5" s="33" t="str">
        <f>AX3</f>
        <v>Pre-election</v>
      </c>
    </row>
    <row r="6" spans="1:66" x14ac:dyDescent="0.25">
      <c r="A6" t="s">
        <v>9</v>
      </c>
      <c r="B6">
        <f>B5+1</f>
        <v>1</v>
      </c>
      <c r="C6" s="13">
        <f ca="1">'Historical Trends'!Q6</f>
        <v>12.276666666666642</v>
      </c>
      <c r="D6">
        <f ca="1">AVERAGE(OFFSET('Historical Trends'!$G$6,$B6,0,'Polling Correlations - GRN'!D$4,1))</f>
        <v>8.65</v>
      </c>
      <c r="E6">
        <f ca="1">AVERAGE(OFFSET('Historical Trends'!$G$6,$B6,0,'Polling Correlations - GRN'!E$4,1))</f>
        <v>10.205</v>
      </c>
      <c r="F6">
        <f ca="1">AVERAGE(OFFSET('Historical Trends'!$G$6,$B6,0,'Polling Correlations - GRN'!F$4,1))</f>
        <v>9.4</v>
      </c>
      <c r="G6">
        <f ca="1">AVERAGE(OFFSET('Historical Trends'!$G$6,$B6,0,'Polling Correlations - GRN'!G$4,1))</f>
        <v>8.8475000000000001</v>
      </c>
      <c r="H6">
        <f ca="1">AVERAGE(OFFSET('Historical Trends'!$G$6,$B6,0,'Polling Correlations - GRN'!H$4,1))</f>
        <v>8.07</v>
      </c>
      <c r="I6">
        <f ca="1">AVERAGE(OFFSET('Historical Trends'!$G$6,$B6,0,'Polling Correlations - GRN'!I$4,1))</f>
        <v>7.1616666666666662</v>
      </c>
      <c r="J6">
        <f ca="1">AVERAGE(OFFSET('Historical Trends'!$G$6,$B6,0,'Polling Correlations - GRN'!J$4,1))</f>
        <v>6.555714285714286</v>
      </c>
      <c r="K6" s="13">
        <f>(13+10.3+13+10+12)/5</f>
        <v>11.66</v>
      </c>
      <c r="L6">
        <f>(13.1+14+13+12+11)/5</f>
        <v>12.620000000000001</v>
      </c>
      <c r="M6">
        <f>(12+11.2+11+10+11)/5</f>
        <v>11.040000000000001</v>
      </c>
      <c r="N6">
        <f>(10.5+12+12+12+10.1)/5</f>
        <v>11.32</v>
      </c>
      <c r="O6">
        <f>(9.6+11+9.9+11+11)/5</f>
        <v>10.5</v>
      </c>
      <c r="P6">
        <f>(10+10.7+10+9+10.5)/5</f>
        <v>10.040000000000001</v>
      </c>
      <c r="Q6" s="30">
        <f>K6-AVERAGE(AM5:AM$5,AM7:AM$30)</f>
        <v>10.569666666666667</v>
      </c>
      <c r="R6" s="31">
        <f>L6-AVERAGE(AN5:AN$5,AN7:AN$30)</f>
        <v>12.498260869565218</v>
      </c>
      <c r="S6" s="31">
        <f>M6-AVERAGE(AO5:AO$5,AO7:AO$30)</f>
        <v>11.024027777777778</v>
      </c>
      <c r="T6" s="31">
        <f>N6-AVERAGE(AP5:AP$5,AP7:AP$30)</f>
        <v>11.153600000000001</v>
      </c>
      <c r="U6" s="31">
        <f>O6-AVERAGE(AQ5:AQ$5,AQ7:AQ$30)</f>
        <v>10.427733333333332</v>
      </c>
      <c r="V6" s="31">
        <f>P6-AVERAGE(AR5:AR$5,AR7:AR$30)</f>
        <v>10.185600000000001</v>
      </c>
      <c r="W6" s="13">
        <f t="shared" ref="W6:W30" ca="1" si="7">Q6*W$4+$D6*(1-W$4)</f>
        <v>8.6797536294023168</v>
      </c>
      <c r="X6" s="6">
        <f t="shared" ref="X6:X30" ca="1" si="8">R6*X$4+$D6*(1-X$4)</f>
        <v>9.7016889232397325</v>
      </c>
      <c r="Y6" s="6">
        <f t="shared" ref="Y6:Y30" ca="1" si="9">S6*Y$4+$D6*(1-Y$4)</f>
        <v>9.4832368546346011</v>
      </c>
      <c r="Z6" s="6">
        <f t="shared" ref="Z6:Z30" ca="1" si="10">T6*Z$4+$D6*(1-Z$4)</f>
        <v>9.7595496138738103</v>
      </c>
      <c r="AA6" s="6">
        <f t="shared" ref="AA6:AA30" ca="1" si="11">U6*AA$4+$D6*(1-AA$4)</f>
        <v>9.553345231286567</v>
      </c>
      <c r="AB6" s="2">
        <f t="shared" ref="AB6:AB30" ca="1" si="12">V6*AB$4+$D6*(1-AB$4)</f>
        <v>9.6134242406311881</v>
      </c>
      <c r="AC6" s="2">
        <f>'Historical Trends'!G6</f>
        <v>10.23</v>
      </c>
      <c r="AE6" s="13">
        <f t="shared" ref="AE6:AR9" ca="1" si="13">C6-$AC6</f>
        <v>2.046666666666642</v>
      </c>
      <c r="AF6">
        <f t="shared" ca="1" si="13"/>
        <v>-1.58</v>
      </c>
      <c r="AG6">
        <f t="shared" ca="1" si="13"/>
        <v>-2.5000000000000355E-2</v>
      </c>
      <c r="AH6">
        <f t="shared" ca="1" si="13"/>
        <v>-0.83000000000000007</v>
      </c>
      <c r="AI6">
        <f t="shared" ca="1" si="13"/>
        <v>-1.3825000000000003</v>
      </c>
      <c r="AJ6">
        <f t="shared" ca="1" si="13"/>
        <v>-2.16</v>
      </c>
      <c r="AK6">
        <f t="shared" ca="1" si="13"/>
        <v>-3.0683333333333342</v>
      </c>
      <c r="AL6">
        <f t="shared" ca="1" si="13"/>
        <v>-3.6742857142857144</v>
      </c>
      <c r="AM6" s="13">
        <f t="shared" si="13"/>
        <v>1.4299999999999997</v>
      </c>
      <c r="AN6">
        <f t="shared" si="13"/>
        <v>2.3900000000000006</v>
      </c>
      <c r="AO6">
        <f t="shared" si="13"/>
        <v>0.8100000000000005</v>
      </c>
      <c r="AP6">
        <f t="shared" si="13"/>
        <v>1.0899999999999999</v>
      </c>
      <c r="AQ6">
        <f t="shared" si="13"/>
        <v>0.26999999999999957</v>
      </c>
      <c r="AR6">
        <f t="shared" si="13"/>
        <v>-0.1899999999999995</v>
      </c>
      <c r="AS6" s="30">
        <f t="shared" ref="AS6:AX30" si="14">Q6-$AC6</f>
        <v>0.33966666666666612</v>
      </c>
      <c r="AT6">
        <f t="shared" si="4"/>
        <v>2.2682608695652178</v>
      </c>
      <c r="AU6">
        <f t="shared" si="4"/>
        <v>0.794027777777778</v>
      </c>
      <c r="AV6">
        <f t="shared" si="4"/>
        <v>0.92360000000000042</v>
      </c>
      <c r="AW6">
        <f t="shared" si="4"/>
        <v>0.19773333333333198</v>
      </c>
      <c r="AX6">
        <f t="shared" si="4"/>
        <v>-4.4399999999999551E-2</v>
      </c>
      <c r="AY6" s="13">
        <f t="shared" ca="1" si="5"/>
        <v>-1.5502463705976837</v>
      </c>
      <c r="AZ6" s="6">
        <f t="shared" ca="1" si="5"/>
        <v>-0.52831107676026789</v>
      </c>
      <c r="BA6" s="6">
        <f t="shared" ca="1" si="5"/>
        <v>-0.74676314536539934</v>
      </c>
      <c r="BB6" s="6">
        <f t="shared" ca="1" si="5"/>
        <v>-0.47045038612619017</v>
      </c>
      <c r="BC6" s="6">
        <f t="shared" ca="1" si="5"/>
        <v>-0.67665476871343344</v>
      </c>
      <c r="BD6" s="2">
        <f t="shared" ca="1" si="5"/>
        <v>-0.61657575936881237</v>
      </c>
      <c r="BE6" t="s">
        <v>150</v>
      </c>
      <c r="BG6">
        <f>LN(730)</f>
        <v>6.5930445341424369</v>
      </c>
      <c r="BH6">
        <f>LN(365)</f>
        <v>5.8998973535824915</v>
      </c>
      <c r="BI6">
        <f>LN(182)</f>
        <v>5.2040066870767951</v>
      </c>
      <c r="BJ6">
        <f>LN(90)</f>
        <v>4.499809670330265</v>
      </c>
      <c r="BK6">
        <f>LN(30)</f>
        <v>3.4011973816621555</v>
      </c>
      <c r="BL6">
        <f t="shared" ref="BL6:BL11" si="15">AVERAGE(BK6,BM6)</f>
        <v>2.0471722811110502</v>
      </c>
      <c r="BM6">
        <f>LN(2)</f>
        <v>0.69314718055994529</v>
      </c>
    </row>
    <row r="7" spans="1:66" x14ac:dyDescent="0.25">
      <c r="A7" t="s">
        <v>10</v>
      </c>
      <c r="B7">
        <f>B6+1</f>
        <v>2</v>
      </c>
      <c r="C7" s="13">
        <f ca="1">'Historical Trends'!Q7</f>
        <v>12.667883720930149</v>
      </c>
      <c r="D7">
        <f ca="1">AVERAGE(OFFSET('Historical Trends'!$G$6,$B7,0,'Polling Correlations - GRN'!D$4,1))</f>
        <v>11.76</v>
      </c>
      <c r="E7">
        <f ca="1">AVERAGE(OFFSET('Historical Trends'!$G$6,$B7,0,'Polling Correlations - GRN'!E$4,1))</f>
        <v>9.7750000000000004</v>
      </c>
      <c r="F7">
        <f ca="1">AVERAGE(OFFSET('Historical Trends'!$G$6,$B7,0,'Polling Correlations - GRN'!F$4,1))</f>
        <v>8.913333333333334</v>
      </c>
      <c r="G7">
        <f ca="1">AVERAGE(OFFSET('Historical Trends'!$G$6,$B7,0,'Polling Correlations - GRN'!G$4,1))</f>
        <v>7.9250000000000007</v>
      </c>
      <c r="H7">
        <f ca="1">AVERAGE(OFFSET('Historical Trends'!$G$6,$B7,0,'Polling Correlations - GRN'!H$4,1))</f>
        <v>6.8639999999999999</v>
      </c>
      <c r="I7">
        <f ca="1">AVERAGE(OFFSET('Historical Trends'!$G$6,$B7,0,'Polling Correlations - GRN'!I$4,1))</f>
        <v>6.206666666666667</v>
      </c>
      <c r="J7">
        <f ca="1">AVERAGE(OFFSET('Historical Trends'!$G$6,$B7,0,'Polling Correlations - GRN'!J$4,1))</f>
        <v>5.5814285714285718</v>
      </c>
      <c r="K7" s="13">
        <f>(12+14+12+10+13)/5</f>
        <v>12.2</v>
      </c>
      <c r="L7">
        <f>(8+11+11+10+12)/5</f>
        <v>10.4</v>
      </c>
      <c r="M7">
        <f>(11+11+11+9+10)/5</f>
        <v>10.4</v>
      </c>
      <c r="N7">
        <f>(9+9+11+10+10)/5</f>
        <v>9.8000000000000007</v>
      </c>
      <c r="O7">
        <f>(10+8.2+9+9+10)/5</f>
        <v>9.24</v>
      </c>
      <c r="P7">
        <f>(10.2+11+9+10+9)/5</f>
        <v>9.84</v>
      </c>
      <c r="Q7" s="30">
        <f>K7-AVERAGE(AM$5:AM6,AM8:AM$30)</f>
        <v>11.215666666666666</v>
      </c>
      <c r="R7" s="31">
        <f>L7-AVERAGE(AN$5:AN6,AN8:AN$30)</f>
        <v>10.250434782608696</v>
      </c>
      <c r="S7" s="31">
        <f>M7-AVERAGE(AO$5:AO6,AO8:AO$30)</f>
        <v>10.423194444444444</v>
      </c>
      <c r="T7" s="31">
        <f>N7-AVERAGE(AP$5:AP6,AP8:AP$30)</f>
        <v>9.636000000000001</v>
      </c>
      <c r="U7" s="31">
        <f>O7-AVERAGE(AQ$5:AQ6,AQ8:AQ$30)</f>
        <v>9.180533333333333</v>
      </c>
      <c r="V7" s="31">
        <f>P7-AVERAGE(AR$5:AR6,AR8:AR$30)</f>
        <v>10.040799999999999</v>
      </c>
      <c r="W7" s="13">
        <f t="shared" ca="1" si="7"/>
        <v>11.751563174715404</v>
      </c>
      <c r="X7" s="6">
        <f t="shared" ca="1" si="8"/>
        <v>11.347451819965164</v>
      </c>
      <c r="Y7" s="6">
        <f t="shared" ca="1" si="9"/>
        <v>11.290807656592873</v>
      </c>
      <c r="Z7" s="6">
        <f t="shared" ca="1" si="10"/>
        <v>10.818682145762912</v>
      </c>
      <c r="AA7" s="6">
        <f t="shared" ca="1" si="11"/>
        <v>10.449258468126457</v>
      </c>
      <c r="AB7" s="2">
        <f t="shared" ca="1" si="12"/>
        <v>10.681386458392069</v>
      </c>
      <c r="AC7" s="2">
        <f>'Historical Trends'!G7</f>
        <v>8.65</v>
      </c>
      <c r="AE7" s="13">
        <f t="shared" ca="1" si="13"/>
        <v>4.0178837209301488</v>
      </c>
      <c r="AF7">
        <f t="shared" ca="1" si="13"/>
        <v>3.1099999999999994</v>
      </c>
      <c r="AG7">
        <f t="shared" ca="1" si="13"/>
        <v>1.125</v>
      </c>
      <c r="AH7">
        <f t="shared" ca="1" si="13"/>
        <v>0.26333333333333364</v>
      </c>
      <c r="AI7">
        <f t="shared" ca="1" si="13"/>
        <v>-0.72499999999999964</v>
      </c>
      <c r="AJ7">
        <f t="shared" ca="1" si="13"/>
        <v>-1.7860000000000005</v>
      </c>
      <c r="AK7">
        <f t="shared" ca="1" si="13"/>
        <v>-2.4433333333333334</v>
      </c>
      <c r="AL7">
        <f t="shared" ca="1" si="13"/>
        <v>-3.0685714285714285</v>
      </c>
      <c r="AM7" s="13">
        <f t="shared" si="13"/>
        <v>3.5499999999999989</v>
      </c>
      <c r="AN7">
        <f t="shared" si="13"/>
        <v>1.75</v>
      </c>
      <c r="AO7">
        <f t="shared" si="13"/>
        <v>1.75</v>
      </c>
      <c r="AP7">
        <f t="shared" si="13"/>
        <v>1.1500000000000004</v>
      </c>
      <c r="AQ7">
        <f t="shared" si="13"/>
        <v>0.58999999999999986</v>
      </c>
      <c r="AR7">
        <f t="shared" si="13"/>
        <v>1.1899999999999995</v>
      </c>
      <c r="AS7" s="30">
        <f t="shared" si="14"/>
        <v>2.5656666666666652</v>
      </c>
      <c r="AT7">
        <f t="shared" si="4"/>
        <v>1.600434782608696</v>
      </c>
      <c r="AU7">
        <f t="shared" si="4"/>
        <v>1.7731944444444441</v>
      </c>
      <c r="AV7">
        <f t="shared" si="4"/>
        <v>0.98600000000000065</v>
      </c>
      <c r="AW7">
        <f t="shared" si="4"/>
        <v>0.53053333333333264</v>
      </c>
      <c r="AX7">
        <f t="shared" si="4"/>
        <v>1.3907999999999987</v>
      </c>
      <c r="AY7" s="13">
        <f t="shared" ca="1" si="5"/>
        <v>3.1015631747154035</v>
      </c>
      <c r="AZ7" s="6">
        <f t="shared" ca="1" si="5"/>
        <v>2.6974518199651634</v>
      </c>
      <c r="BA7" s="6">
        <f t="shared" ca="1" si="5"/>
        <v>2.6408076565928731</v>
      </c>
      <c r="BB7" s="6">
        <f t="shared" ca="1" si="5"/>
        <v>2.1686821457629115</v>
      </c>
      <c r="BC7" s="6">
        <f t="shared" ca="1" si="5"/>
        <v>1.7992584681264567</v>
      </c>
      <c r="BD7" s="2">
        <f t="shared" ca="1" si="5"/>
        <v>2.0313864583920687</v>
      </c>
      <c r="BE7" t="s">
        <v>180</v>
      </c>
      <c r="BG7">
        <f>AM4</f>
        <v>2.9311753425697491</v>
      </c>
      <c r="BH7">
        <f>AN4</f>
        <v>2.2901397943745216</v>
      </c>
      <c r="BI7">
        <f>AO4</f>
        <v>2.1571446147370117</v>
      </c>
      <c r="BJ7">
        <f>AP4</f>
        <v>2.0679128790192483</v>
      </c>
      <c r="BK7">
        <f>AQ4</f>
        <v>1.8575584793684163</v>
      </c>
      <c r="BL7">
        <f t="shared" si="15"/>
        <v>1.7054118597148933</v>
      </c>
      <c r="BM7">
        <f>AR4</f>
        <v>1.55326524006137</v>
      </c>
    </row>
    <row r="8" spans="1:66" x14ac:dyDescent="0.25">
      <c r="A8" t="s">
        <v>11</v>
      </c>
      <c r="B8">
        <f>B7+1</f>
        <v>3</v>
      </c>
      <c r="C8" s="13">
        <f ca="1">'Historical Trends'!Q8</f>
        <v>9.3073794808404955</v>
      </c>
      <c r="D8">
        <f ca="1">AVERAGE(OFFSET('Historical Trends'!$G$6,$B8,0,'Polling Correlations - GRN'!D$4,1))</f>
        <v>7.79</v>
      </c>
      <c r="E8">
        <f ca="1">AVERAGE(OFFSET('Historical Trends'!$G$6,$B8,0,'Polling Correlations - GRN'!E$4,1))</f>
        <v>7.49</v>
      </c>
      <c r="F8">
        <f ca="1">AVERAGE(OFFSET('Historical Trends'!$G$6,$B8,0,'Polling Correlations - GRN'!F$4,1))</f>
        <v>6.6466666666666674</v>
      </c>
      <c r="G8">
        <f ca="1">AVERAGE(OFFSET('Historical Trends'!$G$6,$B8,0,'Polling Correlations - GRN'!G$4,1))</f>
        <v>5.6400000000000006</v>
      </c>
      <c r="H8">
        <f ca="1">AVERAGE(OFFSET('Historical Trends'!$G$6,$B8,0,'Polling Correlations - GRN'!H$4,1))</f>
        <v>5.096000000000001</v>
      </c>
      <c r="I8">
        <f ca="1">AVERAGE(OFFSET('Historical Trends'!$G$6,$B8,0,'Polling Correlations - GRN'!I$4,1))</f>
        <v>4.5516666666666667</v>
      </c>
      <c r="J8">
        <f ca="1">AVERAGE(OFFSET('Historical Trends'!$G$6,$B8,0,'Polling Correlations - GRN'!J$4,1))</f>
        <v>4.0971428571428579</v>
      </c>
      <c r="K8" s="13">
        <f>(9+9+10+10+11)/5</f>
        <v>9.8000000000000007</v>
      </c>
      <c r="L8">
        <f>(10+9+11+10+11)/5</f>
        <v>10.199999999999999</v>
      </c>
      <c r="M8">
        <f>(12+12+12+11+13)/5</f>
        <v>12</v>
      </c>
      <c r="N8">
        <f>(12+12+13+10+10)/5</f>
        <v>11.4</v>
      </c>
      <c r="O8">
        <f>(12+12+12+14+13)/5</f>
        <v>12.6</v>
      </c>
      <c r="P8">
        <f>(13+11.8+14+14+12)/5</f>
        <v>12.959999999999999</v>
      </c>
      <c r="Q8" s="30">
        <f>K8-AVERAGE(AM$5:AM7,AM9:AM$30)</f>
        <v>8.5401666666666678</v>
      </c>
      <c r="R8" s="31">
        <f>L8-AVERAGE(AN$5:AN7,AN9:AN$30)</f>
        <v>9.906521739130433</v>
      </c>
      <c r="S8" s="31">
        <f>M8-AVERAGE(AO$5:AO7,AO9:AO$30)</f>
        <v>11.960277777777778</v>
      </c>
      <c r="T8" s="31">
        <f>N8-AVERAGE(AP$5:AP7,AP9:AP$30)</f>
        <v>11.175600000000001</v>
      </c>
      <c r="U8" s="31">
        <f>O8-AVERAGE(AQ$5:AQ7,AQ9:AQ$30)</f>
        <v>12.550533333333332</v>
      </c>
      <c r="V8" s="31">
        <f>P8-AVERAGE(AR$5:AR7,AR9:AR$30)</f>
        <v>13.161199999999999</v>
      </c>
      <c r="W8" s="13">
        <f t="shared" ca="1" si="7"/>
        <v>7.8016271128615937</v>
      </c>
      <c r="X8" s="6">
        <f t="shared" ca="1" si="8"/>
        <v>8.3684229667078309</v>
      </c>
      <c r="Y8" s="6">
        <f t="shared" ca="1" si="9"/>
        <v>9.2536851224044057</v>
      </c>
      <c r="Z8" s="6">
        <f t="shared" ca="1" si="10"/>
        <v>9.2904358414807362</v>
      </c>
      <c r="AA8" s="6">
        <f t="shared" ca="1" si="11"/>
        <v>10.209038336297578</v>
      </c>
      <c r="AB8" s="2">
        <f t="shared" ca="1" si="12"/>
        <v>11.159851707005883</v>
      </c>
      <c r="AC8" s="2">
        <f>'Historical Trends'!G8</f>
        <v>11.76</v>
      </c>
      <c r="AE8" s="13">
        <f t="shared" ca="1" si="13"/>
        <v>-2.4526205191595043</v>
      </c>
      <c r="AF8">
        <f t="shared" ca="1" si="13"/>
        <v>-3.9699999999999998</v>
      </c>
      <c r="AG8">
        <f t="shared" ca="1" si="13"/>
        <v>-4.2699999999999996</v>
      </c>
      <c r="AH8">
        <f t="shared" ca="1" si="13"/>
        <v>-5.1133333333333324</v>
      </c>
      <c r="AI8">
        <f t="shared" ca="1" si="13"/>
        <v>-6.1199999999999992</v>
      </c>
      <c r="AJ8">
        <f t="shared" ca="1" si="13"/>
        <v>-6.6639999999999988</v>
      </c>
      <c r="AK8">
        <f t="shared" ca="1" si="13"/>
        <v>-7.208333333333333</v>
      </c>
      <c r="AL8">
        <f t="shared" ca="1" si="13"/>
        <v>-7.6628571428571419</v>
      </c>
      <c r="AM8" s="13">
        <f t="shared" si="13"/>
        <v>-1.9599999999999991</v>
      </c>
      <c r="AN8">
        <f t="shared" si="13"/>
        <v>-1.5600000000000005</v>
      </c>
      <c r="AO8">
        <f t="shared" si="13"/>
        <v>0.24000000000000021</v>
      </c>
      <c r="AP8">
        <f t="shared" si="13"/>
        <v>-0.35999999999999943</v>
      </c>
      <c r="AQ8">
        <f t="shared" si="13"/>
        <v>0.83999999999999986</v>
      </c>
      <c r="AR8">
        <f t="shared" si="13"/>
        <v>1.1999999999999993</v>
      </c>
      <c r="AS8" s="30">
        <f t="shared" si="14"/>
        <v>-3.219833333333332</v>
      </c>
      <c r="AT8">
        <f t="shared" si="4"/>
        <v>-1.8534782608695668</v>
      </c>
      <c r="AU8">
        <f t="shared" si="4"/>
        <v>0.200277777777778</v>
      </c>
      <c r="AV8">
        <f t="shared" si="4"/>
        <v>-0.5843999999999987</v>
      </c>
      <c r="AW8">
        <f t="shared" si="4"/>
        <v>0.79053333333333242</v>
      </c>
      <c r="AX8">
        <f t="shared" si="4"/>
        <v>1.4011999999999993</v>
      </c>
      <c r="AY8" s="13">
        <f t="shared" ca="1" si="5"/>
        <v>-3.9583728871384061</v>
      </c>
      <c r="AZ8" s="6">
        <f t="shared" ca="1" si="5"/>
        <v>-3.3915770332921689</v>
      </c>
      <c r="BA8" s="6">
        <f t="shared" ca="1" si="5"/>
        <v>-2.5063148775955941</v>
      </c>
      <c r="BB8" s="6">
        <f t="shared" ca="1" si="5"/>
        <v>-2.4695641585192636</v>
      </c>
      <c r="BC8" s="6">
        <f t="shared" ca="1" si="5"/>
        <v>-1.5509616637024219</v>
      </c>
      <c r="BD8" s="2">
        <f t="shared" ca="1" si="5"/>
        <v>-0.60014829299411687</v>
      </c>
      <c r="BE8" t="s">
        <v>184</v>
      </c>
      <c r="BG8">
        <f ca="1">AY4</f>
        <v>1.8944530897654939</v>
      </c>
      <c r="BH8">
        <f ca="1">AZ4</f>
        <v>1.6817665972403486</v>
      </c>
      <c r="BI8">
        <f ca="1">BA4</f>
        <v>1.6049928054812506</v>
      </c>
      <c r="BJ8">
        <f ca="1">BB4</f>
        <v>1.5891917070738593</v>
      </c>
      <c r="BK8">
        <f ca="1">BC4</f>
        <v>1.4840927379644144</v>
      </c>
      <c r="BL8">
        <f t="shared" ca="1" si="15"/>
        <v>1.432956564596999</v>
      </c>
      <c r="BM8">
        <f ca="1">BD4</f>
        <v>1.3818203912295837</v>
      </c>
    </row>
    <row r="9" spans="1:66" x14ac:dyDescent="0.25">
      <c r="A9" t="s">
        <v>12</v>
      </c>
      <c r="B9">
        <f>B8+1</f>
        <v>4</v>
      </c>
      <c r="C9" s="13">
        <f ca="1">'Historical Trends'!Q9</f>
        <v>7.4937878787878844</v>
      </c>
      <c r="D9">
        <f ca="1">AVERAGE(OFFSET('Historical Trends'!$G$6,$B9,0,'Polling Correlations - GRN'!D$4,1))</f>
        <v>7.19</v>
      </c>
      <c r="E9">
        <f ca="1">AVERAGE(OFFSET('Historical Trends'!$G$6,$B9,0,'Polling Correlations - GRN'!E$4,1))</f>
        <v>6.0750000000000002</v>
      </c>
      <c r="F9">
        <f ca="1">AVERAGE(OFFSET('Historical Trends'!$G$6,$B9,0,'Polling Correlations - GRN'!F$4,1))</f>
        <v>4.9233333333333329</v>
      </c>
      <c r="G9">
        <f ca="1">AVERAGE(OFFSET('Historical Trends'!$G$6,$B9,0,'Polling Correlations - GRN'!G$4,1))</f>
        <v>4.4224999999999994</v>
      </c>
      <c r="H9">
        <f ca="1">AVERAGE(OFFSET('Historical Trends'!$G$6,$B9,0,'Polling Correlations - GRN'!H$4,1))</f>
        <v>3.903999999999999</v>
      </c>
      <c r="I9">
        <f ca="1">AVERAGE(OFFSET('Historical Trends'!$G$6,$B9,0,'Polling Correlations - GRN'!I$4,1))</f>
        <v>3.481666666666666</v>
      </c>
      <c r="J9">
        <f ca="1">AVERAGE(OFFSET('Historical Trends'!$G$6,$B9,0,'Polling Correlations - GRN'!J$4,1))</f>
        <v>3.481666666666666</v>
      </c>
      <c r="K9" s="13">
        <f>(7+8+9+7+8)/5</f>
        <v>7.8</v>
      </c>
      <c r="L9">
        <f>AVERAGE(9+7+6+6+6)/5</f>
        <v>6.8</v>
      </c>
      <c r="M9">
        <f>(5+3+9+4+5)/5</f>
        <v>5.2</v>
      </c>
      <c r="N9">
        <f>(5+4+10+4+4)/5</f>
        <v>5.4</v>
      </c>
      <c r="O9">
        <f>(5+8+4+5+9)/5</f>
        <v>6.2</v>
      </c>
      <c r="P9">
        <f>(7+7+6+5+9)/5</f>
        <v>6.8</v>
      </c>
      <c r="Q9" s="30">
        <f>K9-AVERAGE(AM$5:AM8,AM10:AM$30)</f>
        <v>6.6386666666666674</v>
      </c>
      <c r="R9" s="31">
        <f>L9-AVERAGE(AN$5:AN8,AN10:AN$30)</f>
        <v>6.5313043478260866</v>
      </c>
      <c r="S9" s="31">
        <f>M9-AVERAGE(AO$5:AO8,AO10:AO$30)</f>
        <v>5.0423611111111111</v>
      </c>
      <c r="T9" s="31">
        <f>N9-AVERAGE(AP$5:AP8,AP10:AP$30)</f>
        <v>5.0944000000000003</v>
      </c>
      <c r="U9" s="31">
        <f>O9-AVERAGE(AQ$5:AQ8,AQ10:AQ$30)</f>
        <v>6.0533333333333337</v>
      </c>
      <c r="V9" s="31">
        <f>P9-AVERAGE(AR$5:AR8,AR10:AR$30)</f>
        <v>6.9135999999999997</v>
      </c>
      <c r="W9" s="13">
        <f t="shared" ca="1" si="7"/>
        <v>7.1814546791054994</v>
      </c>
      <c r="X9" s="6">
        <f t="shared" ca="1" si="8"/>
        <v>7.0099854571564579</v>
      </c>
      <c r="Y9" s="6">
        <f t="shared" ca="1" si="9"/>
        <v>6.4362211733917496</v>
      </c>
      <c r="Z9" s="6">
        <f t="shared" ca="1" si="10"/>
        <v>6.2612685050191903</v>
      </c>
      <c r="AA9" s="6">
        <f t="shared" ca="1" si="11"/>
        <v>6.6124092029762256</v>
      </c>
      <c r="AB9" s="2">
        <f t="shared" ca="1" si="12"/>
        <v>7.0165886558280404</v>
      </c>
      <c r="AC9" s="2">
        <f>'Historical Trends'!G9</f>
        <v>7.79</v>
      </c>
      <c r="AE9" s="13">
        <f t="shared" ca="1" si="13"/>
        <v>-0.2962121212121156</v>
      </c>
      <c r="AF9">
        <f t="shared" ca="1" si="13"/>
        <v>-0.59999999999999964</v>
      </c>
      <c r="AG9">
        <f t="shared" ca="1" si="13"/>
        <v>-1.7149999999999999</v>
      </c>
      <c r="AH9">
        <f t="shared" ca="1" si="13"/>
        <v>-2.8666666666666671</v>
      </c>
      <c r="AI9">
        <f t="shared" ca="1" si="13"/>
        <v>-3.3675000000000006</v>
      </c>
      <c r="AJ9">
        <f t="shared" ca="1" si="13"/>
        <v>-3.886000000000001</v>
      </c>
      <c r="AK9">
        <f t="shared" ca="1" si="13"/>
        <v>-4.3083333333333336</v>
      </c>
      <c r="AL9">
        <f t="shared" ca="1" si="13"/>
        <v>-4.3083333333333336</v>
      </c>
      <c r="AM9" s="13">
        <f t="shared" si="13"/>
        <v>9.9999999999997868E-3</v>
      </c>
      <c r="AN9">
        <f t="shared" si="13"/>
        <v>-0.99000000000000021</v>
      </c>
      <c r="AO9">
        <f t="shared" si="13"/>
        <v>-2.59</v>
      </c>
      <c r="AP9">
        <f t="shared" si="13"/>
        <v>-2.3899999999999997</v>
      </c>
      <c r="AQ9">
        <f t="shared" si="13"/>
        <v>-1.5899999999999999</v>
      </c>
      <c r="AR9">
        <f t="shared" si="13"/>
        <v>-0.99000000000000021</v>
      </c>
      <c r="AS9" s="30">
        <f t="shared" si="14"/>
        <v>-1.1513333333333327</v>
      </c>
      <c r="AT9">
        <f t="shared" si="4"/>
        <v>-1.2586956521739134</v>
      </c>
      <c r="AU9">
        <f t="shared" si="4"/>
        <v>-2.747638888888889</v>
      </c>
      <c r="AV9">
        <f t="shared" si="4"/>
        <v>-2.6955999999999998</v>
      </c>
      <c r="AW9">
        <f t="shared" si="4"/>
        <v>-1.7366666666666664</v>
      </c>
      <c r="AX9">
        <f t="shared" si="4"/>
        <v>-0.87640000000000029</v>
      </c>
      <c r="AY9" s="13">
        <f t="shared" ca="1" si="5"/>
        <v>-0.60854532089450064</v>
      </c>
      <c r="AZ9" s="6">
        <f t="shared" ca="1" si="5"/>
        <v>-0.7800145428435421</v>
      </c>
      <c r="BA9" s="6">
        <f t="shared" ca="1" si="5"/>
        <v>-1.3537788266082504</v>
      </c>
      <c r="BB9" s="6">
        <f t="shared" ca="1" si="5"/>
        <v>-1.5287314949808097</v>
      </c>
      <c r="BC9" s="6">
        <f t="shared" ca="1" si="5"/>
        <v>-1.1775907970237744</v>
      </c>
      <c r="BD9" s="2">
        <f t="shared" ca="1" si="5"/>
        <v>-0.77341134417195967</v>
      </c>
      <c r="BE9" t="s">
        <v>185</v>
      </c>
      <c r="BG9">
        <f t="shared" ref="BG9:BM9" ca="1" si="16">$AK$4</f>
        <v>3.992574169764211</v>
      </c>
      <c r="BH9">
        <f t="shared" ca="1" si="16"/>
        <v>3.992574169764211</v>
      </c>
      <c r="BI9">
        <f t="shared" ca="1" si="16"/>
        <v>3.992574169764211</v>
      </c>
      <c r="BJ9">
        <f t="shared" ca="1" si="16"/>
        <v>3.992574169764211</v>
      </c>
      <c r="BK9">
        <f t="shared" ca="1" si="16"/>
        <v>3.992574169764211</v>
      </c>
      <c r="BL9">
        <f t="shared" ca="1" si="15"/>
        <v>3.992574169764211</v>
      </c>
      <c r="BM9">
        <f t="shared" ca="1" si="16"/>
        <v>3.992574169764211</v>
      </c>
    </row>
    <row r="10" spans="1:66" x14ac:dyDescent="0.25">
      <c r="A10" t="s">
        <v>14</v>
      </c>
      <c r="B10">
        <f>B9+1</f>
        <v>5</v>
      </c>
      <c r="C10" s="13">
        <f ca="1">'Historical Trends'!Q10</f>
        <v>5.2427868852460051</v>
      </c>
      <c r="D10">
        <f ca="1">AVERAGE(OFFSET('Historical Trends'!$G$6,$B10,0,'Polling Correlations - GRN'!D$4,1))</f>
        <v>4.96</v>
      </c>
      <c r="E10">
        <f ca="1">AVERAGE(OFFSET('Historical Trends'!$G$6,$B10,0,'Polling Correlations - GRN'!E$4,1))</f>
        <v>3.79</v>
      </c>
      <c r="F10">
        <f ca="1">AVERAGE(OFFSET('Historical Trends'!$G$6,$B10,0,'Polling Correlations - GRN'!F$4,1))</f>
        <v>3.5</v>
      </c>
      <c r="G10">
        <f ca="1">AVERAGE(OFFSET('Historical Trends'!$G$6,$B10,0,'Polling Correlations - GRN'!G$4,1))</f>
        <v>3.0825</v>
      </c>
      <c r="H10">
        <f ca="1">AVERAGE(OFFSET('Historical Trends'!$G$6,$B10,0,'Polling Correlations - GRN'!H$4,1))</f>
        <v>2.7399999999999998</v>
      </c>
      <c r="I10">
        <f ca="1">AVERAGE(OFFSET('Historical Trends'!$G$6,$B10,0,'Polling Correlations - GRN'!I$4,1))</f>
        <v>2.7399999999999998</v>
      </c>
      <c r="J10">
        <f ca="1">AVERAGE(OFFSET('Historical Trends'!$G$6,$B10,0,'Polling Correlations - GRN'!J$4,1))</f>
        <v>2.7399999999999998</v>
      </c>
      <c r="M10">
        <f>(5+5+6)/3</f>
        <v>5.333333333333333</v>
      </c>
      <c r="N10">
        <f>(9+6+6)/3</f>
        <v>7</v>
      </c>
      <c r="O10">
        <f>(7+7+7)/3</f>
        <v>7</v>
      </c>
      <c r="P10">
        <f>(6+7+7)/3</f>
        <v>6.666666666666667</v>
      </c>
      <c r="Q10" s="30"/>
      <c r="R10" s="31"/>
      <c r="S10" s="31">
        <f>M10-AVERAGE(AO$5:AO9,AO11:AO$30)</f>
        <v>5.2062499999999998</v>
      </c>
      <c r="T10" s="31">
        <f>N10-AVERAGE(AP$5:AP9,AP11:AP$30)</f>
        <v>6.7824</v>
      </c>
      <c r="U10" s="31">
        <f>O10-AVERAGE(AQ$5:AQ9,AQ11:AQ$30)</f>
        <v>6.9093333333333335</v>
      </c>
      <c r="V10" s="31">
        <f>P10-AVERAGE(AR$5:AR9,AR11:AR$30)</f>
        <v>6.7989333333333333</v>
      </c>
      <c r="W10" s="13">
        <f t="shared" ca="1" si="7"/>
        <v>4.8831231106951751</v>
      </c>
      <c r="X10" s="6">
        <f t="shared" ca="1" si="8"/>
        <v>3.6044845513141053</v>
      </c>
      <c r="Y10" s="6">
        <f t="shared" ca="1" si="9"/>
        <v>5.0464288856998269</v>
      </c>
      <c r="Z10" s="6">
        <f t="shared" ca="1" si="10"/>
        <v>5.7676542643887325</v>
      </c>
      <c r="AA10" s="6">
        <f t="shared" ca="1" si="11"/>
        <v>5.9505428096759641</v>
      </c>
      <c r="AB10" s="2">
        <f t="shared" ca="1" si="12"/>
        <v>6.1137333617075056</v>
      </c>
      <c r="AC10" s="2">
        <f>'Historical Trends'!G10</f>
        <v>7.19</v>
      </c>
      <c r="AE10" s="13">
        <f t="shared" ref="AE10:AE29" ca="1" si="17">C10-$AC10</f>
        <v>-1.9472131147539953</v>
      </c>
      <c r="AF10">
        <f t="shared" ref="AF10:AF29" ca="1" si="18">D10-$AC10</f>
        <v>-2.2300000000000004</v>
      </c>
      <c r="AG10">
        <f t="shared" ref="AG10:AG29" ca="1" si="19">E10-$AC10</f>
        <v>-3.4000000000000004</v>
      </c>
      <c r="AH10">
        <f t="shared" ref="AH10:AH29" ca="1" si="20">F10-$AC10</f>
        <v>-3.6900000000000004</v>
      </c>
      <c r="AI10">
        <f t="shared" ref="AI10:AI29" ca="1" si="21">G10-$AC10</f>
        <v>-4.1074999999999999</v>
      </c>
      <c r="AJ10">
        <f t="shared" ref="AJ10:AJ29" ca="1" si="22">H10-$AC10</f>
        <v>-4.4500000000000011</v>
      </c>
      <c r="AK10">
        <f t="shared" ref="AK10:AK29" ca="1" si="23">I10-$AC10</f>
        <v>-4.4500000000000011</v>
      </c>
      <c r="AL10">
        <f t="shared" ref="AL10:AL29" ca="1" si="24">J10-$AC10</f>
        <v>-4.4500000000000011</v>
      </c>
      <c r="AO10">
        <f t="shared" ref="AO10:AO29" si="25">M10-$AC10</f>
        <v>-1.8566666666666674</v>
      </c>
      <c r="AP10">
        <f t="shared" ref="AP10:AP29" si="26">N10-$AC10</f>
        <v>-0.19000000000000039</v>
      </c>
      <c r="AQ10">
        <f t="shared" ref="AQ10:AQ29" si="27">O10-$AC10</f>
        <v>-0.19000000000000039</v>
      </c>
      <c r="AR10">
        <f t="shared" ref="AR10:AR29" si="28">P10-$AC10</f>
        <v>-0.52333333333333343</v>
      </c>
      <c r="AS10" s="30"/>
      <c r="AU10">
        <f t="shared" si="4"/>
        <v>-1.9837500000000006</v>
      </c>
      <c r="AV10">
        <f t="shared" si="4"/>
        <v>-0.40760000000000041</v>
      </c>
      <c r="AW10">
        <f t="shared" si="4"/>
        <v>-0.28066666666666684</v>
      </c>
      <c r="AX10">
        <f t="shared" si="4"/>
        <v>-0.39106666666666712</v>
      </c>
      <c r="BA10" s="6">
        <f t="shared" ref="BA10:BA29" ca="1" si="29">Y10-$AC10</f>
        <v>-2.1435711143001734</v>
      </c>
      <c r="BB10" s="6">
        <f t="shared" ref="BB10:BB29" ca="1" si="30">Z10-$AC10</f>
        <v>-1.4223457356112679</v>
      </c>
      <c r="BC10" s="6">
        <f t="shared" ref="BC10:BC29" ca="1" si="31">AA10-$AC10</f>
        <v>-1.2394571903240363</v>
      </c>
      <c r="BD10" s="2">
        <f t="shared" ref="BD10:BD29" ca="1" si="32">AB10-$AC10</f>
        <v>-1.0762666382924948</v>
      </c>
      <c r="BE10" t="s">
        <v>153</v>
      </c>
      <c r="BG10">
        <f>W4</f>
        <v>1.549937284371472E-2</v>
      </c>
      <c r="BH10">
        <f>X4</f>
        <v>0.273289404976995</v>
      </c>
      <c r="BI10">
        <f>Y4</f>
        <v>0.35098024649675996</v>
      </c>
      <c r="BJ10">
        <f>Z4</f>
        <v>0.44318166395343112</v>
      </c>
      <c r="BK10">
        <f>AA4</f>
        <v>0.50814439620859964</v>
      </c>
      <c r="BL10">
        <f t="shared" si="15"/>
        <v>0.56776855152680172</v>
      </c>
      <c r="BM10">
        <f>AB4</f>
        <v>0.62739270684500381</v>
      </c>
    </row>
    <row r="11" spans="1:66" x14ac:dyDescent="0.25">
      <c r="A11" t="s">
        <v>49</v>
      </c>
      <c r="B11">
        <v>0</v>
      </c>
      <c r="C11" s="13">
        <f ca="1">'Historical Trends'!Q27</f>
        <v>9.9122496909765232</v>
      </c>
      <c r="D11">
        <f ca="1">AVERAGE(OFFSET('Historical Trends'!$G$28,$B5,0,'Polling Correlations - GRN'!D$4,1))</f>
        <v>8.43</v>
      </c>
      <c r="E11">
        <f ca="1">AVERAGE(OFFSET('Historical Trends'!$G$28,$B5,0,'Polling Correlations - GRN'!E$4,1))</f>
        <v>7.98</v>
      </c>
      <c r="F11">
        <f ca="1">AVERAGE(OFFSET('Historical Trends'!$G$28,$B5,0,'Polling Correlations - GRN'!F$4,1))</f>
        <v>8.11</v>
      </c>
      <c r="G11">
        <f ca="1">AVERAGE(OFFSET('Historical Trends'!$G$28,$B5,0,'Polling Correlations - GRN'!G$4,1))</f>
        <v>8.08</v>
      </c>
      <c r="H11">
        <f ca="1">AVERAGE(OFFSET('Historical Trends'!$G$28,$B5,0,'Polling Correlations - GRN'!H$4,1))</f>
        <v>7.8159999999999998</v>
      </c>
      <c r="I11">
        <f ca="1">AVERAGE(OFFSET('Historical Trends'!$G$28,$B5,0,'Polling Correlations - GRN'!I$4,1))</f>
        <v>6.9316666666666658</v>
      </c>
      <c r="J11">
        <f ca="1">AVERAGE(OFFSET('Historical Trends'!$G$28,$B5,0,'Polling Correlations - GRN'!J$4,1))</f>
        <v>6.2785714285714276</v>
      </c>
      <c r="K11" s="13">
        <f>(9+9+8+8+9)/5</f>
        <v>8.6</v>
      </c>
      <c r="L11">
        <f>(10+8+9+8+9)/5</f>
        <v>8.8000000000000007</v>
      </c>
      <c r="M11">
        <f>(9+7+10+7+8)/5</f>
        <v>8.1999999999999993</v>
      </c>
      <c r="N11">
        <f>(8+8+7+12+9.4)/5</f>
        <v>8.879999999999999</v>
      </c>
      <c r="O11">
        <f>(10+8+8.1+10+8)/5</f>
        <v>8.82</v>
      </c>
      <c r="P11">
        <f>(9+10+10+9+10)/5</f>
        <v>9.6</v>
      </c>
      <c r="Q11" s="30">
        <f>K11-AVERAGE(AM$5:AM10,AM12:AM$30)</f>
        <v>7.3681666666666663</v>
      </c>
      <c r="R11" s="31">
        <f>L11-AVERAGE(AN$5:AN10,AN12:AN$30)</f>
        <v>8.5221739130434795</v>
      </c>
      <c r="S11" s="31">
        <f>M11-AVERAGE(AO$5:AO10,AO12:AO$30)</f>
        <v>8.0752777777777762</v>
      </c>
      <c r="T11" s="31">
        <f>N11-AVERAGE(AP$5:AP10,AP12:AP$30)</f>
        <v>8.6251999999999995</v>
      </c>
      <c r="U11" s="31">
        <f>O11-AVERAGE(AQ$5:AQ10,AQ12:AQ$30)</f>
        <v>8.6897333333333329</v>
      </c>
      <c r="V11" s="31">
        <f>P11-AVERAGE(AR$5:AR10,AR12:AR$30)</f>
        <v>9.7371999999999996</v>
      </c>
      <c r="W11" s="13">
        <f t="shared" ca="1" si="7"/>
        <v>8.413542249268783</v>
      </c>
      <c r="X11" s="6">
        <f t="shared" ca="1" si="8"/>
        <v>8.4551901538500545</v>
      </c>
      <c r="Y11" s="6">
        <f t="shared" ca="1" si="9"/>
        <v>8.3054995070065658</v>
      </c>
      <c r="Z11" s="6">
        <f t="shared" ca="1" si="10"/>
        <v>8.516509060803708</v>
      </c>
      <c r="AA11" s="6">
        <f t="shared" ca="1" si="11"/>
        <v>8.5619820378419131</v>
      </c>
      <c r="AB11" s="2">
        <f t="shared" ca="1" si="12"/>
        <v>9.250127746387788</v>
      </c>
      <c r="AC11" s="2">
        <f>'Historical Trends'!G27</f>
        <v>10</v>
      </c>
      <c r="AE11" s="13">
        <f t="shared" ca="1" si="17"/>
        <v>-8.7750309023476802E-2</v>
      </c>
      <c r="AF11">
        <f t="shared" ca="1" si="18"/>
        <v>-1.5700000000000003</v>
      </c>
      <c r="AG11">
        <f t="shared" ca="1" si="19"/>
        <v>-2.0199999999999996</v>
      </c>
      <c r="AH11">
        <f t="shared" ca="1" si="20"/>
        <v>-1.8900000000000006</v>
      </c>
      <c r="AI11">
        <f t="shared" ca="1" si="21"/>
        <v>-1.92</v>
      </c>
      <c r="AJ11">
        <f t="shared" ca="1" si="22"/>
        <v>-2.1840000000000002</v>
      </c>
      <c r="AK11">
        <f t="shared" ca="1" si="23"/>
        <v>-3.0683333333333342</v>
      </c>
      <c r="AL11">
        <f t="shared" ca="1" si="24"/>
        <v>-3.7214285714285724</v>
      </c>
      <c r="AM11" s="13">
        <f t="shared" ref="AM11:AN14" si="33">K11-$AC11</f>
        <v>-1.4000000000000004</v>
      </c>
      <c r="AN11">
        <f t="shared" si="33"/>
        <v>-1.1999999999999993</v>
      </c>
      <c r="AO11">
        <f t="shared" si="25"/>
        <v>-1.8000000000000007</v>
      </c>
      <c r="AP11">
        <f t="shared" si="26"/>
        <v>-1.120000000000001</v>
      </c>
      <c r="AQ11">
        <f t="shared" si="27"/>
        <v>-1.1799999999999997</v>
      </c>
      <c r="AR11">
        <f t="shared" si="28"/>
        <v>-0.40000000000000036</v>
      </c>
      <c r="AS11" s="30">
        <f t="shared" si="14"/>
        <v>-2.6318333333333337</v>
      </c>
      <c r="AT11">
        <f t="shared" si="4"/>
        <v>-1.4778260869565205</v>
      </c>
      <c r="AU11">
        <f t="shared" si="4"/>
        <v>-1.9247222222222238</v>
      </c>
      <c r="AV11">
        <f t="shared" si="4"/>
        <v>-1.3748000000000005</v>
      </c>
      <c r="AW11">
        <f t="shared" si="4"/>
        <v>-1.3102666666666671</v>
      </c>
      <c r="AX11">
        <f t="shared" si="4"/>
        <v>-0.26280000000000037</v>
      </c>
      <c r="AY11" s="13">
        <f t="shared" ref="AY11:AZ14" ca="1" si="34">W11-$AC11</f>
        <v>-1.586457750731217</v>
      </c>
      <c r="AZ11" s="6">
        <f t="shared" ca="1" si="34"/>
        <v>-1.5448098461499455</v>
      </c>
      <c r="BA11" s="6">
        <f t="shared" ca="1" si="29"/>
        <v>-1.6945004929934342</v>
      </c>
      <c r="BB11" s="6">
        <f t="shared" ca="1" si="30"/>
        <v>-1.483490939196292</v>
      </c>
      <c r="BC11" s="6">
        <f t="shared" ca="1" si="31"/>
        <v>-1.4380179621580869</v>
      </c>
      <c r="BD11" s="2">
        <f t="shared" ca="1" si="32"/>
        <v>-0.74987225361221199</v>
      </c>
      <c r="BE11" t="s">
        <v>186</v>
      </c>
      <c r="BG11">
        <f>BG10</f>
        <v>1.549937284371472E-2</v>
      </c>
      <c r="BH11">
        <f>AVERAGE(BG10:BI10)</f>
        <v>0.21325634143915653</v>
      </c>
      <c r="BI11">
        <f>AVERAGE(BH10:BJ10)</f>
        <v>0.35581710514239534</v>
      </c>
      <c r="BJ11">
        <f>AVERAGE(BI10:BK10)</f>
        <v>0.43410210221959694</v>
      </c>
      <c r="BK11">
        <f>AVERAGE(BJ10:BM10)</f>
        <v>0.53662182963345906</v>
      </c>
      <c r="BL11">
        <f t="shared" si="15"/>
        <v>0.58200726823923143</v>
      </c>
      <c r="BM11">
        <f>BM10</f>
        <v>0.62739270684500381</v>
      </c>
    </row>
    <row r="12" spans="1:66" x14ac:dyDescent="0.25">
      <c r="A12" t="s">
        <v>51</v>
      </c>
      <c r="B12">
        <f>B11+1</f>
        <v>1</v>
      </c>
      <c r="C12" s="13">
        <f ca="1">'Historical Trends'!Q28</f>
        <v>10.530606060606033</v>
      </c>
      <c r="D12">
        <f ca="1">AVERAGE(OFFSET('Historical Trends'!$G$28,$B6,0,'Polling Correlations - GRN'!D$4,1))</f>
        <v>7.53</v>
      </c>
      <c r="E12">
        <f ca="1">AVERAGE(OFFSET('Historical Trends'!$G$28,$B6,0,'Polling Correlations - GRN'!E$4,1))</f>
        <v>7.9499999999999993</v>
      </c>
      <c r="F12">
        <f ca="1">AVERAGE(OFFSET('Historical Trends'!$G$28,$B6,0,'Polling Correlations - GRN'!F$4,1))</f>
        <v>7.9633333333333338</v>
      </c>
      <c r="G12">
        <f ca="1">AVERAGE(OFFSET('Historical Trends'!$G$28,$B6,0,'Polling Correlations - GRN'!G$4,1))</f>
        <v>7.6624999999999996</v>
      </c>
      <c r="H12">
        <f ca="1">AVERAGE(OFFSET('Historical Trends'!$G$28,$B6,0,'Polling Correlations - GRN'!H$4,1))</f>
        <v>6.6319999999999997</v>
      </c>
      <c r="I12">
        <f ca="1">AVERAGE(OFFSET('Historical Trends'!$G$28,$B6,0,'Polling Correlations - GRN'!I$4,1))</f>
        <v>5.919999999999999</v>
      </c>
      <c r="J12">
        <f ca="1">AVERAGE(OFFSET('Historical Trends'!$G$28,$B6,0,'Polling Correlations - GRN'!J$4,1))</f>
        <v>5.4842857142857131</v>
      </c>
      <c r="K12" s="13">
        <f>(8.4+8.2+8+9.5+8)/5</f>
        <v>8.42</v>
      </c>
      <c r="L12">
        <f>(6+5+7+8+8)/5</f>
        <v>6.8</v>
      </c>
      <c r="M12">
        <f>(6.1+6.1+5.2+8+4)/5</f>
        <v>5.88</v>
      </c>
      <c r="N12">
        <f>(7.2+6+10+7+5.5)/5</f>
        <v>7.1400000000000006</v>
      </c>
      <c r="O12">
        <f>(10+7.9+9+10+7.2)/5</f>
        <v>8.82</v>
      </c>
      <c r="P12">
        <f>(7.5+8+6+8.4+7)/5</f>
        <v>7.38</v>
      </c>
      <c r="Q12" s="30">
        <f>K12-AVERAGE(AM$5:AM11,AM13:AM$30)</f>
        <v>7.2576666666666672</v>
      </c>
      <c r="R12" s="31">
        <f>L12-AVERAGE(AN$5:AN11,AN13:AN$30)</f>
        <v>6.5034782608695645</v>
      </c>
      <c r="S12" s="31">
        <f>M12-AVERAGE(AO$5:AO11,AO13:AO$30)</f>
        <v>5.7240277777777777</v>
      </c>
      <c r="T12" s="31">
        <f>N12-AVERAGE(AP$5:AP11,AP13:AP$30)</f>
        <v>6.878400000000001</v>
      </c>
      <c r="U12" s="31">
        <f>O12-AVERAGE(AQ$5:AQ11,AQ13:AQ$30)</f>
        <v>8.7525333333333339</v>
      </c>
      <c r="V12" s="31">
        <f>P12-AVERAGE(AR$5:AR11,AR13:AR$30)</f>
        <v>7.4912000000000001</v>
      </c>
      <c r="W12" s="13">
        <f t="shared" ca="1" si="7"/>
        <v>7.5257790041288954</v>
      </c>
      <c r="X12" s="6">
        <f t="shared" ca="1" si="8"/>
        <v>7.2494624847170934</v>
      </c>
      <c r="Y12" s="6">
        <f t="shared" ca="1" si="9"/>
        <v>6.8961394242781431</v>
      </c>
      <c r="Z12" s="6">
        <f t="shared" ca="1" si="10"/>
        <v>7.2412228277679453</v>
      </c>
      <c r="AA12" s="6">
        <f t="shared" ca="1" si="11"/>
        <v>8.1512234625115543</v>
      </c>
      <c r="AB12" s="2">
        <f t="shared" ca="1" si="12"/>
        <v>7.5056571629744138</v>
      </c>
      <c r="AC12" s="2">
        <f>'Historical Trends'!G28</f>
        <v>8.43</v>
      </c>
      <c r="AE12" s="13">
        <f t="shared" ca="1" si="17"/>
        <v>2.1006060606060331</v>
      </c>
      <c r="AF12">
        <f t="shared" ca="1" si="18"/>
        <v>-0.89999999999999947</v>
      </c>
      <c r="AG12">
        <f t="shared" ca="1" si="19"/>
        <v>-0.48000000000000043</v>
      </c>
      <c r="AH12">
        <f t="shared" ca="1" si="20"/>
        <v>-0.4666666666666659</v>
      </c>
      <c r="AI12" s="6">
        <f t="shared" ca="1" si="21"/>
        <v>-0.76750000000000007</v>
      </c>
      <c r="AJ12">
        <f t="shared" ca="1" si="22"/>
        <v>-1.798</v>
      </c>
      <c r="AK12">
        <f t="shared" ca="1" si="23"/>
        <v>-2.5100000000000007</v>
      </c>
      <c r="AL12">
        <f t="shared" ca="1" si="24"/>
        <v>-2.9457142857142866</v>
      </c>
      <c r="AM12" s="13">
        <f t="shared" si="33"/>
        <v>-9.9999999999997868E-3</v>
      </c>
      <c r="AN12">
        <f t="shared" si="33"/>
        <v>-1.63</v>
      </c>
      <c r="AO12">
        <f t="shared" si="25"/>
        <v>-2.5499999999999998</v>
      </c>
      <c r="AP12">
        <f t="shared" si="26"/>
        <v>-1.2899999999999991</v>
      </c>
      <c r="AQ12">
        <f t="shared" si="27"/>
        <v>0.39000000000000057</v>
      </c>
      <c r="AR12">
        <f t="shared" si="28"/>
        <v>-1.0499999999999998</v>
      </c>
      <c r="AS12" s="30">
        <f t="shared" si="14"/>
        <v>-1.1723333333333326</v>
      </c>
      <c r="AT12">
        <f t="shared" si="4"/>
        <v>-1.9265217391304352</v>
      </c>
      <c r="AU12">
        <f t="shared" si="4"/>
        <v>-2.705972222222222</v>
      </c>
      <c r="AV12">
        <f t="shared" si="4"/>
        <v>-1.5515999999999988</v>
      </c>
      <c r="AW12">
        <f t="shared" si="4"/>
        <v>0.32253333333333423</v>
      </c>
      <c r="AX12">
        <f t="shared" si="4"/>
        <v>-0.93879999999999963</v>
      </c>
      <c r="AY12" s="13">
        <f t="shared" ca="1" si="34"/>
        <v>-0.90422099587110427</v>
      </c>
      <c r="AZ12" s="6">
        <f t="shared" ca="1" si="34"/>
        <v>-1.1805375152829063</v>
      </c>
      <c r="BA12" s="6">
        <f t="shared" ca="1" si="29"/>
        <v>-1.5338605757218566</v>
      </c>
      <c r="BB12" s="6">
        <f t="shared" ca="1" si="30"/>
        <v>-1.1887771722320544</v>
      </c>
      <c r="BC12" s="6">
        <f t="shared" ca="1" si="31"/>
        <v>-0.27877653748844544</v>
      </c>
      <c r="BD12" s="2">
        <f t="shared" ca="1" si="32"/>
        <v>-0.92434283702558595</v>
      </c>
      <c r="BE12" t="s">
        <v>193</v>
      </c>
      <c r="BG12">
        <f>MAX(0,($BG$16+1/($BG$17*$BG$18))-1/((10-BG6) * $BG$18))</f>
        <v>7.029325018192556E-2</v>
      </c>
      <c r="BH12">
        <f t="shared" ref="BH12:BM12" si="35">MAX(0,($BG$16+1/($BG$17*$BG$18))-1/((10-BH6) * $BG$18))</f>
        <v>0.22368470645617522</v>
      </c>
      <c r="BI12">
        <f t="shared" si="35"/>
        <v>0.33308150406595427</v>
      </c>
      <c r="BJ12">
        <f t="shared" si="35"/>
        <v>0.41560446261149353</v>
      </c>
      <c r="BK12">
        <f t="shared" si="35"/>
        <v>0.50917486391071098</v>
      </c>
      <c r="BL12">
        <f t="shared" si="35"/>
        <v>0.58893334935116637</v>
      </c>
      <c r="BM12">
        <f t="shared" si="35"/>
        <v>0.64548420631323067</v>
      </c>
    </row>
    <row r="13" spans="1:66" x14ac:dyDescent="0.25">
      <c r="A13" t="s">
        <v>52</v>
      </c>
      <c r="B13">
        <f>B12+1</f>
        <v>2</v>
      </c>
      <c r="C13" s="13">
        <f ca="1">'Historical Trends'!Q29</f>
        <v>10.02134734239803</v>
      </c>
      <c r="D13">
        <f ca="1">AVERAGE(OFFSET('Historical Trends'!$G$28,$B7,0,'Polling Correlations - GRN'!D$4,1))</f>
        <v>8.3699999999999992</v>
      </c>
      <c r="E13">
        <f ca="1">AVERAGE(OFFSET('Historical Trends'!$G$28,$B7,0,'Polling Correlations - GRN'!E$4,1))</f>
        <v>8.18</v>
      </c>
      <c r="F13">
        <f ca="1">AVERAGE(OFFSET('Historical Trends'!$G$28,$B7,0,'Polling Correlations - GRN'!F$4,1))</f>
        <v>7.7066666666666661</v>
      </c>
      <c r="G13">
        <f ca="1">AVERAGE(OFFSET('Historical Trends'!$G$28,$B7,0,'Polling Correlations - GRN'!G$4,1))</f>
        <v>6.4074999999999989</v>
      </c>
      <c r="H13">
        <f ca="1">AVERAGE(OFFSET('Historical Trends'!$G$28,$B7,0,'Polling Correlations - GRN'!H$4,1))</f>
        <v>5.597999999999999</v>
      </c>
      <c r="I13">
        <f ca="1">AVERAGE(OFFSET('Historical Trends'!$G$28,$B7,0,'Polling Correlations - GRN'!I$4,1))</f>
        <v>5.1433333333333326</v>
      </c>
      <c r="J13">
        <f ca="1">AVERAGE(OFFSET('Historical Trends'!$G$28,$B7,0,'Polling Correlations - GRN'!J$4,1))</f>
        <v>4.5028571428571427</v>
      </c>
      <c r="K13" s="13">
        <f>(13+15+12)/3</f>
        <v>13.333333333333334</v>
      </c>
      <c r="L13">
        <f>(12+10+16+13+9)/5</f>
        <v>12</v>
      </c>
      <c r="M13">
        <f>(8+7+10+12+10)/5</f>
        <v>9.4</v>
      </c>
      <c r="N13">
        <f>(10+10+8+7+10)/5</f>
        <v>9</v>
      </c>
      <c r="O13">
        <f>(11+9+10+10+10)/5</f>
        <v>10</v>
      </c>
      <c r="P13">
        <f>(10+6+9+11+9)/5</f>
        <v>9</v>
      </c>
      <c r="Q13" s="30">
        <f>K13-AVERAGE(AM$5:AM12,AM14:AM$30)</f>
        <v>12.461666666666668</v>
      </c>
      <c r="R13" s="31">
        <f>L13-AVERAGE(AN$5:AN12,AN14:AN$30)</f>
        <v>11.968695652173913</v>
      </c>
      <c r="S13" s="31">
        <f>M13-AVERAGE(AO$5:AO12,AO14:AO$30)</f>
        <v>9.4281944444444452</v>
      </c>
      <c r="T13" s="31">
        <f>N13-AVERAGE(AP$5:AP12,AP14:AP$30)</f>
        <v>8.8488000000000007</v>
      </c>
      <c r="U13" s="31">
        <f>O13-AVERAGE(AQ$5:AQ12,AQ14:AQ$30)</f>
        <v>10.015733333333333</v>
      </c>
      <c r="V13" s="31">
        <f>P13-AVERAGE(AR$5:AR12,AR14:AR$30)</f>
        <v>9.2119999999999997</v>
      </c>
      <c r="W13" s="13">
        <f t="shared" ca="1" si="7"/>
        <v>8.4334182672188653</v>
      </c>
      <c r="X13" s="6">
        <f t="shared" ca="1" si="8"/>
        <v>9.353485393475907</v>
      </c>
      <c r="Y13" s="6">
        <f t="shared" ca="1" si="9"/>
        <v>8.7414053469526127</v>
      </c>
      <c r="Z13" s="6">
        <f t="shared" ca="1" si="10"/>
        <v>8.5821953807009024</v>
      </c>
      <c r="AA13" s="6">
        <f t="shared" ca="1" si="11"/>
        <v>9.2062701709870325</v>
      </c>
      <c r="AB13" s="2">
        <f t="shared" ca="1" si="12"/>
        <v>8.8982646591634929</v>
      </c>
      <c r="AC13" s="2">
        <f>'Historical Trends'!G29</f>
        <v>7.53</v>
      </c>
      <c r="AE13" s="13">
        <f t="shared" ca="1" si="17"/>
        <v>2.4913473423980301</v>
      </c>
      <c r="AF13">
        <f t="shared" ca="1" si="18"/>
        <v>0.83999999999999897</v>
      </c>
      <c r="AG13">
        <f t="shared" ca="1" si="19"/>
        <v>0.64999999999999947</v>
      </c>
      <c r="AH13">
        <f t="shared" ca="1" si="20"/>
        <v>0.17666666666666586</v>
      </c>
      <c r="AI13">
        <f t="shared" ca="1" si="21"/>
        <v>-1.1225000000000014</v>
      </c>
      <c r="AJ13">
        <f t="shared" ca="1" si="22"/>
        <v>-1.9320000000000013</v>
      </c>
      <c r="AK13">
        <f t="shared" ca="1" si="23"/>
        <v>-2.3866666666666676</v>
      </c>
      <c r="AL13">
        <f t="shared" ca="1" si="24"/>
        <v>-3.0271428571428576</v>
      </c>
      <c r="AM13" s="13">
        <f t="shared" si="33"/>
        <v>5.8033333333333337</v>
      </c>
      <c r="AN13">
        <f t="shared" si="33"/>
        <v>4.47</v>
      </c>
      <c r="AO13">
        <f t="shared" si="25"/>
        <v>1.87</v>
      </c>
      <c r="AP13">
        <f t="shared" si="26"/>
        <v>1.4699999999999998</v>
      </c>
      <c r="AQ13">
        <f t="shared" si="27"/>
        <v>2.4699999999999998</v>
      </c>
      <c r="AR13">
        <f t="shared" si="28"/>
        <v>1.4699999999999998</v>
      </c>
      <c r="AS13" s="30">
        <f t="shared" si="14"/>
        <v>4.9316666666666675</v>
      </c>
      <c r="AT13">
        <f t="shared" si="4"/>
        <v>4.4386956521739132</v>
      </c>
      <c r="AU13">
        <f t="shared" si="4"/>
        <v>1.898194444444445</v>
      </c>
      <c r="AV13">
        <f t="shared" si="4"/>
        <v>1.3188000000000004</v>
      </c>
      <c r="AW13">
        <f t="shared" si="4"/>
        <v>2.4857333333333331</v>
      </c>
      <c r="AX13">
        <f t="shared" si="4"/>
        <v>1.6819999999999995</v>
      </c>
      <c r="AY13" s="13">
        <f t="shared" ca="1" si="34"/>
        <v>0.90341826721886509</v>
      </c>
      <c r="AZ13" s="6">
        <f t="shared" ca="1" si="34"/>
        <v>1.8234853934759068</v>
      </c>
      <c r="BA13" s="6">
        <f t="shared" ca="1" si="29"/>
        <v>1.2114053469526125</v>
      </c>
      <c r="BB13" s="6">
        <f t="shared" ca="1" si="30"/>
        <v>1.0521953807009021</v>
      </c>
      <c r="BC13" s="6">
        <f t="shared" ca="1" si="31"/>
        <v>1.6762701709870322</v>
      </c>
      <c r="BD13" s="2">
        <f t="shared" ca="1" si="32"/>
        <v>1.3682646591634926</v>
      </c>
      <c r="BE13" t="s">
        <v>192</v>
      </c>
      <c r="BG13">
        <f>(BG12-BG10)^2</f>
        <v>3.0023689937548953E-3</v>
      </c>
      <c r="BH13">
        <f t="shared" ref="BH13:BM13" si="36">(BH12-BH10)^2</f>
        <v>2.4606261153414201E-3</v>
      </c>
      <c r="BI13">
        <f t="shared" si="36"/>
        <v>3.2036498060432404E-4</v>
      </c>
      <c r="BJ13">
        <f t="shared" si="36"/>
        <v>7.6050203385376412E-4</v>
      </c>
      <c r="BK13">
        <f t="shared" si="36"/>
        <v>1.0618636850946426E-6</v>
      </c>
      <c r="BL13">
        <f t="shared" si="36"/>
        <v>4.4794866694623044E-4</v>
      </c>
      <c r="BM13">
        <f t="shared" si="36"/>
        <v>3.2730235300885264E-4</v>
      </c>
      <c r="BN13">
        <f>SQRT(SUM(BG13:BM13))</f>
        <v>8.5558021290785949E-2</v>
      </c>
    </row>
    <row r="14" spans="1:66" x14ac:dyDescent="0.25">
      <c r="A14" t="s">
        <v>53</v>
      </c>
      <c r="B14">
        <f>B13+1</f>
        <v>3</v>
      </c>
      <c r="C14" s="13">
        <f ca="1">'Historical Trends'!Q30</f>
        <v>8.4830465116278901</v>
      </c>
      <c r="D14">
        <f ca="1">AVERAGE(OFFSET('Historical Trends'!$G$28,$B8,0,'Polling Correlations - GRN'!D$4,1))</f>
        <v>7.99</v>
      </c>
      <c r="E14">
        <f ca="1">AVERAGE(OFFSET('Historical Trends'!$G$28,$B8,0,'Polling Correlations - GRN'!E$4,1))</f>
        <v>7.375</v>
      </c>
      <c r="F14">
        <f ca="1">AVERAGE(OFFSET('Historical Trends'!$G$28,$B8,0,'Polling Correlations - GRN'!F$4,1))</f>
        <v>5.753333333333333</v>
      </c>
      <c r="G14">
        <f ca="1">AVERAGE(OFFSET('Historical Trends'!$G$28,$B8,0,'Polling Correlations - GRN'!G$4,1))</f>
        <v>4.9049999999999994</v>
      </c>
      <c r="H14">
        <f ca="1">AVERAGE(OFFSET('Historical Trends'!$G$28,$B8,0,'Polling Correlations - GRN'!H$4,1))</f>
        <v>4.4979999999999993</v>
      </c>
      <c r="I14">
        <f ca="1">AVERAGE(OFFSET('Historical Trends'!$G$28,$B8,0,'Polling Correlations - GRN'!I$4,1))</f>
        <v>3.8583333333333329</v>
      </c>
      <c r="J14">
        <f ca="1">AVERAGE(OFFSET('Historical Trends'!$G$28,$B8,0,'Polling Correlations - GRN'!J$4,1))</f>
        <v>3.3542857142857136</v>
      </c>
      <c r="K14" s="13">
        <f>12</f>
        <v>12</v>
      </c>
      <c r="L14">
        <f>(9+8+8)/3</f>
        <v>8.3333333333333339</v>
      </c>
      <c r="M14">
        <f>(9+9+10)/3</f>
        <v>9.3333333333333339</v>
      </c>
      <c r="N14">
        <f>(8+9+9)/3</f>
        <v>8.6666666666666661</v>
      </c>
      <c r="O14">
        <f>(7+8+9)/3</f>
        <v>8</v>
      </c>
      <c r="P14">
        <f>(7+8+7)/3</f>
        <v>7.333333333333333</v>
      </c>
      <c r="Q14" s="30">
        <f>K14-AVERAGE(AM$5:AM13,AM15:AM$30)</f>
        <v>11.019666666666668</v>
      </c>
      <c r="R14" s="31">
        <f>L14-AVERAGE(AN$5:AN13,AN15:AN$30)</f>
        <v>8.1060869565217395</v>
      </c>
      <c r="S14" s="31">
        <f>M14-AVERAGE(AO$5:AO13,AO15:AO$30)</f>
        <v>9.3237500000000004</v>
      </c>
      <c r="T14" s="31">
        <f>N14-AVERAGE(AP$5:AP13,AP15:AP$30)</f>
        <v>8.4685333333333332</v>
      </c>
      <c r="U14" s="31">
        <f>O14-AVERAGE(AQ$5:AQ13,AQ15:AQ$30)</f>
        <v>7.9021333333333335</v>
      </c>
      <c r="V14" s="31">
        <f>P14-AVERAGE(AR$5:AR13,AR15:AR$30)</f>
        <v>7.4450666666666665</v>
      </c>
      <c r="W14" s="13">
        <f t="shared" ca="1" si="7"/>
        <v>8.0369579332588419</v>
      </c>
      <c r="X14" s="6">
        <f t="shared" ca="1" si="8"/>
        <v>8.0217253352734179</v>
      </c>
      <c r="Y14" s="6">
        <f t="shared" ca="1" si="9"/>
        <v>8.4581199037650538</v>
      </c>
      <c r="Z14" s="6">
        <f t="shared" ca="1" si="10"/>
        <v>8.202077198923849</v>
      </c>
      <c r="AA14" s="6">
        <f t="shared" ca="1" si="11"/>
        <v>7.9453510457198053</v>
      </c>
      <c r="AB14" s="2">
        <f t="shared" ca="1" si="12"/>
        <v>7.6481128009499288</v>
      </c>
      <c r="AC14" s="2">
        <f>'Historical Trends'!G30</f>
        <v>8.3699999999999992</v>
      </c>
      <c r="AE14" s="13">
        <f t="shared" ca="1" si="17"/>
        <v>0.11304651162789092</v>
      </c>
      <c r="AF14">
        <f t="shared" ca="1" si="18"/>
        <v>-0.37999999999999901</v>
      </c>
      <c r="AG14">
        <f t="shared" ca="1" si="19"/>
        <v>-0.99499999999999922</v>
      </c>
      <c r="AH14">
        <f t="shared" ca="1" si="20"/>
        <v>-2.6166666666666663</v>
      </c>
      <c r="AI14">
        <f t="shared" ca="1" si="21"/>
        <v>-3.4649999999999999</v>
      </c>
      <c r="AJ14">
        <f t="shared" ca="1" si="22"/>
        <v>-3.8719999999999999</v>
      </c>
      <c r="AK14">
        <f t="shared" ca="1" si="23"/>
        <v>-4.5116666666666667</v>
      </c>
      <c r="AL14">
        <f t="shared" ca="1" si="24"/>
        <v>-5.0157142857142851</v>
      </c>
      <c r="AM14" s="13">
        <f t="shared" si="33"/>
        <v>3.6300000000000008</v>
      </c>
      <c r="AN14">
        <f t="shared" si="33"/>
        <v>-3.6666666666665293E-2</v>
      </c>
      <c r="AO14">
        <f t="shared" si="25"/>
        <v>0.96333333333333471</v>
      </c>
      <c r="AP14">
        <f t="shared" si="26"/>
        <v>0.29666666666666686</v>
      </c>
      <c r="AQ14">
        <f t="shared" si="27"/>
        <v>-0.36999999999999922</v>
      </c>
      <c r="AR14">
        <f t="shared" si="28"/>
        <v>-1.0366666666666662</v>
      </c>
      <c r="AS14" s="30">
        <f t="shared" si="14"/>
        <v>2.6496666666666684</v>
      </c>
      <c r="AT14">
        <f t="shared" si="4"/>
        <v>-0.26391304347825972</v>
      </c>
      <c r="AU14">
        <f t="shared" si="4"/>
        <v>0.95375000000000121</v>
      </c>
      <c r="AV14">
        <f t="shared" si="4"/>
        <v>9.8533333333334028E-2</v>
      </c>
      <c r="AW14">
        <f t="shared" si="4"/>
        <v>-0.46786666666666576</v>
      </c>
      <c r="AX14">
        <f t="shared" si="4"/>
        <v>-0.92493333333333272</v>
      </c>
      <c r="AY14" s="13">
        <f t="shared" ca="1" si="34"/>
        <v>-0.33304206674115733</v>
      </c>
      <c r="AZ14" s="6">
        <f t="shared" ca="1" si="34"/>
        <v>-0.34827466472658131</v>
      </c>
      <c r="BA14" s="6">
        <f t="shared" ca="1" si="29"/>
        <v>8.811990376505463E-2</v>
      </c>
      <c r="BB14" s="6">
        <f t="shared" ca="1" si="30"/>
        <v>-0.16792280107615021</v>
      </c>
      <c r="BC14" s="6">
        <f t="shared" ca="1" si="31"/>
        <v>-0.42464895428019389</v>
      </c>
      <c r="BD14" s="2">
        <f t="shared" ca="1" si="32"/>
        <v>-0.72188719905007037</v>
      </c>
    </row>
    <row r="15" spans="1:66" x14ac:dyDescent="0.25">
      <c r="A15" t="s">
        <v>54</v>
      </c>
      <c r="B15">
        <f>B14+1</f>
        <v>4</v>
      </c>
      <c r="C15" s="13">
        <f ca="1">'Historical Trends'!Q31</f>
        <v>5.9464761904762327</v>
      </c>
      <c r="D15">
        <f ca="1">AVERAGE(OFFSET('Historical Trends'!$G$28,$B9,0,'Polling Correlations - GRN'!D$4,1))</f>
        <v>6.76</v>
      </c>
      <c r="E15">
        <f ca="1">AVERAGE(OFFSET('Historical Trends'!$G$28,$B9,0,'Polling Correlations - GRN'!E$4,1))</f>
        <v>4.6349999999999998</v>
      </c>
      <c r="F15">
        <f ca="1">AVERAGE(OFFSET('Historical Trends'!$G$28,$B9,0,'Polling Correlations - GRN'!F$4,1))</f>
        <v>3.8766666666666665</v>
      </c>
      <c r="G15">
        <f ca="1">AVERAGE(OFFSET('Historical Trends'!$G$28,$B9,0,'Polling Correlations - GRN'!G$4,1))</f>
        <v>3.625</v>
      </c>
      <c r="H15">
        <f ca="1">AVERAGE(OFFSET('Historical Trends'!$G$28,$B9,0,'Polling Correlations - GRN'!H$4,1))</f>
        <v>3.032</v>
      </c>
      <c r="I15">
        <f ca="1">AVERAGE(OFFSET('Historical Trends'!$G$28,$B9,0,'Polling Correlations - GRN'!I$4,1))</f>
        <v>2.5816666666666666</v>
      </c>
      <c r="J15">
        <f ca="1">AVERAGE(OFFSET('Historical Trends'!$G$28,$B9,0,'Polling Correlations - GRN'!J$4,1))</f>
        <v>2.5816666666666666</v>
      </c>
      <c r="L15">
        <f>(4+3+3)/3</f>
        <v>3.3333333333333335</v>
      </c>
      <c r="M15">
        <f>(4+3+4)/3</f>
        <v>3.6666666666666665</v>
      </c>
      <c r="N15">
        <f>(4+4+3)/3</f>
        <v>3.6666666666666665</v>
      </c>
      <c r="O15">
        <f>(2+4+4)/3</f>
        <v>3.3333333333333335</v>
      </c>
      <c r="P15">
        <f>(4+2+4)/3</f>
        <v>3.3333333333333335</v>
      </c>
      <c r="Q15" s="30"/>
      <c r="R15" s="31">
        <f>L15-AVERAGE(AN$5:AN14,AN16:AN$30)</f>
        <v>2.905217391304348</v>
      </c>
      <c r="S15" s="31">
        <f>M15-AVERAGE(AO$5:AO14,AO16:AO$30)</f>
        <v>3.4368055555555554</v>
      </c>
      <c r="T15" s="31">
        <f>N15-AVERAGE(AP$5:AP14,AP16:AP$30)</f>
        <v>3.2837333333333332</v>
      </c>
      <c r="U15" s="31">
        <f>O15-AVERAGE(AQ$5:AQ14,AQ16:AQ$30)</f>
        <v>3.0640000000000001</v>
      </c>
      <c r="V15" s="31">
        <f>P15-AVERAGE(AR$5:AR14,AR16:AR$30)</f>
        <v>3.3002666666666665</v>
      </c>
      <c r="W15" s="13">
        <f t="shared" ca="1" si="7"/>
        <v>6.655224239576488</v>
      </c>
      <c r="X15" s="6">
        <f t="shared" ca="1" si="8"/>
        <v>5.7065287545538972</v>
      </c>
      <c r="Y15" s="6">
        <f t="shared" ca="1" si="9"/>
        <v>5.5936243947322257</v>
      </c>
      <c r="Z15" s="6">
        <f t="shared" ca="1" si="10"/>
        <v>5.2193823543208184</v>
      </c>
      <c r="AA15" s="6">
        <f t="shared" ca="1" si="11"/>
        <v>4.8818983116130159</v>
      </c>
      <c r="AB15" s="2">
        <f t="shared" ca="1" si="12"/>
        <v>4.5893885390381115</v>
      </c>
      <c r="AC15" s="2">
        <f>'Historical Trends'!G31</f>
        <v>7.99</v>
      </c>
      <c r="AE15" s="13">
        <f t="shared" ca="1" si="17"/>
        <v>-2.0435238095237676</v>
      </c>
      <c r="AF15">
        <f t="shared" ca="1" si="18"/>
        <v>-1.2300000000000004</v>
      </c>
      <c r="AG15">
        <f t="shared" ca="1" si="19"/>
        <v>-3.3550000000000004</v>
      </c>
      <c r="AH15">
        <f t="shared" ca="1" si="20"/>
        <v>-4.1133333333333333</v>
      </c>
      <c r="AI15">
        <f t="shared" ca="1" si="21"/>
        <v>-4.3650000000000002</v>
      </c>
      <c r="AJ15">
        <f t="shared" ca="1" si="22"/>
        <v>-4.9580000000000002</v>
      </c>
      <c r="AK15">
        <f t="shared" ca="1" si="23"/>
        <v>-5.4083333333333332</v>
      </c>
      <c r="AL15">
        <f t="shared" ca="1" si="24"/>
        <v>-5.4083333333333332</v>
      </c>
      <c r="AN15">
        <f t="shared" ref="AN15:AN29" si="37">L15-$AC15</f>
        <v>-4.6566666666666663</v>
      </c>
      <c r="AO15">
        <f t="shared" si="25"/>
        <v>-4.3233333333333341</v>
      </c>
      <c r="AP15">
        <f t="shared" si="26"/>
        <v>-4.3233333333333341</v>
      </c>
      <c r="AQ15">
        <f t="shared" si="27"/>
        <v>-4.6566666666666663</v>
      </c>
      <c r="AR15">
        <f t="shared" si="28"/>
        <v>-4.6566666666666663</v>
      </c>
      <c r="AS15" s="30"/>
      <c r="AT15">
        <f t="shared" si="4"/>
        <v>-5.0847826086956527</v>
      </c>
      <c r="AU15">
        <f t="shared" si="4"/>
        <v>-4.5531944444444452</v>
      </c>
      <c r="AV15">
        <f t="shared" si="4"/>
        <v>-4.706266666666667</v>
      </c>
      <c r="AW15">
        <f t="shared" si="4"/>
        <v>-4.9260000000000002</v>
      </c>
      <c r="AX15">
        <f t="shared" si="4"/>
        <v>-4.6897333333333338</v>
      </c>
      <c r="AZ15" s="6">
        <f t="shared" ref="AZ15:AZ29" ca="1" si="38">X15-$AC15</f>
        <v>-2.283471245446103</v>
      </c>
      <c r="BA15" s="6">
        <f t="shared" ca="1" si="29"/>
        <v>-2.3963756052677745</v>
      </c>
      <c r="BB15" s="6">
        <f t="shared" ca="1" si="30"/>
        <v>-2.7706176456791818</v>
      </c>
      <c r="BC15" s="6">
        <f t="shared" ca="1" si="31"/>
        <v>-3.1081016883869843</v>
      </c>
      <c r="BD15" s="2">
        <f t="shared" ca="1" si="32"/>
        <v>-3.4006114609618887</v>
      </c>
      <c r="BE15" t="s">
        <v>188</v>
      </c>
    </row>
    <row r="16" spans="1:66" x14ac:dyDescent="0.25">
      <c r="A16" t="s">
        <v>48</v>
      </c>
      <c r="B16">
        <v>0</v>
      </c>
      <c r="C16" s="13">
        <f ca="1">'Historical Trends'!Q46</f>
        <v>12.126666666666608</v>
      </c>
      <c r="D16">
        <f ca="1">AVERAGE(OFFSET('Historical Trends'!$G$48,$B5,0,'Polling Correlations - GRN'!D$4,1))</f>
        <v>10.29</v>
      </c>
      <c r="E16">
        <f ca="1">AVERAGE(OFFSET('Historical Trends'!$G$48,$B5,0,'Polling Correlations - GRN'!E$4,1))</f>
        <v>10.285</v>
      </c>
      <c r="F16">
        <f ca="1">AVERAGE(OFFSET('Historical Trends'!$G$48,$B5,0,'Polling Correlations - GRN'!F$4,1))</f>
        <v>9.84</v>
      </c>
      <c r="G16">
        <f ca="1">AVERAGE(OFFSET('Historical Trends'!$G$48,$B5,0,'Polling Correlations - GRN'!G$4,1))</f>
        <v>9.442499999999999</v>
      </c>
      <c r="H16">
        <f ca="1">AVERAGE(OFFSET('Historical Trends'!$G$48,$B5,0,'Polling Correlations - GRN'!H$4,1))</f>
        <v>8.33</v>
      </c>
      <c r="I16">
        <f ca="1">AVERAGE(OFFSET('Historical Trends'!$G$48,$B5,0,'Polling Correlations - GRN'!I$4,1))</f>
        <v>7.37</v>
      </c>
      <c r="J16">
        <f ca="1">AVERAGE(OFFSET('Historical Trends'!$G$48,$B5,0,'Polling Correlations - GRN'!J$4,1))</f>
        <v>6.3942857142857141</v>
      </c>
      <c r="K16" s="13">
        <f>(10+9+8.4+8.6+11)/5</f>
        <v>9.4</v>
      </c>
      <c r="L16">
        <f>(10+11+9+9.9+9)/5</f>
        <v>9.7799999999999994</v>
      </c>
      <c r="M16">
        <f>(10.8+10+11+9+9.9)/5</f>
        <v>10.139999999999999</v>
      </c>
      <c r="N16">
        <f>(10.8+10+11+9+9.9)/5</f>
        <v>10.139999999999999</v>
      </c>
      <c r="O16">
        <f>(9+10+10+9+10.8)/5</f>
        <v>9.76</v>
      </c>
      <c r="P16">
        <f>(10+9+10+10.1+9)/5</f>
        <v>9.620000000000001</v>
      </c>
      <c r="Q16" s="30">
        <f>K16-AVERAGE(AM$5:AM15,AM17:AM$30)</f>
        <v>8.2296666666666667</v>
      </c>
      <c r="R16" s="31">
        <f>L16-AVERAGE(AN$5:AN15,AN17:AN$30)</f>
        <v>9.5634782608695641</v>
      </c>
      <c r="S16" s="31">
        <f>M16-AVERAGE(AO$5:AO15,AO17:AO$30)</f>
        <v>10.114027777777777</v>
      </c>
      <c r="T16" s="31">
        <f>N16-AVERAGE(AP$5:AP15,AP17:AP$30)</f>
        <v>9.9527999999999981</v>
      </c>
      <c r="U16" s="31">
        <f>O16-AVERAGE(AQ$5:AQ15,AQ17:AQ$30)</f>
        <v>9.6845333333333325</v>
      </c>
      <c r="V16" s="31">
        <f>P16-AVERAGE(AR$5:AR15,AR17:AR$30)</f>
        <v>9.7752000000000017</v>
      </c>
      <c r="W16" s="13">
        <f t="shared" ca="1" si="7"/>
        <v>10.258066125484332</v>
      </c>
      <c r="X16" s="6">
        <f t="shared" ca="1" si="8"/>
        <v>10.09144930621019</v>
      </c>
      <c r="Y16" s="6">
        <f t="shared" ca="1" si="9"/>
        <v>10.228237226067861</v>
      </c>
      <c r="Z16" s="6">
        <f t="shared" ca="1" si="10"/>
        <v>10.140559142914901</v>
      </c>
      <c r="AA16" s="6">
        <f t="shared" ca="1" si="11"/>
        <v>9.982335506242233</v>
      </c>
      <c r="AB16" s="2">
        <f t="shared" ca="1" si="12"/>
        <v>9.9670182345161926</v>
      </c>
      <c r="AC16" s="2">
        <f>'Historical Trends'!G47</f>
        <v>9.57</v>
      </c>
      <c r="AE16" s="13">
        <f t="shared" ca="1" si="17"/>
        <v>2.556666666666608</v>
      </c>
      <c r="AF16">
        <f t="shared" ca="1" si="18"/>
        <v>0.71999999999999886</v>
      </c>
      <c r="AG16">
        <f t="shared" ca="1" si="19"/>
        <v>0.71499999999999986</v>
      </c>
      <c r="AH16">
        <f t="shared" ca="1" si="20"/>
        <v>0.26999999999999957</v>
      </c>
      <c r="AI16">
        <f t="shared" ca="1" si="21"/>
        <v>-0.12750000000000128</v>
      </c>
      <c r="AJ16">
        <f t="shared" ca="1" si="22"/>
        <v>-1.2400000000000002</v>
      </c>
      <c r="AK16">
        <f t="shared" ca="1" si="23"/>
        <v>-2.2000000000000002</v>
      </c>
      <c r="AL16">
        <f t="shared" ca="1" si="24"/>
        <v>-3.1757142857142862</v>
      </c>
      <c r="AM16" s="13">
        <f>K16-$AC16</f>
        <v>-0.16999999999999993</v>
      </c>
      <c r="AN16">
        <f t="shared" si="37"/>
        <v>0.20999999999999908</v>
      </c>
      <c r="AO16">
        <f t="shared" si="25"/>
        <v>0.56999999999999851</v>
      </c>
      <c r="AP16">
        <f t="shared" si="26"/>
        <v>0.56999999999999851</v>
      </c>
      <c r="AQ16">
        <f t="shared" si="27"/>
        <v>0.1899999999999995</v>
      </c>
      <c r="AR16">
        <f t="shared" si="28"/>
        <v>5.0000000000000711E-2</v>
      </c>
      <c r="AS16" s="30">
        <f t="shared" si="14"/>
        <v>-1.3403333333333336</v>
      </c>
      <c r="AT16">
        <f t="shared" si="4"/>
        <v>-6.5217391304361882E-3</v>
      </c>
      <c r="AU16">
        <f t="shared" si="4"/>
        <v>0.54402777777777622</v>
      </c>
      <c r="AV16">
        <f t="shared" si="4"/>
        <v>0.38279999999999781</v>
      </c>
      <c r="AW16">
        <f t="shared" si="4"/>
        <v>0.11453333333333227</v>
      </c>
      <c r="AX16">
        <f t="shared" si="4"/>
        <v>0.20520000000000138</v>
      </c>
      <c r="AY16" s="13">
        <f ca="1">W16-$AC16</f>
        <v>0.68806612548433144</v>
      </c>
      <c r="AZ16" s="6">
        <f t="shared" ca="1" si="38"/>
        <v>0.52144930621019014</v>
      </c>
      <c r="BA16" s="6">
        <f t="shared" ca="1" si="29"/>
        <v>0.65823722606786106</v>
      </c>
      <c r="BB16" s="6">
        <f t="shared" ca="1" si="30"/>
        <v>0.57055914291490062</v>
      </c>
      <c r="BC16" s="6">
        <f t="shared" ca="1" si="31"/>
        <v>0.4123355062422327</v>
      </c>
      <c r="BD16" s="2">
        <f t="shared" ca="1" si="32"/>
        <v>0.39701823451619234</v>
      </c>
      <c r="BE16" t="s">
        <v>189</v>
      </c>
      <c r="BG16">
        <v>0.62218027785683949</v>
      </c>
    </row>
    <row r="17" spans="1:74" x14ac:dyDescent="0.25">
      <c r="A17" t="s">
        <v>70</v>
      </c>
      <c r="B17">
        <f>B16+1</f>
        <v>1</v>
      </c>
      <c r="C17" s="13">
        <f ca="1">'Historical Trends'!Q47</f>
        <v>13.220000000000027</v>
      </c>
      <c r="D17">
        <f ca="1">AVERAGE(OFFSET('Historical Trends'!$G$48,$B6,0,'Polling Correlations - GRN'!D$4,1))</f>
        <v>10.28</v>
      </c>
      <c r="E17">
        <f ca="1">AVERAGE(OFFSET('Historical Trends'!$G$48,$B6,0,'Polling Correlations - GRN'!E$4,1))</f>
        <v>9.6149999999999984</v>
      </c>
      <c r="F17">
        <f ca="1">AVERAGE(OFFSET('Historical Trends'!$G$48,$B6,0,'Polling Correlations - GRN'!F$4,1))</f>
        <v>9.1599999999999984</v>
      </c>
      <c r="G17">
        <f ca="1">AVERAGE(OFFSET('Historical Trends'!$G$48,$B6,0,'Polling Correlations - GRN'!G$4,1))</f>
        <v>7.839999999999999</v>
      </c>
      <c r="H17">
        <f ca="1">AVERAGE(OFFSET('Historical Trends'!$G$48,$B6,0,'Polling Correlations - GRN'!H$4,1))</f>
        <v>6.7859999999999987</v>
      </c>
      <c r="I17">
        <f ca="1">AVERAGE(OFFSET('Historical Trends'!$G$48,$B6,0,'Polling Correlations - GRN'!I$4,1))</f>
        <v>5.7449999999999983</v>
      </c>
      <c r="J17">
        <f ca="1">AVERAGE(OFFSET('Historical Trends'!$G$48,$B6,0,'Polling Correlations - GRN'!J$4,1))</f>
        <v>5.7449999999999983</v>
      </c>
      <c r="K17" s="13">
        <f>(10+11+11+8+11)/5</f>
        <v>10.199999999999999</v>
      </c>
      <c r="L17">
        <f>(12+10+10+10+12)/5</f>
        <v>10.8</v>
      </c>
      <c r="M17">
        <f>(11+13+13+11+11)/5</f>
        <v>11.8</v>
      </c>
      <c r="N17">
        <f>(7+11+11+13+11)/5</f>
        <v>10.6</v>
      </c>
      <c r="O17">
        <f>(10+11+10+11+11)/5</f>
        <v>10.6</v>
      </c>
      <c r="P17">
        <f>(10.5+11+11+10+9)/5</f>
        <v>10.3</v>
      </c>
      <c r="Q17" s="30">
        <f>K17-AVERAGE(AM$5:AM16,AM18:AM$30)</f>
        <v>9.033666666666667</v>
      </c>
      <c r="R17" s="31">
        <f>L17-AVERAGE(AN$5:AN16,AN18:AN$30)</f>
        <v>10.596521739130436</v>
      </c>
      <c r="S17" s="31">
        <f>M17-AVERAGE(AO$5:AO16,AO18:AO$30)</f>
        <v>11.813194444444445</v>
      </c>
      <c r="T17" s="31">
        <f>N17-AVERAGE(AP$5:AP16,AP18:AP$30)</f>
        <v>10.4024</v>
      </c>
      <c r="U17" s="31">
        <f>O17-AVERAGE(AQ$5:AQ16,AQ18:AQ$30)</f>
        <v>10.529333333333334</v>
      </c>
      <c r="V17" s="31">
        <f>P17-AVERAGE(AR$5:AR16,AR18:AR$30)</f>
        <v>10.4536</v>
      </c>
      <c r="W17" s="13">
        <f t="shared" ca="1" si="7"/>
        <v>10.260682614979116</v>
      </c>
      <c r="X17" s="6">
        <f t="shared" ca="1" si="8"/>
        <v>10.366502037749241</v>
      </c>
      <c r="Y17" s="6">
        <f t="shared" ca="1" si="9"/>
        <v>10.818120964038574</v>
      </c>
      <c r="Z17" s="6">
        <f t="shared" ca="1" si="10"/>
        <v>10.334245435667899</v>
      </c>
      <c r="AA17" s="6">
        <f t="shared" ca="1" si="11"/>
        <v>10.406697336121344</v>
      </c>
      <c r="AB17" s="2">
        <f t="shared" ca="1" si="12"/>
        <v>10.388915373908292</v>
      </c>
      <c r="AC17" s="2">
        <f>'Historical Trends'!G48</f>
        <v>10.29</v>
      </c>
      <c r="AE17" s="13">
        <f t="shared" ca="1" si="17"/>
        <v>2.9300000000000281</v>
      </c>
      <c r="AF17">
        <f t="shared" ca="1" si="18"/>
        <v>-9.9999999999997868E-3</v>
      </c>
      <c r="AG17">
        <f t="shared" ca="1" si="19"/>
        <v>-0.67500000000000071</v>
      </c>
      <c r="AH17">
        <f t="shared" ca="1" si="20"/>
        <v>-1.1300000000000008</v>
      </c>
      <c r="AI17">
        <f t="shared" ca="1" si="21"/>
        <v>-2.4500000000000002</v>
      </c>
      <c r="AJ17">
        <f t="shared" ca="1" si="22"/>
        <v>-3.5040000000000004</v>
      </c>
      <c r="AK17">
        <f t="shared" ca="1" si="23"/>
        <v>-4.5450000000000008</v>
      </c>
      <c r="AL17">
        <f t="shared" ca="1" si="24"/>
        <v>-4.5450000000000008</v>
      </c>
      <c r="AM17" s="13">
        <f>K17-$AC17</f>
        <v>-8.9999999999999858E-2</v>
      </c>
      <c r="AN17">
        <f t="shared" si="37"/>
        <v>0.51000000000000156</v>
      </c>
      <c r="AO17">
        <f t="shared" si="25"/>
        <v>1.5100000000000016</v>
      </c>
      <c r="AP17">
        <f t="shared" si="26"/>
        <v>0.3100000000000005</v>
      </c>
      <c r="AQ17">
        <f t="shared" si="27"/>
        <v>0.3100000000000005</v>
      </c>
      <c r="AR17">
        <f t="shared" si="28"/>
        <v>1.0000000000001563E-2</v>
      </c>
      <c r="AS17" s="30">
        <f t="shared" si="14"/>
        <v>-1.2563333333333322</v>
      </c>
      <c r="AT17">
        <f t="shared" si="4"/>
        <v>0.3065217391304369</v>
      </c>
      <c r="AU17">
        <f t="shared" si="4"/>
        <v>1.5231944444444458</v>
      </c>
      <c r="AV17">
        <f t="shared" si="4"/>
        <v>0.11240000000000094</v>
      </c>
      <c r="AW17">
        <f t="shared" si="4"/>
        <v>0.23933333333333451</v>
      </c>
      <c r="AX17">
        <f t="shared" si="4"/>
        <v>0.16360000000000063</v>
      </c>
      <c r="AY17" s="13">
        <f ca="1">W17-$AC17</f>
        <v>-2.9317385020883435E-2</v>
      </c>
      <c r="AZ17" s="6">
        <f t="shared" ca="1" si="38"/>
        <v>7.650203774924158E-2</v>
      </c>
      <c r="BA17" s="6">
        <f t="shared" ca="1" si="29"/>
        <v>0.52812096403857467</v>
      </c>
      <c r="BB17" s="6">
        <f t="shared" ca="1" si="30"/>
        <v>4.4245435667900068E-2</v>
      </c>
      <c r="BC17" s="6">
        <f t="shared" ca="1" si="31"/>
        <v>0.11669733612134436</v>
      </c>
      <c r="BD17" s="2">
        <f t="shared" ca="1" si="32"/>
        <v>9.8915373908292636E-2</v>
      </c>
      <c r="BE17" t="s">
        <v>190</v>
      </c>
      <c r="BG17">
        <v>8.6966856177334595</v>
      </c>
    </row>
    <row r="18" spans="1:74" x14ac:dyDescent="0.25">
      <c r="A18" t="s">
        <v>72</v>
      </c>
      <c r="B18">
        <f>B17+1</f>
        <v>2</v>
      </c>
      <c r="C18" s="13">
        <f ca="1">'Historical Trends'!Q48</f>
        <v>12.965999999999894</v>
      </c>
      <c r="D18">
        <f ca="1">AVERAGE(OFFSET('Historical Trends'!$G$48,$B7,0,'Polling Correlations - GRN'!D$4,1))</f>
        <v>8.9499999999999993</v>
      </c>
      <c r="E18">
        <f ca="1">AVERAGE(OFFSET('Historical Trends'!$G$48,$B7,0,'Polling Correlations - GRN'!E$4,1))</f>
        <v>8.6</v>
      </c>
      <c r="F18">
        <f ca="1">AVERAGE(OFFSET('Historical Trends'!$G$48,$B7,0,'Polling Correlations - GRN'!F$4,1))</f>
        <v>7.0266666666666664</v>
      </c>
      <c r="G18">
        <f ca="1">AVERAGE(OFFSET('Historical Trends'!$G$48,$B7,0,'Polling Correlations - GRN'!G$4,1))</f>
        <v>5.9124999999999996</v>
      </c>
      <c r="H18">
        <f ca="1">AVERAGE(OFFSET('Historical Trends'!$G$48,$B7,0,'Polling Correlations - GRN'!H$4,1))</f>
        <v>4.8379999999999992</v>
      </c>
      <c r="I18">
        <f ca="1">AVERAGE(OFFSET('Historical Trends'!$G$48,$B7,0,'Polling Correlations - GRN'!I$4,1))</f>
        <v>4.8379999999999992</v>
      </c>
      <c r="J18">
        <f ca="1">AVERAGE(OFFSET('Historical Trends'!$G$48,$B7,0,'Polling Correlations - GRN'!J$4,1))</f>
        <v>4.8379999999999992</v>
      </c>
      <c r="K18" s="13">
        <f>(15+14+11+13+13)/5</f>
        <v>13.2</v>
      </c>
      <c r="L18">
        <f>(12+15+12+17+12)/5</f>
        <v>13.6</v>
      </c>
      <c r="M18">
        <f>(14+16+14+12+15)/5</f>
        <v>14.2</v>
      </c>
      <c r="N18">
        <f>(15+17+14+16+14)/5</f>
        <v>15.2</v>
      </c>
      <c r="O18">
        <f>(13+12+17+12+15)/5</f>
        <v>13.8</v>
      </c>
      <c r="P18">
        <f>(13+12+12+11+11)/5</f>
        <v>11.8</v>
      </c>
      <c r="Q18" s="30">
        <f>K18-AVERAGE(AM$5:AM17,AM19:AM$30)</f>
        <v>12.184166666666666</v>
      </c>
      <c r="R18" s="31">
        <f>L18-AVERAGE(AN$5:AN17,AN19:AN$30)</f>
        <v>13.518695652173912</v>
      </c>
      <c r="S18" s="31">
        <f>M18-AVERAGE(AO$5:AO17,AO19:AO$30)</f>
        <v>14.31361111111111</v>
      </c>
      <c r="T18" s="31">
        <f>N18-AVERAGE(AP$5:AP17,AP19:AP$30)</f>
        <v>15.1868</v>
      </c>
      <c r="U18" s="31">
        <f>O18-AVERAGE(AQ$5:AQ17,AQ19:AQ$30)</f>
        <v>13.857733333333334</v>
      </c>
      <c r="V18" s="31">
        <f>P18-AVERAGE(AR$5:AR17,AR19:AR$30)</f>
        <v>12.014000000000001</v>
      </c>
      <c r="W18" s="13">
        <f t="shared" ca="1" si="7"/>
        <v>9.0001275550053812</v>
      </c>
      <c r="X18" s="6">
        <f t="shared" ca="1" si="8"/>
        <v>10.198576116303592</v>
      </c>
      <c r="Y18" s="6">
        <f t="shared" ca="1" si="9"/>
        <v>10.832521549890537</v>
      </c>
      <c r="Z18" s="6">
        <f t="shared" ca="1" si="10"/>
        <v>11.714035401744757</v>
      </c>
      <c r="AA18" s="6">
        <f t="shared" ca="1" si="11"/>
        <v>11.443837191419485</v>
      </c>
      <c r="AB18" s="2">
        <f t="shared" ca="1" si="12"/>
        <v>10.872331253773092</v>
      </c>
      <c r="AC18" s="2">
        <f>'Historical Trends'!G49</f>
        <v>10.28</v>
      </c>
      <c r="AE18" s="13">
        <f t="shared" ca="1" si="17"/>
        <v>2.6859999999998951</v>
      </c>
      <c r="AF18">
        <f t="shared" ca="1" si="18"/>
        <v>-1.33</v>
      </c>
      <c r="AG18">
        <f t="shared" ca="1" si="19"/>
        <v>-1.6799999999999997</v>
      </c>
      <c r="AH18">
        <f t="shared" ca="1" si="20"/>
        <v>-3.253333333333333</v>
      </c>
      <c r="AI18">
        <f t="shared" ca="1" si="21"/>
        <v>-4.3674999999999997</v>
      </c>
      <c r="AJ18">
        <f t="shared" ca="1" si="22"/>
        <v>-5.4420000000000002</v>
      </c>
      <c r="AK18">
        <f t="shared" ca="1" si="23"/>
        <v>-5.4420000000000002</v>
      </c>
      <c r="AL18">
        <f t="shared" ca="1" si="24"/>
        <v>-5.4420000000000002</v>
      </c>
      <c r="AM18" s="13">
        <f>K18-$AC18</f>
        <v>2.92</v>
      </c>
      <c r="AN18">
        <f t="shared" si="37"/>
        <v>3.3200000000000003</v>
      </c>
      <c r="AO18">
        <f t="shared" si="25"/>
        <v>3.92</v>
      </c>
      <c r="AP18">
        <f t="shared" si="26"/>
        <v>4.92</v>
      </c>
      <c r="AQ18">
        <f t="shared" si="27"/>
        <v>3.5200000000000014</v>
      </c>
      <c r="AR18">
        <f t="shared" si="28"/>
        <v>1.5200000000000014</v>
      </c>
      <c r="AS18" s="30">
        <f t="shared" si="14"/>
        <v>1.9041666666666668</v>
      </c>
      <c r="AT18">
        <f t="shared" si="4"/>
        <v>3.238695652173913</v>
      </c>
      <c r="AU18">
        <f t="shared" si="4"/>
        <v>4.0336111111111101</v>
      </c>
      <c r="AV18">
        <f t="shared" si="4"/>
        <v>4.9068000000000005</v>
      </c>
      <c r="AW18">
        <f t="shared" si="4"/>
        <v>3.5777333333333345</v>
      </c>
      <c r="AX18">
        <f t="shared" si="4"/>
        <v>1.7340000000000018</v>
      </c>
      <c r="AY18" s="13">
        <f ca="1">W18-$AC18</f>
        <v>-1.2798724449946182</v>
      </c>
      <c r="AZ18" s="6">
        <f t="shared" ca="1" si="38"/>
        <v>-8.1423883696407628E-2</v>
      </c>
      <c r="BA18" s="6">
        <f t="shared" ca="1" si="29"/>
        <v>0.55252154989053714</v>
      </c>
      <c r="BB18" s="6">
        <f t="shared" ca="1" si="30"/>
        <v>1.4340354017447581</v>
      </c>
      <c r="BC18" s="6">
        <f t="shared" ca="1" si="31"/>
        <v>1.1638371914194856</v>
      </c>
      <c r="BD18" s="2">
        <f t="shared" ca="1" si="32"/>
        <v>0.59233125377309293</v>
      </c>
      <c r="BE18" t="s">
        <v>191</v>
      </c>
      <c r="BG18">
        <v>0.32349167174795279</v>
      </c>
    </row>
    <row r="19" spans="1:74" x14ac:dyDescent="0.25">
      <c r="A19" t="s">
        <v>73</v>
      </c>
      <c r="B19">
        <f>B18+1</f>
        <v>3</v>
      </c>
      <c r="C19" s="13">
        <f ca="1">'Historical Trends'!Q49</f>
        <v>11.587999999999965</v>
      </c>
      <c r="D19">
        <f ca="1">AVERAGE(OFFSET('Historical Trends'!$G$48,$B8,0,'Polling Correlations - GRN'!D$4,1))</f>
        <v>8.25</v>
      </c>
      <c r="E19">
        <f ca="1">AVERAGE(OFFSET('Historical Trends'!$G$48,$B8,0,'Polling Correlations - GRN'!E$4,1))</f>
        <v>6.0649999999999995</v>
      </c>
      <c r="F19">
        <f ca="1">AVERAGE(OFFSET('Historical Trends'!$G$48,$B8,0,'Polling Correlations - GRN'!F$4,1))</f>
        <v>4.8999999999999995</v>
      </c>
      <c r="G19">
        <f ca="1">AVERAGE(OFFSET('Historical Trends'!$G$48,$B8,0,'Polling Correlations - GRN'!G$4,1))</f>
        <v>3.8099999999999996</v>
      </c>
      <c r="H19">
        <f ca="1">AVERAGE(OFFSET('Historical Trends'!$G$48,$B8,0,'Polling Correlations - GRN'!H$4,1))</f>
        <v>3.8099999999999996</v>
      </c>
      <c r="I19">
        <f ca="1">AVERAGE(OFFSET('Historical Trends'!$G$48,$B8,0,'Polling Correlations - GRN'!I$4,1))</f>
        <v>3.8099999999999996</v>
      </c>
      <c r="J19">
        <f ca="1">AVERAGE(OFFSET('Historical Trends'!$G$48,$B8,0,'Polling Correlations - GRN'!J$4,1))</f>
        <v>3.8099999999999996</v>
      </c>
      <c r="L19">
        <f>(6+7+8)/3</f>
        <v>7</v>
      </c>
      <c r="M19">
        <f>(6+7+6)/3</f>
        <v>6.333333333333333</v>
      </c>
      <c r="N19">
        <f>(7+7+6)/3</f>
        <v>6.666666666666667</v>
      </c>
      <c r="O19">
        <f>(7+7+7)/3</f>
        <v>7</v>
      </c>
      <c r="P19">
        <f>(10+7+7)/3</f>
        <v>8</v>
      </c>
      <c r="Q19" s="30">
        <f>K19-AVERAGE(AM$5:AM18,AM20:AM$30)</f>
        <v>-1.1065079365079364</v>
      </c>
      <c r="R19" s="31">
        <f>L19-AVERAGE(AN$5:AN18,AN20:AN$30)</f>
        <v>6.6895652173913041</v>
      </c>
      <c r="S19" s="31">
        <f>M19-AVERAGE(AO$5:AO18,AO20:AO$30)</f>
        <v>6.1745833333333326</v>
      </c>
      <c r="T19" s="31">
        <f>N19-AVERAGE(AP$5:AP18,AP20:AP$30)</f>
        <v>6.365333333333334</v>
      </c>
      <c r="U19" s="31">
        <f>O19-AVERAGE(AQ$5:AQ18,AQ20:AQ$30)</f>
        <v>6.8389333333333333</v>
      </c>
      <c r="V19" s="31">
        <f>P19-AVERAGE(AR$5:AR18,AR20:AR$30)</f>
        <v>8.1151999999999997</v>
      </c>
      <c r="W19" s="13">
        <f t="shared" ca="1" si="7"/>
        <v>8.1049799949768886</v>
      </c>
      <c r="X19" s="6">
        <f t="shared" ca="1" si="8"/>
        <v>7.8235497067554629</v>
      </c>
      <c r="Y19" s="6">
        <f t="shared" ca="1" si="9"/>
        <v>7.521569746749849</v>
      </c>
      <c r="Z19" s="6">
        <f t="shared" ca="1" si="10"/>
        <v>7.4147502906690992</v>
      </c>
      <c r="AA19" s="6">
        <f t="shared" ca="1" si="11"/>
        <v>7.5329743806565848</v>
      </c>
      <c r="AB19" s="2">
        <f t="shared" ca="1" si="12"/>
        <v>8.1654274631172932</v>
      </c>
      <c r="AC19" s="2">
        <f>'Historical Trends'!G50</f>
        <v>8.9499999999999993</v>
      </c>
      <c r="AE19" s="13">
        <f t="shared" ca="1" si="17"/>
        <v>2.6379999999999661</v>
      </c>
      <c r="AF19">
        <f t="shared" ca="1" si="18"/>
        <v>-0.69999999999999929</v>
      </c>
      <c r="AG19">
        <f t="shared" ca="1" si="19"/>
        <v>-2.8849999999999998</v>
      </c>
      <c r="AH19">
        <f t="shared" ca="1" si="20"/>
        <v>-4.05</v>
      </c>
      <c r="AI19">
        <f t="shared" ca="1" si="21"/>
        <v>-5.14</v>
      </c>
      <c r="AJ19">
        <f t="shared" ca="1" si="22"/>
        <v>-5.14</v>
      </c>
      <c r="AK19">
        <f t="shared" ca="1" si="23"/>
        <v>-5.14</v>
      </c>
      <c r="AL19">
        <f t="shared" ca="1" si="24"/>
        <v>-5.14</v>
      </c>
      <c r="AN19">
        <f t="shared" si="37"/>
        <v>-1.9499999999999993</v>
      </c>
      <c r="AO19">
        <f t="shared" si="25"/>
        <v>-2.6166666666666663</v>
      </c>
      <c r="AP19">
        <f t="shared" si="26"/>
        <v>-2.2833333333333323</v>
      </c>
      <c r="AQ19">
        <f t="shared" si="27"/>
        <v>-1.9499999999999993</v>
      </c>
      <c r="AR19">
        <f t="shared" si="28"/>
        <v>-0.94999999999999929</v>
      </c>
      <c r="AS19" s="30"/>
      <c r="AT19">
        <f t="shared" si="4"/>
        <v>-2.2604347826086952</v>
      </c>
      <c r="AU19">
        <f t="shared" si="4"/>
        <v>-2.7754166666666666</v>
      </c>
      <c r="AV19">
        <f t="shared" si="4"/>
        <v>-2.5846666666666653</v>
      </c>
      <c r="AW19">
        <f t="shared" si="4"/>
        <v>-2.111066666666666</v>
      </c>
      <c r="AX19">
        <f t="shared" si="4"/>
        <v>-0.83479999999999954</v>
      </c>
      <c r="AZ19" s="6">
        <f t="shared" ca="1" si="38"/>
        <v>-1.1264502932445364</v>
      </c>
      <c r="BA19" s="6">
        <f t="shared" ca="1" si="29"/>
        <v>-1.4284302532501503</v>
      </c>
      <c r="BB19" s="6">
        <f t="shared" ca="1" si="30"/>
        <v>-1.5352497093309001</v>
      </c>
      <c r="BC19" s="6">
        <f t="shared" ca="1" si="31"/>
        <v>-1.4170256193434145</v>
      </c>
      <c r="BD19" s="2">
        <f t="shared" ca="1" si="32"/>
        <v>-0.78457253688270612</v>
      </c>
    </row>
    <row r="20" spans="1:74" x14ac:dyDescent="0.25">
      <c r="A20" t="s">
        <v>91</v>
      </c>
      <c r="B20">
        <v>0</v>
      </c>
      <c r="C20" s="13">
        <f ca="1">'Historical Trends'!Q65</f>
        <v>15.321850828729112</v>
      </c>
      <c r="D20">
        <f ca="1">AVERAGE(OFFSET('Historical Trends'!$G$66,$B5,0,'Polling Correlations - GRN'!D$4,1))</f>
        <v>11.48</v>
      </c>
      <c r="E20">
        <f ca="1">AVERAGE(OFFSET('Historical Trends'!$G$66,$B5,0,'Polling Correlations - GRN'!E$4,1))</f>
        <v>11.345000000000001</v>
      </c>
      <c r="F20">
        <f ca="1">AVERAGE(OFFSET('Historical Trends'!$G$66,$B5,0,'Polling Correlations - GRN'!F$4,1))</f>
        <v>10.910000000000002</v>
      </c>
      <c r="G20">
        <f ca="1">AVERAGE(OFFSET('Historical Trends'!$G$66,$B5,0,'Polling Correlations - GRN'!G$4,1))</f>
        <v>10.615000000000002</v>
      </c>
      <c r="H20">
        <f ca="1">AVERAGE(OFFSET('Historical Trends'!$G$66,$B5,0,'Polling Correlations - GRN'!H$4,1))</f>
        <v>8.7220000000000013</v>
      </c>
      <c r="I20">
        <f ca="1">AVERAGE(OFFSET('Historical Trends'!$G$66,$B5,0,'Polling Correlations - GRN'!I$4,1))</f>
        <v>8.7220000000000013</v>
      </c>
      <c r="J20">
        <f ca="1">AVERAGE(OFFSET('Historical Trends'!$G$66,$B5,0,'Polling Correlations - GRN'!J$4,1))</f>
        <v>8.7220000000000013</v>
      </c>
      <c r="K20" s="13">
        <f>(12+12+10.7+12+12)/5</f>
        <v>11.74</v>
      </c>
      <c r="L20">
        <f>(10+10+8+8+10)/5</f>
        <v>9.1999999999999993</v>
      </c>
      <c r="M20">
        <f>(11+11+10+10+10)/5</f>
        <v>10.4</v>
      </c>
      <c r="N20">
        <f>(10+10.9+11+11+10)/5</f>
        <v>10.58</v>
      </c>
      <c r="O20">
        <f>(10.9+10+10+10.9+11)/5</f>
        <v>10.559999999999999</v>
      </c>
      <c r="P20">
        <f>(11+11+11+10.3+11)/5</f>
        <v>10.86</v>
      </c>
      <c r="Q20" s="30">
        <f>K20-AVERAGE(AM$5:AM19,AM21:AM$30)</f>
        <v>10.629666666666667</v>
      </c>
      <c r="R20" s="31">
        <f>L20-AVERAGE(AN$5:AN19,AN21:AN$30)</f>
        <v>8.9086956521739129</v>
      </c>
      <c r="S20" s="31">
        <f>M20-AVERAGE(AO$5:AO19,AO21:AO$30)</f>
        <v>10.337361111111111</v>
      </c>
      <c r="T20" s="31">
        <f>N20-AVERAGE(AP$5:AP19,AP21:AP$30)</f>
        <v>10.364800000000001</v>
      </c>
      <c r="U20" s="31">
        <f>O20-AVERAGE(AQ$5:AQ19,AQ21:AQ$30)</f>
        <v>10.470933333333331</v>
      </c>
      <c r="V20" s="31">
        <f>P20-AVERAGE(AR$5:AR19,AR21:AR$30)</f>
        <v>11.0192</v>
      </c>
      <c r="W20" s="13">
        <f t="shared" ca="1" si="7"/>
        <v>11.466820366625228</v>
      </c>
      <c r="X20" s="6">
        <f t="shared" ca="1" si="8"/>
        <v>10.77728976476785</v>
      </c>
      <c r="Y20" s="6">
        <f t="shared" ca="1" si="9"/>
        <v>11.078956321120994</v>
      </c>
      <c r="Z20" s="6">
        <f t="shared" ca="1" si="10"/>
        <v>10.985763808359135</v>
      </c>
      <c r="AA20" s="6">
        <f t="shared" ca="1" si="11"/>
        <v>10.967248427932443</v>
      </c>
      <c r="AB20" s="2">
        <f t="shared" ca="1" si="12"/>
        <v>11.190897440685822</v>
      </c>
      <c r="AC20" s="2">
        <f>'Historical Trends'!G65</f>
        <v>10.71</v>
      </c>
      <c r="AE20" s="13">
        <f t="shared" ca="1" si="17"/>
        <v>4.6118508287291107</v>
      </c>
      <c r="AF20">
        <f t="shared" ca="1" si="18"/>
        <v>0.76999999999999957</v>
      </c>
      <c r="AG20">
        <f t="shared" ca="1" si="19"/>
        <v>0.63499999999999979</v>
      </c>
      <c r="AH20">
        <f t="shared" ca="1" si="20"/>
        <v>0.20000000000000107</v>
      </c>
      <c r="AI20">
        <f t="shared" ca="1" si="21"/>
        <v>-9.4999999999998863E-2</v>
      </c>
      <c r="AJ20">
        <f t="shared" ca="1" si="22"/>
        <v>-1.9879999999999995</v>
      </c>
      <c r="AK20">
        <f t="shared" ca="1" si="23"/>
        <v>-1.9879999999999995</v>
      </c>
      <c r="AL20">
        <f t="shared" ca="1" si="24"/>
        <v>-1.9879999999999995</v>
      </c>
      <c r="AM20" s="13">
        <f>K20-$AC20</f>
        <v>1.0299999999999994</v>
      </c>
      <c r="AN20">
        <f t="shared" si="37"/>
        <v>-1.5100000000000016</v>
      </c>
      <c r="AO20">
        <f t="shared" si="25"/>
        <v>-0.3100000000000005</v>
      </c>
      <c r="AP20">
        <f t="shared" si="26"/>
        <v>-0.13000000000000078</v>
      </c>
      <c r="AQ20">
        <f t="shared" si="27"/>
        <v>-0.15000000000000213</v>
      </c>
      <c r="AR20">
        <f t="shared" si="28"/>
        <v>0.14999999999999858</v>
      </c>
      <c r="AS20" s="30">
        <f t="shared" si="14"/>
        <v>-8.0333333333333812E-2</v>
      </c>
      <c r="AT20">
        <f t="shared" si="4"/>
        <v>-1.8013043478260879</v>
      </c>
      <c r="AU20">
        <f t="shared" si="4"/>
        <v>-0.37263888888888985</v>
      </c>
      <c r="AV20">
        <f t="shared" si="4"/>
        <v>-0.34520000000000017</v>
      </c>
      <c r="AW20">
        <f t="shared" si="4"/>
        <v>-0.23906666666666965</v>
      </c>
      <c r="AX20">
        <f t="shared" si="4"/>
        <v>0.30919999999999881</v>
      </c>
      <c r="AY20" s="13">
        <f ca="1">W20-$AC20</f>
        <v>0.75682036662522734</v>
      </c>
      <c r="AZ20" s="6">
        <f t="shared" ca="1" si="38"/>
        <v>6.7289764767849647E-2</v>
      </c>
      <c r="BA20" s="6">
        <f t="shared" ca="1" si="29"/>
        <v>0.36895632112099364</v>
      </c>
      <c r="BB20" s="6">
        <f t="shared" ca="1" si="30"/>
        <v>0.27576380835913383</v>
      </c>
      <c r="BC20" s="6">
        <f t="shared" ca="1" si="31"/>
        <v>0.25724842793244207</v>
      </c>
      <c r="BD20" s="2">
        <f t="shared" ca="1" si="32"/>
        <v>0.48089744068582085</v>
      </c>
      <c r="BE20" t="s">
        <v>194</v>
      </c>
      <c r="BG20">
        <f ca="1">SLOPE(BG8:BM8,BG6:BM6)</f>
        <v>7.5317363509732199E-2</v>
      </c>
    </row>
    <row r="21" spans="1:74" x14ac:dyDescent="0.25">
      <c r="A21" t="s">
        <v>92</v>
      </c>
      <c r="B21">
        <f>B20+1</f>
        <v>1</v>
      </c>
      <c r="C21" s="13">
        <f ca="1">'Historical Trends'!Q66</f>
        <v>15.704509090909141</v>
      </c>
      <c r="D21">
        <f ca="1">AVERAGE(OFFSET('Historical Trends'!$G$66,$B6,0,'Polling Correlations - GRN'!D$4,1))</f>
        <v>11.21</v>
      </c>
      <c r="E21">
        <f ca="1">AVERAGE(OFFSET('Historical Trends'!$G$66,$B6,0,'Polling Correlations - GRN'!E$4,1))</f>
        <v>10.625</v>
      </c>
      <c r="F21">
        <f ca="1">AVERAGE(OFFSET('Historical Trends'!$G$66,$B6,0,'Polling Correlations - GRN'!F$4,1))</f>
        <v>10.326666666666666</v>
      </c>
      <c r="G21">
        <f ca="1">AVERAGE(OFFSET('Historical Trends'!$G$66,$B6,0,'Polling Correlations - GRN'!G$4,1))</f>
        <v>8.0325000000000006</v>
      </c>
      <c r="H21">
        <f ca="1">AVERAGE(OFFSET('Historical Trends'!$G$66,$B6,0,'Polling Correlations - GRN'!H$4,1))</f>
        <v>8.0325000000000006</v>
      </c>
      <c r="I21">
        <f ca="1">AVERAGE(OFFSET('Historical Trends'!$G$66,$B6,0,'Polling Correlations - GRN'!I$4,1))</f>
        <v>8.0325000000000006</v>
      </c>
      <c r="J21">
        <f ca="1">AVERAGE(OFFSET('Historical Trends'!$G$66,$B6,0,'Polling Correlations - GRN'!J$4,1))</f>
        <v>8.0325000000000006</v>
      </c>
      <c r="K21" s="13">
        <f>(11+13+13+17+14)/5</f>
        <v>13.6</v>
      </c>
      <c r="L21">
        <f>(13+11+13+14+13)/5</f>
        <v>12.8</v>
      </c>
      <c r="M21">
        <f>(13+12+13+13+11)/5</f>
        <v>12.4</v>
      </c>
      <c r="N21">
        <f>(12+16+16+14+16)/5</f>
        <v>14.8</v>
      </c>
      <c r="O21">
        <f>(13.3+12+11+12+16)/5</f>
        <v>12.86</v>
      </c>
      <c r="P21">
        <f>(13.5+12+13+13+13)/5</f>
        <v>12.9</v>
      </c>
      <c r="Q21" s="30">
        <f>K21-AVERAGE(AM$5:AM20,AM22:AM$30)</f>
        <v>12.544166666666667</v>
      </c>
      <c r="R21" s="31">
        <f>L21-AVERAGE(AN$5:AN20,AN22:AN$30)</f>
        <v>12.631739130434783</v>
      </c>
      <c r="S21" s="31">
        <f>M21-AVERAGE(AO$5:AO20,AO22:AO$30)</f>
        <v>12.388611111111111</v>
      </c>
      <c r="T21" s="31">
        <f>N21-AVERAGE(AP$5:AP20,AP22:AP$30)</f>
        <v>14.722800000000001</v>
      </c>
      <c r="U21" s="31">
        <f>O21-AVERAGE(AQ$5:AQ20,AQ22:AQ$30)</f>
        <v>12.832133333333333</v>
      </c>
      <c r="V21" s="31">
        <f>P21-AVERAGE(AR$5:AR20,AR22:AR$30)</f>
        <v>13.11</v>
      </c>
      <c r="W21" s="13">
        <f t="shared" ca="1" si="7"/>
        <v>11.230678746602324</v>
      </c>
      <c r="X21" s="6">
        <f t="shared" ca="1" si="8"/>
        <v>11.598546240989034</v>
      </c>
      <c r="Y21" s="6">
        <f t="shared" ca="1" si="9"/>
        <v>11.623669218301597</v>
      </c>
      <c r="Z21" s="6">
        <f t="shared" ca="1" si="10"/>
        <v>12.766808549135613</v>
      </c>
      <c r="AA21" s="6">
        <f t="shared" ca="1" si="11"/>
        <v>12.03427796323651</v>
      </c>
      <c r="AB21" s="2">
        <f t="shared" ca="1" si="12"/>
        <v>12.402046143005506</v>
      </c>
      <c r="AC21" s="2">
        <f>'Historical Trends'!G66</f>
        <v>11.48</v>
      </c>
      <c r="AE21" s="13">
        <f t="shared" ca="1" si="17"/>
        <v>4.224509090909141</v>
      </c>
      <c r="AF21">
        <f t="shared" ca="1" si="18"/>
        <v>-0.26999999999999957</v>
      </c>
      <c r="AG21">
        <f t="shared" ca="1" si="19"/>
        <v>-0.85500000000000043</v>
      </c>
      <c r="AH21">
        <f t="shared" ca="1" si="20"/>
        <v>-1.1533333333333342</v>
      </c>
      <c r="AI21">
        <f t="shared" ca="1" si="21"/>
        <v>-3.4474999999999998</v>
      </c>
      <c r="AJ21">
        <f t="shared" ca="1" si="22"/>
        <v>-3.4474999999999998</v>
      </c>
      <c r="AK21">
        <f t="shared" ca="1" si="23"/>
        <v>-3.4474999999999998</v>
      </c>
      <c r="AL21">
        <f t="shared" ca="1" si="24"/>
        <v>-3.4474999999999998</v>
      </c>
      <c r="AM21" s="13">
        <f>K21-$AC21</f>
        <v>2.1199999999999992</v>
      </c>
      <c r="AN21">
        <f t="shared" si="37"/>
        <v>1.3200000000000003</v>
      </c>
      <c r="AO21">
        <f t="shared" si="25"/>
        <v>0.91999999999999993</v>
      </c>
      <c r="AP21">
        <f t="shared" si="26"/>
        <v>3.3200000000000003</v>
      </c>
      <c r="AQ21">
        <f t="shared" si="27"/>
        <v>1.379999999999999</v>
      </c>
      <c r="AR21">
        <f t="shared" si="28"/>
        <v>1.42</v>
      </c>
      <c r="AS21" s="30">
        <f t="shared" si="14"/>
        <v>1.0641666666666669</v>
      </c>
      <c r="AT21">
        <f t="shared" si="14"/>
        <v>1.1517391304347822</v>
      </c>
      <c r="AU21">
        <f t="shared" si="14"/>
        <v>0.90861111111111015</v>
      </c>
      <c r="AV21">
        <f t="shared" si="14"/>
        <v>3.2428000000000008</v>
      </c>
      <c r="AW21">
        <f t="shared" si="14"/>
        <v>1.3521333333333327</v>
      </c>
      <c r="AX21">
        <f t="shared" si="14"/>
        <v>1.629999999999999</v>
      </c>
      <c r="AY21" s="13">
        <f ca="1">W21-$AC21</f>
        <v>-0.2493212533976763</v>
      </c>
      <c r="AZ21" s="6">
        <f t="shared" ca="1" si="38"/>
        <v>0.11854624098903344</v>
      </c>
      <c r="BA21" s="6">
        <f t="shared" ca="1" si="29"/>
        <v>0.1436692183015964</v>
      </c>
      <c r="BB21" s="6">
        <f t="shared" ca="1" si="30"/>
        <v>1.2868085491356123</v>
      </c>
      <c r="BC21" s="6">
        <f t="shared" ca="1" si="31"/>
        <v>0.55427796323651002</v>
      </c>
      <c r="BD21" s="2">
        <f t="shared" ca="1" si="32"/>
        <v>0.92204614300550602</v>
      </c>
      <c r="BE21" t="s">
        <v>195</v>
      </c>
      <c r="BG21">
        <f ca="1">INTERCEPT(BG8:BM8,BG6:BM6)</f>
        <v>1.2764156753250331</v>
      </c>
      <c r="BP21" t="s">
        <v>152</v>
      </c>
      <c r="BQ21" t="s">
        <v>154</v>
      </c>
      <c r="BR21" t="s">
        <v>153</v>
      </c>
      <c r="BS21" t="s">
        <v>156</v>
      </c>
      <c r="BU21" t="s">
        <v>154</v>
      </c>
      <c r="BV21" t="s">
        <v>155</v>
      </c>
    </row>
    <row r="22" spans="1:74" x14ac:dyDescent="0.25">
      <c r="A22" t="s">
        <v>93</v>
      </c>
      <c r="B22">
        <f>B21+1</f>
        <v>2</v>
      </c>
      <c r="C22" s="13">
        <f ca="1">'Historical Trends'!Q67</f>
        <v>16.215810810811035</v>
      </c>
      <c r="D22">
        <f ca="1">AVERAGE(OFFSET('Historical Trends'!$G$66,$B7,0,'Polling Correlations - GRN'!D$4,1))</f>
        <v>10.039999999999999</v>
      </c>
      <c r="E22">
        <f ca="1">AVERAGE(OFFSET('Historical Trends'!$G$66,$B7,0,'Polling Correlations - GRN'!E$4,1))</f>
        <v>9.8849999999999998</v>
      </c>
      <c r="F22">
        <f ca="1">AVERAGE(OFFSET('Historical Trends'!$G$66,$B7,0,'Polling Correlations - GRN'!F$4,1))</f>
        <v>6.9733333333333327</v>
      </c>
      <c r="G22">
        <f ca="1">AVERAGE(OFFSET('Historical Trends'!$G$66,$B7,0,'Polling Correlations - GRN'!G$4,1))</f>
        <v>6.9733333333333327</v>
      </c>
      <c r="H22">
        <f ca="1">AVERAGE(OFFSET('Historical Trends'!$G$66,$B7,0,'Polling Correlations - GRN'!H$4,1))</f>
        <v>6.9733333333333327</v>
      </c>
      <c r="I22">
        <f ca="1">AVERAGE(OFFSET('Historical Trends'!$G$66,$B7,0,'Polling Correlations - GRN'!I$4,1))</f>
        <v>6.9733333333333327</v>
      </c>
      <c r="J22">
        <f ca="1">AVERAGE(OFFSET('Historical Trends'!$G$66,$B7,0,'Polling Correlations - GRN'!J$4,1))</f>
        <v>6.9733333333333327</v>
      </c>
      <c r="K22" s="13">
        <f>(11+15+12+14+12)/5</f>
        <v>12.8</v>
      </c>
      <c r="L22">
        <f>(15+12+14+15+13)/5</f>
        <v>13.8</v>
      </c>
      <c r="M22">
        <f>(14+14+14+14+15)/5</f>
        <v>14.2</v>
      </c>
      <c r="N22">
        <f>(17+18+14+14+14)/5</f>
        <v>15.4</v>
      </c>
      <c r="O22">
        <f>(16+19+14+12+17)/5</f>
        <v>15.6</v>
      </c>
      <c r="P22">
        <f>(15+14+14+14+16)/5</f>
        <v>14.6</v>
      </c>
      <c r="Q22" s="30">
        <f>K22-AVERAGE(AM$5:AM21,AM23:AM$30)</f>
        <v>11.717666666666668</v>
      </c>
      <c r="R22" s="31">
        <f>L22-AVERAGE(AN$5:AN21,AN23:AN$30)</f>
        <v>13.68695652173913</v>
      </c>
      <c r="S22" s="31">
        <f>M22-AVERAGE(AO$5:AO21,AO23:AO$30)</f>
        <v>14.274861111111111</v>
      </c>
      <c r="T22" s="31">
        <f>N22-AVERAGE(AP$5:AP21,AP23:AP$30)</f>
        <v>15.3576</v>
      </c>
      <c r="U22" s="31">
        <f>O22-AVERAGE(AQ$5:AQ21,AQ23:AQ$30)</f>
        <v>15.692533333333333</v>
      </c>
      <c r="V22" s="31">
        <f>P22-AVERAGE(AR$5:AR21,AR23:AR$30)</f>
        <v>14.8888</v>
      </c>
      <c r="W22" s="13">
        <f t="shared" ca="1" si="7"/>
        <v>10.066002781174138</v>
      </c>
      <c r="X22" s="6">
        <f t="shared" ca="1" si="8"/>
        <v>11.036674577803058</v>
      </c>
      <c r="Y22" s="6">
        <f t="shared" ca="1" si="9"/>
        <v>11.52635259665732</v>
      </c>
      <c r="Z22" s="6">
        <f t="shared" ca="1" si="10"/>
        <v>12.396662816238765</v>
      </c>
      <c r="AA22" s="6">
        <f t="shared" ca="1" si="11"/>
        <v>12.91230313771565</v>
      </c>
      <c r="AB22" s="2">
        <f t="shared" ca="1" si="12"/>
        <v>13.082101756950054</v>
      </c>
      <c r="AC22" s="2">
        <f>'Historical Trends'!G67</f>
        <v>11.21</v>
      </c>
      <c r="AE22" s="13">
        <f t="shared" ca="1" si="17"/>
        <v>5.0058108108110346</v>
      </c>
      <c r="AF22">
        <f t="shared" ca="1" si="18"/>
        <v>-1.1700000000000017</v>
      </c>
      <c r="AG22">
        <f t="shared" ca="1" si="19"/>
        <v>-1.3250000000000011</v>
      </c>
      <c r="AH22">
        <f t="shared" ca="1" si="20"/>
        <v>-4.2366666666666681</v>
      </c>
      <c r="AI22">
        <f t="shared" ca="1" si="21"/>
        <v>-4.2366666666666681</v>
      </c>
      <c r="AJ22">
        <f t="shared" ca="1" si="22"/>
        <v>-4.2366666666666681</v>
      </c>
      <c r="AK22">
        <f t="shared" ca="1" si="23"/>
        <v>-4.2366666666666681</v>
      </c>
      <c r="AL22">
        <f t="shared" ca="1" si="24"/>
        <v>-4.2366666666666681</v>
      </c>
      <c r="AM22" s="13">
        <f>K22-$AC22</f>
        <v>1.5899999999999999</v>
      </c>
      <c r="AN22">
        <f t="shared" si="37"/>
        <v>2.59</v>
      </c>
      <c r="AO22">
        <f t="shared" si="25"/>
        <v>2.9899999999999984</v>
      </c>
      <c r="AP22">
        <f t="shared" si="26"/>
        <v>4.1899999999999995</v>
      </c>
      <c r="AQ22">
        <f t="shared" si="27"/>
        <v>4.3899999999999988</v>
      </c>
      <c r="AR22">
        <f t="shared" si="28"/>
        <v>3.3899999999999988</v>
      </c>
      <c r="AS22" s="30">
        <f t="shared" si="14"/>
        <v>0.50766666666666715</v>
      </c>
      <c r="AT22">
        <f t="shared" si="14"/>
        <v>2.4769565217391296</v>
      </c>
      <c r="AU22">
        <f t="shared" si="14"/>
        <v>3.0648611111111101</v>
      </c>
      <c r="AV22">
        <f t="shared" si="14"/>
        <v>4.1475999999999988</v>
      </c>
      <c r="AW22">
        <f t="shared" si="14"/>
        <v>4.4825333333333326</v>
      </c>
      <c r="AX22">
        <f t="shared" si="14"/>
        <v>3.678799999999999</v>
      </c>
      <c r="AY22" s="13">
        <f ca="1">W22-$AC22</f>
        <v>-1.1439972188258629</v>
      </c>
      <c r="AZ22" s="6">
        <f t="shared" ca="1" si="38"/>
        <v>-0.17332542219694247</v>
      </c>
      <c r="BA22" s="6">
        <f t="shared" ca="1" si="29"/>
        <v>0.3163525966573193</v>
      </c>
      <c r="BB22" s="6">
        <f t="shared" ca="1" si="30"/>
        <v>1.1866628162387638</v>
      </c>
      <c r="BC22" s="6">
        <f t="shared" ca="1" si="31"/>
        <v>1.7023031377156492</v>
      </c>
      <c r="BD22" s="2">
        <f t="shared" ca="1" si="32"/>
        <v>1.8721017569500535</v>
      </c>
      <c r="BP22">
        <v>1</v>
      </c>
      <c r="BQ22">
        <f>LN(BP22)</f>
        <v>0</v>
      </c>
      <c r="BR22">
        <f>MAX(0,(0.94+1/(8.3*0.97))-1/((8.3-MIN(8.2,BQ22)) * 0.97))</f>
        <v>0.94</v>
      </c>
      <c r="BS22">
        <f>1-(BR22/0.94)^10</f>
        <v>0</v>
      </c>
      <c r="BU22">
        <f>0</f>
        <v>0</v>
      </c>
      <c r="BV22">
        <f t="shared" ref="BV22:BV53" si="39">MAX(0,($BG$16+1/($BG$17*$BG$18))-1/((10-BU22) * $BG$18))</f>
        <v>0.66850707894141992</v>
      </c>
    </row>
    <row r="23" spans="1:74" x14ac:dyDescent="0.25">
      <c r="A23" t="s">
        <v>94</v>
      </c>
      <c r="B23">
        <f>B22+1</f>
        <v>3</v>
      </c>
      <c r="C23" s="13">
        <f ca="1">'Historical Trends'!Q68</f>
        <v>21.170000000000073</v>
      </c>
      <c r="D23">
        <f ca="1">AVERAGE(OFFSET('Historical Trends'!$G$66,$B8,0,'Polling Correlations - GRN'!D$4,1))</f>
        <v>9.73</v>
      </c>
      <c r="E23">
        <f ca="1">AVERAGE(OFFSET('Historical Trends'!$G$66,$B8,0,'Polling Correlations - GRN'!E$4,1))</f>
        <v>5.44</v>
      </c>
      <c r="F23">
        <f ca="1">AVERAGE(OFFSET('Historical Trends'!$G$66,$B8,0,'Polling Correlations - GRN'!F$4,1))</f>
        <v>5.44</v>
      </c>
      <c r="G23">
        <f ca="1">AVERAGE(OFFSET('Historical Trends'!$G$66,$B8,0,'Polling Correlations - GRN'!G$4,1))</f>
        <v>5.44</v>
      </c>
      <c r="H23">
        <f ca="1">AVERAGE(OFFSET('Historical Trends'!$G$66,$B8,0,'Polling Correlations - GRN'!H$4,1))</f>
        <v>5.44</v>
      </c>
      <c r="I23">
        <f ca="1">AVERAGE(OFFSET('Historical Trends'!$G$66,$B8,0,'Polling Correlations - GRN'!I$4,1))</f>
        <v>5.44</v>
      </c>
      <c r="J23">
        <f ca="1">AVERAGE(OFFSET('Historical Trends'!$G$66,$B8,0,'Polling Correlations - GRN'!J$4,1))</f>
        <v>5.44</v>
      </c>
      <c r="L23">
        <f>(11+6+6+9)/4</f>
        <v>8</v>
      </c>
      <c r="M23">
        <f>(11+7+5+7+11)/5</f>
        <v>8.1999999999999993</v>
      </c>
      <c r="N23">
        <f>(11+6+5+11+7)/5</f>
        <v>8</v>
      </c>
      <c r="O23">
        <f>(13+7+11+6+5)/5</f>
        <v>8.4</v>
      </c>
      <c r="P23">
        <f>(9+12+12+8+13)/5</f>
        <v>10.8</v>
      </c>
      <c r="Q23" s="30"/>
      <c r="R23" s="31">
        <f>L23-AVERAGE(AN$5:AN22,AN24:AN$30)</f>
        <v>7.6856521739130432</v>
      </c>
      <c r="S23" s="31">
        <f>M23-AVERAGE(AO$5:AO22,AO24:AO$30)</f>
        <v>8.0736111111111111</v>
      </c>
      <c r="T23" s="31">
        <f>N23-AVERAGE(AP$5:AP22,AP24:AP$30)</f>
        <v>7.7084000000000001</v>
      </c>
      <c r="U23" s="31">
        <f>O23-AVERAGE(AQ$5:AQ22,AQ24:AQ$30)</f>
        <v>8.2513333333333332</v>
      </c>
      <c r="V23" s="31">
        <f>P23-AVERAGE(AR$5:AR22,AR24:AR$30)</f>
        <v>10.983600000000001</v>
      </c>
      <c r="W23" s="13">
        <f t="shared" ca="1" si="7"/>
        <v>9.5791911022306557</v>
      </c>
      <c r="X23" s="6">
        <f t="shared" ca="1" si="8"/>
        <v>9.171301399042683</v>
      </c>
      <c r="Y23" s="6">
        <f t="shared" ca="1" si="9"/>
        <v>9.1486402194832834</v>
      </c>
      <c r="Z23" s="6">
        <f t="shared" ca="1" si="10"/>
        <v>8.8340639481517442</v>
      </c>
      <c r="AA23" s="6">
        <f t="shared" ca="1" si="11"/>
        <v>8.9786238194728831</v>
      </c>
      <c r="AB23" s="2">
        <f t="shared" ca="1" si="12"/>
        <v>10.516499497300897</v>
      </c>
      <c r="AC23" s="2">
        <f>'Historical Trends'!G68</f>
        <v>10.039999999999999</v>
      </c>
      <c r="AE23" s="13">
        <f t="shared" ca="1" si="17"/>
        <v>11.130000000000074</v>
      </c>
      <c r="AF23">
        <f t="shared" ca="1" si="18"/>
        <v>-0.30999999999999872</v>
      </c>
      <c r="AG23">
        <f t="shared" ca="1" si="19"/>
        <v>-4.5999999999999988</v>
      </c>
      <c r="AH23">
        <f t="shared" ca="1" si="20"/>
        <v>-4.5999999999999988</v>
      </c>
      <c r="AI23">
        <f t="shared" ca="1" si="21"/>
        <v>-4.5999999999999988</v>
      </c>
      <c r="AJ23">
        <f t="shared" ca="1" si="22"/>
        <v>-4.5999999999999988</v>
      </c>
      <c r="AK23">
        <f t="shared" ca="1" si="23"/>
        <v>-4.5999999999999988</v>
      </c>
      <c r="AL23">
        <f t="shared" ca="1" si="24"/>
        <v>-4.5999999999999988</v>
      </c>
      <c r="AN23">
        <f t="shared" si="37"/>
        <v>-2.0399999999999991</v>
      </c>
      <c r="AO23">
        <f t="shared" si="25"/>
        <v>-1.8399999999999999</v>
      </c>
      <c r="AP23">
        <f t="shared" si="26"/>
        <v>-2.0399999999999991</v>
      </c>
      <c r="AQ23">
        <f t="shared" si="27"/>
        <v>-1.6399999999999988</v>
      </c>
      <c r="AR23">
        <f t="shared" si="28"/>
        <v>0.76000000000000156</v>
      </c>
      <c r="AS23" s="30"/>
      <c r="AT23">
        <f t="shared" si="14"/>
        <v>-2.3543478260869559</v>
      </c>
      <c r="AU23">
        <f t="shared" si="14"/>
        <v>-1.9663888888888881</v>
      </c>
      <c r="AV23">
        <f t="shared" si="14"/>
        <v>-2.331599999999999</v>
      </c>
      <c r="AW23">
        <f t="shared" si="14"/>
        <v>-1.788666666666666</v>
      </c>
      <c r="AX23">
        <f t="shared" si="14"/>
        <v>0.94360000000000177</v>
      </c>
      <c r="AZ23" s="6">
        <f t="shared" ca="1" si="38"/>
        <v>-0.8686986009573161</v>
      </c>
      <c r="BA23" s="6">
        <f t="shared" ca="1" si="29"/>
        <v>-0.89135978051671572</v>
      </c>
      <c r="BB23" s="6">
        <f t="shared" ca="1" si="30"/>
        <v>-1.2059360518482549</v>
      </c>
      <c r="BC23" s="6">
        <f t="shared" ca="1" si="31"/>
        <v>-1.061376180527116</v>
      </c>
      <c r="BD23" s="2">
        <f t="shared" ca="1" si="32"/>
        <v>0.4764994973008978</v>
      </c>
      <c r="BP23">
        <f>BP22+1</f>
        <v>2</v>
      </c>
      <c r="BQ23">
        <f t="shared" ref="BQ23:BQ86" si="40">LN(BP23)</f>
        <v>0.69314718055994529</v>
      </c>
      <c r="BR23">
        <f t="shared" ref="BR23:BR86" si="41">MAX(0,(0.94+1/(8.3*0.97))-1/((8.3-MIN(8.2,BQ23)) * 0.97))</f>
        <v>0.92868197572765254</v>
      </c>
      <c r="BS23">
        <f t="shared" ref="BS23:BS86" si="42">1-(BR23/0.94)^10</f>
        <v>0.1140858660754307</v>
      </c>
      <c r="BU23">
        <f>BU22+0.1</f>
        <v>0.1</v>
      </c>
      <c r="BV23">
        <f t="shared" si="39"/>
        <v>0.66538458430456249</v>
      </c>
    </row>
    <row r="24" spans="1:74" x14ac:dyDescent="0.25">
      <c r="A24" t="s">
        <v>106</v>
      </c>
      <c r="B24">
        <v>0</v>
      </c>
      <c r="C24" s="13">
        <f ca="1">'Historical Trends'!Q83</f>
        <v>11.57431279620846</v>
      </c>
      <c r="D24">
        <f ca="1">AVERAGE(OFFSET('Historical Trends'!$G$84,$B5,0,'Polling Correlations - GRN'!D$4,1))</f>
        <v>8.39</v>
      </c>
      <c r="E24">
        <f ca="1">AVERAGE(OFFSET('Historical Trends'!$G$84,$B5,0,'Polling Correlations - GRN'!E$4,1))</f>
        <v>10.155000000000001</v>
      </c>
      <c r="F24">
        <f ca="1">AVERAGE(OFFSET('Historical Trends'!$G$84,$B5,0,'Polling Correlations - GRN'!F$4,1))</f>
        <v>9.2933333333333348</v>
      </c>
      <c r="G24">
        <f ca="1">AVERAGE(OFFSET('Historical Trends'!$G$84,$B5,0,'Polling Correlations - GRN'!G$4,1))</f>
        <v>8.7875000000000014</v>
      </c>
      <c r="H24">
        <f ca="1">AVERAGE(OFFSET('Historical Trends'!$G$84,$B5,0,'Polling Correlations - GRN'!H$4,1))</f>
        <v>7.9760000000000018</v>
      </c>
      <c r="I24">
        <f ca="1">AVERAGE(OFFSET('Historical Trends'!$G$84,$B5,0,'Polling Correlations - GRN'!I$4,1))</f>
        <v>7.365000000000002</v>
      </c>
      <c r="J24">
        <f ca="1">AVERAGE(OFFSET('Historical Trends'!$G$84,$B5,0,'Polling Correlations - GRN'!J$4,1))</f>
        <v>6.3885714285714306</v>
      </c>
      <c r="K24" s="13">
        <f>(14+15+15+17+13)/5</f>
        <v>14.8</v>
      </c>
      <c r="L24">
        <f>(12+9+10+14+14)/5</f>
        <v>11.8</v>
      </c>
      <c r="M24">
        <f>(11+10+11+13+12)/5</f>
        <v>11.4</v>
      </c>
      <c r="N24">
        <f>(11+7.7+7.7+11+10)/5</f>
        <v>9.48</v>
      </c>
      <c r="O24">
        <f>(6+9+9+6.7+11)/5</f>
        <v>8.34</v>
      </c>
      <c r="P24">
        <f>(6.5+7+8+10.7+6)/5</f>
        <v>7.6400000000000006</v>
      </c>
      <c r="Q24" s="30">
        <f>K24-AVERAGE(AM$5:AM23,AM25:AM$30)</f>
        <v>13.932666666666668</v>
      </c>
      <c r="R24" s="31">
        <f>L24-AVERAGE(AN$5:AN23,AN25:AN$30)</f>
        <v>11.700000000000001</v>
      </c>
      <c r="S24" s="31">
        <f>M24-AVERAGE(AO$5:AO23,AO25:AO$30)</f>
        <v>11.454027777777778</v>
      </c>
      <c r="T24" s="31">
        <f>N24-AVERAGE(AP$5:AP23,AP25:AP$30)</f>
        <v>9.2927999999999997</v>
      </c>
      <c r="U24" s="31">
        <f>O24-AVERAGE(AQ$5:AQ23,AQ25:AQ$30)</f>
        <v>8.2341333333333324</v>
      </c>
      <c r="V24" s="31">
        <f>P24-AVERAGE(AR$5:AR23,AR25:AR$30)</f>
        <v>7.7423999999999999</v>
      </c>
      <c r="W24" s="13">
        <f t="shared" ca="1" si="7"/>
        <v>8.4759078572150965</v>
      </c>
      <c r="X24" s="6">
        <f t="shared" ca="1" si="8"/>
        <v>9.2945879304738543</v>
      </c>
      <c r="Y24" s="6">
        <f t="shared" ca="1" si="9"/>
        <v>9.4654132247173663</v>
      </c>
      <c r="Z24" s="6">
        <f t="shared" ca="1" si="10"/>
        <v>8.7901044062171572</v>
      </c>
      <c r="AA24" s="6">
        <f t="shared" ca="1" si="11"/>
        <v>8.3107972267776198</v>
      </c>
      <c r="AB24" s="2">
        <f t="shared" ca="1" si="12"/>
        <v>7.9837004830471763</v>
      </c>
      <c r="AC24" s="2">
        <f>'Historical Trends'!G83</f>
        <v>8.91</v>
      </c>
      <c r="AE24" s="13">
        <f t="shared" ca="1" si="17"/>
        <v>2.6643127962084598</v>
      </c>
      <c r="AF24">
        <f t="shared" ca="1" si="18"/>
        <v>-0.51999999999999957</v>
      </c>
      <c r="AG24">
        <f t="shared" ca="1" si="19"/>
        <v>1.245000000000001</v>
      </c>
      <c r="AH24">
        <f t="shared" ca="1" si="20"/>
        <v>0.38333333333333464</v>
      </c>
      <c r="AI24">
        <f t="shared" ca="1" si="21"/>
        <v>-0.12249999999999872</v>
      </c>
      <c r="AJ24">
        <f t="shared" ca="1" si="22"/>
        <v>-0.93399999999999839</v>
      </c>
      <c r="AK24">
        <f t="shared" ca="1" si="23"/>
        <v>-1.5449999999999982</v>
      </c>
      <c r="AL24">
        <f t="shared" ca="1" si="24"/>
        <v>-2.5214285714285696</v>
      </c>
      <c r="AM24" s="13">
        <f t="shared" ref="AM24:AM29" si="43">K24-$AC24</f>
        <v>5.8900000000000006</v>
      </c>
      <c r="AN24">
        <f t="shared" si="37"/>
        <v>2.8900000000000006</v>
      </c>
      <c r="AO24">
        <f t="shared" si="25"/>
        <v>2.4900000000000002</v>
      </c>
      <c r="AP24">
        <f t="shared" si="26"/>
        <v>0.57000000000000028</v>
      </c>
      <c r="AQ24">
        <f t="shared" si="27"/>
        <v>-0.57000000000000028</v>
      </c>
      <c r="AR24">
        <f t="shared" si="28"/>
        <v>-1.2699999999999996</v>
      </c>
      <c r="AS24" s="30">
        <f t="shared" si="14"/>
        <v>5.0226666666666677</v>
      </c>
      <c r="AT24">
        <f t="shared" si="14"/>
        <v>2.7900000000000009</v>
      </c>
      <c r="AU24">
        <f t="shared" si="14"/>
        <v>2.544027777777778</v>
      </c>
      <c r="AV24">
        <f t="shared" si="14"/>
        <v>0.38279999999999959</v>
      </c>
      <c r="AW24">
        <f t="shared" si="14"/>
        <v>-0.67586666666666773</v>
      </c>
      <c r="AX24">
        <f t="shared" si="14"/>
        <v>-1.1676000000000002</v>
      </c>
      <c r="AY24" s="13">
        <f t="shared" ref="AY24:AY29" ca="1" si="44">W24-$AC24</f>
        <v>-0.4340921427849036</v>
      </c>
      <c r="AZ24" s="6">
        <f t="shared" ca="1" si="38"/>
        <v>0.3845879304738542</v>
      </c>
      <c r="BA24" s="6">
        <f t="shared" ca="1" si="29"/>
        <v>0.55541322471736621</v>
      </c>
      <c r="BB24" s="6">
        <f t="shared" ca="1" si="30"/>
        <v>-0.11989559378284298</v>
      </c>
      <c r="BC24" s="6">
        <f t="shared" ca="1" si="31"/>
        <v>-0.59920277322238036</v>
      </c>
      <c r="BD24" s="2">
        <f t="shared" ca="1" si="32"/>
        <v>-0.92629951695282386</v>
      </c>
      <c r="BP24">
        <f t="shared" ref="BP24:BP31" si="45">BP23+1</f>
        <v>3</v>
      </c>
      <c r="BQ24">
        <f t="shared" si="40"/>
        <v>1.0986122886681098</v>
      </c>
      <c r="BR24">
        <f t="shared" si="41"/>
        <v>0.92105134307880865</v>
      </c>
      <c r="BS24">
        <f t="shared" si="42"/>
        <v>0.18424477193938826</v>
      </c>
      <c r="BU24">
        <f t="shared" ref="BU24:BU87" si="46">BU23+0.1</f>
        <v>0.2</v>
      </c>
      <c r="BV24">
        <f t="shared" si="39"/>
        <v>0.6621983652873612</v>
      </c>
    </row>
    <row r="25" spans="1:74" x14ac:dyDescent="0.25">
      <c r="A25" t="s">
        <v>107</v>
      </c>
      <c r="B25">
        <f>B24+1</f>
        <v>1</v>
      </c>
      <c r="C25" s="13">
        <f ca="1">'Historical Trends'!Q84</f>
        <v>13.293693467336652</v>
      </c>
      <c r="D25">
        <f ca="1">AVERAGE(OFFSET('Historical Trends'!$G$84,$B6,0,'Polling Correlations - GRN'!D$4,1))</f>
        <v>11.92</v>
      </c>
      <c r="E25">
        <f ca="1">AVERAGE(OFFSET('Historical Trends'!$G$84,$B6,0,'Polling Correlations - GRN'!E$4,1))</f>
        <v>9.745000000000001</v>
      </c>
      <c r="F25">
        <f ca="1">AVERAGE(OFFSET('Historical Trends'!$G$84,$B6,0,'Polling Correlations - GRN'!F$4,1))</f>
        <v>8.92</v>
      </c>
      <c r="G25">
        <f ca="1">AVERAGE(OFFSET('Historical Trends'!$G$84,$B6,0,'Polling Correlations - GRN'!G$4,1))</f>
        <v>7.8725000000000005</v>
      </c>
      <c r="H25">
        <f ca="1">AVERAGE(OFFSET('Historical Trends'!$G$84,$B6,0,'Polling Correlations - GRN'!H$4,1))</f>
        <v>7.160000000000001</v>
      </c>
      <c r="I25">
        <f ca="1">AVERAGE(OFFSET('Historical Trends'!$G$84,$B6,0,'Polling Correlations - GRN'!I$4,1))</f>
        <v>6.0550000000000006</v>
      </c>
      <c r="J25">
        <f ca="1">AVERAGE(OFFSET('Historical Trends'!$G$84,$B6,0,'Polling Correlations - GRN'!J$4,1))</f>
        <v>6.0550000000000006</v>
      </c>
      <c r="K25" s="13">
        <f>(12+13+14)/3</f>
        <v>13</v>
      </c>
      <c r="L25">
        <f>(11+11+12)/3</f>
        <v>11.333333333333334</v>
      </c>
      <c r="M25">
        <f>(12+8+11)/3</f>
        <v>10.333333333333334</v>
      </c>
      <c r="N25">
        <f>(12+12+8)/3</f>
        <v>10.666666666666666</v>
      </c>
      <c r="O25">
        <f>(8+10+12)/3</f>
        <v>10</v>
      </c>
      <c r="P25">
        <f>(8+9+8)/3</f>
        <v>8.3333333333333339</v>
      </c>
      <c r="Q25" s="30">
        <f>K25-AVERAGE(AM$5:AM24,AM26:AM$30)</f>
        <v>12.068666666666667</v>
      </c>
      <c r="R25" s="31">
        <f>L25-AVERAGE(AN$5:AN24,AN26:AN$30)</f>
        <v>11.235652173913044</v>
      </c>
      <c r="S25" s="31">
        <f>M25-AVERAGE(AO$5:AO24,AO26:AO$30)</f>
        <v>10.364583333333334</v>
      </c>
      <c r="T25" s="31">
        <f>N25-AVERAGE(AP$5:AP24,AP26:AP$30)</f>
        <v>10.547733333333333</v>
      </c>
      <c r="U25" s="31">
        <f>O25-AVERAGE(AQ$5:AQ24,AQ26:AQ$30)</f>
        <v>9.9813333333333336</v>
      </c>
      <c r="V25" s="31">
        <f>P25-AVERAGE(AR$5:AR24,AR26:AR$30)</f>
        <v>8.4842666666666666</v>
      </c>
      <c r="W25" s="13">
        <f t="shared" ca="1" si="7"/>
        <v>11.922304240096098</v>
      </c>
      <c r="X25" s="6">
        <f t="shared" ca="1" si="8"/>
        <v>11.732974989811398</v>
      </c>
      <c r="Y25" s="6">
        <f t="shared" ca="1" si="9"/>
        <v>11.374079474928164</v>
      </c>
      <c r="Z25" s="6">
        <f t="shared" ca="1" si="10"/>
        <v>11.311836575278837</v>
      </c>
      <c r="AA25" s="6">
        <f t="shared" ca="1" si="11"/>
        <v>10.934877397216928</v>
      </c>
      <c r="AB25" s="2">
        <f t="shared" ca="1" si="12"/>
        <v>9.7644459640023928</v>
      </c>
      <c r="AC25" s="2">
        <f>'Historical Trends'!G84</f>
        <v>8.39</v>
      </c>
      <c r="AE25" s="13">
        <f t="shared" ca="1" si="17"/>
        <v>4.9036934673366517</v>
      </c>
      <c r="AF25">
        <f t="shared" ca="1" si="18"/>
        <v>3.5299999999999994</v>
      </c>
      <c r="AG25">
        <f t="shared" ca="1" si="19"/>
        <v>1.3550000000000004</v>
      </c>
      <c r="AH25">
        <f t="shared" ca="1" si="20"/>
        <v>0.52999999999999936</v>
      </c>
      <c r="AI25">
        <f t="shared" ca="1" si="21"/>
        <v>-0.51750000000000007</v>
      </c>
      <c r="AJ25">
        <f t="shared" ca="1" si="22"/>
        <v>-1.2299999999999995</v>
      </c>
      <c r="AK25">
        <f t="shared" ca="1" si="23"/>
        <v>-2.335</v>
      </c>
      <c r="AL25">
        <f t="shared" ca="1" si="24"/>
        <v>-2.335</v>
      </c>
      <c r="AM25" s="13">
        <f t="shared" si="43"/>
        <v>4.6099999999999994</v>
      </c>
      <c r="AN25">
        <f t="shared" si="37"/>
        <v>2.9433333333333334</v>
      </c>
      <c r="AO25">
        <f t="shared" si="25"/>
        <v>1.9433333333333334</v>
      </c>
      <c r="AP25">
        <f t="shared" si="26"/>
        <v>2.2766666666666655</v>
      </c>
      <c r="AQ25">
        <f t="shared" si="27"/>
        <v>1.6099999999999994</v>
      </c>
      <c r="AR25">
        <f t="shared" si="28"/>
        <v>-5.6666666666666643E-2</v>
      </c>
      <c r="AS25" s="30">
        <f t="shared" si="14"/>
        <v>3.6786666666666665</v>
      </c>
      <c r="AT25">
        <f t="shared" si="14"/>
        <v>2.8456521739130434</v>
      </c>
      <c r="AU25">
        <f t="shared" si="14"/>
        <v>1.9745833333333334</v>
      </c>
      <c r="AV25">
        <f t="shared" si="14"/>
        <v>2.1577333333333328</v>
      </c>
      <c r="AW25">
        <f t="shared" si="14"/>
        <v>1.591333333333333</v>
      </c>
      <c r="AX25">
        <f t="shared" si="14"/>
        <v>9.4266666666666055E-2</v>
      </c>
      <c r="AY25" s="13">
        <f t="shared" ca="1" si="44"/>
        <v>3.5323042400960976</v>
      </c>
      <c r="AZ25" s="6">
        <f t="shared" ca="1" si="38"/>
        <v>3.3429749898113972</v>
      </c>
      <c r="BA25" s="6">
        <f t="shared" ca="1" si="29"/>
        <v>2.9840794749281638</v>
      </c>
      <c r="BB25" s="6">
        <f t="shared" ca="1" si="30"/>
        <v>2.9218365752788369</v>
      </c>
      <c r="BC25" s="6">
        <f t="shared" ca="1" si="31"/>
        <v>2.5448773972169274</v>
      </c>
      <c r="BD25" s="2">
        <f t="shared" ca="1" si="32"/>
        <v>1.3744459640023923</v>
      </c>
      <c r="BP25">
        <f t="shared" si="45"/>
        <v>4</v>
      </c>
      <c r="BQ25">
        <f t="shared" si="40"/>
        <v>1.3862943611198906</v>
      </c>
      <c r="BR25">
        <f t="shared" si="41"/>
        <v>0.91509452980976436</v>
      </c>
      <c r="BS25">
        <f t="shared" si="42"/>
        <v>0.23549372110487321</v>
      </c>
      <c r="BU25">
        <f t="shared" si="46"/>
        <v>0.30000000000000004</v>
      </c>
      <c r="BV25">
        <f t="shared" si="39"/>
        <v>0.65894645103269167</v>
      </c>
    </row>
    <row r="26" spans="1:74" x14ac:dyDescent="0.25">
      <c r="A26" t="s">
        <v>108</v>
      </c>
      <c r="B26">
        <f>B25+1</f>
        <v>2</v>
      </c>
      <c r="C26" s="13">
        <f ca="1">'Historical Trends'!Q85</f>
        <v>9.6400497512437369</v>
      </c>
      <c r="D26">
        <f ca="1">AVERAGE(OFFSET('Historical Trends'!$G$84,$B7,0,'Polling Correlations - GRN'!D$4,1))</f>
        <v>7.57</v>
      </c>
      <c r="E26">
        <f ca="1">AVERAGE(OFFSET('Historical Trends'!$G$84,$B7,0,'Polling Correlations - GRN'!E$4,1))</f>
        <v>7.42</v>
      </c>
      <c r="F26">
        <f ca="1">AVERAGE(OFFSET('Historical Trends'!$G$84,$B7,0,'Polling Correlations - GRN'!F$4,1))</f>
        <v>6.5233333333333334</v>
      </c>
      <c r="G26">
        <f ca="1">AVERAGE(OFFSET('Historical Trends'!$G$84,$B7,0,'Polling Correlations - GRN'!G$4,1))</f>
        <v>5.97</v>
      </c>
      <c r="H26">
        <f ca="1">AVERAGE(OFFSET('Historical Trends'!$G$84,$B7,0,'Polling Correlations - GRN'!H$4,1))</f>
        <v>4.8819999999999997</v>
      </c>
      <c r="I26">
        <f ca="1">AVERAGE(OFFSET('Historical Trends'!$G$84,$B7,0,'Polling Correlations - GRN'!I$4,1))</f>
        <v>4.8819999999999997</v>
      </c>
      <c r="J26">
        <f ca="1">AVERAGE(OFFSET('Historical Trends'!$G$84,$B7,0,'Polling Correlations - GRN'!J$4,1))</f>
        <v>4.8819999999999997</v>
      </c>
      <c r="K26" s="13">
        <f>(6+4+8)/3</f>
        <v>6</v>
      </c>
      <c r="L26">
        <f>(6+8+10)/3</f>
        <v>8</v>
      </c>
      <c r="M26">
        <f>(12+8+6)/3</f>
        <v>8.6666666666666661</v>
      </c>
      <c r="N26">
        <f>(16+12+8)/3</f>
        <v>12</v>
      </c>
      <c r="O26">
        <f>(16+12+8)/3</f>
        <v>12</v>
      </c>
      <c r="P26">
        <f>(12+10+10)/3</f>
        <v>10.666666666666666</v>
      </c>
      <c r="Q26" s="30">
        <f>K26-AVERAGE(AM$5:AM25,AM27:AM$30)</f>
        <v>4.5421666666666667</v>
      </c>
      <c r="R26" s="31">
        <f>L26-AVERAGE(AN$5:AN25,AN27:AN$30)</f>
        <v>7.6039130434782605</v>
      </c>
      <c r="S26" s="31">
        <f>M26-AVERAGE(AO$5:AO25,AO27:AO$30)</f>
        <v>8.4813888888888886</v>
      </c>
      <c r="T26" s="31">
        <f>N26-AVERAGE(AP$5:AP25,AP27:AP$30)</f>
        <v>11.793200000000001</v>
      </c>
      <c r="U26" s="31">
        <f>O26-AVERAGE(AQ$5:AQ25,AQ27:AQ$30)</f>
        <v>11.920133333333334</v>
      </c>
      <c r="V26" s="31">
        <f>P26-AVERAGE(AR$5:AR25,AR27:AR$30)</f>
        <v>10.769733333333333</v>
      </c>
      <c r="W26" s="13">
        <f t="shared" ca="1" si="7"/>
        <v>7.5230704822580394</v>
      </c>
      <c r="X26" s="6">
        <f t="shared" ca="1" si="8"/>
        <v>7.5792680754731334</v>
      </c>
      <c r="Y26" s="6">
        <f t="shared" ca="1" si="9"/>
        <v>7.8898794968766301</v>
      </c>
      <c r="Z26" s="6">
        <f t="shared" ca="1" si="10"/>
        <v>9.4416448032081313</v>
      </c>
      <c r="AA26" s="6">
        <f t="shared" ca="1" si="11"/>
        <v>9.7804958760935712</v>
      </c>
      <c r="AB26" s="2">
        <f t="shared" ca="1" si="12"/>
        <v>9.577489357182186</v>
      </c>
      <c r="AC26" s="2">
        <f>'Historical Trends'!G85</f>
        <v>11.92</v>
      </c>
      <c r="AE26" s="13">
        <f t="shared" ca="1" si="17"/>
        <v>-2.2799502487562631</v>
      </c>
      <c r="AF26">
        <f t="shared" ca="1" si="18"/>
        <v>-4.3499999999999996</v>
      </c>
      <c r="AG26">
        <f t="shared" ca="1" si="19"/>
        <v>-4.5</v>
      </c>
      <c r="AH26">
        <f t="shared" ca="1" si="20"/>
        <v>-5.3966666666666665</v>
      </c>
      <c r="AI26">
        <f t="shared" ca="1" si="21"/>
        <v>-5.95</v>
      </c>
      <c r="AJ26">
        <f t="shared" ca="1" si="22"/>
        <v>-7.0380000000000003</v>
      </c>
      <c r="AK26">
        <f t="shared" ca="1" si="23"/>
        <v>-7.0380000000000003</v>
      </c>
      <c r="AL26">
        <f t="shared" ca="1" si="24"/>
        <v>-7.0380000000000003</v>
      </c>
      <c r="AM26" s="13">
        <f t="shared" si="43"/>
        <v>-5.92</v>
      </c>
      <c r="AN26">
        <f t="shared" si="37"/>
        <v>-3.92</v>
      </c>
      <c r="AO26">
        <f t="shared" si="25"/>
        <v>-3.2533333333333339</v>
      </c>
      <c r="AP26">
        <f t="shared" si="26"/>
        <v>8.0000000000000071E-2</v>
      </c>
      <c r="AQ26">
        <f t="shared" si="27"/>
        <v>8.0000000000000071E-2</v>
      </c>
      <c r="AR26">
        <f t="shared" si="28"/>
        <v>-1.2533333333333339</v>
      </c>
      <c r="AS26" s="30">
        <f t="shared" si="14"/>
        <v>-7.3778333333333332</v>
      </c>
      <c r="AT26">
        <f t="shared" si="14"/>
        <v>-4.3160869565217395</v>
      </c>
      <c r="AU26">
        <f t="shared" si="14"/>
        <v>-3.4386111111111113</v>
      </c>
      <c r="AV26">
        <f t="shared" si="14"/>
        <v>-0.12679999999999936</v>
      </c>
      <c r="AW26">
        <f t="shared" si="14"/>
        <v>1.3333333333420683E-4</v>
      </c>
      <c r="AX26">
        <f t="shared" si="14"/>
        <v>-1.150266666666667</v>
      </c>
      <c r="AY26" s="13">
        <f t="shared" ca="1" si="44"/>
        <v>-4.3969295177419605</v>
      </c>
      <c r="AZ26" s="6">
        <f t="shared" ca="1" si="38"/>
        <v>-4.3407319245268665</v>
      </c>
      <c r="BA26" s="6">
        <f t="shared" ca="1" si="29"/>
        <v>-4.0301205031233698</v>
      </c>
      <c r="BB26" s="6">
        <f t="shared" ca="1" si="30"/>
        <v>-2.4783551967918687</v>
      </c>
      <c r="BC26" s="6">
        <f t="shared" ca="1" si="31"/>
        <v>-2.1395041239064287</v>
      </c>
      <c r="BD26" s="2">
        <f t="shared" ca="1" si="32"/>
        <v>-2.342510642817814</v>
      </c>
      <c r="BP26">
        <f t="shared" si="45"/>
        <v>5</v>
      </c>
      <c r="BQ26">
        <f t="shared" si="40"/>
        <v>1.6094379124341003</v>
      </c>
      <c r="BR26">
        <f t="shared" si="41"/>
        <v>0.91012129326662006</v>
      </c>
      <c r="BS26">
        <f t="shared" si="42"/>
        <v>0.27604059116565138</v>
      </c>
      <c r="BU26">
        <f t="shared" si="46"/>
        <v>0.4</v>
      </c>
      <c r="BV26">
        <f t="shared" si="39"/>
        <v>0.65562678856438317</v>
      </c>
    </row>
    <row r="27" spans="1:74" x14ac:dyDescent="0.25">
      <c r="A27" t="s">
        <v>124</v>
      </c>
      <c r="B27" s="2">
        <v>0</v>
      </c>
      <c r="C27" s="13">
        <f ca="1">'Historical Trends'!Q100</f>
        <v>11.575000000000045</v>
      </c>
      <c r="D27">
        <f ca="1">AVERAGE(OFFSET('Historical Trends'!$G$101,$B5,0,'Polling Correlations - GRN'!D$4,1))</f>
        <v>8.6999999999999993</v>
      </c>
      <c r="E27">
        <f ca="1">AVERAGE(OFFSET('Historical Trends'!$G$101,$B5,0,'Polling Correlations - GRN'!E$4,1))</f>
        <v>8.4049999999999994</v>
      </c>
      <c r="F27">
        <f ca="1">AVERAGE(OFFSET('Historical Trends'!$G$101,$B5,0,'Polling Correlations - GRN'!F$4,1))</f>
        <v>7.7666666666666657</v>
      </c>
      <c r="G27">
        <f ca="1">AVERAGE(OFFSET('Historical Trends'!$G$101,$B5,0,'Polling Correlations - GRN'!G$4,1))</f>
        <v>6.4149999999999991</v>
      </c>
      <c r="H27">
        <f ca="1">AVERAGE(OFFSET('Historical Trends'!$G$101,$B5,0,'Polling Correlations - GRN'!H$4,1))</f>
        <v>6.4149999999999991</v>
      </c>
      <c r="I27">
        <f ca="1">AVERAGE(OFFSET('Historical Trends'!$G$101,$B5,0,'Polling Correlations - GRN'!I$4,1))</f>
        <v>6.4149999999999991</v>
      </c>
      <c r="J27">
        <f ca="1">AVERAGE(OFFSET('Historical Trends'!$G$101,$B5,0,'Polling Correlations - GRN'!J$4,1))</f>
        <v>6.4149999999999991</v>
      </c>
      <c r="K27" s="13">
        <f>(7+9+10)/3</f>
        <v>8.6666666666666661</v>
      </c>
      <c r="L27">
        <f>(6+9+7)/3</f>
        <v>7.333333333333333</v>
      </c>
      <c r="M27">
        <f>(6+6+7+6+9)/5</f>
        <v>6.8</v>
      </c>
      <c r="N27">
        <f>(8+6+6+6+7)/5</f>
        <v>6.6</v>
      </c>
      <c r="O27">
        <f>(8+6+6+6+7)/5</f>
        <v>6.6</v>
      </c>
      <c r="P27">
        <f>(7+7+8+8+7)/5</f>
        <v>7.4</v>
      </c>
      <c r="Q27" s="30">
        <f>K27-AVERAGE(AM$5:AM26,AM28:AM$30)</f>
        <v>7.6031666666666657</v>
      </c>
      <c r="R27" s="31">
        <f>L27-AVERAGE(AN$5:AN26,AN28:AN$30)</f>
        <v>7.1352173913043471</v>
      </c>
      <c r="S27" s="31">
        <f>M27-AVERAGE(AO$5:AO26,AO28:AO$30)</f>
        <v>6.7544444444444443</v>
      </c>
      <c r="T27" s="31">
        <f>N27-AVERAGE(AP$5:AP26,AP28:AP$30)</f>
        <v>6.3859999999999992</v>
      </c>
      <c r="U27" s="31">
        <f>O27-AVERAGE(AQ$5:AQ26,AQ28:AQ$30)</f>
        <v>6.5129333333333328</v>
      </c>
      <c r="V27" s="31">
        <f>P27-AVERAGE(AR$5:AR26,AR28:AR$30)</f>
        <v>7.5811999999999999</v>
      </c>
      <c r="W27" s="13">
        <f t="shared" ca="1" si="7"/>
        <v>8.6829997712192526</v>
      </c>
      <c r="X27" s="6">
        <f t="shared" ca="1" si="8"/>
        <v>8.2723614919512158</v>
      </c>
      <c r="Y27" s="6">
        <f t="shared" ca="1" si="9"/>
        <v>8.0171484315379704</v>
      </c>
      <c r="Z27" s="6">
        <f t="shared" ca="1" si="10"/>
        <v>7.6744776296117587</v>
      </c>
      <c r="AA27" s="6">
        <f t="shared" ca="1" si="11"/>
        <v>7.588654329198711</v>
      </c>
      <c r="AB27" s="2">
        <f t="shared" ca="1" si="12"/>
        <v>7.9980730395818096</v>
      </c>
      <c r="AC27" s="2">
        <f>'Historical Trends'!G100</f>
        <v>6.7</v>
      </c>
      <c r="AE27" s="13">
        <f t="shared" ca="1" si="17"/>
        <v>4.8750000000000453</v>
      </c>
      <c r="AF27">
        <f t="shared" ca="1" si="18"/>
        <v>1.9999999999999991</v>
      </c>
      <c r="AG27">
        <f t="shared" ca="1" si="19"/>
        <v>1.7049999999999992</v>
      </c>
      <c r="AH27">
        <f t="shared" ca="1" si="20"/>
        <v>1.0666666666666655</v>
      </c>
      <c r="AI27">
        <f t="shared" ca="1" si="21"/>
        <v>-0.28500000000000103</v>
      </c>
      <c r="AJ27">
        <f t="shared" ca="1" si="22"/>
        <v>-0.28500000000000103</v>
      </c>
      <c r="AK27">
        <f t="shared" ca="1" si="23"/>
        <v>-0.28500000000000103</v>
      </c>
      <c r="AL27">
        <f t="shared" ca="1" si="24"/>
        <v>-0.28500000000000103</v>
      </c>
      <c r="AM27" s="13">
        <f t="shared" si="43"/>
        <v>1.9666666666666659</v>
      </c>
      <c r="AN27">
        <f t="shared" si="37"/>
        <v>0.63333333333333286</v>
      </c>
      <c r="AO27">
        <f t="shared" si="25"/>
        <v>9.9999999999999645E-2</v>
      </c>
      <c r="AP27">
        <f t="shared" si="26"/>
        <v>-0.10000000000000053</v>
      </c>
      <c r="AQ27">
        <f t="shared" si="27"/>
        <v>-0.10000000000000053</v>
      </c>
      <c r="AR27">
        <f t="shared" si="28"/>
        <v>0.70000000000000018</v>
      </c>
      <c r="AS27" s="30">
        <f t="shared" si="14"/>
        <v>0.90316666666666556</v>
      </c>
      <c r="AT27">
        <f t="shared" si="14"/>
        <v>0.43521739130434689</v>
      </c>
      <c r="AU27">
        <f t="shared" si="14"/>
        <v>5.4444444444444073E-2</v>
      </c>
      <c r="AV27">
        <f t="shared" si="14"/>
        <v>-0.31400000000000095</v>
      </c>
      <c r="AW27">
        <f t="shared" si="14"/>
        <v>-0.18706666666666738</v>
      </c>
      <c r="AX27">
        <f t="shared" si="14"/>
        <v>0.88119999999999976</v>
      </c>
      <c r="AY27" s="13">
        <f t="shared" ca="1" si="44"/>
        <v>1.9829997712192524</v>
      </c>
      <c r="AZ27" s="6">
        <f t="shared" ca="1" si="38"/>
        <v>1.5723614919512157</v>
      </c>
      <c r="BA27" s="6">
        <f t="shared" ca="1" si="29"/>
        <v>1.3171484315379702</v>
      </c>
      <c r="BB27" s="6">
        <f t="shared" ca="1" si="30"/>
        <v>0.97447762961175854</v>
      </c>
      <c r="BC27" s="6">
        <f t="shared" ca="1" si="31"/>
        <v>0.88865432919871079</v>
      </c>
      <c r="BD27" s="2">
        <f t="shared" ca="1" si="32"/>
        <v>1.2980730395818094</v>
      </c>
      <c r="BP27">
        <f t="shared" si="45"/>
        <v>6</v>
      </c>
      <c r="BQ27">
        <f t="shared" si="40"/>
        <v>1.791759469228055</v>
      </c>
      <c r="BR27">
        <f t="shared" si="41"/>
        <v>0.90580471036790178</v>
      </c>
      <c r="BS27">
        <f t="shared" si="42"/>
        <v>0.30965336588943237</v>
      </c>
      <c r="BU27">
        <f t="shared" si="46"/>
        <v>0.5</v>
      </c>
      <c r="BV27">
        <f t="shared" si="39"/>
        <v>0.65223723846516313</v>
      </c>
    </row>
    <row r="28" spans="1:74" x14ac:dyDescent="0.25">
      <c r="A28" t="s">
        <v>125</v>
      </c>
      <c r="B28" s="2">
        <f>B27+1</f>
        <v>1</v>
      </c>
      <c r="C28" s="13">
        <f ca="1">'Historical Trends'!Q101</f>
        <v>11.403333333333421</v>
      </c>
      <c r="D28">
        <f ca="1">AVERAGE(OFFSET('Historical Trends'!$G$101,$B6,0,'Polling Correlations - GRN'!D$4,1))</f>
        <v>8.11</v>
      </c>
      <c r="E28">
        <f ca="1">AVERAGE(OFFSET('Historical Trends'!$G$101,$B6,0,'Polling Correlations - GRN'!E$4,1))</f>
        <v>7.3</v>
      </c>
      <c r="F28">
        <f ca="1">AVERAGE(OFFSET('Historical Trends'!$G$101,$B6,0,'Polling Correlations - GRN'!F$4,1))</f>
        <v>5.6533333333333333</v>
      </c>
      <c r="G28">
        <f ca="1">AVERAGE(OFFSET('Historical Trends'!$G$101,$B6,0,'Polling Correlations - GRN'!G$4,1))</f>
        <v>5.6533333333333333</v>
      </c>
      <c r="H28">
        <f ca="1">AVERAGE(OFFSET('Historical Trends'!$G$101,$B6,0,'Polling Correlations - GRN'!H$4,1))</f>
        <v>5.6533333333333333</v>
      </c>
      <c r="I28">
        <f ca="1">AVERAGE(OFFSET('Historical Trends'!$G$101,$B6,0,'Polling Correlations - GRN'!I$4,1))</f>
        <v>5.6533333333333333</v>
      </c>
      <c r="J28">
        <f ca="1">AVERAGE(OFFSET('Historical Trends'!$G$101,$B6,0,'Polling Correlations - GRN'!J$4,1))</f>
        <v>5.6533333333333333</v>
      </c>
      <c r="K28" s="13">
        <f>(11+9+6)/3</f>
        <v>8.6666666666666661</v>
      </c>
      <c r="L28">
        <f>(10+6+9)/3</f>
        <v>8.3333333333333339</v>
      </c>
      <c r="M28">
        <f>(10+6+9)/3</f>
        <v>8.3333333333333339</v>
      </c>
      <c r="N28">
        <f>(10+8+10)/3</f>
        <v>9.3333333333333339</v>
      </c>
      <c r="O28">
        <f>(7+10+8)/3</f>
        <v>8.3333333333333339</v>
      </c>
      <c r="P28">
        <f>(9+7+7)/3</f>
        <v>7.666666666666667</v>
      </c>
      <c r="Q28" s="30">
        <f>K28-AVERAGE(AM$5:AM27,AM29:AM$30)</f>
        <v>7.5031666666666661</v>
      </c>
      <c r="R28" s="31">
        <f>L28-AVERAGE(AN$5:AN27,AN29:AN$30)</f>
        <v>8.0917391304347834</v>
      </c>
      <c r="S28" s="31">
        <f>M28-AVERAGE(AO$5:AO27,AO29:AO$30)</f>
        <v>8.2683333333333344</v>
      </c>
      <c r="T28" s="31">
        <f>N28-AVERAGE(AP$5:AP27,AP29:AP$30)</f>
        <v>9.1486666666666672</v>
      </c>
      <c r="U28" s="31">
        <f>O28-AVERAGE(AQ$5:AQ27,AQ29:AQ$30)</f>
        <v>8.2355999999999998</v>
      </c>
      <c r="V28" s="31">
        <f>P28-AVERAGE(AR$5:AR27,AR29:AR$30)</f>
        <v>7.7785333333333337</v>
      </c>
      <c r="W28" s="13">
        <f t="shared" ca="1" si="7"/>
        <v>8.1005944639126728</v>
      </c>
      <c r="X28" s="6">
        <f t="shared" ca="1" si="8"/>
        <v>8.1050094978221594</v>
      </c>
      <c r="Y28" s="6">
        <f t="shared" ca="1" si="9"/>
        <v>8.165571872361987</v>
      </c>
      <c r="Z28" s="6">
        <f t="shared" ca="1" si="10"/>
        <v>8.5703180216262957</v>
      </c>
      <c r="AA28" s="6">
        <f t="shared" ca="1" si="11"/>
        <v>8.1738229361638002</v>
      </c>
      <c r="AB28" s="2">
        <f t="shared" ca="1" si="12"/>
        <v>7.9020402307711093</v>
      </c>
      <c r="AC28" s="2">
        <f>'Historical Trends'!G101</f>
        <v>8.6999999999999993</v>
      </c>
      <c r="AE28" s="13">
        <f t="shared" ca="1" si="17"/>
        <v>2.703333333333422</v>
      </c>
      <c r="AF28">
        <f t="shared" ca="1" si="18"/>
        <v>-0.58999999999999986</v>
      </c>
      <c r="AG28">
        <f t="shared" ca="1" si="19"/>
        <v>-1.3999999999999995</v>
      </c>
      <c r="AH28">
        <f t="shared" ca="1" si="20"/>
        <v>-3.046666666666666</v>
      </c>
      <c r="AI28">
        <f t="shared" ca="1" si="21"/>
        <v>-3.046666666666666</v>
      </c>
      <c r="AJ28">
        <f t="shared" ca="1" si="22"/>
        <v>-3.046666666666666</v>
      </c>
      <c r="AK28">
        <f t="shared" ca="1" si="23"/>
        <v>-3.046666666666666</v>
      </c>
      <c r="AL28">
        <f t="shared" ca="1" si="24"/>
        <v>-3.046666666666666</v>
      </c>
      <c r="AM28" s="13">
        <f t="shared" si="43"/>
        <v>-3.3333333333333215E-2</v>
      </c>
      <c r="AN28">
        <f t="shared" si="37"/>
        <v>-0.36666666666666536</v>
      </c>
      <c r="AO28">
        <f t="shared" si="25"/>
        <v>-0.36666666666666536</v>
      </c>
      <c r="AP28">
        <f t="shared" si="26"/>
        <v>0.63333333333333464</v>
      </c>
      <c r="AQ28">
        <f t="shared" si="27"/>
        <v>-0.36666666666666536</v>
      </c>
      <c r="AR28">
        <f t="shared" si="28"/>
        <v>-1.0333333333333323</v>
      </c>
      <c r="AS28" s="30">
        <f t="shared" si="14"/>
        <v>-1.1968333333333332</v>
      </c>
      <c r="AT28">
        <f t="shared" si="14"/>
        <v>-0.60826086956521586</v>
      </c>
      <c r="AU28">
        <f t="shared" si="14"/>
        <v>-0.43166666666666487</v>
      </c>
      <c r="AV28">
        <f t="shared" si="14"/>
        <v>0.44866666666666788</v>
      </c>
      <c r="AW28">
        <f t="shared" si="14"/>
        <v>-0.46439999999999948</v>
      </c>
      <c r="AX28">
        <f t="shared" si="14"/>
        <v>-0.92146666666666555</v>
      </c>
      <c r="AY28" s="13">
        <f t="shared" ca="1" si="44"/>
        <v>-0.5994055360873265</v>
      </c>
      <c r="AZ28" s="6">
        <f t="shared" ca="1" si="38"/>
        <v>-0.59499050217783989</v>
      </c>
      <c r="BA28" s="6">
        <f t="shared" ca="1" si="29"/>
        <v>-0.53442812763801228</v>
      </c>
      <c r="BB28" s="6">
        <f t="shared" ca="1" si="30"/>
        <v>-0.12968197837370354</v>
      </c>
      <c r="BC28" s="6">
        <f t="shared" ca="1" si="31"/>
        <v>-0.52617706383619911</v>
      </c>
      <c r="BD28" s="2">
        <f t="shared" ca="1" si="32"/>
        <v>-0.79795976922889</v>
      </c>
      <c r="BP28">
        <f t="shared" si="45"/>
        <v>7</v>
      </c>
      <c r="BQ28">
        <f t="shared" si="40"/>
        <v>1.9459101490553132</v>
      </c>
      <c r="BR28">
        <f t="shared" si="41"/>
        <v>0.90196183089833593</v>
      </c>
      <c r="BS28">
        <f t="shared" si="42"/>
        <v>0.33838847910654657</v>
      </c>
      <c r="BU28">
        <f t="shared" si="46"/>
        <v>0.6</v>
      </c>
      <c r="BV28">
        <f t="shared" si="39"/>
        <v>0.64877557027872546</v>
      </c>
    </row>
    <row r="29" spans="1:74" x14ac:dyDescent="0.25">
      <c r="A29" t="s">
        <v>127</v>
      </c>
      <c r="B29" s="2">
        <f>B28+1</f>
        <v>2</v>
      </c>
      <c r="C29" s="13">
        <f ca="1">'Historical Trends'!Q102</f>
        <v>10.619999999999891</v>
      </c>
      <c r="D29">
        <f ca="1">AVERAGE(OFFSET('Historical Trends'!$G$101,$B7,0,'Polling Correlations - GRN'!D$4,1))</f>
        <v>6.49</v>
      </c>
      <c r="E29">
        <f ca="1">AVERAGE(OFFSET('Historical Trends'!$G$101,$B7,0,'Polling Correlations - GRN'!E$4,1))</f>
        <v>4.4249999999999998</v>
      </c>
      <c r="F29">
        <f ca="1">AVERAGE(OFFSET('Historical Trends'!$G$101,$B7,0,'Polling Correlations - GRN'!F$4,1))</f>
        <v>4.4249999999999998</v>
      </c>
      <c r="G29">
        <f ca="1">AVERAGE(OFFSET('Historical Trends'!$G$101,$B7,0,'Polling Correlations - GRN'!G$4,1))</f>
        <v>4.4249999999999998</v>
      </c>
      <c r="H29">
        <f ca="1">AVERAGE(OFFSET('Historical Trends'!$G$101,$B7,0,'Polling Correlations - GRN'!H$4,1))</f>
        <v>4.4249999999999998</v>
      </c>
      <c r="I29">
        <f ca="1">AVERAGE(OFFSET('Historical Trends'!$G$101,$B7,0,'Polling Correlations - GRN'!I$4,1))</f>
        <v>4.4249999999999998</v>
      </c>
      <c r="J29">
        <f ca="1">AVERAGE(OFFSET('Historical Trends'!$G$101,$B7,0,'Polling Correlations - GRN'!J$4,1))</f>
        <v>4.4249999999999998</v>
      </c>
      <c r="K29" s="13">
        <f>(8+7+6)/3</f>
        <v>7</v>
      </c>
      <c r="L29">
        <f>(10+13+8)/3</f>
        <v>10.333333333333334</v>
      </c>
      <c r="M29">
        <f>(11+10+13)/3</f>
        <v>11.333333333333334</v>
      </c>
      <c r="N29">
        <f>(10+12+8)/3</f>
        <v>10</v>
      </c>
      <c r="O29">
        <f>(9+10+12)/3</f>
        <v>10.333333333333334</v>
      </c>
      <c r="P29">
        <f>(9.3+10+9)/3</f>
        <v>9.4333333333333336</v>
      </c>
      <c r="Q29" s="30">
        <f>K29-AVERAGE(AM$5:AM28,AM30:AM$30)</f>
        <v>5.7826666666666666</v>
      </c>
      <c r="R29" s="31">
        <f>L29-AVERAGE(AN$5:AN28,AN30:AN$30)</f>
        <v>10.204347826086957</v>
      </c>
      <c r="S29" s="31">
        <f>M29-AVERAGE(AO$5:AO28,AO30:AO$30)</f>
        <v>11.417916666666667</v>
      </c>
      <c r="T29" s="31">
        <f>N29-AVERAGE(AP$5:AP28,AP30:AP$30)</f>
        <v>9.8656000000000006</v>
      </c>
      <c r="U29" s="31">
        <f>O29-AVERAGE(AQ$5:AQ28,AQ30:AQ$30)</f>
        <v>10.3392</v>
      </c>
      <c r="V29" s="31">
        <f>P29-AVERAGE(AR$5:AR28,AR30:AR$30)</f>
        <v>9.6394666666666673</v>
      </c>
      <c r="W29" s="13">
        <f t="shared" ca="1" si="7"/>
        <v>6.4790367769418795</v>
      </c>
      <c r="X29" s="6">
        <f t="shared" ca="1" si="8"/>
        <v>7.5050919072689002</v>
      </c>
      <c r="Y29" s="6">
        <f t="shared" ca="1" si="9"/>
        <v>8.219601406382159</v>
      </c>
      <c r="Z29" s="6">
        <f t="shared" ca="1" si="10"/>
        <v>7.9860040248412023</v>
      </c>
      <c r="AA29" s="6">
        <f t="shared" ca="1" si="11"/>
        <v>8.4459494098861416</v>
      </c>
      <c r="AB29" s="2">
        <f t="shared" ca="1" si="12"/>
        <v>8.4659524171181122</v>
      </c>
      <c r="AC29" s="2">
        <f>'Historical Trends'!G102</f>
        <v>8.11</v>
      </c>
      <c r="AE29" s="13">
        <f t="shared" ca="1" si="17"/>
        <v>2.5099999999998914</v>
      </c>
      <c r="AF29">
        <f t="shared" ca="1" si="18"/>
        <v>-1.6199999999999992</v>
      </c>
      <c r="AG29">
        <f t="shared" ca="1" si="19"/>
        <v>-3.6849999999999996</v>
      </c>
      <c r="AH29">
        <f t="shared" ca="1" si="20"/>
        <v>-3.6849999999999996</v>
      </c>
      <c r="AI29">
        <f t="shared" ca="1" si="21"/>
        <v>-3.6849999999999996</v>
      </c>
      <c r="AJ29">
        <f t="shared" ca="1" si="22"/>
        <v>-3.6849999999999996</v>
      </c>
      <c r="AK29">
        <f t="shared" ca="1" si="23"/>
        <v>-3.6849999999999996</v>
      </c>
      <c r="AL29">
        <f t="shared" ca="1" si="24"/>
        <v>-3.6849999999999996</v>
      </c>
      <c r="AM29" s="13">
        <f t="shared" si="43"/>
        <v>-1.1099999999999994</v>
      </c>
      <c r="AN29">
        <f t="shared" si="37"/>
        <v>2.2233333333333345</v>
      </c>
      <c r="AO29">
        <f t="shared" si="25"/>
        <v>3.2233333333333345</v>
      </c>
      <c r="AP29">
        <f t="shared" si="26"/>
        <v>1.8900000000000006</v>
      </c>
      <c r="AQ29">
        <f t="shared" si="27"/>
        <v>2.2233333333333345</v>
      </c>
      <c r="AR29">
        <f t="shared" si="28"/>
        <v>1.3233333333333341</v>
      </c>
      <c r="AS29" s="30">
        <f t="shared" si="14"/>
        <v>-2.3273333333333328</v>
      </c>
      <c r="AT29">
        <f t="shared" si="14"/>
        <v>2.0943478260869579</v>
      </c>
      <c r="AU29">
        <f t="shared" si="14"/>
        <v>3.3079166666666673</v>
      </c>
      <c r="AV29">
        <f t="shared" si="14"/>
        <v>1.7556000000000012</v>
      </c>
      <c r="AW29">
        <f t="shared" si="14"/>
        <v>2.2292000000000005</v>
      </c>
      <c r="AX29">
        <f t="shared" si="14"/>
        <v>1.5294666666666679</v>
      </c>
      <c r="AY29" s="13">
        <f t="shared" ca="1" si="44"/>
        <v>-1.6309632230581199</v>
      </c>
      <c r="AZ29" s="6">
        <f t="shared" ca="1" si="38"/>
        <v>-0.60490809273109925</v>
      </c>
      <c r="BA29" s="6">
        <f t="shared" ca="1" si="29"/>
        <v>0.10960140638215954</v>
      </c>
      <c r="BB29" s="6">
        <f t="shared" ca="1" si="30"/>
        <v>-0.12399597515879712</v>
      </c>
      <c r="BC29" s="6">
        <f t="shared" ca="1" si="31"/>
        <v>0.33594940988614219</v>
      </c>
      <c r="BD29" s="2">
        <f t="shared" ca="1" si="32"/>
        <v>0.35595241711811276</v>
      </c>
      <c r="BP29">
        <f t="shared" si="45"/>
        <v>8</v>
      </c>
      <c r="BQ29">
        <f t="shared" si="40"/>
        <v>2.0794415416798357</v>
      </c>
      <c r="BR29">
        <f t="shared" si="41"/>
        <v>0.89847902784446509</v>
      </c>
      <c r="BS29">
        <f t="shared" si="42"/>
        <v>0.36349633700567485</v>
      </c>
      <c r="BU29">
        <f t="shared" si="46"/>
        <v>0.7</v>
      </c>
      <c r="BV29">
        <f t="shared" si="39"/>
        <v>0.64523945761516011</v>
      </c>
    </row>
    <row r="30" spans="1:74" x14ac:dyDescent="0.25">
      <c r="A30" t="s">
        <v>128</v>
      </c>
      <c r="B30" s="2">
        <f>B29+1</f>
        <v>3</v>
      </c>
      <c r="D30">
        <f ca="1">AVERAGE(OFFSET('Historical Trends'!$G$101,$B8,0,'Polling Correlations - GRN'!D$4,1))</f>
        <v>2.36</v>
      </c>
      <c r="E30">
        <f ca="1">AVERAGE(OFFSET('Historical Trends'!$G$101,$B8,0,'Polling Correlations - GRN'!E$4,1))</f>
        <v>2.36</v>
      </c>
      <c r="F30">
        <f ca="1">AVERAGE(OFFSET('Historical Trends'!$G$101,$B8,0,'Polling Correlations - GRN'!F$4,1))</f>
        <v>2.36</v>
      </c>
      <c r="G30">
        <f ca="1">AVERAGE(OFFSET('Historical Trends'!$G$101,$B8,0,'Polling Correlations - GRN'!G$4,1))</f>
        <v>2.36</v>
      </c>
      <c r="H30">
        <f ca="1">AVERAGE(OFFSET('Historical Trends'!$G$101,$B8,0,'Polling Correlations - GRN'!H$4,1))</f>
        <v>2.36</v>
      </c>
      <c r="I30">
        <f ca="1">AVERAGE(OFFSET('Historical Trends'!$G$101,$B8,0,'Polling Correlations - GRN'!I$4,1))</f>
        <v>2.36</v>
      </c>
      <c r="J30">
        <f ca="1">AVERAGE(OFFSET('Historical Trends'!$G$101,$B8,0,'Polling Correlations - GRN'!J$4,1))</f>
        <v>2.36</v>
      </c>
      <c r="N30">
        <f>(4+4)/2</f>
        <v>4</v>
      </c>
      <c r="O30">
        <f>(3+4+4)/3</f>
        <v>3.6666666666666665</v>
      </c>
      <c r="P30">
        <f>(4+3+4)/3</f>
        <v>3.6666666666666665</v>
      </c>
      <c r="Q30" s="30"/>
      <c r="R30" s="31"/>
      <c r="S30" s="31"/>
      <c r="T30" s="31">
        <f>N30-AVERAGE(AP$5:AP29)</f>
        <v>3.6903999999999999</v>
      </c>
      <c r="U30" s="31">
        <f>O30-AVERAGE(AQ$5:AQ29)</f>
        <v>3.4706666666666663</v>
      </c>
      <c r="V30" s="31">
        <f>P30-AVERAGE(AR$5:AR29)</f>
        <v>3.7069333333333332</v>
      </c>
      <c r="W30" s="13">
        <f t="shared" ca="1" si="7"/>
        <v>2.3234214800888333</v>
      </c>
      <c r="X30" s="6">
        <f t="shared" ca="1" si="8"/>
        <v>1.715037004254292</v>
      </c>
      <c r="Y30" s="6">
        <f t="shared" ca="1" si="9"/>
        <v>1.5316866182676465</v>
      </c>
      <c r="Z30" s="6">
        <f t="shared" ca="1" si="10"/>
        <v>2.9496088857236442</v>
      </c>
      <c r="AA30" s="6">
        <f t="shared" ca="1" si="11"/>
        <v>2.9243790427223511</v>
      </c>
      <c r="AB30" s="2">
        <f t="shared" ca="1" si="12"/>
        <v>3.2050561499397636</v>
      </c>
      <c r="AC30" s="2">
        <f>'Historical Trends'!G103</f>
        <v>6.49</v>
      </c>
      <c r="AF30">
        <f t="shared" ref="AF30:AL30" ca="1" si="47">D30-$AC30</f>
        <v>-4.1300000000000008</v>
      </c>
      <c r="AG30">
        <f t="shared" ca="1" si="47"/>
        <v>-4.1300000000000008</v>
      </c>
      <c r="AH30">
        <f t="shared" ca="1" si="47"/>
        <v>-4.1300000000000008</v>
      </c>
      <c r="AI30">
        <f t="shared" ca="1" si="47"/>
        <v>-4.1300000000000008</v>
      </c>
      <c r="AJ30">
        <f t="shared" ca="1" si="47"/>
        <v>-4.1300000000000008</v>
      </c>
      <c r="AK30">
        <f t="shared" ca="1" si="47"/>
        <v>-4.1300000000000008</v>
      </c>
      <c r="AL30">
        <f t="shared" ca="1" si="47"/>
        <v>-4.1300000000000008</v>
      </c>
      <c r="AP30">
        <f>N30-$AC30</f>
        <v>-2.4900000000000002</v>
      </c>
      <c r="AQ30">
        <f>O30-$AC30</f>
        <v>-2.8233333333333337</v>
      </c>
      <c r="AR30">
        <f>P30-$AC30</f>
        <v>-2.8233333333333337</v>
      </c>
      <c r="AS30" s="30"/>
      <c r="AV30">
        <f t="shared" si="14"/>
        <v>-2.7996000000000003</v>
      </c>
      <c r="AW30">
        <f t="shared" si="14"/>
        <v>-3.0193333333333339</v>
      </c>
      <c r="AX30">
        <f t="shared" si="14"/>
        <v>-2.783066666666667</v>
      </c>
      <c r="BB30" s="6">
        <f ca="1">Z30-$AC30</f>
        <v>-3.540391114276356</v>
      </c>
      <c r="BC30" s="6">
        <f ca="1">AA30-$AC30</f>
        <v>-3.5656209572776492</v>
      </c>
      <c r="BD30" s="2">
        <f ca="1">AB30-$AC30</f>
        <v>-3.2849438500602366</v>
      </c>
      <c r="BP30">
        <f t="shared" si="45"/>
        <v>9</v>
      </c>
      <c r="BQ30">
        <f t="shared" si="40"/>
        <v>2.1972245773362196</v>
      </c>
      <c r="BR30">
        <f t="shared" si="41"/>
        <v>0.89528046973783304</v>
      </c>
      <c r="BS30">
        <f t="shared" si="42"/>
        <v>0.38579609965964168</v>
      </c>
      <c r="BU30">
        <f t="shared" si="46"/>
        <v>0.79999999999999993</v>
      </c>
      <c r="BV30">
        <f t="shared" si="39"/>
        <v>0.64162647293716946</v>
      </c>
    </row>
    <row r="31" spans="1:74" x14ac:dyDescent="0.25">
      <c r="BP31">
        <f t="shared" si="45"/>
        <v>10</v>
      </c>
      <c r="BQ31">
        <f t="shared" si="40"/>
        <v>2.3025850929940459</v>
      </c>
      <c r="BR31">
        <f t="shared" si="41"/>
        <v>0.89231280613779884</v>
      </c>
      <c r="BS31">
        <f t="shared" si="42"/>
        <v>0.4058546225073032</v>
      </c>
      <c r="BU31">
        <f t="shared" si="46"/>
        <v>0.89999999999999991</v>
      </c>
      <c r="BV31">
        <f t="shared" si="39"/>
        <v>0.63793408200251966</v>
      </c>
    </row>
    <row r="32" spans="1:74" x14ac:dyDescent="0.25">
      <c r="Q32" s="32"/>
      <c r="BP32">
        <f>BP31+5</f>
        <v>15</v>
      </c>
      <c r="BQ32">
        <f t="shared" si="40"/>
        <v>2.7080502011022101</v>
      </c>
      <c r="BR32">
        <f t="shared" si="41"/>
        <v>0.879848893553969</v>
      </c>
      <c r="BS32">
        <f t="shared" si="42"/>
        <v>0.4838185582782154</v>
      </c>
      <c r="BU32">
        <f t="shared" si="46"/>
        <v>0.99999999999999989</v>
      </c>
      <c r="BV32">
        <f t="shared" si="39"/>
        <v>0.63415963793598884</v>
      </c>
    </row>
    <row r="33" spans="57:74" x14ac:dyDescent="0.25">
      <c r="BP33">
        <f t="shared" ref="BP33:BP39" si="48">BP32+5</f>
        <v>20</v>
      </c>
      <c r="BQ33">
        <f t="shared" si="40"/>
        <v>2.9957322735539909</v>
      </c>
      <c r="BR33">
        <f t="shared" si="41"/>
        <v>0.86984999035138133</v>
      </c>
      <c r="BS33">
        <f t="shared" si="42"/>
        <v>0.53956842999097721</v>
      </c>
      <c r="BU33">
        <f t="shared" si="46"/>
        <v>1.0999999999999999</v>
      </c>
      <c r="BV33">
        <f t="shared" si="39"/>
        <v>0.63030037490167068</v>
      </c>
    </row>
    <row r="34" spans="57:74" x14ac:dyDescent="0.25">
      <c r="BP34">
        <f t="shared" si="48"/>
        <v>25</v>
      </c>
      <c r="BQ34">
        <f t="shared" si="40"/>
        <v>3.2188758248682006</v>
      </c>
      <c r="BR34">
        <f t="shared" si="41"/>
        <v>0.86131452190275737</v>
      </c>
      <c r="BS34">
        <f t="shared" si="42"/>
        <v>0.5828049378614828</v>
      </c>
      <c r="BU34">
        <f t="shared" si="46"/>
        <v>1.2</v>
      </c>
      <c r="BV34">
        <f t="shared" si="39"/>
        <v>0.62635340134384543</v>
      </c>
    </row>
    <row r="35" spans="57:74" x14ac:dyDescent="0.25">
      <c r="BP35">
        <f t="shared" si="48"/>
        <v>30</v>
      </c>
      <c r="BQ35">
        <f t="shared" si="40"/>
        <v>3.4011973816621555</v>
      </c>
      <c r="BR35">
        <f t="shared" si="41"/>
        <v>0.85376331210823564</v>
      </c>
      <c r="BS35">
        <f t="shared" si="42"/>
        <v>0.61797098580623311</v>
      </c>
      <c r="BU35">
        <f t="shared" si="46"/>
        <v>1.3</v>
      </c>
      <c r="BV35">
        <f t="shared" si="39"/>
        <v>0.62231569276170218</v>
      </c>
    </row>
    <row r="36" spans="57:74" x14ac:dyDescent="0.25">
      <c r="BP36">
        <f t="shared" si="48"/>
        <v>35</v>
      </c>
      <c r="BQ36">
        <f t="shared" si="40"/>
        <v>3.5553480614894135</v>
      </c>
      <c r="BR36">
        <f t="shared" si="41"/>
        <v>0.84692609437819422</v>
      </c>
      <c r="BS36">
        <f t="shared" si="42"/>
        <v>0.64748580981932835</v>
      </c>
      <c r="BU36">
        <f t="shared" si="46"/>
        <v>1.4000000000000001</v>
      </c>
      <c r="BV36">
        <f t="shared" si="39"/>
        <v>0.61818408397997426</v>
      </c>
    </row>
    <row r="37" spans="57:74" x14ac:dyDescent="0.25">
      <c r="BP37">
        <f t="shared" si="48"/>
        <v>40</v>
      </c>
      <c r="BQ37">
        <f t="shared" si="40"/>
        <v>3.6888794541139363</v>
      </c>
      <c r="BR37">
        <f t="shared" si="41"/>
        <v>0.84063391913611418</v>
      </c>
      <c r="BS37">
        <f t="shared" si="42"/>
        <v>0.67281712840632812</v>
      </c>
      <c r="BU37">
        <f t="shared" si="46"/>
        <v>1.5000000000000002</v>
      </c>
      <c r="BV37">
        <f t="shared" si="39"/>
        <v>0.61395526087397045</v>
      </c>
    </row>
    <row r="38" spans="57:74" x14ac:dyDescent="0.25">
      <c r="BE38" t="s">
        <v>217</v>
      </c>
      <c r="BG38">
        <f>Q4</f>
        <v>1.1065079365079364</v>
      </c>
      <c r="BH38">
        <f t="shared" ref="BH38:BK38" si="49">R4</f>
        <v>0.21625000000000019</v>
      </c>
      <c r="BI38">
        <f t="shared" si="49"/>
        <v>4.7733333333333371E-2</v>
      </c>
      <c r="BJ38">
        <f t="shared" si="49"/>
        <v>0.2019230769230769</v>
      </c>
      <c r="BK38">
        <f t="shared" si="49"/>
        <v>7.987179487179491E-2</v>
      </c>
      <c r="BL38">
        <f t="shared" ref="BL38" si="50">AVERAGE(BK38,BM38)</f>
        <v>-3.3717948717948601E-2</v>
      </c>
      <c r="BM38">
        <f>V4</f>
        <v>-0.14730769230769211</v>
      </c>
      <c r="BP38">
        <f t="shared" si="48"/>
        <v>45</v>
      </c>
      <c r="BQ38">
        <f t="shared" si="40"/>
        <v>3.8066624897703196</v>
      </c>
      <c r="BR38">
        <f t="shared" si="41"/>
        <v>0.8347734080477065</v>
      </c>
      <c r="BS38">
        <f t="shared" si="42"/>
        <v>0.6949243646841885</v>
      </c>
      <c r="BU38">
        <f t="shared" si="46"/>
        <v>1.6000000000000003</v>
      </c>
      <c r="BV38">
        <f t="shared" si="39"/>
        <v>0.60962575150353793</v>
      </c>
    </row>
    <row r="39" spans="57:74" x14ac:dyDescent="0.25">
      <c r="BP39">
        <f t="shared" si="48"/>
        <v>50</v>
      </c>
      <c r="BQ39">
        <f t="shared" si="40"/>
        <v>3.912023005428146</v>
      </c>
      <c r="BR39">
        <f t="shared" si="41"/>
        <v>0.82926440807702773</v>
      </c>
      <c r="BS39">
        <f t="shared" si="42"/>
        <v>0.71447001455916515</v>
      </c>
      <c r="BU39">
        <f t="shared" si="46"/>
        <v>1.7000000000000004</v>
      </c>
      <c r="BV39">
        <f t="shared" si="39"/>
        <v>0.60519191660610705</v>
      </c>
    </row>
    <row r="40" spans="57:74" x14ac:dyDescent="0.25">
      <c r="BP40">
        <f>BP39+10</f>
        <v>60</v>
      </c>
      <c r="BQ40">
        <f t="shared" si="40"/>
        <v>4.0943445622221004</v>
      </c>
      <c r="BR40">
        <f t="shared" si="41"/>
        <v>0.81907923870333688</v>
      </c>
      <c r="BS40">
        <f t="shared" si="42"/>
        <v>0.74766316959566648</v>
      </c>
      <c r="BU40">
        <f t="shared" si="46"/>
        <v>1.8000000000000005</v>
      </c>
      <c r="BV40">
        <f t="shared" si="39"/>
        <v>0.60064993939410471</v>
      </c>
    </row>
    <row r="41" spans="57:74" x14ac:dyDescent="0.25">
      <c r="BP41">
        <f t="shared" ref="BP41:BP54" si="51">BP40+10</f>
        <v>70</v>
      </c>
      <c r="BQ41">
        <f t="shared" si="40"/>
        <v>4.2484952420493594</v>
      </c>
      <c r="BR41">
        <f t="shared" si="41"/>
        <v>0.80975263189700109</v>
      </c>
      <c r="BS41">
        <f t="shared" si="42"/>
        <v>0.77496755104351545</v>
      </c>
      <c r="BU41">
        <f t="shared" si="46"/>
        <v>1.9000000000000006</v>
      </c>
      <c r="BV41">
        <f t="shared" si="39"/>
        <v>0.59599581459662088</v>
      </c>
    </row>
    <row r="42" spans="57:74" x14ac:dyDescent="0.25">
      <c r="BP42">
        <f t="shared" si="51"/>
        <v>80</v>
      </c>
      <c r="BQ42">
        <f t="shared" si="40"/>
        <v>4.3820266346738812</v>
      </c>
      <c r="BR42">
        <f t="shared" si="41"/>
        <v>0.80108034151045548</v>
      </c>
      <c r="BS42">
        <f t="shared" si="42"/>
        <v>0.79793913541597239</v>
      </c>
      <c r="BU42">
        <f t="shared" si="46"/>
        <v>2.0000000000000004</v>
      </c>
      <c r="BV42">
        <f t="shared" si="39"/>
        <v>0.59122533667919985</v>
      </c>
    </row>
    <row r="43" spans="57:74" x14ac:dyDescent="0.25">
      <c r="BP43">
        <f t="shared" si="51"/>
        <v>90</v>
      </c>
      <c r="BQ43">
        <f t="shared" si="40"/>
        <v>4.499809670330265</v>
      </c>
      <c r="BR43">
        <f t="shared" si="41"/>
        <v>0.79292496189577877</v>
      </c>
      <c r="BS43">
        <f t="shared" si="42"/>
        <v>0.81759263741514543</v>
      </c>
      <c r="BU43">
        <f t="shared" si="46"/>
        <v>2.1000000000000005</v>
      </c>
      <c r="BV43">
        <f t="shared" si="39"/>
        <v>0.58633408716893265</v>
      </c>
    </row>
    <row r="44" spans="57:74" x14ac:dyDescent="0.25">
      <c r="BP44">
        <f t="shared" si="51"/>
        <v>100</v>
      </c>
      <c r="BQ44">
        <f t="shared" si="40"/>
        <v>4.6051701859880918</v>
      </c>
      <c r="BR44">
        <f t="shared" si="41"/>
        <v>0.78518914172563514</v>
      </c>
      <c r="BS44">
        <f t="shared" si="42"/>
        <v>0.83462711013196844</v>
      </c>
      <c r="BU44">
        <f t="shared" si="46"/>
        <v>2.2000000000000006</v>
      </c>
      <c r="BV44">
        <f t="shared" si="39"/>
        <v>0.58131742100455619</v>
      </c>
    </row>
    <row r="45" spans="57:74" x14ac:dyDescent="0.25">
      <c r="BP45">
        <f t="shared" si="51"/>
        <v>110</v>
      </c>
      <c r="BQ45">
        <f t="shared" si="40"/>
        <v>4.7004803657924166</v>
      </c>
      <c r="BR45">
        <f t="shared" si="41"/>
        <v>0.77780111311839573</v>
      </c>
      <c r="BS45">
        <f t="shared" si="42"/>
        <v>0.84954484676076014</v>
      </c>
      <c r="BU45">
        <f t="shared" si="46"/>
        <v>2.3000000000000007</v>
      </c>
      <c r="BV45">
        <f t="shared" si="39"/>
        <v>0.57617045182292315</v>
      </c>
    </row>
    <row r="46" spans="57:74" x14ac:dyDescent="0.25">
      <c r="BP46">
        <f t="shared" si="51"/>
        <v>120</v>
      </c>
      <c r="BQ46">
        <f t="shared" si="40"/>
        <v>4.7874917427820458</v>
      </c>
      <c r="BR46">
        <f t="shared" si="41"/>
        <v>0.77070627637324507</v>
      </c>
      <c r="BS46">
        <f t="shared" si="42"/>
        <v>0.86271900397276902</v>
      </c>
      <c r="BU46">
        <f t="shared" si="46"/>
        <v>2.4000000000000008</v>
      </c>
      <c r="BV46">
        <f t="shared" si="39"/>
        <v>0.57088803608387872</v>
      </c>
    </row>
    <row r="47" spans="57:74" x14ac:dyDescent="0.25">
      <c r="BP47">
        <f t="shared" si="51"/>
        <v>130</v>
      </c>
      <c r="BQ47">
        <f t="shared" si="40"/>
        <v>4.8675344504555822</v>
      </c>
      <c r="BR47">
        <f t="shared" si="41"/>
        <v>0.76386201641897999</v>
      </c>
      <c r="BS47">
        <f t="shared" si="42"/>
        <v>0.87443441809294398</v>
      </c>
      <c r="BU47">
        <f t="shared" si="46"/>
        <v>2.5000000000000009</v>
      </c>
      <c r="BV47">
        <f t="shared" si="39"/>
        <v>0.56546475592512646</v>
      </c>
    </row>
    <row r="48" spans="57:74" x14ac:dyDescent="0.25">
      <c r="BP48">
        <f t="shared" si="51"/>
        <v>140</v>
      </c>
      <c r="BQ48">
        <f t="shared" si="40"/>
        <v>4.9416424226093039</v>
      </c>
      <c r="BR48">
        <f t="shared" si="41"/>
        <v>0.7572343586762027</v>
      </c>
      <c r="BS48">
        <f t="shared" si="42"/>
        <v>0.88491344827388807</v>
      </c>
      <c r="BU48">
        <f t="shared" si="46"/>
        <v>2.600000000000001</v>
      </c>
      <c r="BV48">
        <f t="shared" si="39"/>
        <v>0.55989490062694836</v>
      </c>
    </row>
    <row r="49" spans="68:74" x14ac:dyDescent="0.25">
      <c r="BP49">
        <f t="shared" si="51"/>
        <v>150</v>
      </c>
      <c r="BQ49">
        <f t="shared" si="40"/>
        <v>5.0106352940962555</v>
      </c>
      <c r="BR49">
        <f t="shared" si="41"/>
        <v>0.75079572787420124</v>
      </c>
      <c r="BS49">
        <f t="shared" si="42"/>
        <v>0.89433299656138121</v>
      </c>
      <c r="BU49">
        <f t="shared" si="46"/>
        <v>2.7000000000000011</v>
      </c>
      <c r="BV49">
        <f t="shared" si="39"/>
        <v>0.55417244655347786</v>
      </c>
    </row>
    <row r="50" spans="68:74" x14ac:dyDescent="0.25">
      <c r="BP50">
        <f t="shared" si="51"/>
        <v>160</v>
      </c>
      <c r="BQ50">
        <f t="shared" si="40"/>
        <v>5.0751738152338266</v>
      </c>
      <c r="BR50">
        <f t="shared" si="41"/>
        <v>0.74452339735186701</v>
      </c>
      <c r="BS50">
        <f t="shared" si="42"/>
        <v>0.90283609332738779</v>
      </c>
      <c r="BU50">
        <f t="shared" si="46"/>
        <v>2.8000000000000012</v>
      </c>
      <c r="BV50">
        <f t="shared" si="39"/>
        <v>0.54829103542241087</v>
      </c>
    </row>
    <row r="51" spans="68:74" x14ac:dyDescent="0.25">
      <c r="BP51">
        <f t="shared" si="51"/>
        <v>170</v>
      </c>
      <c r="BQ51">
        <f t="shared" si="40"/>
        <v>5.1357984370502621</v>
      </c>
      <c r="BR51">
        <f t="shared" si="41"/>
        <v>0.73839838659247792</v>
      </c>
      <c r="BS51">
        <f t="shared" si="42"/>
        <v>0.91054000803782009</v>
      </c>
      <c r="BU51">
        <f t="shared" si="46"/>
        <v>2.9000000000000012</v>
      </c>
      <c r="BV51">
        <f t="shared" si="39"/>
        <v>0.54224395073835607</v>
      </c>
    </row>
    <row r="52" spans="68:74" x14ac:dyDescent="0.25">
      <c r="BP52">
        <f t="shared" si="51"/>
        <v>180</v>
      </c>
      <c r="BQ52">
        <f t="shared" si="40"/>
        <v>5.1929568508902104</v>
      </c>
      <c r="BR52">
        <f t="shared" si="41"/>
        <v>0.73240465888899264</v>
      </c>
      <c r="BS52">
        <f t="shared" si="42"/>
        <v>0.91754206657603909</v>
      </c>
      <c r="BU52">
        <f t="shared" si="46"/>
        <v>3.0000000000000013</v>
      </c>
      <c r="BV52">
        <f t="shared" si="39"/>
        <v>0.53602409220618541</v>
      </c>
    </row>
    <row r="53" spans="68:74" x14ac:dyDescent="0.25">
      <c r="BP53">
        <f t="shared" si="51"/>
        <v>190</v>
      </c>
      <c r="BQ53">
        <f t="shared" si="40"/>
        <v>5.2470240721604862</v>
      </c>
      <c r="BR53">
        <f t="shared" si="41"/>
        <v>0.72652852542636714</v>
      </c>
      <c r="BS53">
        <f t="shared" si="42"/>
        <v>0.92392391251925343</v>
      </c>
      <c r="BU53">
        <f t="shared" si="46"/>
        <v>3.1000000000000014</v>
      </c>
      <c r="BV53">
        <f t="shared" si="39"/>
        <v>0.5296239479194591</v>
      </c>
    </row>
    <row r="54" spans="68:74" x14ac:dyDescent="0.25">
      <c r="BP54">
        <f t="shared" si="51"/>
        <v>200</v>
      </c>
      <c r="BQ54">
        <f t="shared" si="40"/>
        <v>5.2983173665480363</v>
      </c>
      <c r="BR54">
        <f t="shared" si="41"/>
        <v>0.72075819468806512</v>
      </c>
      <c r="BS54">
        <f t="shared" si="42"/>
        <v>0.92975468696968566</v>
      </c>
      <c r="BU54">
        <f t="shared" si="46"/>
        <v>3.2000000000000015</v>
      </c>
      <c r="BV54">
        <f t="shared" ref="BV54:BV85" si="52">MAX(0,($BG$16+1/($BG$17*$BG$18))-1/((10-BU54) * $BG$18))</f>
        <v>0.52303556409488783</v>
      </c>
    </row>
    <row r="55" spans="68:74" x14ac:dyDescent="0.25">
      <c r="BP55">
        <f>BP54+50</f>
        <v>250</v>
      </c>
      <c r="BQ55">
        <f t="shared" si="40"/>
        <v>5.521460917862246</v>
      </c>
      <c r="BR55">
        <f t="shared" si="41"/>
        <v>0.69317584095074125</v>
      </c>
      <c r="BS55">
        <f t="shared" si="42"/>
        <v>0.95244943915188174</v>
      </c>
      <c r="BU55">
        <f t="shared" si="46"/>
        <v>3.3000000000000016</v>
      </c>
      <c r="BV55">
        <f t="shared" si="52"/>
        <v>0.51625051209644879</v>
      </c>
    </row>
    <row r="56" spans="68:74" x14ac:dyDescent="0.25">
      <c r="BP56">
        <f t="shared" ref="BP56:BP70" si="53">BP55+50</f>
        <v>300</v>
      </c>
      <c r="BQ56">
        <f t="shared" si="40"/>
        <v>5.7037824746562009</v>
      </c>
      <c r="BR56">
        <f t="shared" si="41"/>
        <v>0.66711978373630698</v>
      </c>
      <c r="BS56">
        <f t="shared" si="42"/>
        <v>0.96758398203144513</v>
      </c>
      <c r="BU56">
        <f t="shared" si="46"/>
        <v>3.4000000000000017</v>
      </c>
      <c r="BV56">
        <f t="shared" si="52"/>
        <v>0.50925985246169347</v>
      </c>
    </row>
    <row r="57" spans="68:74" x14ac:dyDescent="0.25">
      <c r="BP57">
        <f t="shared" si="53"/>
        <v>350</v>
      </c>
      <c r="BQ57">
        <f t="shared" si="40"/>
        <v>5.857933154483459</v>
      </c>
      <c r="BR57">
        <f t="shared" si="41"/>
        <v>0.64205435800763322</v>
      </c>
      <c r="BS57">
        <f t="shared" si="42"/>
        <v>0.97789759943806631</v>
      </c>
      <c r="BU57">
        <f t="shared" si="46"/>
        <v>3.5000000000000018</v>
      </c>
      <c r="BV57">
        <f t="shared" si="52"/>
        <v>0.50205409560740721</v>
      </c>
    </row>
    <row r="58" spans="68:74" x14ac:dyDescent="0.25">
      <c r="BP58">
        <f t="shared" si="53"/>
        <v>400</v>
      </c>
      <c r="BQ58">
        <f t="shared" si="40"/>
        <v>5.9914645471079817</v>
      </c>
      <c r="BR58">
        <f t="shared" si="41"/>
        <v>0.61763593864421518</v>
      </c>
      <c r="BS58">
        <f t="shared" si="42"/>
        <v>0.9850015268695701</v>
      </c>
      <c r="BU58">
        <f t="shared" si="46"/>
        <v>3.6000000000000019</v>
      </c>
      <c r="BV58">
        <f t="shared" si="52"/>
        <v>0.4946231588514246</v>
      </c>
    </row>
    <row r="59" spans="68:74" x14ac:dyDescent="0.25">
      <c r="BP59">
        <f t="shared" si="53"/>
        <v>450</v>
      </c>
      <c r="BQ59">
        <f t="shared" si="40"/>
        <v>6.1092475827643655</v>
      </c>
      <c r="BR59">
        <f t="shared" si="41"/>
        <v>0.59362654672186865</v>
      </c>
      <c r="BS59">
        <f t="shared" si="42"/>
        <v>0.9899108493790626</v>
      </c>
      <c r="BU59">
        <f t="shared" si="46"/>
        <v>3.700000000000002</v>
      </c>
      <c r="BV59">
        <f t="shared" si="52"/>
        <v>0.48695631934128358</v>
      </c>
    </row>
    <row r="60" spans="68:74" x14ac:dyDescent="0.25">
      <c r="BP60">
        <f t="shared" si="53"/>
        <v>500</v>
      </c>
      <c r="BQ60">
        <f t="shared" si="40"/>
        <v>6.2146080984221914</v>
      </c>
      <c r="BR60">
        <f t="shared" si="41"/>
        <v>0.569851292413324</v>
      </c>
      <c r="BS60">
        <f t="shared" si="42"/>
        <v>0.99329595624928546</v>
      </c>
      <c r="BU60">
        <f t="shared" si="46"/>
        <v>3.800000000000002</v>
      </c>
      <c r="BV60">
        <f t="shared" si="52"/>
        <v>0.47904216242758979</v>
      </c>
    </row>
    <row r="61" spans="68:74" x14ac:dyDescent="0.25">
      <c r="BP61">
        <f t="shared" si="53"/>
        <v>550</v>
      </c>
      <c r="BQ61">
        <f t="shared" si="40"/>
        <v>6.3099182782265162</v>
      </c>
      <c r="BR61">
        <f t="shared" si="41"/>
        <v>0.54617525808218648</v>
      </c>
      <c r="BS61">
        <f t="shared" si="42"/>
        <v>0.99561427203877517</v>
      </c>
      <c r="BU61">
        <f t="shared" si="46"/>
        <v>3.9000000000000021</v>
      </c>
      <c r="BV61">
        <f t="shared" si="52"/>
        <v>0.47086852495934861</v>
      </c>
    </row>
    <row r="62" spans="68:74" x14ac:dyDescent="0.25">
      <c r="BP62">
        <f t="shared" si="53"/>
        <v>600</v>
      </c>
      <c r="BQ62">
        <f t="shared" si="40"/>
        <v>6.3969296552161463</v>
      </c>
      <c r="BR62">
        <f t="shared" si="41"/>
        <v>0.52248997636488048</v>
      </c>
      <c r="BS62">
        <f t="shared" si="42"/>
        <v>0.99718485288033465</v>
      </c>
      <c r="BU62">
        <f t="shared" si="46"/>
        <v>4.0000000000000018</v>
      </c>
      <c r="BV62">
        <f t="shared" si="52"/>
        <v>0.46242243290883278</v>
      </c>
    </row>
    <row r="63" spans="68:74" x14ac:dyDescent="0.25">
      <c r="BP63">
        <f t="shared" si="53"/>
        <v>650</v>
      </c>
      <c r="BQ63">
        <f t="shared" si="40"/>
        <v>6.4769723628896827</v>
      </c>
      <c r="BR63">
        <f t="shared" si="41"/>
        <v>0.49870504279401651</v>
      </c>
      <c r="BS63">
        <f t="shared" si="42"/>
        <v>0.99823331524566505</v>
      </c>
      <c r="BU63">
        <f t="shared" si="46"/>
        <v>4.1000000000000014</v>
      </c>
      <c r="BV63">
        <f t="shared" si="52"/>
        <v>0.45369003265321473</v>
      </c>
    </row>
    <row r="64" spans="68:74" x14ac:dyDescent="0.25">
      <c r="BP64">
        <f t="shared" si="53"/>
        <v>700</v>
      </c>
      <c r="BQ64">
        <f t="shared" si="40"/>
        <v>6.5510803350434044</v>
      </c>
      <c r="BR64">
        <f t="shared" si="41"/>
        <v>0.4747426555796147</v>
      </c>
      <c r="BS64">
        <f t="shared" si="42"/>
        <v>0.99892029773640656</v>
      </c>
      <c r="BU64">
        <f t="shared" si="46"/>
        <v>4.2000000000000011</v>
      </c>
      <c r="BV64">
        <f t="shared" si="52"/>
        <v>0.44465651514740301</v>
      </c>
    </row>
    <row r="65" spans="68:74" x14ac:dyDescent="0.25">
      <c r="BP65">
        <f t="shared" si="53"/>
        <v>750</v>
      </c>
      <c r="BQ65">
        <f t="shared" si="40"/>
        <v>6.620073206530356</v>
      </c>
      <c r="BR65">
        <f t="shared" si="41"/>
        <v>0.45053391098406859</v>
      </c>
      <c r="BS65">
        <f t="shared" si="42"/>
        <v>0.99936027059099286</v>
      </c>
      <c r="BU65">
        <f t="shared" si="46"/>
        <v>4.3000000000000007</v>
      </c>
      <c r="BV65">
        <f t="shared" si="52"/>
        <v>0.43530603211507146</v>
      </c>
    </row>
    <row r="66" spans="68:74" x14ac:dyDescent="0.25">
      <c r="BP66">
        <f t="shared" si="53"/>
        <v>800</v>
      </c>
      <c r="BQ66">
        <f t="shared" si="40"/>
        <v>6.6846117276679271</v>
      </c>
      <c r="BR66">
        <f t="shared" si="41"/>
        <v>0.42601619595390805</v>
      </c>
      <c r="BS66">
        <f t="shared" si="42"/>
        <v>0.99963441988520285</v>
      </c>
      <c r="BU66">
        <f t="shared" si="46"/>
        <v>4.4000000000000004</v>
      </c>
      <c r="BV66">
        <f t="shared" si="52"/>
        <v>0.42562160326015674</v>
      </c>
    </row>
    <row r="67" spans="68:74" x14ac:dyDescent="0.25">
      <c r="BP67">
        <f t="shared" si="53"/>
        <v>850</v>
      </c>
      <c r="BQ67">
        <f t="shared" si="40"/>
        <v>6.7452363494843626</v>
      </c>
      <c r="BR67">
        <f t="shared" si="41"/>
        <v>0.4011312899840046</v>
      </c>
      <c r="BS67">
        <f t="shared" si="42"/>
        <v>0.99979974338743116</v>
      </c>
      <c r="BU67">
        <f t="shared" si="46"/>
        <v>4.5</v>
      </c>
      <c r="BV67">
        <f t="shared" si="52"/>
        <v>0.41558501335597231</v>
      </c>
    </row>
    <row r="68" spans="68:74" x14ac:dyDescent="0.25">
      <c r="BP68">
        <f t="shared" si="53"/>
        <v>900</v>
      </c>
      <c r="BQ68">
        <f t="shared" si="40"/>
        <v>6.8023947633243109</v>
      </c>
      <c r="BR68">
        <f t="shared" si="41"/>
        <v>0.37582393798420943</v>
      </c>
      <c r="BS68">
        <f t="shared" si="42"/>
        <v>0.99989563236245727</v>
      </c>
      <c r="BU68">
        <f t="shared" si="46"/>
        <v>4.5999999999999996</v>
      </c>
      <c r="BV68">
        <f t="shared" si="52"/>
        <v>0.40517669789978106</v>
      </c>
    </row>
    <row r="69" spans="68:74" x14ac:dyDescent="0.25">
      <c r="BP69">
        <f t="shared" si="53"/>
        <v>950</v>
      </c>
      <c r="BQ69">
        <f t="shared" si="40"/>
        <v>6.8564619845945867</v>
      </c>
      <c r="BR69">
        <f t="shared" si="41"/>
        <v>0.35004074256376294</v>
      </c>
      <c r="BS69">
        <f t="shared" si="42"/>
        <v>0.9999487247922485</v>
      </c>
      <c r="BU69">
        <f t="shared" si="46"/>
        <v>4.6999999999999993</v>
      </c>
      <c r="BV69">
        <f t="shared" si="52"/>
        <v>0.3943756158226015</v>
      </c>
    </row>
    <row r="70" spans="68:74" x14ac:dyDescent="0.25">
      <c r="BP70">
        <f t="shared" si="53"/>
        <v>1000</v>
      </c>
      <c r="BQ70">
        <f t="shared" si="40"/>
        <v>6.9077552789821368</v>
      </c>
      <c r="BR70">
        <f t="shared" si="41"/>
        <v>0.32372927612893865</v>
      </c>
      <c r="BS70">
        <f t="shared" si="42"/>
        <v>0.99997652847943408</v>
      </c>
      <c r="BU70">
        <f t="shared" si="46"/>
        <v>4.7999999999999989</v>
      </c>
      <c r="BV70">
        <f t="shared" si="52"/>
        <v>0.38315910751168425</v>
      </c>
    </row>
    <row r="71" spans="68:74" x14ac:dyDescent="0.25">
      <c r="BP71">
        <f>BP70+100</f>
        <v>1100</v>
      </c>
      <c r="BQ71">
        <f t="shared" si="40"/>
        <v>7.0030654587864616</v>
      </c>
      <c r="BR71">
        <f t="shared" si="41"/>
        <v>0.26931236104985612</v>
      </c>
      <c r="BS71">
        <f t="shared" si="42"/>
        <v>0.99999627364404764</v>
      </c>
      <c r="BU71">
        <f t="shared" si="46"/>
        <v>4.8999999999999986</v>
      </c>
      <c r="BV71">
        <f t="shared" si="52"/>
        <v>0.3715027361297506</v>
      </c>
    </row>
    <row r="72" spans="68:74" x14ac:dyDescent="0.25">
      <c r="BP72">
        <f t="shared" ref="BP72:BP121" si="54">BP71+100</f>
        <v>1200</v>
      </c>
      <c r="BQ72">
        <f t="shared" si="40"/>
        <v>7.0900768357760917</v>
      </c>
      <c r="BR72">
        <f t="shared" si="41"/>
        <v>0.21214759125512084</v>
      </c>
      <c r="BS72">
        <f t="shared" si="42"/>
        <v>0.99999965715129369</v>
      </c>
      <c r="BU72">
        <f t="shared" si="46"/>
        <v>4.9999999999999982</v>
      </c>
      <c r="BV72">
        <f t="shared" si="52"/>
        <v>0.35938010989253977</v>
      </c>
    </row>
    <row r="73" spans="68:74" x14ac:dyDescent="0.25">
      <c r="BP73">
        <f t="shared" si="54"/>
        <v>1300</v>
      </c>
      <c r="BQ73">
        <f t="shared" si="40"/>
        <v>7.1701195434496281</v>
      </c>
      <c r="BR73">
        <f t="shared" si="41"/>
        <v>0.15178612941977676</v>
      </c>
      <c r="BS73">
        <f t="shared" si="42"/>
        <v>0.99999998794846601</v>
      </c>
      <c r="BU73">
        <f t="shared" si="46"/>
        <v>5.0999999999999979</v>
      </c>
      <c r="BV73">
        <f t="shared" si="52"/>
        <v>0.34676268258442222</v>
      </c>
    </row>
    <row r="74" spans="68:74" x14ac:dyDescent="0.25">
      <c r="BP74">
        <f t="shared" si="54"/>
        <v>1400</v>
      </c>
      <c r="BQ74">
        <f t="shared" si="40"/>
        <v>7.2442275156033498</v>
      </c>
      <c r="BR74">
        <f t="shared" si="41"/>
        <v>8.7740372980924741E-2</v>
      </c>
      <c r="BS74">
        <f t="shared" si="42"/>
        <v>0.9999999999497986</v>
      </c>
      <c r="BU74">
        <f t="shared" si="46"/>
        <v>5.1999999999999975</v>
      </c>
      <c r="BV74">
        <f t="shared" si="52"/>
        <v>0.33361952913846649</v>
      </c>
    </row>
    <row r="75" spans="68:74" x14ac:dyDescent="0.25">
      <c r="BP75">
        <f t="shared" si="54"/>
        <v>1500</v>
      </c>
      <c r="BQ75">
        <f t="shared" si="40"/>
        <v>7.3132203870903014</v>
      </c>
      <c r="BR75">
        <f t="shared" si="41"/>
        <v>1.9468474626479715E-2</v>
      </c>
      <c r="BS75">
        <f t="shared" si="42"/>
        <v>1</v>
      </c>
      <c r="BU75">
        <f t="shared" si="46"/>
        <v>5.2999999999999972</v>
      </c>
      <c r="BV75">
        <f t="shared" si="52"/>
        <v>0.31991709256715084</v>
      </c>
    </row>
    <row r="76" spans="68:74" x14ac:dyDescent="0.25">
      <c r="BP76">
        <f t="shared" si="54"/>
        <v>1600</v>
      </c>
      <c r="BQ76">
        <f t="shared" si="40"/>
        <v>7.3777589082278725</v>
      </c>
      <c r="BR76">
        <f t="shared" si="41"/>
        <v>0</v>
      </c>
      <c r="BS76">
        <f t="shared" si="42"/>
        <v>1</v>
      </c>
      <c r="BU76">
        <f t="shared" si="46"/>
        <v>5.3999999999999968</v>
      </c>
      <c r="BV76">
        <f t="shared" si="52"/>
        <v>0.30561889788403895</v>
      </c>
    </row>
    <row r="77" spans="68:74" x14ac:dyDescent="0.25">
      <c r="BP77">
        <f t="shared" si="54"/>
        <v>1700</v>
      </c>
      <c r="BQ77">
        <f t="shared" si="40"/>
        <v>7.4383835300443071</v>
      </c>
      <c r="BR77">
        <f t="shared" si="41"/>
        <v>0</v>
      </c>
      <c r="BS77">
        <f t="shared" si="42"/>
        <v>1</v>
      </c>
      <c r="BU77">
        <f t="shared" si="46"/>
        <v>5.4999999999999964</v>
      </c>
      <c r="BV77">
        <f t="shared" si="52"/>
        <v>0.29068522788167772</v>
      </c>
    </row>
    <row r="78" spans="68:74" x14ac:dyDescent="0.25">
      <c r="BP78">
        <f t="shared" si="54"/>
        <v>1800</v>
      </c>
      <c r="BQ78">
        <f t="shared" si="40"/>
        <v>7.4955419438842563</v>
      </c>
      <c r="BR78">
        <f t="shared" si="41"/>
        <v>0</v>
      </c>
      <c r="BS78">
        <f t="shared" si="42"/>
        <v>1</v>
      </c>
      <c r="BU78">
        <f t="shared" si="46"/>
        <v>5.5999999999999961</v>
      </c>
      <c r="BV78">
        <f t="shared" si="52"/>
        <v>0.2750727546973909</v>
      </c>
    </row>
    <row r="79" spans="68:74" x14ac:dyDescent="0.25">
      <c r="BP79">
        <f t="shared" si="54"/>
        <v>1900</v>
      </c>
      <c r="BQ79">
        <f t="shared" si="40"/>
        <v>7.5496091651545321</v>
      </c>
      <c r="BR79">
        <f t="shared" si="41"/>
        <v>0</v>
      </c>
      <c r="BS79">
        <f t="shared" si="42"/>
        <v>1</v>
      </c>
      <c r="BU79">
        <f t="shared" si="46"/>
        <v>5.6999999999999957</v>
      </c>
      <c r="BV79">
        <f t="shared" si="52"/>
        <v>0.2587341199696489</v>
      </c>
    </row>
    <row r="80" spans="68:74" x14ac:dyDescent="0.25">
      <c r="BP80">
        <f t="shared" si="54"/>
        <v>2000</v>
      </c>
      <c r="BQ80">
        <f t="shared" si="40"/>
        <v>7.6009024595420822</v>
      </c>
      <c r="BR80">
        <f t="shared" si="41"/>
        <v>0</v>
      </c>
      <c r="BS80">
        <f t="shared" si="42"/>
        <v>1</v>
      </c>
      <c r="BU80">
        <f t="shared" si="46"/>
        <v>5.7999999999999954</v>
      </c>
      <c r="BV80">
        <f t="shared" si="52"/>
        <v>0.24161745501677634</v>
      </c>
    </row>
    <row r="81" spans="68:74" x14ac:dyDescent="0.25">
      <c r="BP81">
        <f t="shared" si="54"/>
        <v>2100</v>
      </c>
      <c r="BQ81">
        <f t="shared" si="40"/>
        <v>7.6496926237115144</v>
      </c>
      <c r="BR81">
        <f t="shared" si="41"/>
        <v>0</v>
      </c>
      <c r="BS81">
        <f t="shared" si="42"/>
        <v>1</v>
      </c>
      <c r="BU81">
        <f t="shared" si="46"/>
        <v>5.899999999999995</v>
      </c>
      <c r="BV81">
        <f t="shared" si="52"/>
        <v>0.22366583079790991</v>
      </c>
    </row>
    <row r="82" spans="68:74" x14ac:dyDescent="0.25">
      <c r="BP82">
        <f t="shared" si="54"/>
        <v>2200</v>
      </c>
      <c r="BQ82">
        <f t="shared" si="40"/>
        <v>7.696212639346407</v>
      </c>
      <c r="BR82">
        <f t="shared" si="41"/>
        <v>0</v>
      </c>
      <c r="BS82">
        <f t="shared" si="42"/>
        <v>1</v>
      </c>
      <c r="BU82">
        <f t="shared" si="46"/>
        <v>5.9999999999999947</v>
      </c>
      <c r="BV82">
        <f t="shared" si="52"/>
        <v>0.2048166253681003</v>
      </c>
    </row>
    <row r="83" spans="68:74" x14ac:dyDescent="0.25">
      <c r="BP83">
        <f t="shared" si="54"/>
        <v>2300</v>
      </c>
      <c r="BQ83">
        <f t="shared" si="40"/>
        <v>7.7406644019172415</v>
      </c>
      <c r="BR83">
        <f t="shared" si="41"/>
        <v>0</v>
      </c>
      <c r="BS83">
        <f t="shared" si="42"/>
        <v>1</v>
      </c>
      <c r="BU83">
        <f t="shared" si="46"/>
        <v>6.0999999999999943</v>
      </c>
      <c r="BV83">
        <f t="shared" si="52"/>
        <v>0.1850007940188132</v>
      </c>
    </row>
    <row r="84" spans="68:74" x14ac:dyDescent="0.25">
      <c r="BP84">
        <f t="shared" si="54"/>
        <v>2400</v>
      </c>
      <c r="BQ84">
        <f t="shared" si="40"/>
        <v>7.7832240163360371</v>
      </c>
      <c r="BR84">
        <f t="shared" si="41"/>
        <v>0</v>
      </c>
      <c r="BS84">
        <f t="shared" si="42"/>
        <v>1</v>
      </c>
      <c r="BU84">
        <f t="shared" si="46"/>
        <v>6.199999999999994</v>
      </c>
      <c r="BV84">
        <f t="shared" si="52"/>
        <v>0.16414202417745838</v>
      </c>
    </row>
    <row r="85" spans="68:74" x14ac:dyDescent="0.25">
      <c r="BP85">
        <f t="shared" si="54"/>
        <v>2500</v>
      </c>
      <c r="BQ85">
        <f t="shared" si="40"/>
        <v>7.8240460108562919</v>
      </c>
      <c r="BR85">
        <f t="shared" si="41"/>
        <v>0</v>
      </c>
      <c r="BS85">
        <f t="shared" si="42"/>
        <v>1</v>
      </c>
      <c r="BU85">
        <f t="shared" si="46"/>
        <v>6.2999999999999936</v>
      </c>
      <c r="BV85">
        <f t="shared" si="52"/>
        <v>0.14215575326359797</v>
      </c>
    </row>
    <row r="86" spans="68:74" x14ac:dyDescent="0.25">
      <c r="BP86">
        <f t="shared" si="54"/>
        <v>2600</v>
      </c>
      <c r="BQ86">
        <f t="shared" si="40"/>
        <v>7.8632667240095735</v>
      </c>
      <c r="BR86">
        <f t="shared" si="41"/>
        <v>0</v>
      </c>
      <c r="BS86">
        <f t="shared" si="42"/>
        <v>1</v>
      </c>
      <c r="BU86">
        <f t="shared" si="46"/>
        <v>6.3999999999999932</v>
      </c>
      <c r="BV86">
        <f t="shared" ref="BV86:BV117" si="55">MAX(0,($BG$16+1/($BG$17*$BG$18))-1/((10-BU86) * $BG$18))</f>
        <v>0.11894802285452288</v>
      </c>
    </row>
    <row r="87" spans="68:74" x14ac:dyDescent="0.25">
      <c r="BP87">
        <f t="shared" si="54"/>
        <v>2700</v>
      </c>
      <c r="BQ87">
        <f t="shared" ref="BQ87:BQ121" si="56">LN(BP87)</f>
        <v>7.90100705199242</v>
      </c>
      <c r="BR87">
        <f t="shared" ref="BR87:BR121" si="57">MAX(0,(0.94+1/(8.3*0.97))-1/((8.3-MIN(8.2,BQ87)) * 0.97))</f>
        <v>0</v>
      </c>
      <c r="BS87">
        <f t="shared" ref="BS87:BS121" si="58">1-(BR87/0.94)^10</f>
        <v>1</v>
      </c>
      <c r="BU87">
        <f t="shared" si="46"/>
        <v>6.4999999999999929</v>
      </c>
      <c r="BV87">
        <f t="shared" si="55"/>
        <v>9.4414136422072303E-2</v>
      </c>
    </row>
    <row r="88" spans="68:74" x14ac:dyDescent="0.25">
      <c r="BP88">
        <f t="shared" si="54"/>
        <v>2800</v>
      </c>
      <c r="BQ88">
        <f t="shared" si="56"/>
        <v>7.9373746961632952</v>
      </c>
      <c r="BR88">
        <f t="shared" si="57"/>
        <v>0</v>
      </c>
      <c r="BS88">
        <f t="shared" si="58"/>
        <v>1</v>
      </c>
      <c r="BU88">
        <f t="shared" ref="BU88:BU96" si="59">BU87+0.1</f>
        <v>6.5999999999999925</v>
      </c>
      <c r="BV88">
        <f t="shared" si="55"/>
        <v>6.8437080199477474E-2</v>
      </c>
    </row>
    <row r="89" spans="68:74" x14ac:dyDescent="0.25">
      <c r="BP89">
        <f t="shared" si="54"/>
        <v>2900</v>
      </c>
      <c r="BQ89">
        <f t="shared" si="56"/>
        <v>7.9724660159745655</v>
      </c>
      <c r="BR89">
        <f t="shared" si="57"/>
        <v>0</v>
      </c>
      <c r="BS89">
        <f t="shared" si="58"/>
        <v>1</v>
      </c>
      <c r="BU89">
        <f t="shared" si="59"/>
        <v>6.6999999999999922</v>
      </c>
      <c r="BV89">
        <f t="shared" si="55"/>
        <v>4.0885656933089098E-2</v>
      </c>
    </row>
    <row r="90" spans="68:74" x14ac:dyDescent="0.25">
      <c r="BP90">
        <f t="shared" si="54"/>
        <v>3000</v>
      </c>
      <c r="BQ90">
        <f t="shared" si="56"/>
        <v>8.0063675676502459</v>
      </c>
      <c r="BR90">
        <f t="shared" si="57"/>
        <v>0</v>
      </c>
      <c r="BS90">
        <f t="shared" si="58"/>
        <v>1</v>
      </c>
      <c r="BU90">
        <f t="shared" si="59"/>
        <v>6.7999999999999918</v>
      </c>
      <c r="BV90">
        <f t="shared" si="55"/>
        <v>1.1612269712551471E-2</v>
      </c>
    </row>
    <row r="91" spans="68:74" x14ac:dyDescent="0.25">
      <c r="BP91">
        <f t="shared" si="54"/>
        <v>3100</v>
      </c>
      <c r="BQ91">
        <f t="shared" si="56"/>
        <v>8.0391573904732372</v>
      </c>
      <c r="BR91">
        <f t="shared" si="57"/>
        <v>0</v>
      </c>
      <c r="BS91">
        <f t="shared" si="58"/>
        <v>1</v>
      </c>
      <c r="BU91">
        <f t="shared" si="59"/>
        <v>6.8999999999999915</v>
      </c>
      <c r="BV91">
        <f t="shared" si="55"/>
        <v>0</v>
      </c>
    </row>
    <row r="92" spans="68:74" x14ac:dyDescent="0.25">
      <c r="BP92">
        <f t="shared" si="54"/>
        <v>3200</v>
      </c>
      <c r="BQ92">
        <f t="shared" si="56"/>
        <v>8.0709060887878188</v>
      </c>
      <c r="BR92">
        <f t="shared" si="57"/>
        <v>0</v>
      </c>
      <c r="BS92">
        <f t="shared" si="58"/>
        <v>1</v>
      </c>
      <c r="BU92">
        <f t="shared" si="59"/>
        <v>6.9999999999999911</v>
      </c>
      <c r="BV92">
        <f t="shared" si="55"/>
        <v>0</v>
      </c>
    </row>
    <row r="93" spans="68:74" x14ac:dyDescent="0.25">
      <c r="BP93">
        <f t="shared" si="54"/>
        <v>3300</v>
      </c>
      <c r="BQ93">
        <f t="shared" si="56"/>
        <v>8.1016777474545716</v>
      </c>
      <c r="BR93">
        <f t="shared" si="57"/>
        <v>0</v>
      </c>
      <c r="BS93">
        <f t="shared" si="58"/>
        <v>1</v>
      </c>
      <c r="BU93">
        <f t="shared" si="59"/>
        <v>7.0999999999999908</v>
      </c>
      <c r="BV93">
        <f t="shared" si="55"/>
        <v>0</v>
      </c>
    </row>
    <row r="94" spans="68:74" x14ac:dyDescent="0.25">
      <c r="BP94">
        <f t="shared" si="54"/>
        <v>3400</v>
      </c>
      <c r="BQ94">
        <f t="shared" si="56"/>
        <v>8.1315307106042525</v>
      </c>
      <c r="BR94">
        <f t="shared" si="57"/>
        <v>0</v>
      </c>
      <c r="BS94">
        <f t="shared" si="58"/>
        <v>1</v>
      </c>
      <c r="BU94">
        <f t="shared" si="59"/>
        <v>7.1999999999999904</v>
      </c>
      <c r="BV94">
        <f t="shared" si="55"/>
        <v>0</v>
      </c>
    </row>
    <row r="95" spans="68:74" x14ac:dyDescent="0.25">
      <c r="BP95">
        <f t="shared" si="54"/>
        <v>3500</v>
      </c>
      <c r="BQ95">
        <f t="shared" si="56"/>
        <v>8.1605182474775049</v>
      </c>
      <c r="BR95">
        <f t="shared" si="57"/>
        <v>0</v>
      </c>
      <c r="BS95">
        <f t="shared" si="58"/>
        <v>1</v>
      </c>
      <c r="BU95">
        <f t="shared" si="59"/>
        <v>7.2999999999999901</v>
      </c>
      <c r="BV95">
        <f t="shared" si="55"/>
        <v>0</v>
      </c>
    </row>
    <row r="96" spans="68:74" x14ac:dyDescent="0.25">
      <c r="BP96">
        <f t="shared" si="54"/>
        <v>3600</v>
      </c>
      <c r="BQ96">
        <f t="shared" si="56"/>
        <v>8.1886891244442008</v>
      </c>
      <c r="BR96">
        <f t="shared" si="57"/>
        <v>0</v>
      </c>
      <c r="BS96">
        <f t="shared" si="58"/>
        <v>1</v>
      </c>
      <c r="BU96">
        <f t="shared" si="59"/>
        <v>7.3999999999999897</v>
      </c>
      <c r="BV96">
        <f t="shared" si="55"/>
        <v>0</v>
      </c>
    </row>
    <row r="97" spans="68:74" x14ac:dyDescent="0.25">
      <c r="BP97">
        <f t="shared" si="54"/>
        <v>3700</v>
      </c>
      <c r="BQ97">
        <f t="shared" si="56"/>
        <v>8.2160880986323157</v>
      </c>
      <c r="BR97">
        <f t="shared" si="57"/>
        <v>0</v>
      </c>
      <c r="BS97">
        <f t="shared" si="58"/>
        <v>1</v>
      </c>
      <c r="BU97">
        <v>7.49</v>
      </c>
      <c r="BV97">
        <f t="shared" si="55"/>
        <v>0</v>
      </c>
    </row>
    <row r="98" spans="68:74" x14ac:dyDescent="0.25">
      <c r="BP98">
        <f t="shared" si="54"/>
        <v>3800</v>
      </c>
      <c r="BQ98">
        <f t="shared" si="56"/>
        <v>8.2427563457144775</v>
      </c>
      <c r="BR98">
        <f t="shared" si="57"/>
        <v>0</v>
      </c>
      <c r="BS98">
        <f t="shared" si="58"/>
        <v>1</v>
      </c>
    </row>
    <row r="99" spans="68:74" x14ac:dyDescent="0.25">
      <c r="BP99">
        <f t="shared" si="54"/>
        <v>3900</v>
      </c>
      <c r="BQ99">
        <f t="shared" si="56"/>
        <v>8.2687318321177372</v>
      </c>
      <c r="BR99">
        <f t="shared" si="57"/>
        <v>0</v>
      </c>
      <c r="BS99">
        <f t="shared" si="58"/>
        <v>1</v>
      </c>
    </row>
    <row r="100" spans="68:74" x14ac:dyDescent="0.25">
      <c r="BP100">
        <f t="shared" si="54"/>
        <v>4000</v>
      </c>
      <c r="BQ100">
        <f t="shared" si="56"/>
        <v>8.2940496401020276</v>
      </c>
      <c r="BR100">
        <f t="shared" si="57"/>
        <v>0</v>
      </c>
      <c r="BS100">
        <f t="shared" si="58"/>
        <v>1</v>
      </c>
    </row>
    <row r="101" spans="68:74" x14ac:dyDescent="0.25">
      <c r="BP101">
        <f t="shared" si="54"/>
        <v>4100</v>
      </c>
      <c r="BQ101">
        <f t="shared" si="56"/>
        <v>8.3187422526923989</v>
      </c>
      <c r="BR101">
        <f t="shared" si="57"/>
        <v>0</v>
      </c>
      <c r="BS101">
        <f t="shared" si="58"/>
        <v>1</v>
      </c>
    </row>
    <row r="102" spans="68:74" x14ac:dyDescent="0.25">
      <c r="BP102">
        <f t="shared" si="54"/>
        <v>4200</v>
      </c>
      <c r="BQ102">
        <f t="shared" si="56"/>
        <v>8.3428398042714598</v>
      </c>
      <c r="BR102">
        <f t="shared" si="57"/>
        <v>0</v>
      </c>
      <c r="BS102">
        <f t="shared" si="58"/>
        <v>1</v>
      </c>
    </row>
    <row r="103" spans="68:74" x14ac:dyDescent="0.25">
      <c r="BP103">
        <f t="shared" si="54"/>
        <v>4300</v>
      </c>
      <c r="BQ103">
        <f t="shared" si="56"/>
        <v>8.3663703016816537</v>
      </c>
      <c r="BR103">
        <f t="shared" si="57"/>
        <v>0</v>
      </c>
      <c r="BS103">
        <f t="shared" si="58"/>
        <v>1</v>
      </c>
    </row>
    <row r="104" spans="68:74" x14ac:dyDescent="0.25">
      <c r="BP104">
        <f t="shared" si="54"/>
        <v>4400</v>
      </c>
      <c r="BQ104">
        <f t="shared" si="56"/>
        <v>8.3893598199063533</v>
      </c>
      <c r="BR104">
        <f t="shared" si="57"/>
        <v>0</v>
      </c>
      <c r="BS104">
        <f t="shared" si="58"/>
        <v>1</v>
      </c>
    </row>
    <row r="105" spans="68:74" x14ac:dyDescent="0.25">
      <c r="BP105">
        <f t="shared" si="54"/>
        <v>4500</v>
      </c>
      <c r="BQ105">
        <f t="shared" si="56"/>
        <v>8.4118326757584114</v>
      </c>
      <c r="BR105">
        <f t="shared" si="57"/>
        <v>0</v>
      </c>
      <c r="BS105">
        <f t="shared" si="58"/>
        <v>1</v>
      </c>
    </row>
    <row r="106" spans="68:74" x14ac:dyDescent="0.25">
      <c r="BP106">
        <f t="shared" si="54"/>
        <v>4600</v>
      </c>
      <c r="BQ106">
        <f t="shared" si="56"/>
        <v>8.4338115824771869</v>
      </c>
      <c r="BR106">
        <f t="shared" si="57"/>
        <v>0</v>
      </c>
      <c r="BS106">
        <f t="shared" si="58"/>
        <v>1</v>
      </c>
    </row>
    <row r="107" spans="68:74" x14ac:dyDescent="0.25">
      <c r="BP107">
        <f t="shared" si="54"/>
        <v>4700</v>
      </c>
      <c r="BQ107">
        <f t="shared" si="56"/>
        <v>8.4553177876981493</v>
      </c>
      <c r="BR107">
        <f t="shared" si="57"/>
        <v>0</v>
      </c>
      <c r="BS107">
        <f t="shared" si="58"/>
        <v>1</v>
      </c>
    </row>
    <row r="108" spans="68:74" x14ac:dyDescent="0.25">
      <c r="BP108">
        <f t="shared" si="54"/>
        <v>4800</v>
      </c>
      <c r="BQ108">
        <f t="shared" si="56"/>
        <v>8.4763711968959825</v>
      </c>
      <c r="BR108">
        <f t="shared" si="57"/>
        <v>0</v>
      </c>
      <c r="BS108">
        <f t="shared" si="58"/>
        <v>1</v>
      </c>
    </row>
    <row r="109" spans="68:74" x14ac:dyDescent="0.25">
      <c r="BP109">
        <f t="shared" si="54"/>
        <v>4900</v>
      </c>
      <c r="BQ109">
        <f t="shared" si="56"/>
        <v>8.4969904840987187</v>
      </c>
      <c r="BR109">
        <f t="shared" si="57"/>
        <v>0</v>
      </c>
      <c r="BS109">
        <f t="shared" si="58"/>
        <v>1</v>
      </c>
    </row>
    <row r="110" spans="68:74" x14ac:dyDescent="0.25">
      <c r="BP110">
        <f t="shared" si="54"/>
        <v>5000</v>
      </c>
      <c r="BQ110">
        <f t="shared" si="56"/>
        <v>8.5171931914162382</v>
      </c>
      <c r="BR110">
        <f t="shared" si="57"/>
        <v>0</v>
      </c>
      <c r="BS110">
        <f t="shared" si="58"/>
        <v>1</v>
      </c>
    </row>
    <row r="111" spans="68:74" x14ac:dyDescent="0.25">
      <c r="BP111">
        <f t="shared" si="54"/>
        <v>5100</v>
      </c>
      <c r="BQ111">
        <f t="shared" si="56"/>
        <v>8.536995818712418</v>
      </c>
      <c r="BR111">
        <f t="shared" si="57"/>
        <v>0</v>
      </c>
      <c r="BS111">
        <f t="shared" si="58"/>
        <v>1</v>
      </c>
    </row>
    <row r="112" spans="68:74" x14ac:dyDescent="0.25">
      <c r="BP112">
        <f t="shared" si="54"/>
        <v>5200</v>
      </c>
      <c r="BQ112">
        <f t="shared" si="56"/>
        <v>8.5564139045695189</v>
      </c>
      <c r="BR112">
        <f t="shared" si="57"/>
        <v>0</v>
      </c>
      <c r="BS112">
        <f t="shared" si="58"/>
        <v>1</v>
      </c>
    </row>
    <row r="113" spans="68:71" x14ac:dyDescent="0.25">
      <c r="BP113">
        <f t="shared" si="54"/>
        <v>5300</v>
      </c>
      <c r="BQ113">
        <f t="shared" si="56"/>
        <v>8.5754620995402124</v>
      </c>
      <c r="BR113">
        <f t="shared" si="57"/>
        <v>0</v>
      </c>
      <c r="BS113">
        <f t="shared" si="58"/>
        <v>1</v>
      </c>
    </row>
    <row r="114" spans="68:71" x14ac:dyDescent="0.25">
      <c r="BP114">
        <f t="shared" si="54"/>
        <v>5400</v>
      </c>
      <c r="BQ114">
        <f t="shared" si="56"/>
        <v>8.5941542325523663</v>
      </c>
      <c r="BR114">
        <f t="shared" si="57"/>
        <v>0</v>
      </c>
      <c r="BS114">
        <f t="shared" si="58"/>
        <v>1</v>
      </c>
    </row>
    <row r="115" spans="68:71" x14ac:dyDescent="0.25">
      <c r="BP115">
        <f t="shared" si="54"/>
        <v>5500</v>
      </c>
      <c r="BQ115">
        <f t="shared" si="56"/>
        <v>8.6125033712205621</v>
      </c>
      <c r="BR115">
        <f t="shared" si="57"/>
        <v>0</v>
      </c>
      <c r="BS115">
        <f t="shared" si="58"/>
        <v>1</v>
      </c>
    </row>
    <row r="116" spans="68:71" x14ac:dyDescent="0.25">
      <c r="BP116">
        <f t="shared" si="54"/>
        <v>5600</v>
      </c>
      <c r="BQ116">
        <f t="shared" si="56"/>
        <v>8.6305218767232414</v>
      </c>
      <c r="BR116">
        <f t="shared" si="57"/>
        <v>0</v>
      </c>
      <c r="BS116">
        <f t="shared" si="58"/>
        <v>1</v>
      </c>
    </row>
    <row r="117" spans="68:71" x14ac:dyDescent="0.25">
      <c r="BP117">
        <f t="shared" si="54"/>
        <v>5700</v>
      </c>
      <c r="BQ117">
        <f t="shared" si="56"/>
        <v>8.6482214538226412</v>
      </c>
      <c r="BR117">
        <f t="shared" si="57"/>
        <v>0</v>
      </c>
      <c r="BS117">
        <f t="shared" si="58"/>
        <v>1</v>
      </c>
    </row>
    <row r="118" spans="68:71" x14ac:dyDescent="0.25">
      <c r="BP118">
        <f t="shared" si="54"/>
        <v>5800</v>
      </c>
      <c r="BQ118">
        <f t="shared" si="56"/>
        <v>8.66561319653451</v>
      </c>
      <c r="BR118">
        <f t="shared" si="57"/>
        <v>0</v>
      </c>
      <c r="BS118">
        <f t="shared" si="58"/>
        <v>1</v>
      </c>
    </row>
    <row r="119" spans="68:71" x14ac:dyDescent="0.25">
      <c r="BP119">
        <f t="shared" si="54"/>
        <v>5900</v>
      </c>
      <c r="BQ119">
        <f t="shared" si="56"/>
        <v>8.6827076298938106</v>
      </c>
      <c r="BR119">
        <f t="shared" si="57"/>
        <v>0</v>
      </c>
      <c r="BS119">
        <f t="shared" si="58"/>
        <v>1</v>
      </c>
    </row>
    <row r="120" spans="68:71" x14ac:dyDescent="0.25">
      <c r="BP120">
        <f t="shared" si="54"/>
        <v>6000</v>
      </c>
      <c r="BQ120">
        <f t="shared" si="56"/>
        <v>8.6995147482101913</v>
      </c>
      <c r="BR120">
        <f t="shared" si="57"/>
        <v>0</v>
      </c>
      <c r="BS120">
        <f t="shared" si="58"/>
        <v>1</v>
      </c>
    </row>
    <row r="121" spans="68:71" x14ac:dyDescent="0.25">
      <c r="BP121">
        <f t="shared" si="54"/>
        <v>6100</v>
      </c>
      <c r="BQ121">
        <f t="shared" si="56"/>
        <v>8.7160440501614023</v>
      </c>
      <c r="BR121">
        <f t="shared" si="57"/>
        <v>0</v>
      </c>
      <c r="BS121">
        <f t="shared" si="58"/>
        <v>1</v>
      </c>
    </row>
  </sheetData>
  <mergeCells count="8">
    <mergeCell ref="AE1:AR1"/>
    <mergeCell ref="C2:J2"/>
    <mergeCell ref="AF2:AK2"/>
    <mergeCell ref="AY2:BD2"/>
    <mergeCell ref="Q2:V2"/>
    <mergeCell ref="AS2:AX2"/>
    <mergeCell ref="K2:P2"/>
    <mergeCell ref="AM2:AR2"/>
  </mergeCells>
  <pageMargins left="0.7" right="0.7" top="0.75" bottom="0.75" header="0.3" footer="0.3"/>
  <pageSetup orientation="portrait" horizontalDpi="4294967293" verticalDpi="0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CF7DA-0BDB-4974-A87A-6F7695B31A85}">
  <dimension ref="A1:BV121"/>
  <sheetViews>
    <sheetView topLeftCell="AW18" workbookViewId="0">
      <selection activeCell="BE38" sqref="BE38:BM38"/>
    </sheetView>
  </sheetViews>
  <sheetFormatPr defaultRowHeight="15" x14ac:dyDescent="0.25"/>
  <cols>
    <col min="2" max="2" width="2.7109375" customWidth="1"/>
    <col min="3" max="3" width="9.140625" style="13"/>
    <col min="4" max="10" width="6.42578125" customWidth="1"/>
    <col min="11" max="11" width="6.42578125" style="13" customWidth="1"/>
    <col min="12" max="12" width="6.42578125" customWidth="1"/>
    <col min="16" max="16" width="6.140625" customWidth="1"/>
    <col min="17" max="17" width="6.42578125" style="13" customWidth="1"/>
    <col min="18" max="18" width="6.42578125" customWidth="1"/>
    <col min="22" max="22" width="6.140625" customWidth="1"/>
    <col min="23" max="23" width="9.28515625" style="13" customWidth="1"/>
    <col min="24" max="27" width="9.28515625" style="6" customWidth="1"/>
    <col min="28" max="28" width="9.28515625" style="2" customWidth="1"/>
    <col min="29" max="29" width="7.140625" style="2" customWidth="1"/>
    <col min="31" max="31" width="9.140625" style="13"/>
    <col min="32" max="38" width="6" customWidth="1"/>
    <col min="39" max="39" width="9.140625" style="13"/>
    <col min="45" max="45" width="9.140625" style="13"/>
    <col min="51" max="51" width="9.5703125" style="13" customWidth="1"/>
    <col min="52" max="52" width="9.5703125" style="6" customWidth="1"/>
    <col min="53" max="55" width="9.140625" style="6"/>
    <col min="56" max="56" width="9.140625" style="2"/>
  </cols>
  <sheetData>
    <row r="1" spans="1:66" x14ac:dyDescent="0.25">
      <c r="A1" s="1" t="s">
        <v>46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4"/>
      <c r="R1" s="24"/>
      <c r="S1" s="24"/>
      <c r="T1" s="24"/>
      <c r="U1" s="24"/>
      <c r="V1" s="24"/>
      <c r="W1" s="12"/>
      <c r="X1" s="11"/>
      <c r="Y1" s="11"/>
      <c r="Z1" s="11"/>
      <c r="AA1" s="11"/>
      <c r="AB1" s="7"/>
      <c r="AC1" s="16"/>
      <c r="AD1" s="17"/>
      <c r="AE1" s="39" t="s">
        <v>47</v>
      </c>
      <c r="AF1" s="39"/>
      <c r="AG1" s="39"/>
      <c r="AH1" s="39"/>
      <c r="AI1" s="39"/>
      <c r="AJ1" s="39"/>
      <c r="AK1" s="39"/>
      <c r="AL1" s="39"/>
      <c r="AM1" s="39"/>
      <c r="AN1" s="39"/>
      <c r="AO1" s="39"/>
      <c r="AP1" s="39"/>
      <c r="AQ1" s="39"/>
      <c r="AR1" s="39"/>
      <c r="AS1" s="27"/>
      <c r="AT1" s="27"/>
      <c r="AU1" s="27"/>
      <c r="AV1" s="27"/>
      <c r="AW1" s="27"/>
      <c r="AX1" s="27"/>
    </row>
    <row r="2" spans="1:66" x14ac:dyDescent="0.25">
      <c r="A2" s="1"/>
      <c r="B2" s="1"/>
      <c r="C2" s="40" t="s">
        <v>87</v>
      </c>
      <c r="D2" s="34"/>
      <c r="E2" s="34"/>
      <c r="F2" s="34"/>
      <c r="G2" s="34"/>
      <c r="H2" s="34"/>
      <c r="I2" s="34"/>
      <c r="J2" s="35"/>
      <c r="K2" s="40" t="s">
        <v>183</v>
      </c>
      <c r="L2" s="41"/>
      <c r="M2" s="41"/>
      <c r="N2" s="41"/>
      <c r="O2" s="41"/>
      <c r="P2" s="35"/>
      <c r="Q2" s="40" t="s">
        <v>182</v>
      </c>
      <c r="R2" s="41"/>
      <c r="S2" s="41"/>
      <c r="T2" s="41"/>
      <c r="U2" s="41"/>
      <c r="V2" s="35"/>
      <c r="W2" s="12" t="s">
        <v>141</v>
      </c>
      <c r="X2" s="11"/>
      <c r="Y2" s="11"/>
      <c r="Z2" s="11"/>
      <c r="AA2" s="11"/>
      <c r="AB2" s="7"/>
      <c r="AC2" s="7"/>
      <c r="AE2" s="18"/>
      <c r="AF2" s="34" t="s">
        <v>87</v>
      </c>
      <c r="AG2" s="34"/>
      <c r="AH2" s="34"/>
      <c r="AI2" s="34"/>
      <c r="AJ2" s="34"/>
      <c r="AK2" s="34"/>
      <c r="AL2" s="1"/>
      <c r="AM2" s="42" t="s">
        <v>180</v>
      </c>
      <c r="AN2" s="37"/>
      <c r="AO2" s="37"/>
      <c r="AP2" s="37"/>
      <c r="AQ2" s="37"/>
      <c r="AR2" s="38"/>
      <c r="AS2" s="42" t="s">
        <v>181</v>
      </c>
      <c r="AT2" s="37"/>
      <c r="AU2" s="37"/>
      <c r="AV2" s="37"/>
      <c r="AW2" s="37"/>
      <c r="AX2" s="38"/>
      <c r="AY2" s="40" t="s">
        <v>141</v>
      </c>
      <c r="AZ2" s="41"/>
      <c r="BA2" s="41"/>
      <c r="BB2" s="41"/>
      <c r="BC2" s="41"/>
      <c r="BD2" s="35"/>
    </row>
    <row r="3" spans="1:66" x14ac:dyDescent="0.25">
      <c r="A3" t="s">
        <v>0</v>
      </c>
      <c r="B3" t="s">
        <v>86</v>
      </c>
      <c r="C3" s="13" t="s">
        <v>40</v>
      </c>
      <c r="D3">
        <v>1</v>
      </c>
      <c r="E3">
        <v>2</v>
      </c>
      <c r="F3">
        <v>3</v>
      </c>
      <c r="G3">
        <v>4</v>
      </c>
      <c r="H3">
        <v>5</v>
      </c>
      <c r="I3">
        <v>6</v>
      </c>
      <c r="J3">
        <v>7</v>
      </c>
      <c r="K3" s="13" t="s">
        <v>39</v>
      </c>
      <c r="L3" t="s">
        <v>41</v>
      </c>
      <c r="M3" t="s">
        <v>42</v>
      </c>
      <c r="N3" t="s">
        <v>43</v>
      </c>
      <c r="O3" t="s">
        <v>44</v>
      </c>
      <c r="P3" t="s">
        <v>88</v>
      </c>
      <c r="Q3" s="13" t="s">
        <v>39</v>
      </c>
      <c r="R3" t="s">
        <v>41</v>
      </c>
      <c r="S3" t="s">
        <v>42</v>
      </c>
      <c r="T3" t="s">
        <v>43</v>
      </c>
      <c r="U3" t="s">
        <v>44</v>
      </c>
      <c r="V3" t="s">
        <v>88</v>
      </c>
      <c r="W3" s="13" t="s">
        <v>174</v>
      </c>
      <c r="X3" s="6" t="s">
        <v>175</v>
      </c>
      <c r="Y3" s="6" t="s">
        <v>146</v>
      </c>
      <c r="Z3" s="6" t="s">
        <v>176</v>
      </c>
      <c r="AA3" s="6" t="s">
        <v>177</v>
      </c>
      <c r="AB3" s="2" t="s">
        <v>178</v>
      </c>
      <c r="AC3" s="2" t="s">
        <v>89</v>
      </c>
      <c r="AE3" s="13" t="s">
        <v>40</v>
      </c>
      <c r="AF3">
        <v>1</v>
      </c>
      <c r="AG3">
        <v>2</v>
      </c>
      <c r="AH3">
        <v>3</v>
      </c>
      <c r="AI3">
        <v>4</v>
      </c>
      <c r="AJ3">
        <v>5</v>
      </c>
      <c r="AK3">
        <v>6</v>
      </c>
      <c r="AL3">
        <v>7</v>
      </c>
      <c r="AM3" s="13" t="s">
        <v>39</v>
      </c>
      <c r="AN3" t="s">
        <v>41</v>
      </c>
      <c r="AO3" t="s">
        <v>42</v>
      </c>
      <c r="AP3" t="s">
        <v>43</v>
      </c>
      <c r="AQ3" t="s">
        <v>44</v>
      </c>
      <c r="AR3" t="s">
        <v>45</v>
      </c>
      <c r="AS3" s="13" t="s">
        <v>39</v>
      </c>
      <c r="AT3" t="s">
        <v>41</v>
      </c>
      <c r="AU3" t="s">
        <v>42</v>
      </c>
      <c r="AV3" t="s">
        <v>43</v>
      </c>
      <c r="AW3" t="s">
        <v>44</v>
      </c>
      <c r="AX3" t="s">
        <v>45</v>
      </c>
      <c r="AY3" s="13" t="s">
        <v>174</v>
      </c>
      <c r="AZ3" s="3" t="s">
        <v>179</v>
      </c>
      <c r="BA3" s="6" t="s">
        <v>146</v>
      </c>
      <c r="BB3" s="6" t="s">
        <v>176</v>
      </c>
      <c r="BC3" s="6" t="s">
        <v>177</v>
      </c>
      <c r="BD3" s="2" t="s">
        <v>178</v>
      </c>
    </row>
    <row r="4" spans="1:66" s="10" customFormat="1" x14ac:dyDescent="0.25">
      <c r="A4" s="10" t="s">
        <v>85</v>
      </c>
      <c r="C4" s="14"/>
      <c r="D4" s="10">
        <v>1</v>
      </c>
      <c r="E4" s="10">
        <v>2</v>
      </c>
      <c r="F4" s="10">
        <v>3</v>
      </c>
      <c r="G4" s="10">
        <v>4</v>
      </c>
      <c r="H4" s="10">
        <v>5</v>
      </c>
      <c r="I4" s="10">
        <v>6</v>
      </c>
      <c r="J4" s="10">
        <v>7</v>
      </c>
      <c r="K4" s="14"/>
      <c r="Q4" s="14">
        <f>AVERAGE(AM5:AM30)</f>
        <v>2.8241269841269863</v>
      </c>
      <c r="R4" s="10">
        <f t="shared" ref="R4:V4" si="0">AVERAGE(AN5:AN30)</f>
        <v>1.9118055555555566</v>
      </c>
      <c r="S4" s="10">
        <f t="shared" si="0"/>
        <v>1.6287500000000008</v>
      </c>
      <c r="T4" s="10">
        <f t="shared" si="0"/>
        <v>1.8764102564102565</v>
      </c>
      <c r="U4" s="10">
        <f t="shared" si="0"/>
        <v>1.1972435897435911</v>
      </c>
      <c r="V4" s="10">
        <f t="shared" si="0"/>
        <v>0.7964102564102572</v>
      </c>
      <c r="W4" s="14">
        <v>0.50344888942632893</v>
      </c>
      <c r="X4" s="10">
        <v>0.4742640380168282</v>
      </c>
      <c r="Y4" s="10">
        <v>0.51470689509446799</v>
      </c>
      <c r="Z4" s="10">
        <v>0.40757997123176004</v>
      </c>
      <c r="AA4" s="10">
        <v>0.51864334436739434</v>
      </c>
      <c r="AB4" s="15">
        <v>0.57443655436737562</v>
      </c>
      <c r="AC4" s="15"/>
      <c r="AE4" s="14">
        <f ca="1">SQRT(SUMSQ(AE5:AE1001)/COUNT(AE5:AE1001))</f>
        <v>2.2218102268193292</v>
      </c>
      <c r="AF4" s="10">
        <f t="shared" ref="AF4:BD4" ca="1" si="1">SQRT(SUMSQ(AF5:AF1001)/COUNT(AF5:AF1001))</f>
        <v>2.3952766019814926</v>
      </c>
      <c r="AG4" s="10">
        <f t="shared" ca="1" si="1"/>
        <v>2.3315841428918276</v>
      </c>
      <c r="AH4" s="10">
        <f t="shared" ca="1" si="1"/>
        <v>2.3369680481597639</v>
      </c>
      <c r="AI4" s="10">
        <f t="shared" ca="1" si="1"/>
        <v>2.4108733555577864</v>
      </c>
      <c r="AJ4" s="10">
        <f t="shared" ca="1" si="1"/>
        <v>2.4273157697658228</v>
      </c>
      <c r="AK4" s="10">
        <f t="shared" ca="1" si="1"/>
        <v>2.6602279037706529</v>
      </c>
      <c r="AL4" s="10">
        <f t="shared" ca="1" si="1"/>
        <v>2.8959897433186113</v>
      </c>
      <c r="AM4" s="14">
        <f t="shared" si="1"/>
        <v>3.7025831108999721</v>
      </c>
      <c r="AN4" s="10">
        <f t="shared" si="1"/>
        <v>3.1045260418370542</v>
      </c>
      <c r="AO4" s="10">
        <f t="shared" si="1"/>
        <v>2.8303141593718433</v>
      </c>
      <c r="AP4" s="10">
        <f t="shared" si="1"/>
        <v>3.2519202742511193</v>
      </c>
      <c r="AQ4" s="10">
        <f t="shared" si="1"/>
        <v>2.5153245912099083</v>
      </c>
      <c r="AR4" s="10">
        <f t="shared" si="1"/>
        <v>2.1662624869560831</v>
      </c>
      <c r="AS4" s="14">
        <f t="shared" si="1"/>
        <v>2.5141807589926581</v>
      </c>
      <c r="AT4" s="10">
        <f t="shared" si="1"/>
        <v>2.5523831194242335</v>
      </c>
      <c r="AU4" s="10">
        <f t="shared" si="1"/>
        <v>2.4153426440604155</v>
      </c>
      <c r="AV4" s="10">
        <f t="shared" si="1"/>
        <v>2.7621879250574781</v>
      </c>
      <c r="AW4" s="10">
        <f t="shared" si="1"/>
        <v>2.300602611877542</v>
      </c>
      <c r="AX4" s="10">
        <f t="shared" si="1"/>
        <v>2.0951351396349889</v>
      </c>
      <c r="AY4" s="14">
        <f t="shared" ca="1" si="1"/>
        <v>2.1466391527012383</v>
      </c>
      <c r="AZ4" s="10">
        <f t="shared" ca="1" si="1"/>
        <v>2.0441505801095552</v>
      </c>
      <c r="BA4" s="10">
        <f t="shared" ca="1" si="1"/>
        <v>1.966288616712927</v>
      </c>
      <c r="BB4" s="10">
        <f t="shared" ca="1" si="1"/>
        <v>2.0091423619433439</v>
      </c>
      <c r="BC4" s="10">
        <f t="shared" ca="1" si="1"/>
        <v>1.5906501291396067</v>
      </c>
      <c r="BD4" s="15">
        <f t="shared" ca="1" si="1"/>
        <v>1.6583249823321697</v>
      </c>
    </row>
    <row r="5" spans="1:66" x14ac:dyDescent="0.25">
      <c r="A5" t="s">
        <v>7</v>
      </c>
      <c r="B5">
        <v>0</v>
      </c>
      <c r="C5" s="13">
        <f ca="1">'Historical Trends'!N5</f>
        <v>10.807999999999993</v>
      </c>
      <c r="D5">
        <f ca="1">AVERAGE(OFFSET('Historical Trends'!$D$6,$B5,0,'Polling Correlations - xOTH'!D$4,1))</f>
        <v>11.709999999999994</v>
      </c>
      <c r="E5">
        <f ca="1">AVERAGE(OFFSET('Historical Trends'!$D$6,$B5,0,'Polling Correlations - xOTH'!E$4,1))</f>
        <v>9.3199999999999896</v>
      </c>
      <c r="F5">
        <f ca="1">AVERAGE(OFFSET('Historical Trends'!$D$6,$B5,0,'Polling Correlations - xOTH'!F$4,1))</f>
        <v>8.3366666666666571</v>
      </c>
      <c r="G5">
        <f ca="1">AVERAGE(OFFSET('Historical Trends'!$D$6,$B5,0,'Polling Correlations - xOTH'!G$4,1))</f>
        <v>7.6924999999999901</v>
      </c>
      <c r="H5">
        <f ca="1">AVERAGE(OFFSET('Historical Trends'!$D$6,$B5,0,'Polling Correlations - xOTH'!H$4,1))</f>
        <v>7.361999999999993</v>
      </c>
      <c r="I5">
        <f ca="1">AVERAGE(OFFSET('Historical Trends'!$D$6,$B5,0,'Polling Correlations - xOTH'!I$4,1))</f>
        <v>6.8899999999999944</v>
      </c>
      <c r="J5">
        <f ca="1">AVERAGE(OFFSET('Historical Trends'!$D$6,$B5,0,'Polling Correlations - xOTH'!J$4,1))</f>
        <v>6.3642857142857112</v>
      </c>
      <c r="K5" s="13">
        <f>(9+6+9+10+10)/5</f>
        <v>8.8000000000000007</v>
      </c>
      <c r="L5">
        <f>(8+8+9+12+8)/5</f>
        <v>9</v>
      </c>
      <c r="M5">
        <f>(10+10+9+10+8)/5</f>
        <v>9.4</v>
      </c>
      <c r="N5">
        <f>(10+9+10+7+9)/5</f>
        <v>9</v>
      </c>
      <c r="O5">
        <f>(9+10+10+7+8)/5</f>
        <v>8.8000000000000007</v>
      </c>
      <c r="P5">
        <f>(8+9+9.6+7+9)/5</f>
        <v>8.52</v>
      </c>
      <c r="Q5" s="30">
        <f>K5-AVERAGE(AM6:AM$30)</f>
        <v>5.8641666666666659</v>
      </c>
      <c r="R5" s="31">
        <f>L5-AVERAGE(AN6:AN$30)</f>
        <v>7.0394202898550713</v>
      </c>
      <c r="S5" s="31">
        <f>M5-AVERAGE(AO6:AO$30)</f>
        <v>7.7521739130434781</v>
      </c>
      <c r="T5" s="31">
        <f>N5-AVERAGE(AP6:AP$30)</f>
        <v>7.0801333333333334</v>
      </c>
      <c r="U5" s="31">
        <f>O5-AVERAGE(AQ6:AQ$30)</f>
        <v>7.5784666666666665</v>
      </c>
      <c r="V5" s="31">
        <f>P5-AVERAGE(AR6:AR$30)</f>
        <v>7.7041333333333322</v>
      </c>
      <c r="W5" s="13">
        <f ca="1">Q5*W$4+$D5*(1-W$4)</f>
        <v>8.766921700561916</v>
      </c>
      <c r="X5" s="6">
        <f t="shared" ref="X5:AB5" ca="1" si="2">R5*X$4+$D5*(1-X$4)</f>
        <v>9.4949120067871959</v>
      </c>
      <c r="Y5" s="6">
        <f t="shared" ca="1" si="2"/>
        <v>9.6728796234587175</v>
      </c>
      <c r="Z5" s="6">
        <f t="shared" ca="1" si="2"/>
        <v>9.8229590771931115</v>
      </c>
      <c r="AA5" s="6">
        <f t="shared" ca="1" si="2"/>
        <v>9.5672077346346285</v>
      </c>
      <c r="AB5" s="2">
        <f t="shared" ca="1" si="2"/>
        <v>9.4088837547448723</v>
      </c>
      <c r="AC5" s="2">
        <f>'Historical Trends'!D5</f>
        <v>8.2099999999999937</v>
      </c>
      <c r="AE5" s="13">
        <f t="shared" ref="AE5:AS5" ca="1" si="3">C5-$AC5</f>
        <v>2.597999999999999</v>
      </c>
      <c r="AF5">
        <f t="shared" ca="1" si="3"/>
        <v>3.5</v>
      </c>
      <c r="AG5">
        <f t="shared" ca="1" si="3"/>
        <v>1.1099999999999959</v>
      </c>
      <c r="AH5">
        <f t="shared" ca="1" si="3"/>
        <v>0.12666666666666337</v>
      </c>
      <c r="AI5">
        <f t="shared" ca="1" si="3"/>
        <v>-0.51750000000000362</v>
      </c>
      <c r="AJ5">
        <f t="shared" ca="1" si="3"/>
        <v>-0.84800000000000075</v>
      </c>
      <c r="AK5">
        <f t="shared" ca="1" si="3"/>
        <v>-1.3199999999999994</v>
      </c>
      <c r="AL5">
        <f t="shared" ca="1" si="3"/>
        <v>-1.8457142857142825</v>
      </c>
      <c r="AM5" s="13">
        <f t="shared" si="3"/>
        <v>0.59000000000000696</v>
      </c>
      <c r="AN5">
        <f t="shared" si="3"/>
        <v>0.79000000000000625</v>
      </c>
      <c r="AO5">
        <f t="shared" si="3"/>
        <v>1.1900000000000066</v>
      </c>
      <c r="AP5">
        <f t="shared" si="3"/>
        <v>0.79000000000000625</v>
      </c>
      <c r="AQ5">
        <f t="shared" si="3"/>
        <v>0.59000000000000696</v>
      </c>
      <c r="AR5">
        <f t="shared" si="3"/>
        <v>0.31000000000000583</v>
      </c>
      <c r="AS5" s="30">
        <f t="shared" si="3"/>
        <v>-2.3458333333333279</v>
      </c>
      <c r="AT5">
        <f t="shared" ref="AT5:AX20" si="4">R5-$AC5</f>
        <v>-1.1705797101449225</v>
      </c>
      <c r="AU5">
        <f t="shared" si="4"/>
        <v>-0.45782608695651561</v>
      </c>
      <c r="AV5">
        <f t="shared" si="4"/>
        <v>-1.1298666666666604</v>
      </c>
      <c r="AW5">
        <f t="shared" si="4"/>
        <v>-0.63153333333332728</v>
      </c>
      <c r="AX5">
        <f t="shared" si="4"/>
        <v>-0.50586666666666158</v>
      </c>
      <c r="AY5" s="13">
        <f t="shared" ref="AY5:BD9" ca="1" si="5">W5-$AC5</f>
        <v>0.55692170056192225</v>
      </c>
      <c r="AZ5" s="6">
        <f t="shared" ca="1" si="5"/>
        <v>1.2849120067872022</v>
      </c>
      <c r="BA5" s="6">
        <f t="shared" ca="1" si="5"/>
        <v>1.4628796234587238</v>
      </c>
      <c r="BB5" s="6">
        <f t="shared" ca="1" si="5"/>
        <v>1.6129590771931177</v>
      </c>
      <c r="BC5" s="6">
        <f t="shared" ca="1" si="5"/>
        <v>1.3572077346346347</v>
      </c>
      <c r="BD5" s="2">
        <f t="shared" ca="1" si="5"/>
        <v>1.1988837547448785</v>
      </c>
      <c r="BG5" t="str">
        <f>AS3</f>
        <v>2 years</v>
      </c>
      <c r="BH5" t="str">
        <f t="shared" ref="BH5:BK5" si="6">AT3</f>
        <v>1 year</v>
      </c>
      <c r="BI5" t="str">
        <f t="shared" si="6"/>
        <v>6 months</v>
      </c>
      <c r="BJ5" t="str">
        <f t="shared" si="6"/>
        <v>3 months</v>
      </c>
      <c r="BK5" t="str">
        <f t="shared" si="6"/>
        <v>1 month</v>
      </c>
      <c r="BL5" s="33" t="s">
        <v>187</v>
      </c>
      <c r="BM5" s="33" t="str">
        <f>AX3</f>
        <v>Pre-election</v>
      </c>
    </row>
    <row r="6" spans="1:66" x14ac:dyDescent="0.25">
      <c r="A6" t="s">
        <v>9</v>
      </c>
      <c r="B6">
        <f>B5+1</f>
        <v>1</v>
      </c>
      <c r="C6" s="13">
        <f ca="1">'Historical Trends'!N6</f>
        <v>7.8573333333333721</v>
      </c>
      <c r="D6">
        <f ca="1">AVERAGE(OFFSET('Historical Trends'!$D$6,$B6,0,'Polling Correlations - xOTH'!D$4,1))</f>
        <v>6.9299999999999873</v>
      </c>
      <c r="E6">
        <f ca="1">AVERAGE(OFFSET('Historical Trends'!$D$6,$B6,0,'Polling Correlations - xOTH'!E$4,1))</f>
        <v>6.6499999999999888</v>
      </c>
      <c r="F6">
        <f ca="1">AVERAGE(OFFSET('Historical Trends'!$D$6,$B6,0,'Polling Correlations - xOTH'!F$4,1))</f>
        <v>6.353333333333322</v>
      </c>
      <c r="G6">
        <f ca="1">AVERAGE(OFFSET('Historical Trends'!$D$6,$B6,0,'Polling Correlations - xOTH'!G$4,1))</f>
        <v>6.2749999999999932</v>
      </c>
      <c r="H6">
        <f ca="1">AVERAGE(OFFSET('Historical Trends'!$D$6,$B6,0,'Polling Correlations - xOTH'!H$4,1))</f>
        <v>5.9259999999999948</v>
      </c>
      <c r="I6">
        <f ca="1">AVERAGE(OFFSET('Historical Trends'!$D$6,$B6,0,'Polling Correlations - xOTH'!I$4,1))</f>
        <v>5.4733333333333301</v>
      </c>
      <c r="J6">
        <f ca="1">AVERAGE(OFFSET('Historical Trends'!$D$6,$B6,0,'Polling Correlations - xOTH'!J$4,1))</f>
        <v>5.3085714285714252</v>
      </c>
      <c r="K6" s="13">
        <f>(15+11.5+11+17+15)/5</f>
        <v>13.9</v>
      </c>
      <c r="L6">
        <f>(8+12+9+11+9)/5</f>
        <v>9.8000000000000007</v>
      </c>
      <c r="M6">
        <f>(10+9.9+10+10+9)/5</f>
        <v>9.7799999999999994</v>
      </c>
      <c r="N6">
        <f>(12+9.1+11+10+10)/5</f>
        <v>10.42</v>
      </c>
      <c r="O6">
        <f>(18.5+17.1+12+13.6+11)/5</f>
        <v>14.440000000000001</v>
      </c>
      <c r="P6">
        <f>(13+13.5+11+12+14.7)/5</f>
        <v>12.84</v>
      </c>
      <c r="Q6" s="30">
        <f>K6-AVERAGE(AM5:AM$5,AM7:AM$30)</f>
        <v>11.044166666666666</v>
      </c>
      <c r="R6" s="31">
        <f>L6-AVERAGE(AN5:AN$5,AN7:AN$30)</f>
        <v>7.7220289855072455</v>
      </c>
      <c r="S6" s="31">
        <f>M6-AVERAGE(AO5:AO$5,AO7:AO$30)</f>
        <v>7.9965217391304337</v>
      </c>
      <c r="T6" s="31">
        <f>N6-AVERAGE(AP5:AP$5,AP7:AP$30)</f>
        <v>8.4169333333333327</v>
      </c>
      <c r="U6" s="31">
        <f>O6-AVERAGE(AQ5:AQ$5,AQ7:AQ$30)</f>
        <v>13.304066666666667</v>
      </c>
      <c r="V6" s="31">
        <f>P6-AVERAGE(AR5:AR$5,AR7:AR$30)</f>
        <v>12.056933333333333</v>
      </c>
      <c r="W6" s="13">
        <f t="shared" ref="W6:W30" ca="1" si="7">Q6*W$4+$D6*(1-W$4)</f>
        <v>9.0012726392481479</v>
      </c>
      <c r="X6" s="6">
        <f t="shared" ref="X6:X30" ca="1" si="8">R6*X$4+$D6*(1-X$4)</f>
        <v>7.3056308648930317</v>
      </c>
      <c r="Y6" s="6">
        <f t="shared" ref="Y6:Y30" ca="1" si="9">S6*Y$4+$D6*(1-Y$4)</f>
        <v>7.4789460928985712</v>
      </c>
      <c r="Z6" s="6">
        <f t="shared" ref="Z6:Z30" ca="1" si="10">T6*Z$4+$D6*(1-Z$4)</f>
        <v>7.5360442452235379</v>
      </c>
      <c r="AA6" s="6">
        <f t="shared" ref="AA6:AA30" ca="1" si="11">U6*AA$4+$D6*(1-AA$4)</f>
        <v>10.235867253220723</v>
      </c>
      <c r="AB6" s="2">
        <f t="shared" ref="AB6:AB30" ca="1" si="12">V6*AB$4+$D6*(1-AB$4)</f>
        <v>9.8750979184712371</v>
      </c>
      <c r="AC6" s="2">
        <f>'Historical Trends'!D6</f>
        <v>11.709999999999994</v>
      </c>
      <c r="AE6" s="13">
        <f t="shared" ref="AE6:AR9" ca="1" si="13">C6-$AC6</f>
        <v>-3.8526666666666216</v>
      </c>
      <c r="AF6">
        <f t="shared" ca="1" si="13"/>
        <v>-4.7800000000000065</v>
      </c>
      <c r="AG6">
        <f t="shared" ca="1" si="13"/>
        <v>-5.0600000000000049</v>
      </c>
      <c r="AH6">
        <f t="shared" ca="1" si="13"/>
        <v>-5.3566666666666718</v>
      </c>
      <c r="AI6">
        <f t="shared" ca="1" si="13"/>
        <v>-5.4350000000000005</v>
      </c>
      <c r="AJ6">
        <f t="shared" ca="1" si="13"/>
        <v>-5.7839999999999989</v>
      </c>
      <c r="AK6">
        <f t="shared" ca="1" si="13"/>
        <v>-6.2366666666666637</v>
      </c>
      <c r="AL6">
        <f t="shared" ca="1" si="13"/>
        <v>-6.4014285714285686</v>
      </c>
      <c r="AM6" s="13">
        <f t="shared" si="13"/>
        <v>2.1900000000000066</v>
      </c>
      <c r="AN6">
        <f t="shared" si="13"/>
        <v>-1.909999999999993</v>
      </c>
      <c r="AO6">
        <f t="shared" si="13"/>
        <v>-1.9299999999999944</v>
      </c>
      <c r="AP6">
        <f t="shared" si="13"/>
        <v>-1.2899999999999938</v>
      </c>
      <c r="AQ6">
        <f t="shared" si="13"/>
        <v>2.7300000000000075</v>
      </c>
      <c r="AR6">
        <f t="shared" si="13"/>
        <v>1.1300000000000061</v>
      </c>
      <c r="AS6" s="30">
        <f t="shared" ref="AS6:AX30" si="14">Q6-$AC6</f>
        <v>-0.66583333333332817</v>
      </c>
      <c r="AT6">
        <f t="shared" si="4"/>
        <v>-3.9879710144927483</v>
      </c>
      <c r="AU6">
        <f t="shared" si="4"/>
        <v>-3.71347826086956</v>
      </c>
      <c r="AV6">
        <f t="shared" si="4"/>
        <v>-3.293066666666661</v>
      </c>
      <c r="AW6">
        <f t="shared" si="4"/>
        <v>1.5940666666666736</v>
      </c>
      <c r="AX6">
        <f t="shared" si="4"/>
        <v>0.34693333333333953</v>
      </c>
      <c r="AY6" s="13">
        <f t="shared" ca="1" si="5"/>
        <v>-2.7087273607518458</v>
      </c>
      <c r="AZ6" s="6">
        <f t="shared" ca="1" si="5"/>
        <v>-4.404369135106962</v>
      </c>
      <c r="BA6" s="6">
        <f t="shared" ca="1" si="5"/>
        <v>-4.2310539071014226</v>
      </c>
      <c r="BB6" s="6">
        <f t="shared" ca="1" si="5"/>
        <v>-4.1739557547764559</v>
      </c>
      <c r="BC6" s="6">
        <f t="shared" ca="1" si="5"/>
        <v>-1.4741327467792704</v>
      </c>
      <c r="BD6" s="2">
        <f t="shared" ca="1" si="5"/>
        <v>-1.8349020815287567</v>
      </c>
      <c r="BE6" t="s">
        <v>150</v>
      </c>
      <c r="BG6">
        <f>LN(730)</f>
        <v>6.5930445341424369</v>
      </c>
      <c r="BH6">
        <f>LN(365)</f>
        <v>5.8998973535824915</v>
      </c>
      <c r="BI6">
        <f>LN(182)</f>
        <v>5.2040066870767951</v>
      </c>
      <c r="BJ6">
        <f>LN(90)</f>
        <v>4.499809670330265</v>
      </c>
      <c r="BK6">
        <f>LN(30)</f>
        <v>3.4011973816621555</v>
      </c>
      <c r="BL6">
        <f t="shared" ref="BL6:BL11" si="15">AVERAGE(BK6,BM6)</f>
        <v>2.0471722811110502</v>
      </c>
      <c r="BM6">
        <f>LN(2)</f>
        <v>0.69314718055994529</v>
      </c>
    </row>
    <row r="7" spans="1:66" x14ac:dyDescent="0.25">
      <c r="A7" t="s">
        <v>10</v>
      </c>
      <c r="B7">
        <f>B6+1</f>
        <v>2</v>
      </c>
      <c r="C7" s="13">
        <f ca="1">'Historical Trends'!N7</f>
        <v>7.0855348837209249</v>
      </c>
      <c r="D7">
        <f ca="1">AVERAGE(OFFSET('Historical Trends'!$D$6,$B7,0,'Polling Correlations - xOTH'!D$4,1))</f>
        <v>6.3699999999999903</v>
      </c>
      <c r="E7">
        <f ca="1">AVERAGE(OFFSET('Historical Trends'!$D$6,$B7,0,'Polling Correlations - xOTH'!E$4,1))</f>
        <v>6.0649999999999906</v>
      </c>
      <c r="F7">
        <f ca="1">AVERAGE(OFFSET('Historical Trends'!$D$6,$B7,0,'Polling Correlations - xOTH'!F$4,1))</f>
        <v>6.0566666666666622</v>
      </c>
      <c r="G7">
        <f ca="1">AVERAGE(OFFSET('Historical Trends'!$D$6,$B7,0,'Polling Correlations - xOTH'!G$4,1))</f>
        <v>5.6749999999999972</v>
      </c>
      <c r="H7">
        <f ca="1">AVERAGE(OFFSET('Historical Trends'!$D$6,$B7,0,'Polling Correlations - xOTH'!H$4,1))</f>
        <v>5.1819999999999995</v>
      </c>
      <c r="I7">
        <f ca="1">AVERAGE(OFFSET('Historical Trends'!$D$6,$B7,0,'Polling Correlations - xOTH'!I$4,1))</f>
        <v>5.0383333333333313</v>
      </c>
      <c r="J7">
        <f ca="1">AVERAGE(OFFSET('Historical Trends'!$D$6,$B7,0,'Polling Correlations - xOTH'!J$4,1))</f>
        <v>5.0657142857142849</v>
      </c>
      <c r="K7" s="13">
        <f>(11+12+11+10+8)/5</f>
        <v>10.4</v>
      </c>
      <c r="L7">
        <f>(13+13+9+12+11)/5</f>
        <v>11.6</v>
      </c>
      <c r="M7">
        <f>(9+11+12+11+7)/5</f>
        <v>10</v>
      </c>
      <c r="N7">
        <f>(12+14+13+10+12)/5</f>
        <v>12.2</v>
      </c>
      <c r="O7">
        <f>(8+6.8+10+7+8)/5</f>
        <v>7.9599999999999991</v>
      </c>
      <c r="P7">
        <f>(5.7+13.7+11+6.3+5.3)/5</f>
        <v>8.3999999999999986</v>
      </c>
      <c r="Q7" s="30">
        <f>K7-AVERAGE(AM$5:AM6,AM8:AM$30)</f>
        <v>7.6081666666666656</v>
      </c>
      <c r="R7" s="31">
        <f>L7-AVERAGE(AN$5:AN6,AN8:AN$30)</f>
        <v>9.8081159420289836</v>
      </c>
      <c r="S7" s="31">
        <f>M7-AVERAGE(AO$5:AO6,AO8:AO$30)</f>
        <v>8.4339130434782597</v>
      </c>
      <c r="T7" s="31">
        <f>N7-AVERAGE(AP$5:AP6,AP8:AP$30)</f>
        <v>10.459333333333333</v>
      </c>
      <c r="U7" s="31">
        <f>O7-AVERAGE(AQ$5:AQ6,AQ8:AQ$30)</f>
        <v>6.7560666666666647</v>
      </c>
      <c r="V7" s="31">
        <f>P7-AVERAGE(AR$5:AR6,AR8:AR$30)</f>
        <v>7.6305333333333314</v>
      </c>
      <c r="W7" s="13">
        <f t="shared" ca="1" si="7"/>
        <v>6.9933536332580282</v>
      </c>
      <c r="X7" s="6">
        <f t="shared" ca="1" si="8"/>
        <v>8.0005747498366926</v>
      </c>
      <c r="Y7" s="6">
        <f t="shared" ca="1" si="9"/>
        <v>7.4323102743536644</v>
      </c>
      <c r="Z7" s="6">
        <f t="shared" ca="1" si="10"/>
        <v>8.0367303623570727</v>
      </c>
      <c r="AA7" s="6">
        <f t="shared" ca="1" si="11"/>
        <v>6.5702309071487663</v>
      </c>
      <c r="AB7" s="2">
        <f t="shared" ca="1" si="12"/>
        <v>7.0940964246652172</v>
      </c>
      <c r="AC7" s="2">
        <f>'Historical Trends'!D7</f>
        <v>6.9299999999999873</v>
      </c>
      <c r="AE7" s="13">
        <f t="shared" ca="1" si="13"/>
        <v>0.1555348837209376</v>
      </c>
      <c r="AF7">
        <f t="shared" ca="1" si="13"/>
        <v>-0.55999999999999694</v>
      </c>
      <c r="AG7">
        <f t="shared" ca="1" si="13"/>
        <v>-0.86499999999999666</v>
      </c>
      <c r="AH7">
        <f t="shared" ca="1" si="13"/>
        <v>-0.87333333333332508</v>
      </c>
      <c r="AI7">
        <f t="shared" ca="1" si="13"/>
        <v>-1.2549999999999901</v>
      </c>
      <c r="AJ7">
        <f t="shared" ca="1" si="13"/>
        <v>-1.7479999999999878</v>
      </c>
      <c r="AK7">
        <f t="shared" ca="1" si="13"/>
        <v>-1.8916666666666559</v>
      </c>
      <c r="AL7">
        <f t="shared" ca="1" si="13"/>
        <v>-1.8642857142857023</v>
      </c>
      <c r="AM7" s="13">
        <f t="shared" si="13"/>
        <v>3.4700000000000131</v>
      </c>
      <c r="AN7">
        <f t="shared" si="13"/>
        <v>4.6700000000000124</v>
      </c>
      <c r="AO7">
        <f t="shared" si="13"/>
        <v>3.0700000000000127</v>
      </c>
      <c r="AP7">
        <f t="shared" si="13"/>
        <v>5.270000000000012</v>
      </c>
      <c r="AQ7">
        <f t="shared" si="13"/>
        <v>1.0300000000000118</v>
      </c>
      <c r="AR7">
        <f t="shared" si="13"/>
        <v>1.4700000000000113</v>
      </c>
      <c r="AS7" s="30">
        <f t="shared" si="14"/>
        <v>0.67816666666667835</v>
      </c>
      <c r="AT7">
        <f t="shared" si="4"/>
        <v>2.8781159420289963</v>
      </c>
      <c r="AU7">
        <f t="shared" si="4"/>
        <v>1.5039130434782724</v>
      </c>
      <c r="AV7">
        <f t="shared" si="4"/>
        <v>3.5293333333333461</v>
      </c>
      <c r="AW7">
        <f t="shared" si="4"/>
        <v>-0.17393333333332262</v>
      </c>
      <c r="AX7">
        <f t="shared" si="4"/>
        <v>0.70053333333334411</v>
      </c>
      <c r="AY7" s="13">
        <f t="shared" ca="1" si="5"/>
        <v>6.3353633258040887E-2</v>
      </c>
      <c r="AZ7" s="6">
        <f t="shared" ca="1" si="5"/>
        <v>1.0705747498367053</v>
      </c>
      <c r="BA7" s="6">
        <f t="shared" ca="1" si="5"/>
        <v>0.50231027435367714</v>
      </c>
      <c r="BB7" s="6">
        <f t="shared" ca="1" si="5"/>
        <v>1.1067303623570854</v>
      </c>
      <c r="BC7" s="6">
        <f t="shared" ca="1" si="5"/>
        <v>-0.35976909285122094</v>
      </c>
      <c r="BD7" s="2">
        <f t="shared" ca="1" si="5"/>
        <v>0.16409642466522989</v>
      </c>
      <c r="BE7" t="s">
        <v>180</v>
      </c>
      <c r="BG7">
        <f>AM4</f>
        <v>3.7025831108999721</v>
      </c>
      <c r="BH7">
        <f>AN4</f>
        <v>3.1045260418370542</v>
      </c>
      <c r="BI7">
        <f>AO4</f>
        <v>2.8303141593718433</v>
      </c>
      <c r="BJ7">
        <f>AP4</f>
        <v>3.2519202742511193</v>
      </c>
      <c r="BK7">
        <f>AQ4</f>
        <v>2.5153245912099083</v>
      </c>
      <c r="BL7">
        <f t="shared" si="15"/>
        <v>2.3407935390829957</v>
      </c>
      <c r="BM7">
        <f>AR4</f>
        <v>2.1662624869560831</v>
      </c>
    </row>
    <row r="8" spans="1:66" x14ac:dyDescent="0.25">
      <c r="A8" t="s">
        <v>11</v>
      </c>
      <c r="B8">
        <f>B7+1</f>
        <v>3</v>
      </c>
      <c r="C8" s="13">
        <f ca="1">'Historical Trends'!N8</f>
        <v>5.8699011124845413</v>
      </c>
      <c r="D8">
        <f ca="1">AVERAGE(OFFSET('Historical Trends'!$D$6,$B8,0,'Polling Correlations - xOTH'!D$4,1))</f>
        <v>5.7599999999999909</v>
      </c>
      <c r="E8">
        <f ca="1">AVERAGE(OFFSET('Historical Trends'!$D$6,$B8,0,'Polling Correlations - xOTH'!E$4,1))</f>
        <v>5.8999999999999986</v>
      </c>
      <c r="F8">
        <f ca="1">AVERAGE(OFFSET('Historical Trends'!$D$6,$B8,0,'Polling Correlations - xOTH'!F$4,1))</f>
        <v>5.4433333333333325</v>
      </c>
      <c r="G8">
        <f ca="1">AVERAGE(OFFSET('Historical Trends'!$D$6,$B8,0,'Polling Correlations - xOTH'!G$4,1))</f>
        <v>4.8850000000000016</v>
      </c>
      <c r="H8">
        <f ca="1">AVERAGE(OFFSET('Historical Trends'!$D$6,$B8,0,'Polling Correlations - xOTH'!H$4,1))</f>
        <v>4.7720000000000002</v>
      </c>
      <c r="I8">
        <f ca="1">AVERAGE(OFFSET('Historical Trends'!$D$6,$B8,0,'Polling Correlations - xOTH'!I$4,1))</f>
        <v>4.8483333333333336</v>
      </c>
      <c r="J8">
        <f ca="1">AVERAGE(OFFSET('Historical Trends'!$D$6,$B8,0,'Polling Correlations - xOTH'!J$4,1))</f>
        <v>4.7942857142857127</v>
      </c>
      <c r="K8" s="13">
        <f>(9+6+6+7+8)/5</f>
        <v>7.2</v>
      </c>
      <c r="L8">
        <f>(8+7+7+9+8)/5</f>
        <v>7.8</v>
      </c>
      <c r="M8">
        <f>(9+7+10+8+8)/5</f>
        <v>8.4</v>
      </c>
      <c r="N8">
        <f>(8+8+8+12+12)/5</f>
        <v>9.6</v>
      </c>
      <c r="O8">
        <f>(5+6+8+6+6)/5</f>
        <v>6.2</v>
      </c>
      <c r="P8">
        <f>(6.5+6.6+7+7+7)/5</f>
        <v>6.82</v>
      </c>
      <c r="Q8" s="30">
        <f>K8-AVERAGE(AM$5:AM7,AM9:AM$30)</f>
        <v>4.2761666666666649</v>
      </c>
      <c r="R8" s="31">
        <f>L8-AVERAGE(AN$5:AN7,AN9:AN$30)</f>
        <v>5.8672463768115932</v>
      </c>
      <c r="S8" s="31">
        <f>M8-AVERAGE(AO$5:AO7,AO9:AO$30)</f>
        <v>6.7886956521739119</v>
      </c>
      <c r="T8" s="31">
        <f>N8-AVERAGE(AP$5:AP7,AP9:AP$30)</f>
        <v>7.7777333333333321</v>
      </c>
      <c r="U8" s="31">
        <f>O8-AVERAGE(AQ$5:AQ7,AQ9:AQ$30)</f>
        <v>4.9480666666666657</v>
      </c>
      <c r="V8" s="31">
        <f>P8-AVERAGE(AR$5:AR7,AR9:AR$30)</f>
        <v>6.0097333333333331</v>
      </c>
      <c r="W8" s="13">
        <f t="shared" ca="1" si="7"/>
        <v>5.0129657562395602</v>
      </c>
      <c r="X8" s="6">
        <f t="shared" ca="1" si="8"/>
        <v>5.8108630997293353</v>
      </c>
      <c r="Y8" s="6">
        <f t="shared" ca="1" si="9"/>
        <v>6.2894767451276081</v>
      </c>
      <c r="Z8" s="6">
        <f t="shared" ca="1" si="10"/>
        <v>6.5823876939533577</v>
      </c>
      <c r="AA8" s="6">
        <f t="shared" ca="1" si="11"/>
        <v>5.3388961805966293</v>
      </c>
      <c r="AB8" s="2">
        <f t="shared" ca="1" si="12"/>
        <v>5.903455955510676</v>
      </c>
      <c r="AC8" s="2">
        <f>'Historical Trends'!D8</f>
        <v>6.3699999999999903</v>
      </c>
      <c r="AE8" s="13">
        <f t="shared" ca="1" si="13"/>
        <v>-0.50009888751544906</v>
      </c>
      <c r="AF8">
        <f t="shared" ca="1" si="13"/>
        <v>-0.60999999999999943</v>
      </c>
      <c r="AG8">
        <f t="shared" ca="1" si="13"/>
        <v>-0.46999999999999176</v>
      </c>
      <c r="AH8">
        <f t="shared" ca="1" si="13"/>
        <v>-0.92666666666665787</v>
      </c>
      <c r="AI8">
        <f t="shared" ca="1" si="13"/>
        <v>-1.4849999999999888</v>
      </c>
      <c r="AJ8">
        <f t="shared" ca="1" si="13"/>
        <v>-1.5979999999999901</v>
      </c>
      <c r="AK8">
        <f t="shared" ca="1" si="13"/>
        <v>-1.5216666666666567</v>
      </c>
      <c r="AL8">
        <f t="shared" ca="1" si="13"/>
        <v>-1.5757142857142776</v>
      </c>
      <c r="AM8" s="13">
        <f t="shared" si="13"/>
        <v>0.83000000000000984</v>
      </c>
      <c r="AN8">
        <f t="shared" si="13"/>
        <v>1.4300000000000095</v>
      </c>
      <c r="AO8">
        <f t="shared" si="13"/>
        <v>2.03000000000001</v>
      </c>
      <c r="AP8">
        <f t="shared" si="13"/>
        <v>3.2300000000000093</v>
      </c>
      <c r="AQ8">
        <f t="shared" si="13"/>
        <v>-0.16999999999999016</v>
      </c>
      <c r="AR8">
        <f t="shared" si="13"/>
        <v>0.45000000000000995</v>
      </c>
      <c r="AS8" s="30">
        <f t="shared" si="14"/>
        <v>-2.0938333333333254</v>
      </c>
      <c r="AT8">
        <f t="shared" si="4"/>
        <v>-0.50275362318839711</v>
      </c>
      <c r="AU8">
        <f t="shared" si="4"/>
        <v>0.41869565217392157</v>
      </c>
      <c r="AV8">
        <f t="shared" si="4"/>
        <v>1.4077333333333417</v>
      </c>
      <c r="AW8">
        <f t="shared" si="4"/>
        <v>-1.4219333333333246</v>
      </c>
      <c r="AX8">
        <f t="shared" si="4"/>
        <v>-0.36026666666665719</v>
      </c>
      <c r="AY8" s="13">
        <f t="shared" ca="1" si="5"/>
        <v>-1.3570342437604301</v>
      </c>
      <c r="AZ8" s="6">
        <f t="shared" ca="1" si="5"/>
        <v>-0.55913690027065499</v>
      </c>
      <c r="BA8" s="6">
        <f t="shared" ca="1" si="5"/>
        <v>-8.0523254872382211E-2</v>
      </c>
      <c r="BB8" s="6">
        <f t="shared" ca="1" si="5"/>
        <v>0.21238769395336732</v>
      </c>
      <c r="BC8" s="6">
        <f t="shared" ca="1" si="5"/>
        <v>-1.031103819403361</v>
      </c>
      <c r="BD8" s="2">
        <f t="shared" ca="1" si="5"/>
        <v>-0.4665440444893143</v>
      </c>
      <c r="BE8" t="s">
        <v>184</v>
      </c>
      <c r="BG8">
        <f ca="1">AY4</f>
        <v>2.1466391527012383</v>
      </c>
      <c r="BH8">
        <f ca="1">AZ4</f>
        <v>2.0441505801095552</v>
      </c>
      <c r="BI8">
        <f ca="1">BA4</f>
        <v>1.966288616712927</v>
      </c>
      <c r="BJ8">
        <f ca="1">BB4</f>
        <v>2.0091423619433439</v>
      </c>
      <c r="BK8">
        <f ca="1">BC4</f>
        <v>1.5906501291396067</v>
      </c>
      <c r="BL8">
        <f t="shared" ca="1" si="15"/>
        <v>1.6244875557358882</v>
      </c>
      <c r="BM8">
        <f ca="1">BD4</f>
        <v>1.6583249823321697</v>
      </c>
    </row>
    <row r="9" spans="1:66" x14ac:dyDescent="0.25">
      <c r="A9" t="s">
        <v>12</v>
      </c>
      <c r="B9">
        <f>B8+1</f>
        <v>4</v>
      </c>
      <c r="C9" s="13">
        <f ca="1">'Historical Trends'!N9</f>
        <v>5.1696969696969717</v>
      </c>
      <c r="D9">
        <f ca="1">AVERAGE(OFFSET('Historical Trends'!$D$6,$B9,0,'Polling Correlations - xOTH'!D$4,1))</f>
        <v>6.0400000000000063</v>
      </c>
      <c r="E9">
        <f ca="1">AVERAGE(OFFSET('Historical Trends'!$D$6,$B9,0,'Polling Correlations - xOTH'!E$4,1))</f>
        <v>5.2850000000000037</v>
      </c>
      <c r="F9">
        <f ca="1">AVERAGE(OFFSET('Historical Trends'!$D$6,$B9,0,'Polling Correlations - xOTH'!F$4,1))</f>
        <v>4.5933333333333382</v>
      </c>
      <c r="G9">
        <f ca="1">AVERAGE(OFFSET('Historical Trends'!$D$6,$B9,0,'Polling Correlations - xOTH'!G$4,1))</f>
        <v>4.5250000000000021</v>
      </c>
      <c r="H9">
        <f ca="1">AVERAGE(OFFSET('Historical Trends'!$D$6,$B9,0,'Polling Correlations - xOTH'!H$4,1))</f>
        <v>4.6660000000000021</v>
      </c>
      <c r="I9">
        <f ca="1">AVERAGE(OFFSET('Historical Trends'!$D$6,$B9,0,'Polling Correlations - xOTH'!I$4,1))</f>
        <v>4.6333333333333329</v>
      </c>
      <c r="J9">
        <f ca="1">AVERAGE(OFFSET('Historical Trends'!$D$6,$B9,0,'Polling Correlations - xOTH'!J$4,1))</f>
        <v>4.2857142857142856</v>
      </c>
      <c r="K9" s="13">
        <f>(12+12+14+13+14)/5</f>
        <v>13</v>
      </c>
      <c r="L9">
        <f>(13+10+12+11+14)/5</f>
        <v>12</v>
      </c>
      <c r="M9">
        <f>(9+9+3+10+10)/5</f>
        <v>8.1999999999999993</v>
      </c>
      <c r="N9">
        <f>(10+9+5+9+9)/5</f>
        <v>8.4</v>
      </c>
      <c r="O9">
        <f>(6+4+9+8+5)/5</f>
        <v>6.4</v>
      </c>
      <c r="P9">
        <f>(6+6+6+6+4)/5</f>
        <v>5.6</v>
      </c>
      <c r="Q9" s="30">
        <f>K9-AVERAGE(AM$5:AM8,AM10:AM$30)</f>
        <v>10.396666666666665</v>
      </c>
      <c r="R9" s="31">
        <f>L9-AVERAGE(AN$5:AN8,AN10:AN$30)</f>
        <v>10.276376811594202</v>
      </c>
      <c r="S9" s="31">
        <f>M9-AVERAGE(AO$5:AO8,AO10:AO$30)</f>
        <v>6.6065217391304332</v>
      </c>
      <c r="T9" s="31">
        <f>N9-AVERAGE(AP$5:AP8,AP10:AP$30)</f>
        <v>6.5541333333333336</v>
      </c>
      <c r="U9" s="31">
        <f>O9-AVERAGE(AQ$5:AQ8,AQ10:AQ$30)</f>
        <v>5.1804666666666659</v>
      </c>
      <c r="V9" s="31">
        <f>P9-AVERAGE(AR$5:AR8,AR10:AR$30)</f>
        <v>4.7653333333333325</v>
      </c>
      <c r="W9" s="13">
        <f t="shared" ca="1" si="7"/>
        <v>8.2333589949340418</v>
      </c>
      <c r="X9" s="6">
        <f t="shared" ca="1" si="8"/>
        <v>8.0491611732275263</v>
      </c>
      <c r="Y9" s="6">
        <f t="shared" ca="1" si="9"/>
        <v>6.3315926453513462</v>
      </c>
      <c r="Z9" s="6">
        <f t="shared" ca="1" si="10"/>
        <v>6.249550449209293</v>
      </c>
      <c r="AA9" s="6">
        <f t="shared" ca="1" si="11"/>
        <v>5.5942087574047488</v>
      </c>
      <c r="AB9" s="2">
        <f t="shared" ca="1" si="12"/>
        <v>5.3077848720330536</v>
      </c>
      <c r="AC9" s="2">
        <f>'Historical Trends'!D9</f>
        <v>5.7599999999999909</v>
      </c>
      <c r="AE9" s="13">
        <f t="shared" ca="1" si="13"/>
        <v>-0.59030303030301923</v>
      </c>
      <c r="AF9">
        <f t="shared" ca="1" si="13"/>
        <v>0.28000000000001535</v>
      </c>
      <c r="AG9">
        <f t="shared" ca="1" si="13"/>
        <v>-0.47499999999998721</v>
      </c>
      <c r="AH9">
        <f t="shared" ca="1" si="13"/>
        <v>-1.1666666666666528</v>
      </c>
      <c r="AI9">
        <f t="shared" ca="1" si="13"/>
        <v>-1.2349999999999888</v>
      </c>
      <c r="AJ9">
        <f t="shared" ca="1" si="13"/>
        <v>-1.0939999999999888</v>
      </c>
      <c r="AK9">
        <f t="shared" ca="1" si="13"/>
        <v>-1.126666666666658</v>
      </c>
      <c r="AL9">
        <f t="shared" ca="1" si="13"/>
        <v>-1.4742857142857053</v>
      </c>
      <c r="AM9" s="13">
        <f t="shared" si="13"/>
        <v>7.2400000000000091</v>
      </c>
      <c r="AN9">
        <f t="shared" si="13"/>
        <v>6.2400000000000091</v>
      </c>
      <c r="AO9">
        <f t="shared" si="13"/>
        <v>2.4400000000000084</v>
      </c>
      <c r="AP9">
        <f t="shared" si="13"/>
        <v>2.6400000000000095</v>
      </c>
      <c r="AQ9">
        <f t="shared" si="13"/>
        <v>0.64000000000000945</v>
      </c>
      <c r="AR9">
        <f t="shared" si="13"/>
        <v>-0.15999999999999126</v>
      </c>
      <c r="AS9" s="30">
        <f t="shared" si="14"/>
        <v>4.6366666666666738</v>
      </c>
      <c r="AT9">
        <f t="shared" si="4"/>
        <v>4.5163768115942116</v>
      </c>
      <c r="AU9">
        <f t="shared" si="4"/>
        <v>0.84652173913044226</v>
      </c>
      <c r="AV9">
        <f t="shared" si="4"/>
        <v>0.79413333333334268</v>
      </c>
      <c r="AW9">
        <f t="shared" si="4"/>
        <v>-0.57953333333332502</v>
      </c>
      <c r="AX9">
        <f t="shared" si="4"/>
        <v>-0.99466666666665837</v>
      </c>
      <c r="AY9" s="13">
        <f t="shared" ca="1" si="5"/>
        <v>2.4733589949340509</v>
      </c>
      <c r="AZ9" s="6">
        <f t="shared" ca="1" si="5"/>
        <v>2.2891611732275354</v>
      </c>
      <c r="BA9" s="6">
        <f t="shared" ca="1" si="5"/>
        <v>0.57159264535135534</v>
      </c>
      <c r="BB9" s="6">
        <f t="shared" ca="1" si="5"/>
        <v>0.48955044920930213</v>
      </c>
      <c r="BC9" s="6">
        <f t="shared" ca="1" si="5"/>
        <v>-0.16579124259524214</v>
      </c>
      <c r="BD9" s="2">
        <f t="shared" ca="1" si="5"/>
        <v>-0.4522151279669373</v>
      </c>
      <c r="BE9" t="s">
        <v>185</v>
      </c>
      <c r="BG9">
        <f t="shared" ref="BG9:BM9" ca="1" si="16">$AK$4</f>
        <v>2.6602279037706529</v>
      </c>
      <c r="BH9">
        <f t="shared" ca="1" si="16"/>
        <v>2.6602279037706529</v>
      </c>
      <c r="BI9">
        <f t="shared" ca="1" si="16"/>
        <v>2.6602279037706529</v>
      </c>
      <c r="BJ9">
        <f t="shared" ca="1" si="16"/>
        <v>2.6602279037706529</v>
      </c>
      <c r="BK9">
        <f t="shared" ca="1" si="16"/>
        <v>2.6602279037706529</v>
      </c>
      <c r="BL9">
        <f t="shared" ca="1" si="15"/>
        <v>2.6602279037706529</v>
      </c>
      <c r="BM9">
        <f t="shared" ca="1" si="16"/>
        <v>2.6602279037706529</v>
      </c>
    </row>
    <row r="10" spans="1:66" x14ac:dyDescent="0.25">
      <c r="A10" t="s">
        <v>14</v>
      </c>
      <c r="B10">
        <f>B9+1</f>
        <v>5</v>
      </c>
      <c r="C10" s="13">
        <f ca="1">'Historical Trends'!N10</f>
        <v>4.7727070457354728</v>
      </c>
      <c r="D10">
        <f ca="1">AVERAGE(OFFSET('Historical Trends'!$D$6,$B10,0,'Polling Correlations - xOTH'!D$4,1))</f>
        <v>4.5300000000000011</v>
      </c>
      <c r="E10">
        <f ca="1">AVERAGE(OFFSET('Historical Trends'!$D$6,$B10,0,'Polling Correlations - xOTH'!E$4,1))</f>
        <v>3.8700000000000045</v>
      </c>
      <c r="F10">
        <f ca="1">AVERAGE(OFFSET('Historical Trends'!$D$6,$B10,0,'Polling Correlations - xOTH'!F$4,1))</f>
        <v>4.0200000000000005</v>
      </c>
      <c r="G10">
        <f ca="1">AVERAGE(OFFSET('Historical Trends'!$D$6,$B10,0,'Polling Correlations - xOTH'!G$4,1))</f>
        <v>4.3225000000000016</v>
      </c>
      <c r="H10">
        <f ca="1">AVERAGE(OFFSET('Historical Trends'!$D$6,$B10,0,'Polling Correlations - xOTH'!H$4,1))</f>
        <v>4.3519999999999985</v>
      </c>
      <c r="I10">
        <f ca="1">AVERAGE(OFFSET('Historical Trends'!$D$6,$B10,0,'Polling Correlations - xOTH'!I$4,1))</f>
        <v>3.9933333333333323</v>
      </c>
      <c r="J10">
        <f ca="1">AVERAGE(OFFSET('Historical Trends'!$D$6,$B10,0,'Polling Correlations - xOTH'!J$4,1))</f>
        <v>3.7071428571428555</v>
      </c>
      <c r="N10">
        <f>(10+9+10)/3</f>
        <v>9.6666666666666661</v>
      </c>
      <c r="O10">
        <f>(7+11+10)/3</f>
        <v>9.3333333333333339</v>
      </c>
      <c r="P10">
        <f>(9+8+10)/3</f>
        <v>9</v>
      </c>
      <c r="Q10" s="30"/>
      <c r="R10" s="31"/>
      <c r="S10" s="31">
        <f>M10-AVERAGE(AO$5:AO9,AO11:AO$30)</f>
        <v>-1.6287500000000008</v>
      </c>
      <c r="T10" s="31">
        <f>N10-AVERAGE(AP$5:AP9,AP11:AP$30)</f>
        <v>7.8602666666666652</v>
      </c>
      <c r="U10" s="31">
        <f>O10-AVERAGE(AQ$5:AQ9,AQ11:AQ$30)</f>
        <v>8.2199333333333318</v>
      </c>
      <c r="V10" s="31">
        <f>P10-AVERAGE(AR$5:AR9,AR11:AR$30)</f>
        <v>8.2901333333333316</v>
      </c>
      <c r="W10" s="13">
        <f t="shared" ca="1" si="7"/>
        <v>2.2493765308987306</v>
      </c>
      <c r="X10" s="6">
        <f t="shared" ca="1" si="8"/>
        <v>2.381583907783769</v>
      </c>
      <c r="Y10" s="6">
        <f t="shared" ca="1" si="9"/>
        <v>1.3600489098369455</v>
      </c>
      <c r="Z10" s="6">
        <f t="shared" ca="1" si="10"/>
        <v>5.8873499921940891</v>
      </c>
      <c r="AA10" s="6">
        <f t="shared" ca="1" si="11"/>
        <v>6.4437593644927276</v>
      </c>
      <c r="AB10" s="2">
        <f t="shared" ca="1" si="12"/>
        <v>6.6899580359619142</v>
      </c>
      <c r="AC10" s="2">
        <f>'Historical Trends'!D10</f>
        <v>6.0400000000000063</v>
      </c>
      <c r="AE10" s="13">
        <f t="shared" ref="AE10:AE30" ca="1" si="17">C10-$AC10</f>
        <v>-1.2672929542645335</v>
      </c>
      <c r="AF10">
        <f t="shared" ref="AF10:AF29" ca="1" si="18">D10-$AC10</f>
        <v>-1.5100000000000051</v>
      </c>
      <c r="AG10">
        <f t="shared" ref="AG10:AG29" ca="1" si="19">E10-$AC10</f>
        <v>-2.1700000000000017</v>
      </c>
      <c r="AH10">
        <f t="shared" ref="AH10:AH29" ca="1" si="20">F10-$AC10</f>
        <v>-2.0200000000000058</v>
      </c>
      <c r="AI10">
        <f t="shared" ref="AI10:AI29" ca="1" si="21">G10-$AC10</f>
        <v>-1.7175000000000047</v>
      </c>
      <c r="AJ10">
        <f t="shared" ref="AJ10:AJ29" ca="1" si="22">H10-$AC10</f>
        <v>-1.6880000000000077</v>
      </c>
      <c r="AK10">
        <f t="shared" ref="AK10:AK29" ca="1" si="23">I10-$AC10</f>
        <v>-2.046666666666674</v>
      </c>
      <c r="AL10">
        <f t="shared" ref="AL10:AL29" ca="1" si="24">J10-$AC10</f>
        <v>-2.3328571428571507</v>
      </c>
      <c r="AP10">
        <f t="shared" ref="AP10:AR11" si="25">N10-$AC10</f>
        <v>3.6266666666666598</v>
      </c>
      <c r="AQ10">
        <f t="shared" si="25"/>
        <v>3.2933333333333277</v>
      </c>
      <c r="AR10">
        <f t="shared" si="25"/>
        <v>2.9599999999999937</v>
      </c>
      <c r="AS10" s="30"/>
      <c r="AV10">
        <f t="shared" si="4"/>
        <v>1.8202666666666589</v>
      </c>
      <c r="AW10">
        <f t="shared" si="4"/>
        <v>2.1799333333333255</v>
      </c>
      <c r="AX10">
        <f t="shared" si="4"/>
        <v>2.2501333333333253</v>
      </c>
      <c r="BB10" s="6">
        <f t="shared" ref="BB10:BB30" ca="1" si="26">Z10-$AC10</f>
        <v>-0.1526500078059172</v>
      </c>
      <c r="BC10" s="6">
        <f t="shared" ref="BC10:BC30" ca="1" si="27">AA10-$AC10</f>
        <v>0.40375936449272132</v>
      </c>
      <c r="BD10" s="2">
        <f t="shared" ref="BD10:BD30" ca="1" si="28">AB10-$AC10</f>
        <v>0.64995803596190793</v>
      </c>
      <c r="BE10" t="s">
        <v>153</v>
      </c>
      <c r="BG10">
        <f>W4</f>
        <v>0.50344888942632893</v>
      </c>
      <c r="BH10">
        <f>X4</f>
        <v>0.4742640380168282</v>
      </c>
      <c r="BI10">
        <f>Y4</f>
        <v>0.51470689509446799</v>
      </c>
      <c r="BJ10">
        <f>Z4</f>
        <v>0.40757997123176004</v>
      </c>
      <c r="BK10">
        <f>AA4</f>
        <v>0.51864334436739434</v>
      </c>
      <c r="BL10">
        <f t="shared" si="15"/>
        <v>0.54653994936738504</v>
      </c>
      <c r="BM10">
        <f>AB4</f>
        <v>0.57443655436737562</v>
      </c>
    </row>
    <row r="11" spans="1:66" x14ac:dyDescent="0.25">
      <c r="A11" t="s">
        <v>49</v>
      </c>
      <c r="B11">
        <v>0</v>
      </c>
      <c r="C11" s="13">
        <f ca="1">'Historical Trends'!N27</f>
        <v>5.3640173053151443</v>
      </c>
      <c r="D11">
        <f ca="1">AVERAGE(OFFSET('Historical Trends'!$D$28,$B5,0,'Polling Correlations - xOTH'!D$4,1))</f>
        <v>7.6700000000000017</v>
      </c>
      <c r="E11">
        <f ca="1">AVERAGE(OFFSET('Historical Trends'!$D$28,$B5,0,'Polling Correlations - xOTH'!E$4,1))</f>
        <v>6.1450000000000031</v>
      </c>
      <c r="F11">
        <f ca="1">AVERAGE(OFFSET('Historical Trends'!$D$28,$B5,0,'Polling Correlations - xOTH'!F$4,1))</f>
        <v>6.563333333333337</v>
      </c>
      <c r="G11">
        <f ca="1">AVERAGE(OFFSET('Historical Trends'!$D$28,$B5,0,'Polling Correlations - xOTH'!G$4,1))</f>
        <v>6.5650000000000048</v>
      </c>
      <c r="H11">
        <f ca="1">AVERAGE(OFFSET('Historical Trends'!$D$28,$B5,0,'Polling Correlations - xOTH'!H$4,1))</f>
        <v>6.4220000000000024</v>
      </c>
      <c r="I11">
        <f ca="1">AVERAGE(OFFSET('Historical Trends'!$D$28,$B5,0,'Polling Correlations - xOTH'!I$4,1))</f>
        <v>7.1850000000000023</v>
      </c>
      <c r="J11">
        <f ca="1">AVERAGE(OFFSET('Historical Trends'!$D$28,$B5,0,'Polling Correlations - xOTH'!J$4,1))</f>
        <v>6.6200000000000028</v>
      </c>
      <c r="K11" s="13">
        <f>(12+9+12+8+12)/5</f>
        <v>10.6</v>
      </c>
      <c r="L11">
        <f>(7+4+8+9+15)/5</f>
        <v>8.6</v>
      </c>
      <c r="M11">
        <f>(8+6+8+6.6+5)/5</f>
        <v>6.7200000000000006</v>
      </c>
      <c r="N11">
        <f>(7+6+7+7+6.4)/5</f>
        <v>6.68</v>
      </c>
      <c r="O11">
        <f>(5+5+4.3+5+7)/5</f>
        <v>5.26</v>
      </c>
      <c r="P11">
        <f>(7+7+9+4+6)/5</f>
        <v>6.6</v>
      </c>
      <c r="Q11" s="30">
        <f>K11-AVERAGE(AM$5:AM10,AM12:AM$30)</f>
        <v>7.9231666666666642</v>
      </c>
      <c r="R11" s="31">
        <f>L11-AVERAGE(AN$5:AN10,AN12:AN$30)</f>
        <v>6.7689855072463754</v>
      </c>
      <c r="S11" s="31">
        <f>M11-AVERAGE(AO$5:AO10,AO12:AO$30)</f>
        <v>5.1026086956521732</v>
      </c>
      <c r="T11" s="31">
        <f>N11-AVERAGE(AP$5:AP10,AP12:AP$30)</f>
        <v>4.8025333333333329</v>
      </c>
      <c r="U11" s="31">
        <f>O11-AVERAGE(AQ$5:AQ10,AQ12:AQ$30)</f>
        <v>4.0320666666666654</v>
      </c>
      <c r="V11" s="31">
        <f>P11-AVERAGE(AR$5:AR10,AR12:AR$30)</f>
        <v>5.842533333333332</v>
      </c>
      <c r="W11" s="13">
        <f t="shared" ca="1" si="7"/>
        <v>7.7974564771730979</v>
      </c>
      <c r="X11" s="6">
        <f t="shared" ca="1" si="8"/>
        <v>7.242681228354984</v>
      </c>
      <c r="Y11" s="6">
        <f t="shared" ca="1" si="9"/>
        <v>6.3485459932465949</v>
      </c>
      <c r="Z11" s="6">
        <f t="shared" ca="1" si="10"/>
        <v>6.5012780184919698</v>
      </c>
      <c r="AA11" s="6">
        <f t="shared" ca="1" si="11"/>
        <v>5.7832100894143776</v>
      </c>
      <c r="AB11" s="2">
        <f t="shared" ca="1" si="12"/>
        <v>6.6202363447787667</v>
      </c>
      <c r="AC11" s="2">
        <f>'Historical Trends'!D27</f>
        <v>4.8299999999999983</v>
      </c>
      <c r="AE11" s="13">
        <f t="shared" ca="1" si="17"/>
        <v>0.53401730531514602</v>
      </c>
      <c r="AF11">
        <f t="shared" ca="1" si="18"/>
        <v>2.8400000000000034</v>
      </c>
      <c r="AG11">
        <f t="shared" ca="1" si="19"/>
        <v>1.3150000000000048</v>
      </c>
      <c r="AH11">
        <f t="shared" ca="1" si="20"/>
        <v>1.7333333333333387</v>
      </c>
      <c r="AI11">
        <f t="shared" ca="1" si="21"/>
        <v>1.7350000000000065</v>
      </c>
      <c r="AJ11">
        <f t="shared" ca="1" si="22"/>
        <v>1.5920000000000041</v>
      </c>
      <c r="AK11">
        <f t="shared" ca="1" si="23"/>
        <v>2.355000000000004</v>
      </c>
      <c r="AL11">
        <f t="shared" ca="1" si="24"/>
        <v>1.7900000000000045</v>
      </c>
      <c r="AM11" s="13">
        <f t="shared" ref="AM11:AO14" si="29">K11-$AC11</f>
        <v>5.7700000000000014</v>
      </c>
      <c r="AN11">
        <f t="shared" si="29"/>
        <v>3.7700000000000014</v>
      </c>
      <c r="AO11">
        <f t="shared" si="29"/>
        <v>1.8900000000000023</v>
      </c>
      <c r="AP11">
        <f t="shared" si="25"/>
        <v>1.8500000000000014</v>
      </c>
      <c r="AQ11">
        <f t="shared" si="25"/>
        <v>0.43000000000000149</v>
      </c>
      <c r="AR11">
        <f t="shared" si="25"/>
        <v>1.7700000000000014</v>
      </c>
      <c r="AS11" s="30">
        <f t="shared" si="14"/>
        <v>3.093166666666666</v>
      </c>
      <c r="AT11">
        <f t="shared" si="4"/>
        <v>1.9389855072463771</v>
      </c>
      <c r="AU11">
        <f t="shared" si="4"/>
        <v>0.27260869565217494</v>
      </c>
      <c r="AV11">
        <f t="shared" si="4"/>
        <v>-2.7466666666665418E-2</v>
      </c>
      <c r="AW11">
        <f t="shared" si="4"/>
        <v>-0.79793333333333294</v>
      </c>
      <c r="AX11">
        <f t="shared" si="4"/>
        <v>1.0125333333333337</v>
      </c>
      <c r="AY11" s="13">
        <f t="shared" ref="AY11:BA14" ca="1" si="30">W11-$AC11</f>
        <v>2.9674564771730996</v>
      </c>
      <c r="AZ11" s="6">
        <f t="shared" ca="1" si="30"/>
        <v>2.4126812283549857</v>
      </c>
      <c r="BA11" s="6">
        <f t="shared" ca="1" si="30"/>
        <v>1.5185459932465966</v>
      </c>
      <c r="BB11" s="6">
        <f t="shared" ca="1" si="26"/>
        <v>1.6712780184919716</v>
      </c>
      <c r="BC11" s="6">
        <f t="shared" ca="1" si="27"/>
        <v>0.95321008941437935</v>
      </c>
      <c r="BD11" s="2">
        <f t="shared" ca="1" si="28"/>
        <v>1.7902363447787684</v>
      </c>
      <c r="BE11" t="s">
        <v>186</v>
      </c>
      <c r="BG11">
        <f>BG10</f>
        <v>0.50344888942632893</v>
      </c>
      <c r="BH11">
        <f>AVERAGE(BG10:BI10)</f>
        <v>0.49747327417920834</v>
      </c>
      <c r="BI11">
        <f>AVERAGE(BH10:BJ10)</f>
        <v>0.46551696811435206</v>
      </c>
      <c r="BJ11">
        <f>AVERAGE(BI10:BK10)</f>
        <v>0.48031007023120748</v>
      </c>
      <c r="BK11">
        <f>AVERAGE(BJ10:BM10)</f>
        <v>0.51179995483347873</v>
      </c>
      <c r="BL11">
        <f t="shared" si="15"/>
        <v>0.54311825460042717</v>
      </c>
      <c r="BM11">
        <f>BM10</f>
        <v>0.57443655436737562</v>
      </c>
    </row>
    <row r="12" spans="1:66" x14ac:dyDescent="0.25">
      <c r="A12" t="s">
        <v>51</v>
      </c>
      <c r="B12">
        <f>B11+1</f>
        <v>1</v>
      </c>
      <c r="C12" s="13">
        <f ca="1">'Historical Trends'!N28</f>
        <v>6.1457575757575782</v>
      </c>
      <c r="D12">
        <f ca="1">AVERAGE(OFFSET('Historical Trends'!$D$28,$B6,0,'Polling Correlations - xOTH'!D$4,1))</f>
        <v>4.6200000000000045</v>
      </c>
      <c r="E12">
        <f ca="1">AVERAGE(OFFSET('Historical Trends'!$D$28,$B6,0,'Polling Correlations - xOTH'!E$4,1))</f>
        <v>6.0100000000000051</v>
      </c>
      <c r="F12">
        <f ca="1">AVERAGE(OFFSET('Historical Trends'!$D$28,$B6,0,'Polling Correlations - xOTH'!F$4,1))</f>
        <v>6.1966666666666725</v>
      </c>
      <c r="G12">
        <f ca="1">AVERAGE(OFFSET('Historical Trends'!$D$28,$B6,0,'Polling Correlations - xOTH'!G$4,1))</f>
        <v>6.110000000000003</v>
      </c>
      <c r="H12">
        <f ca="1">AVERAGE(OFFSET('Historical Trends'!$D$28,$B6,0,'Polling Correlations - xOTH'!H$4,1))</f>
        <v>7.0880000000000027</v>
      </c>
      <c r="I12">
        <f ca="1">AVERAGE(OFFSET('Historical Trends'!$D$28,$B6,0,'Polling Correlations - xOTH'!I$4,1))</f>
        <v>6.4450000000000029</v>
      </c>
      <c r="J12">
        <f ca="1">AVERAGE(OFFSET('Historical Trends'!$D$28,$B6,0,'Polling Correlations - xOTH'!J$4,1))</f>
        <v>6.0957142857142879</v>
      </c>
      <c r="K12" s="13">
        <f>(3.7+5.7+9+5.4+15)/5</f>
        <v>7.76</v>
      </c>
      <c r="L12">
        <f>(7+6+6+9+6)/5</f>
        <v>6.8</v>
      </c>
      <c r="M12">
        <f>(8.3+5.4+6.3+10+7)/5</f>
        <v>7.4</v>
      </c>
      <c r="N12">
        <f>(9.3+7+7.3+6+5.4)/5</f>
        <v>7</v>
      </c>
      <c r="O12">
        <f>(10+9.1+9+9.3+7)/5</f>
        <v>8.8800000000000008</v>
      </c>
      <c r="P12">
        <f>(9.4+10+7+11+7.7)/5</f>
        <v>9.02</v>
      </c>
      <c r="Q12" s="30">
        <f>K12-AVERAGE(AM$5:AM11,AM13:AM$30)</f>
        <v>4.7991666666666646</v>
      </c>
      <c r="R12" s="31">
        <f>L12-AVERAGE(AN$5:AN11,AN13:AN$30)</f>
        <v>4.7672463768115927</v>
      </c>
      <c r="S12" s="31">
        <f>M12-AVERAGE(AO$5:AO11,AO13:AO$30)</f>
        <v>5.6886956521739123</v>
      </c>
      <c r="T12" s="31">
        <f>N12-AVERAGE(AP$5:AP11,AP13:AP$30)</f>
        <v>5.0217333333333336</v>
      </c>
      <c r="U12" s="31">
        <f>O12-AVERAGE(AQ$5:AQ11,AQ13:AQ$30)</f>
        <v>7.6832666666666665</v>
      </c>
      <c r="V12" s="31">
        <f>P12-AVERAGE(AR$5:AR11,AR13:AR$30)</f>
        <v>8.245733333333332</v>
      </c>
      <c r="W12" s="13">
        <f t="shared" ca="1" si="7"/>
        <v>4.7102012593555518</v>
      </c>
      <c r="X12" s="6">
        <f t="shared" ca="1" si="8"/>
        <v>4.6898336612500167</v>
      </c>
      <c r="Y12" s="6">
        <f t="shared" ca="1" si="9"/>
        <v>5.1700650209313945</v>
      </c>
      <c r="Z12" s="6">
        <f t="shared" ca="1" si="10"/>
        <v>4.7837384604428426</v>
      </c>
      <c r="AA12" s="6">
        <f t="shared" ca="1" si="11"/>
        <v>6.2087428686891624</v>
      </c>
      <c r="AB12" s="2">
        <f t="shared" ca="1" si="12"/>
        <v>6.7027537630549405</v>
      </c>
      <c r="AC12" s="2">
        <f>'Historical Trends'!D28</f>
        <v>7.6700000000000017</v>
      </c>
      <c r="AE12" s="13">
        <f t="shared" ca="1" si="17"/>
        <v>-1.5242424242424235</v>
      </c>
      <c r="AF12">
        <f t="shared" ca="1" si="18"/>
        <v>-3.0499999999999972</v>
      </c>
      <c r="AG12">
        <f t="shared" ca="1" si="19"/>
        <v>-1.6599999999999966</v>
      </c>
      <c r="AH12">
        <f t="shared" ca="1" si="20"/>
        <v>-1.4733333333333292</v>
      </c>
      <c r="AI12" s="6">
        <f t="shared" ca="1" si="21"/>
        <v>-1.5599999999999987</v>
      </c>
      <c r="AJ12">
        <f t="shared" ca="1" si="22"/>
        <v>-0.58199999999999896</v>
      </c>
      <c r="AK12">
        <f t="shared" ca="1" si="23"/>
        <v>-1.2249999999999988</v>
      </c>
      <c r="AL12">
        <f t="shared" ca="1" si="24"/>
        <v>-1.5742857142857138</v>
      </c>
      <c r="AM12" s="13">
        <f t="shared" si="29"/>
        <v>8.9999999999998082E-2</v>
      </c>
      <c r="AN12">
        <f t="shared" si="29"/>
        <v>-0.87000000000000188</v>
      </c>
      <c r="AO12">
        <f t="shared" si="29"/>
        <v>-0.27000000000000135</v>
      </c>
      <c r="AP12">
        <f t="shared" ref="AP12:AP30" si="31">N12-$AC12</f>
        <v>-0.67000000000000171</v>
      </c>
      <c r="AQ12">
        <f t="shared" ref="AQ12:AQ30" si="32">O12-$AC12</f>
        <v>1.2099999999999991</v>
      </c>
      <c r="AR12">
        <f t="shared" ref="AR12:AR30" si="33">P12-$AC12</f>
        <v>1.3499999999999979</v>
      </c>
      <c r="AS12" s="30">
        <f t="shared" si="14"/>
        <v>-2.8708333333333371</v>
      </c>
      <c r="AT12">
        <f t="shared" si="4"/>
        <v>-2.902753623188409</v>
      </c>
      <c r="AU12">
        <f t="shared" si="4"/>
        <v>-1.9813043478260894</v>
      </c>
      <c r="AV12">
        <f t="shared" si="4"/>
        <v>-2.6482666666666681</v>
      </c>
      <c r="AW12">
        <f t="shared" si="4"/>
        <v>1.3266666666664761E-2</v>
      </c>
      <c r="AX12">
        <f t="shared" si="4"/>
        <v>0.57573333333333032</v>
      </c>
      <c r="AY12" s="13">
        <f t="shared" ca="1" si="30"/>
        <v>-2.9597987406444499</v>
      </c>
      <c r="AZ12" s="6">
        <f t="shared" ca="1" si="30"/>
        <v>-2.980166338749985</v>
      </c>
      <c r="BA12" s="6">
        <f t="shared" ca="1" si="30"/>
        <v>-2.4999349790686072</v>
      </c>
      <c r="BB12" s="6">
        <f t="shared" ca="1" si="26"/>
        <v>-2.8862615395571591</v>
      </c>
      <c r="BC12" s="6">
        <f t="shared" ca="1" si="27"/>
        <v>-1.4612571313108393</v>
      </c>
      <c r="BD12" s="2">
        <f t="shared" ca="1" si="28"/>
        <v>-0.96724623694506118</v>
      </c>
      <c r="BE12" t="s">
        <v>193</v>
      </c>
      <c r="BG12">
        <f>MAX(0,($BG$16+1/($BG$17*$BG$18))-1/((10-BG6) * $BG$18))</f>
        <v>0.46650177365268841</v>
      </c>
      <c r="BH12">
        <f t="shared" ref="BH12:BM12" si="34">MAX(0,($BG$16+1/($BG$17*$BG$18))-1/((10-BH6) * $BG$18))</f>
        <v>0.48482876694002053</v>
      </c>
      <c r="BI12">
        <f t="shared" si="34"/>
        <v>0.49789934090905208</v>
      </c>
      <c r="BJ12">
        <f t="shared" si="34"/>
        <v>0.50775906676373628</v>
      </c>
      <c r="BK12">
        <f t="shared" si="34"/>
        <v>0.51893872538460317</v>
      </c>
      <c r="BL12">
        <f t="shared" si="34"/>
        <v>0.52846815591990981</v>
      </c>
      <c r="BM12">
        <f t="shared" si="34"/>
        <v>0.53522477197343787</v>
      </c>
    </row>
    <row r="13" spans="1:66" x14ac:dyDescent="0.25">
      <c r="A13" t="s">
        <v>52</v>
      </c>
      <c r="B13">
        <f>B12+1</f>
        <v>2</v>
      </c>
      <c r="C13" s="13">
        <f ca="1">'Historical Trends'!N29</f>
        <v>8.6402843016069255</v>
      </c>
      <c r="D13">
        <f ca="1">AVERAGE(OFFSET('Historical Trends'!$D$28,$B7,0,'Polling Correlations - xOTH'!D$4,1))</f>
        <v>7.4000000000000057</v>
      </c>
      <c r="E13">
        <f ca="1">AVERAGE(OFFSET('Historical Trends'!$D$28,$B7,0,'Polling Correlations - xOTH'!E$4,1))</f>
        <v>6.9850000000000065</v>
      </c>
      <c r="F13">
        <f ca="1">AVERAGE(OFFSET('Historical Trends'!$D$28,$B7,0,'Polling Correlations - xOTH'!F$4,1))</f>
        <v>6.6066666666666691</v>
      </c>
      <c r="G13">
        <f ca="1">AVERAGE(OFFSET('Historical Trends'!$D$28,$B7,0,'Polling Correlations - xOTH'!G$4,1))</f>
        <v>7.7050000000000018</v>
      </c>
      <c r="H13">
        <f ca="1">AVERAGE(OFFSET('Historical Trends'!$D$28,$B7,0,'Polling Correlations - xOTH'!H$4,1))</f>
        <v>6.8100000000000023</v>
      </c>
      <c r="I13">
        <f ca="1">AVERAGE(OFFSET('Historical Trends'!$D$28,$B7,0,'Polling Correlations - xOTH'!I$4,1))</f>
        <v>6.3416666666666686</v>
      </c>
      <c r="J13">
        <f ca="1">AVERAGE(OFFSET('Historical Trends'!$D$28,$B7,0,'Polling Correlations - xOTH'!J$4,1))</f>
        <v>6.3114285714285741</v>
      </c>
      <c r="K13" s="13">
        <f>(8+10+8.5+8+10)/5</f>
        <v>8.9</v>
      </c>
      <c r="L13">
        <f>(7+15+8+16+12)/5</f>
        <v>11.6</v>
      </c>
      <c r="M13">
        <f>(15+11+7+7+15)/5</f>
        <v>11</v>
      </c>
      <c r="N13">
        <f>(12+15+15+11+7)/5</f>
        <v>12</v>
      </c>
      <c r="O13">
        <f>AVERAGE(5+5+8)/3</f>
        <v>6</v>
      </c>
      <c r="P13">
        <f>AVERAGE(7+6+5+5+8)/5</f>
        <v>6.2</v>
      </c>
      <c r="Q13" s="30">
        <f>K13-AVERAGE(AM$5:AM12,AM14:AM$30)</f>
        <v>6.1486666666666654</v>
      </c>
      <c r="R13" s="31">
        <f>L13-AVERAGE(AN$5:AN12,AN14:AN$30)</f>
        <v>9.9085507246376796</v>
      </c>
      <c r="S13" s="31">
        <f>M13-AVERAGE(AO$5:AO12,AO14:AO$30)</f>
        <v>9.5778260869565202</v>
      </c>
      <c r="T13" s="31">
        <f>N13-AVERAGE(AP$5:AP12,AP14:AP$30)</f>
        <v>10.343733333333333</v>
      </c>
      <c r="U13" s="31">
        <f>O13-AVERAGE(AQ$5:AQ12,AQ14:AQ$30)</f>
        <v>4.8100666666666649</v>
      </c>
      <c r="V13" s="31">
        <f>P13-AVERAGE(AR$5:AR12,AR14:AR$30)</f>
        <v>5.4349333333333325</v>
      </c>
      <c r="W13" s="13">
        <f t="shared" ca="1" si="7"/>
        <v>6.7700176230311886</v>
      </c>
      <c r="X13" s="6">
        <f t="shared" ca="1" si="8"/>
        <v>8.5897153962367092</v>
      </c>
      <c r="Y13" s="6">
        <f t="shared" ca="1" si="9"/>
        <v>8.5209421032731285</v>
      </c>
      <c r="Z13" s="6">
        <f t="shared" ca="1" si="10"/>
        <v>8.599806747313977</v>
      </c>
      <c r="AA13" s="6">
        <f t="shared" ca="1" si="11"/>
        <v>6.0567483143114078</v>
      </c>
      <c r="AB13" s="2">
        <f t="shared" ca="1" si="12"/>
        <v>6.2711938748978175</v>
      </c>
      <c r="AC13" s="2">
        <f>'Historical Trends'!D29</f>
        <v>4.6200000000000045</v>
      </c>
      <c r="AE13" s="13">
        <f t="shared" ca="1" si="17"/>
        <v>4.020284301606921</v>
      </c>
      <c r="AF13">
        <f t="shared" ca="1" si="18"/>
        <v>2.7800000000000011</v>
      </c>
      <c r="AG13">
        <f t="shared" ca="1" si="19"/>
        <v>2.365000000000002</v>
      </c>
      <c r="AH13">
        <f t="shared" ca="1" si="20"/>
        <v>1.9866666666666646</v>
      </c>
      <c r="AI13">
        <f t="shared" ca="1" si="21"/>
        <v>3.0849999999999973</v>
      </c>
      <c r="AJ13">
        <f t="shared" ca="1" si="22"/>
        <v>2.1899999999999977</v>
      </c>
      <c r="AK13">
        <f t="shared" ca="1" si="23"/>
        <v>1.721666666666664</v>
      </c>
      <c r="AL13">
        <f t="shared" ca="1" si="24"/>
        <v>1.6914285714285695</v>
      </c>
      <c r="AM13" s="13">
        <f t="shared" si="29"/>
        <v>4.2799999999999958</v>
      </c>
      <c r="AN13">
        <f t="shared" si="29"/>
        <v>6.9799999999999951</v>
      </c>
      <c r="AO13">
        <f t="shared" si="29"/>
        <v>6.3799999999999955</v>
      </c>
      <c r="AP13">
        <f t="shared" si="31"/>
        <v>7.3799999999999955</v>
      </c>
      <c r="AQ13">
        <f t="shared" si="32"/>
        <v>1.3799999999999955</v>
      </c>
      <c r="AR13">
        <f t="shared" si="33"/>
        <v>1.5799999999999956</v>
      </c>
      <c r="AS13" s="30">
        <f t="shared" si="14"/>
        <v>1.5286666666666608</v>
      </c>
      <c r="AT13">
        <f t="shared" si="4"/>
        <v>5.2885507246376751</v>
      </c>
      <c r="AU13">
        <f t="shared" si="4"/>
        <v>4.9578260869565156</v>
      </c>
      <c r="AV13">
        <f t="shared" si="4"/>
        <v>5.7237333333333282</v>
      </c>
      <c r="AW13">
        <f t="shared" si="4"/>
        <v>0.19006666666666039</v>
      </c>
      <c r="AX13">
        <f t="shared" si="4"/>
        <v>0.81493333333332796</v>
      </c>
      <c r="AY13" s="13">
        <f t="shared" ca="1" si="30"/>
        <v>2.150017623031184</v>
      </c>
      <c r="AZ13" s="6">
        <f t="shared" ca="1" si="30"/>
        <v>3.9697153962367047</v>
      </c>
      <c r="BA13" s="6">
        <f t="shared" ca="1" si="30"/>
        <v>3.900942103273124</v>
      </c>
      <c r="BB13" s="6">
        <f t="shared" ca="1" si="26"/>
        <v>3.9798067473139724</v>
      </c>
      <c r="BC13" s="6">
        <f t="shared" ca="1" si="27"/>
        <v>1.4367483143114033</v>
      </c>
      <c r="BD13" s="2">
        <f t="shared" ca="1" si="28"/>
        <v>1.651193874897813</v>
      </c>
      <c r="BE13" t="s">
        <v>192</v>
      </c>
      <c r="BG13">
        <f>(BG12-BG10)^2</f>
        <v>1.3650893639907957E-3</v>
      </c>
      <c r="BH13">
        <f t="shared" ref="BH13:BM13" si="35">(BH12-BH10)^2</f>
        <v>1.1161349722053644E-4</v>
      </c>
      <c r="BI13">
        <f t="shared" si="35"/>
        <v>2.8249387769569177E-4</v>
      </c>
      <c r="BJ13">
        <f t="shared" si="35"/>
        <v>1.0035851181604822E-2</v>
      </c>
      <c r="BK13">
        <f t="shared" si="35"/>
        <v>8.7249945327322491E-8</v>
      </c>
      <c r="BL13">
        <f t="shared" si="35"/>
        <v>3.2658971840820853E-4</v>
      </c>
      <c r="BM13">
        <f t="shared" si="35"/>
        <v>1.537563878509526E-3</v>
      </c>
      <c r="BN13">
        <f>SQRT(SUM(BG13:BM13))</f>
        <v>0.11687295994957476</v>
      </c>
    </row>
    <row r="14" spans="1:66" x14ac:dyDescent="0.25">
      <c r="A14" t="s">
        <v>53</v>
      </c>
      <c r="B14">
        <f>B13+1</f>
        <v>3</v>
      </c>
      <c r="C14" s="13">
        <f ca="1">'Historical Trends'!N30</f>
        <v>7.670372093023218</v>
      </c>
      <c r="D14">
        <f ca="1">AVERAGE(OFFSET('Historical Trends'!$D$28,$B8,0,'Polling Correlations - xOTH'!D$4,1))</f>
        <v>6.5700000000000074</v>
      </c>
      <c r="E14">
        <f ca="1">AVERAGE(OFFSET('Historical Trends'!$D$28,$B8,0,'Polling Correlations - xOTH'!E$4,1))</f>
        <v>6.2100000000000009</v>
      </c>
      <c r="F14">
        <f ca="1">AVERAGE(OFFSET('Historical Trends'!$D$28,$B8,0,'Polling Correlations - xOTH'!F$4,1))</f>
        <v>7.8066666666666675</v>
      </c>
      <c r="G14">
        <f ca="1">AVERAGE(OFFSET('Historical Trends'!$D$28,$B8,0,'Polling Correlations - xOTH'!G$4,1))</f>
        <v>6.6625000000000014</v>
      </c>
      <c r="H14">
        <f ca="1">AVERAGE(OFFSET('Historical Trends'!$D$28,$B8,0,'Polling Correlations - xOTH'!H$4,1))</f>
        <v>6.1300000000000008</v>
      </c>
      <c r="I14">
        <f ca="1">AVERAGE(OFFSET('Historical Trends'!$D$28,$B8,0,'Polling Correlations - xOTH'!I$4,1))</f>
        <v>6.1300000000000026</v>
      </c>
      <c r="J14">
        <f ca="1">AVERAGE(OFFSET('Historical Trends'!$D$28,$B8,0,'Polling Correlations - xOTH'!J$4,1))</f>
        <v>5.7957142857142872</v>
      </c>
      <c r="K14" s="13">
        <f>(11+8+10)/3</f>
        <v>9.6666666666666661</v>
      </c>
      <c r="L14">
        <f>(7+10+7)/3</f>
        <v>8</v>
      </c>
      <c r="M14">
        <f>(11+6+9)/3</f>
        <v>8.6666666666666661</v>
      </c>
      <c r="N14">
        <f>(10+11+6)/3</f>
        <v>9</v>
      </c>
      <c r="O14">
        <f>(10+10+11)/3</f>
        <v>10.333333333333334</v>
      </c>
      <c r="P14">
        <f>(8.5+8+10)/3</f>
        <v>8.8333333333333339</v>
      </c>
      <c r="Q14" s="30">
        <f>K14-AVERAGE(AM$5:AM13,AM15:AM$30)</f>
        <v>6.814666666666664</v>
      </c>
      <c r="R14" s="31">
        <f>L14-AVERAGE(AN$5:AN13,AN15:AN$30)</f>
        <v>6.0311594202898533</v>
      </c>
      <c r="S14" s="31">
        <f>M14-AVERAGE(AO$5:AO13,AO15:AO$30)</f>
        <v>7.0221739130434759</v>
      </c>
      <c r="T14" s="31">
        <f>N14-AVERAGE(AP$5:AP13,AP15:AP$30)</f>
        <v>7.1125333333333325</v>
      </c>
      <c r="U14" s="31">
        <f>O14-AVERAGE(AQ$5:AQ13,AQ15:AQ$30)</f>
        <v>9.2055333333333316</v>
      </c>
      <c r="V14" s="31">
        <f>P14-AVERAGE(AR$5:AR13,AR15:AR$30)</f>
        <v>8.0624000000000002</v>
      </c>
      <c r="W14" s="13">
        <f t="shared" ca="1" si="7"/>
        <v>6.6931771616129776</v>
      </c>
      <c r="X14" s="6">
        <f t="shared" ca="1" si="8"/>
        <v>6.3144472908193414</v>
      </c>
      <c r="Y14" s="6">
        <f t="shared" ca="1" si="9"/>
        <v>6.8027370308253268</v>
      </c>
      <c r="Z14" s="6">
        <f t="shared" ca="1" si="10"/>
        <v>6.7911257203922748</v>
      </c>
      <c r="AA14" s="6">
        <f t="shared" ca="1" si="11"/>
        <v>7.93690182219175</v>
      </c>
      <c r="AB14" s="2">
        <f t="shared" ca="1" si="12"/>
        <v>7.4272891137378743</v>
      </c>
      <c r="AC14" s="2">
        <f>'Historical Trends'!D30</f>
        <v>7.4000000000000057</v>
      </c>
      <c r="AE14" s="13">
        <f t="shared" ca="1" si="17"/>
        <v>0.2703720930232123</v>
      </c>
      <c r="AF14">
        <f t="shared" ca="1" si="18"/>
        <v>-0.82999999999999829</v>
      </c>
      <c r="AG14">
        <f t="shared" ca="1" si="19"/>
        <v>-1.1900000000000048</v>
      </c>
      <c r="AH14">
        <f t="shared" ca="1" si="20"/>
        <v>0.40666666666666185</v>
      </c>
      <c r="AI14">
        <f t="shared" ca="1" si="21"/>
        <v>-0.73750000000000426</v>
      </c>
      <c r="AJ14">
        <f t="shared" ca="1" si="22"/>
        <v>-1.2700000000000049</v>
      </c>
      <c r="AK14">
        <f t="shared" ca="1" si="23"/>
        <v>-1.2700000000000031</v>
      </c>
      <c r="AL14">
        <f t="shared" ca="1" si="24"/>
        <v>-1.6042857142857185</v>
      </c>
      <c r="AM14" s="13">
        <f t="shared" si="29"/>
        <v>2.2666666666666604</v>
      </c>
      <c r="AN14">
        <f t="shared" si="29"/>
        <v>0.59999999999999432</v>
      </c>
      <c r="AO14">
        <f t="shared" si="29"/>
        <v>1.2666666666666604</v>
      </c>
      <c r="AP14">
        <f t="shared" si="31"/>
        <v>1.5999999999999943</v>
      </c>
      <c r="AQ14">
        <f t="shared" si="32"/>
        <v>2.9333333333333282</v>
      </c>
      <c r="AR14">
        <f t="shared" si="33"/>
        <v>1.4333333333333282</v>
      </c>
      <c r="AS14" s="30">
        <f t="shared" si="14"/>
        <v>-0.5853333333333417</v>
      </c>
      <c r="AT14">
        <f t="shared" si="4"/>
        <v>-1.3688405797101524</v>
      </c>
      <c r="AU14">
        <f t="shared" si="4"/>
        <v>-0.37782608695652975</v>
      </c>
      <c r="AV14">
        <f t="shared" si="4"/>
        <v>-0.2874666666666732</v>
      </c>
      <c r="AW14">
        <f t="shared" si="4"/>
        <v>1.8055333333333259</v>
      </c>
      <c r="AX14">
        <f t="shared" si="4"/>
        <v>0.66239999999999455</v>
      </c>
      <c r="AY14" s="13">
        <f t="shared" ca="1" si="30"/>
        <v>-0.70682283838702809</v>
      </c>
      <c r="AZ14" s="6">
        <f t="shared" ca="1" si="30"/>
        <v>-1.0855527091806643</v>
      </c>
      <c r="BA14" s="6">
        <f t="shared" ca="1" si="30"/>
        <v>-0.59726296917467891</v>
      </c>
      <c r="BB14" s="6">
        <f t="shared" ca="1" si="26"/>
        <v>-0.60887427960773088</v>
      </c>
      <c r="BC14" s="6">
        <f t="shared" ca="1" si="27"/>
        <v>0.53690182219174432</v>
      </c>
      <c r="BD14" s="2">
        <f t="shared" ca="1" si="28"/>
        <v>2.7289113737868576E-2</v>
      </c>
    </row>
    <row r="15" spans="1:66" x14ac:dyDescent="0.25">
      <c r="A15" t="s">
        <v>54</v>
      </c>
      <c r="B15">
        <f>B14+1</f>
        <v>4</v>
      </c>
      <c r="C15" s="13">
        <f ca="1">'Historical Trends'!N31</f>
        <v>7.8507619047618959</v>
      </c>
      <c r="D15">
        <f ca="1">AVERAGE(OFFSET('Historical Trends'!$D$28,$B9,0,'Polling Correlations - xOTH'!D$4,1))</f>
        <v>5.8499999999999943</v>
      </c>
      <c r="E15">
        <f ca="1">AVERAGE(OFFSET('Historical Trends'!$D$28,$B9,0,'Polling Correlations - xOTH'!E$4,1))</f>
        <v>8.4249999999999972</v>
      </c>
      <c r="F15">
        <f ca="1">AVERAGE(OFFSET('Historical Trends'!$D$28,$B9,0,'Polling Correlations - xOTH'!F$4,1))</f>
        <v>6.6933333333333325</v>
      </c>
      <c r="G15">
        <f ca="1">AVERAGE(OFFSET('Historical Trends'!$D$28,$B9,0,'Polling Correlations - xOTH'!G$4,1))</f>
        <v>6.02</v>
      </c>
      <c r="H15">
        <f ca="1">AVERAGE(OFFSET('Historical Trends'!$D$28,$B9,0,'Polling Correlations - xOTH'!H$4,1))</f>
        <v>6.0420000000000016</v>
      </c>
      <c r="I15">
        <f ca="1">AVERAGE(OFFSET('Historical Trends'!$D$28,$B9,0,'Polling Correlations - xOTH'!I$4,1))</f>
        <v>5.666666666666667</v>
      </c>
      <c r="J15">
        <f ca="1">AVERAGE(OFFSET('Historical Trends'!$D$28,$B9,0,'Polling Correlations - xOTH'!J$4,1))</f>
        <v>5.13</v>
      </c>
      <c r="L15">
        <f>(13+15+13)/3</f>
        <v>13.666666666666666</v>
      </c>
      <c r="M15">
        <f>(14+14+13)/3</f>
        <v>13.666666666666666</v>
      </c>
      <c r="N15">
        <f>(16+14+14)/3</f>
        <v>14.666666666666666</v>
      </c>
      <c r="O15">
        <f>(15+17+14)/3</f>
        <v>15.333333333333334</v>
      </c>
      <c r="P15">
        <f>(10+10+15)/3</f>
        <v>11.666666666666666</v>
      </c>
      <c r="Q15" s="30"/>
      <c r="R15" s="31">
        <f>L15-AVERAGE(AN$5:AN14,AN16:AN$30)</f>
        <v>11.980289855072462</v>
      </c>
      <c r="S15" s="31">
        <f>M15-AVERAGE(AO$5:AO14,AO16:AO$30)</f>
        <v>12.275652173913041</v>
      </c>
      <c r="T15" s="31">
        <f>N15-AVERAGE(AP$5:AP14,AP16:AP$30)</f>
        <v>13.039066666666665</v>
      </c>
      <c r="U15" s="31">
        <f>O15-AVERAGE(AQ$5:AQ14,AQ16:AQ$30)</f>
        <v>14.438733333333332</v>
      </c>
      <c r="V15" s="31">
        <f>P15-AVERAGE(AR$5:AR14,AR16:AR$30)</f>
        <v>11.042266666666665</v>
      </c>
      <c r="W15" s="13">
        <f t="shared" ca="1" si="7"/>
        <v>2.9048239968559728</v>
      </c>
      <c r="X15" s="6">
        <f t="shared" ca="1" si="8"/>
        <v>8.7573760208802582</v>
      </c>
      <c r="Y15" s="6">
        <f t="shared" ca="1" si="9"/>
        <v>9.1573274793917978</v>
      </c>
      <c r="Z15" s="6">
        <f t="shared" ca="1" si="10"/>
        <v>8.7801195851832006</v>
      </c>
      <c r="AA15" s="6">
        <f t="shared" ca="1" si="11"/>
        <v>10.304489379879715</v>
      </c>
      <c r="AB15" s="2">
        <f t="shared" ca="1" si="12"/>
        <v>8.8326277733565757</v>
      </c>
      <c r="AC15" s="2">
        <f>'Historical Trends'!D31</f>
        <v>6.5700000000000074</v>
      </c>
      <c r="AE15" s="13">
        <f t="shared" ca="1" si="17"/>
        <v>1.2807619047618886</v>
      </c>
      <c r="AF15">
        <f t="shared" ca="1" si="18"/>
        <v>-0.72000000000001307</v>
      </c>
      <c r="AG15">
        <f t="shared" ca="1" si="19"/>
        <v>1.8549999999999898</v>
      </c>
      <c r="AH15">
        <f t="shared" ca="1" si="20"/>
        <v>0.12333333333332508</v>
      </c>
      <c r="AI15">
        <f t="shared" ca="1" si="21"/>
        <v>-0.55000000000000782</v>
      </c>
      <c r="AJ15">
        <f t="shared" ca="1" si="22"/>
        <v>-0.5280000000000058</v>
      </c>
      <c r="AK15">
        <f t="shared" ca="1" si="23"/>
        <v>-0.90333333333334043</v>
      </c>
      <c r="AL15">
        <f t="shared" ca="1" si="24"/>
        <v>-1.4400000000000075</v>
      </c>
      <c r="AN15">
        <f t="shared" ref="AN15:AN29" si="36">L15-$AC15</f>
        <v>7.0966666666666587</v>
      </c>
      <c r="AO15">
        <f t="shared" ref="AO15:AO29" si="37">M15-$AC15</f>
        <v>7.0966666666666587</v>
      </c>
      <c r="AP15">
        <f t="shared" si="31"/>
        <v>8.0966666666666587</v>
      </c>
      <c r="AQ15">
        <f t="shared" si="32"/>
        <v>8.7633333333333265</v>
      </c>
      <c r="AR15">
        <f t="shared" si="33"/>
        <v>5.0966666666666587</v>
      </c>
      <c r="AS15" s="30"/>
      <c r="AT15">
        <f t="shared" si="4"/>
        <v>5.4102898550724543</v>
      </c>
      <c r="AU15">
        <f t="shared" si="4"/>
        <v>5.7056521739130339</v>
      </c>
      <c r="AV15">
        <f t="shared" si="4"/>
        <v>6.4690666666666576</v>
      </c>
      <c r="AW15">
        <f t="shared" si="4"/>
        <v>7.8687333333333243</v>
      </c>
      <c r="AX15">
        <f t="shared" si="4"/>
        <v>4.4722666666666573</v>
      </c>
      <c r="AZ15" s="6">
        <f t="shared" ref="AZ15:AZ29" ca="1" si="38">X15-$AC15</f>
        <v>2.1873760208802508</v>
      </c>
      <c r="BA15" s="6">
        <f t="shared" ref="BA15:BA29" ca="1" si="39">Y15-$AC15</f>
        <v>2.5873274793917904</v>
      </c>
      <c r="BB15" s="6">
        <f t="shared" ca="1" si="26"/>
        <v>2.2101195851831932</v>
      </c>
      <c r="BC15" s="6">
        <f t="shared" ca="1" si="27"/>
        <v>3.7344893798797081</v>
      </c>
      <c r="BD15" s="2">
        <f t="shared" ca="1" si="28"/>
        <v>2.2626277733565683</v>
      </c>
      <c r="BE15" t="s">
        <v>188</v>
      </c>
    </row>
    <row r="16" spans="1:66" x14ac:dyDescent="0.25">
      <c r="A16" t="s">
        <v>48</v>
      </c>
      <c r="B16">
        <v>0</v>
      </c>
      <c r="C16" s="13">
        <f ca="1">'Historical Trends'!N46</f>
        <v>11.552</v>
      </c>
      <c r="D16">
        <f ca="1">AVERAGE(OFFSET('Historical Trends'!$D$48,$B5,0,'Polling Correlations - xOTH'!D$4,1))</f>
        <v>10</v>
      </c>
      <c r="E16">
        <f ca="1">AVERAGE(OFFSET('Historical Trends'!$D$48,$B5,0,'Polling Correlations - xOTH'!E$4,1))</f>
        <v>11.515000000000001</v>
      </c>
      <c r="F16">
        <f ca="1">AVERAGE(OFFSET('Historical Trends'!$D$48,$B5,0,'Polling Correlations - xOTH'!F$4,1))</f>
        <v>12.523333333333332</v>
      </c>
      <c r="G16">
        <f ca="1">AVERAGE(OFFSET('Historical Trends'!$D$48,$B5,0,'Polling Correlations - xOTH'!G$4,1))</f>
        <v>12.752499999999998</v>
      </c>
      <c r="H16">
        <f ca="1">AVERAGE(OFFSET('Historical Trends'!$D$48,$B5,0,'Polling Correlations - xOTH'!H$4,1))</f>
        <v>12.053999999999998</v>
      </c>
      <c r="I16">
        <f ca="1">AVERAGE(OFFSET('Historical Trends'!$D$48,$B5,0,'Polling Correlations - xOTH'!I$4,1))</f>
        <v>11.66666666666667</v>
      </c>
      <c r="J16">
        <f ca="1">AVERAGE(OFFSET('Historical Trends'!$D$48,$B5,0,'Polling Correlations - xOTH'!J$4,1))</f>
        <v>11.481428571428575</v>
      </c>
      <c r="K16" s="13">
        <f>(16+12+10.9)/3</f>
        <v>12.966666666666667</v>
      </c>
      <c r="L16">
        <f>(10.6+17+11)/3</f>
        <v>12.866666666666667</v>
      </c>
      <c r="M16">
        <f>(18.4+10.6+17)/3</f>
        <v>15.333333333333334</v>
      </c>
      <c r="N16">
        <f>(9.4+7+13.9)/3</f>
        <v>10.1</v>
      </c>
      <c r="O16">
        <f>(8+9+9.4)/3</f>
        <v>8.7999999999999989</v>
      </c>
      <c r="P16">
        <f>(8+5.9+6)/3</f>
        <v>6.6333333333333329</v>
      </c>
      <c r="Q16" s="30">
        <f>K16-AVERAGE(AM$5:AM15,AM17:AM$30)</f>
        <v>10.100666666666665</v>
      </c>
      <c r="R16" s="31">
        <f>L16-AVERAGE(AN$5:AN15,AN17:AN$30)</f>
        <v>10.953768115942028</v>
      </c>
      <c r="S16" s="31">
        <f>M16-AVERAGE(AO$5:AO15,AO17:AO$30)</f>
        <v>13.823043478260869</v>
      </c>
      <c r="T16" s="31">
        <f>N16-AVERAGE(AP$5:AP15,AP17:AP$30)</f>
        <v>8.1133333333333333</v>
      </c>
      <c r="U16" s="31">
        <f>O16-AVERAGE(AQ$5:AQ15,AQ17:AQ$30)</f>
        <v>7.4676666666666645</v>
      </c>
      <c r="V16" s="31">
        <f>P16-AVERAGE(AR$5:AR15,AR17:AR$30)</f>
        <v>5.631199999999998</v>
      </c>
      <c r="W16" s="13">
        <f t="shared" ca="1" si="7"/>
        <v>10.050680521535583</v>
      </c>
      <c r="X16" s="6">
        <f t="shared" ca="1" si="8"/>
        <v>10.452337917998369</v>
      </c>
      <c r="Y16" s="6">
        <f t="shared" ca="1" si="9"/>
        <v>11.967746838506807</v>
      </c>
      <c r="Z16" s="6">
        <f t="shared" ca="1" si="10"/>
        <v>9.2310324542760789</v>
      </c>
      <c r="AA16" s="6">
        <f t="shared" ca="1" si="11"/>
        <v>8.6866221709469684</v>
      </c>
      <c r="AB16" s="2">
        <f t="shared" ca="1" si="12"/>
        <v>7.4904015812798086</v>
      </c>
      <c r="AC16" s="2">
        <f>'Historical Trends'!D47</f>
        <v>10.980000000000004</v>
      </c>
      <c r="AE16" s="13">
        <f t="shared" ca="1" si="17"/>
        <v>0.57199999999999562</v>
      </c>
      <c r="AF16">
        <f t="shared" ca="1" si="18"/>
        <v>-0.98000000000000398</v>
      </c>
      <c r="AG16">
        <f t="shared" ca="1" si="19"/>
        <v>0.53499999999999659</v>
      </c>
      <c r="AH16">
        <f t="shared" ca="1" si="20"/>
        <v>1.5433333333333277</v>
      </c>
      <c r="AI16">
        <f t="shared" ca="1" si="21"/>
        <v>1.7724999999999937</v>
      </c>
      <c r="AJ16">
        <f t="shared" ca="1" si="22"/>
        <v>1.0739999999999945</v>
      </c>
      <c r="AK16">
        <f t="shared" ca="1" si="23"/>
        <v>0.68666666666666565</v>
      </c>
      <c r="AL16">
        <f t="shared" ca="1" si="24"/>
        <v>0.50142857142857089</v>
      </c>
      <c r="AM16" s="13">
        <f>K16-$AC16</f>
        <v>1.9866666666666628</v>
      </c>
      <c r="AN16">
        <f t="shared" si="36"/>
        <v>1.8866666666666632</v>
      </c>
      <c r="AO16">
        <f t="shared" si="37"/>
        <v>4.3533333333333299</v>
      </c>
      <c r="AP16">
        <f t="shared" si="31"/>
        <v>-0.88000000000000433</v>
      </c>
      <c r="AQ16">
        <f t="shared" si="32"/>
        <v>-2.180000000000005</v>
      </c>
      <c r="AR16">
        <f t="shared" si="33"/>
        <v>-4.3466666666666711</v>
      </c>
      <c r="AS16" s="30">
        <f t="shared" si="14"/>
        <v>-0.87933333333333863</v>
      </c>
      <c r="AT16">
        <f t="shared" si="4"/>
        <v>-2.6231884057976274E-2</v>
      </c>
      <c r="AU16">
        <f t="shared" si="4"/>
        <v>2.8430434782608653</v>
      </c>
      <c r="AV16">
        <f t="shared" si="4"/>
        <v>-2.8666666666666707</v>
      </c>
      <c r="AW16">
        <f t="shared" si="4"/>
        <v>-3.5123333333333395</v>
      </c>
      <c r="AX16">
        <f t="shared" si="4"/>
        <v>-5.348800000000006</v>
      </c>
      <c r="AY16" s="13">
        <f ca="1">W16-$AC16</f>
        <v>-0.92931947846442142</v>
      </c>
      <c r="AZ16" s="6">
        <f t="shared" ca="1" si="38"/>
        <v>-0.52766208200163511</v>
      </c>
      <c r="BA16" s="6">
        <f t="shared" ca="1" si="39"/>
        <v>0.98774683850680312</v>
      </c>
      <c r="BB16" s="6">
        <f t="shared" ca="1" si="26"/>
        <v>-1.7489675457239251</v>
      </c>
      <c r="BC16" s="6">
        <f t="shared" ca="1" si="27"/>
        <v>-2.2933778290530356</v>
      </c>
      <c r="BD16" s="2">
        <f t="shared" ca="1" si="28"/>
        <v>-3.4895984187201954</v>
      </c>
      <c r="BE16" t="s">
        <v>189</v>
      </c>
      <c r="BG16">
        <v>0.56172064255949306</v>
      </c>
    </row>
    <row r="17" spans="1:74" x14ac:dyDescent="0.25">
      <c r="A17" t="s">
        <v>70</v>
      </c>
      <c r="B17">
        <f>B16+1</f>
        <v>1</v>
      </c>
      <c r="C17" s="13">
        <f ca="1">'Historical Trends'!N47</f>
        <v>13.042666666666662</v>
      </c>
      <c r="D17">
        <f ca="1">AVERAGE(OFFSET('Historical Trends'!$D$48,$B6,0,'Polling Correlations - xOTH'!D$4,1))</f>
        <v>13.030000000000001</v>
      </c>
      <c r="E17">
        <f ca="1">AVERAGE(OFFSET('Historical Trends'!$D$48,$B6,0,'Polling Correlations - xOTH'!E$4,1))</f>
        <v>13.784999999999997</v>
      </c>
      <c r="F17">
        <f ca="1">AVERAGE(OFFSET('Historical Trends'!$D$48,$B6,0,'Polling Correlations - xOTH'!F$4,1))</f>
        <v>13.669999999999996</v>
      </c>
      <c r="G17">
        <f ca="1">AVERAGE(OFFSET('Historical Trends'!$D$48,$B6,0,'Polling Correlations - xOTH'!G$4,1))</f>
        <v>12.567499999999999</v>
      </c>
      <c r="H17">
        <f ca="1">AVERAGE(OFFSET('Historical Trends'!$D$48,$B6,0,'Polling Correlations - xOTH'!H$4,1))</f>
        <v>12.000000000000004</v>
      </c>
      <c r="I17">
        <f ca="1">AVERAGE(OFFSET('Historical Trends'!$D$48,$B6,0,'Polling Correlations - xOTH'!I$4,1))</f>
        <v>11.728333333333337</v>
      </c>
      <c r="J17">
        <f ca="1">AVERAGE(OFFSET('Historical Trends'!$D$48,$B6,0,'Polling Correlations - xOTH'!J$4,1))</f>
        <v>11.505714285714289</v>
      </c>
      <c r="K17" s="13">
        <f>(15+16+15+10+16)/5</f>
        <v>14.4</v>
      </c>
      <c r="L17">
        <f>(13+13+13+13+13)/5</f>
        <v>13</v>
      </c>
      <c r="M17">
        <f>(9+14+13+9+9)/5</f>
        <v>10.8</v>
      </c>
      <c r="N17">
        <f>(10+12+9+9+12)/5</f>
        <v>10.4</v>
      </c>
      <c r="O17">
        <f>(10.4+10+11+8+9)/5</f>
        <v>9.68</v>
      </c>
      <c r="P17">
        <f>(10.3+11+10+8+9)/5</f>
        <v>9.66</v>
      </c>
      <c r="Q17" s="30">
        <f>K17-AVERAGE(AM$5:AM16,AM18:AM$30)</f>
        <v>11.654666666666666</v>
      </c>
      <c r="R17" s="31">
        <f>L17-AVERAGE(AN$5:AN16,AN18:AN$30)</f>
        <v>11.135507246376811</v>
      </c>
      <c r="S17" s="31">
        <f>M17-AVERAGE(AO$5:AO16,AO18:AO$30)</f>
        <v>9.135217391304348</v>
      </c>
      <c r="T17" s="31">
        <f>N17-AVERAGE(AP$5:AP16,AP18:AP$30)</f>
        <v>8.4645333333333337</v>
      </c>
      <c r="U17" s="31">
        <f>O17-AVERAGE(AQ$5:AQ16,AQ18:AQ$30)</f>
        <v>8.4220666666666659</v>
      </c>
      <c r="V17" s="31">
        <f>P17-AVERAGE(AR$5:AR16,AR18:AR$30)</f>
        <v>8.818133333333332</v>
      </c>
      <c r="W17" s="13">
        <f t="shared" ca="1" si="7"/>
        <v>12.337589960742321</v>
      </c>
      <c r="X17" s="6">
        <f t="shared" ca="1" si="8"/>
        <v>12.131510216673046</v>
      </c>
      <c r="Y17" s="6">
        <f t="shared" ca="1" si="9"/>
        <v>11.02532853641033</v>
      </c>
      <c r="Z17" s="6">
        <f t="shared" ca="1" si="10"/>
        <v>11.169207227340442</v>
      </c>
      <c r="AA17" s="6">
        <f t="shared" ca="1" si="11"/>
        <v>10.640126045378004</v>
      </c>
      <c r="AB17" s="2">
        <f t="shared" ca="1" si="12"/>
        <v>10.610549824545195</v>
      </c>
      <c r="AC17" s="2">
        <f>'Historical Trends'!D48</f>
        <v>10</v>
      </c>
      <c r="AE17" s="13">
        <f t="shared" ca="1" si="17"/>
        <v>3.042666666666662</v>
      </c>
      <c r="AF17">
        <f t="shared" ca="1" si="18"/>
        <v>3.0300000000000011</v>
      </c>
      <c r="AG17">
        <f t="shared" ca="1" si="19"/>
        <v>3.7849999999999966</v>
      </c>
      <c r="AH17">
        <f t="shared" ca="1" si="20"/>
        <v>3.6699999999999964</v>
      </c>
      <c r="AI17">
        <f t="shared" ca="1" si="21"/>
        <v>2.567499999999999</v>
      </c>
      <c r="AJ17">
        <f t="shared" ca="1" si="22"/>
        <v>2.0000000000000036</v>
      </c>
      <c r="AK17">
        <f t="shared" ca="1" si="23"/>
        <v>1.7283333333333371</v>
      </c>
      <c r="AL17">
        <f t="shared" ca="1" si="24"/>
        <v>1.5057142857142889</v>
      </c>
      <c r="AM17" s="13">
        <f>K17-$AC17</f>
        <v>4.4000000000000004</v>
      </c>
      <c r="AN17">
        <f t="shared" si="36"/>
        <v>3</v>
      </c>
      <c r="AO17">
        <f t="shared" si="37"/>
        <v>0.80000000000000071</v>
      </c>
      <c r="AP17">
        <f t="shared" si="31"/>
        <v>0.40000000000000036</v>
      </c>
      <c r="AQ17">
        <f t="shared" si="32"/>
        <v>-0.32000000000000028</v>
      </c>
      <c r="AR17">
        <f t="shared" si="33"/>
        <v>-0.33999999999999986</v>
      </c>
      <c r="AS17" s="30">
        <f t="shared" si="14"/>
        <v>1.6546666666666656</v>
      </c>
      <c r="AT17">
        <f t="shared" si="4"/>
        <v>1.135507246376811</v>
      </c>
      <c r="AU17">
        <f t="shared" si="4"/>
        <v>-0.86478260869565204</v>
      </c>
      <c r="AV17">
        <f t="shared" si="4"/>
        <v>-1.5354666666666663</v>
      </c>
      <c r="AW17">
        <f t="shared" si="4"/>
        <v>-1.5779333333333341</v>
      </c>
      <c r="AX17">
        <f t="shared" si="4"/>
        <v>-1.181866666666668</v>
      </c>
      <c r="AY17" s="13">
        <f ca="1">W17-$AC17</f>
        <v>2.3375899607423207</v>
      </c>
      <c r="AZ17" s="6">
        <f t="shared" ca="1" si="38"/>
        <v>2.1315102166730462</v>
      </c>
      <c r="BA17" s="6">
        <f t="shared" ca="1" si="39"/>
        <v>1.0253285364103295</v>
      </c>
      <c r="BB17" s="6">
        <f t="shared" ca="1" si="26"/>
        <v>1.1692072273404417</v>
      </c>
      <c r="BC17" s="6">
        <f t="shared" ca="1" si="27"/>
        <v>0.64012604537800399</v>
      </c>
      <c r="BD17" s="2">
        <f t="shared" ca="1" si="28"/>
        <v>0.61054982454519546</v>
      </c>
      <c r="BE17" t="s">
        <v>190</v>
      </c>
      <c r="BG17">
        <v>28.003846645769844</v>
      </c>
    </row>
    <row r="18" spans="1:74" x14ac:dyDescent="0.25">
      <c r="A18" t="s">
        <v>72</v>
      </c>
      <c r="B18">
        <f>B17+1</f>
        <v>2</v>
      </c>
      <c r="C18" s="13">
        <f ca="1">'Historical Trends'!N48</f>
        <v>14.919333333333384</v>
      </c>
      <c r="D18">
        <f ca="1">AVERAGE(OFFSET('Historical Trends'!$D$48,$B7,0,'Polling Correlations - xOTH'!D$4,1))</f>
        <v>14.539999999999992</v>
      </c>
      <c r="E18">
        <f ca="1">AVERAGE(OFFSET('Historical Trends'!$D$48,$B7,0,'Polling Correlations - xOTH'!E$4,1))</f>
        <v>13.989999999999995</v>
      </c>
      <c r="F18">
        <f ca="1">AVERAGE(OFFSET('Historical Trends'!$D$48,$B7,0,'Polling Correlations - xOTH'!F$4,1))</f>
        <v>12.413333333333332</v>
      </c>
      <c r="G18">
        <f ca="1">AVERAGE(OFFSET('Historical Trends'!$D$48,$B7,0,'Polling Correlations - xOTH'!G$4,1))</f>
        <v>11.742500000000003</v>
      </c>
      <c r="H18">
        <f ca="1">AVERAGE(OFFSET('Historical Trends'!$D$48,$B7,0,'Polling Correlations - xOTH'!H$4,1))</f>
        <v>11.468000000000004</v>
      </c>
      <c r="I18">
        <f ca="1">AVERAGE(OFFSET('Historical Trends'!$D$48,$B7,0,'Polling Correlations - xOTH'!I$4,1))</f>
        <v>11.25166666666667</v>
      </c>
      <c r="J18">
        <f ca="1">AVERAGE(OFFSET('Historical Trends'!$D$48,$B7,0,'Polling Correlations - xOTH'!J$4,1))</f>
        <v>10.412857142857145</v>
      </c>
      <c r="K18" s="13">
        <f>(13+17+18+14+14)/5</f>
        <v>15.2</v>
      </c>
      <c r="L18">
        <f>(14+13+9+13+16)/5</f>
        <v>13</v>
      </c>
      <c r="M18">
        <f>(15+13+13+14+13)/5</f>
        <v>13.6</v>
      </c>
      <c r="N18">
        <f>(16+14+15+13+13)/5</f>
        <v>14.2</v>
      </c>
      <c r="O18">
        <f>(12+10+14+11+14)/5</f>
        <v>12.2</v>
      </c>
      <c r="P18">
        <f>(15+15+15+11+13)/5</f>
        <v>13.8</v>
      </c>
      <c r="Q18" s="30">
        <f>K18-AVERAGE(AM$5:AM17,AM19:AM$30)</f>
        <v>12.343166666666665</v>
      </c>
      <c r="R18" s="31">
        <f>L18-AVERAGE(AN$5:AN17,AN19:AN$30)</f>
        <v>11.003768115942028</v>
      </c>
      <c r="S18" s="31">
        <f>M18-AVERAGE(AO$5:AO17,AO19:AO$30)</f>
        <v>11.925217391304345</v>
      </c>
      <c r="T18" s="31">
        <f>N18-AVERAGE(AP$5:AP17,AP19:AP$30)</f>
        <v>12.295333333333332</v>
      </c>
      <c r="U18" s="31">
        <f>O18-AVERAGE(AQ$5:AQ17,AQ19:AQ$30)</f>
        <v>10.921666666666665</v>
      </c>
      <c r="V18" s="31">
        <f>P18-AVERAGE(AR$5:AR17,AR19:AR$30)</f>
        <v>13.002533333333334</v>
      </c>
      <c r="W18" s="13">
        <f t="shared" ca="1" si="7"/>
        <v>13.434006698078589</v>
      </c>
      <c r="X18" s="6">
        <f t="shared" ca="1" si="8"/>
        <v>12.862892387302807</v>
      </c>
      <c r="Y18" s="6">
        <f t="shared" ca="1" si="9"/>
        <v>13.194153362131242</v>
      </c>
      <c r="Z18" s="6">
        <f t="shared" ca="1" si="10"/>
        <v>13.625118824575104</v>
      </c>
      <c r="AA18" s="6">
        <f t="shared" ca="1" si="11"/>
        <v>12.663375498963973</v>
      </c>
      <c r="AB18" s="2">
        <f t="shared" ca="1" si="12"/>
        <v>13.656822945545303</v>
      </c>
      <c r="AC18" s="2">
        <f>'Historical Trends'!D49</f>
        <v>13.030000000000001</v>
      </c>
      <c r="AE18" s="13">
        <f t="shared" ca="1" si="17"/>
        <v>1.8893333333333828</v>
      </c>
      <c r="AF18">
        <f t="shared" ca="1" si="18"/>
        <v>1.5099999999999909</v>
      </c>
      <c r="AG18">
        <f t="shared" ca="1" si="19"/>
        <v>0.95999999999999375</v>
      </c>
      <c r="AH18">
        <f t="shared" ca="1" si="20"/>
        <v>-0.61666666666666892</v>
      </c>
      <c r="AI18">
        <f t="shared" ca="1" si="21"/>
        <v>-1.2874999999999979</v>
      </c>
      <c r="AJ18">
        <f t="shared" ca="1" si="22"/>
        <v>-1.5619999999999976</v>
      </c>
      <c r="AK18">
        <f t="shared" ca="1" si="23"/>
        <v>-1.7783333333333307</v>
      </c>
      <c r="AL18">
        <f t="shared" ca="1" si="24"/>
        <v>-2.6171428571428557</v>
      </c>
      <c r="AM18" s="13">
        <f>K18-$AC18</f>
        <v>2.1699999999999982</v>
      </c>
      <c r="AN18">
        <f t="shared" si="36"/>
        <v>-3.0000000000001137E-2</v>
      </c>
      <c r="AO18">
        <f t="shared" si="37"/>
        <v>0.56999999999999851</v>
      </c>
      <c r="AP18">
        <f t="shared" si="31"/>
        <v>1.1699999999999982</v>
      </c>
      <c r="AQ18">
        <f t="shared" si="32"/>
        <v>-0.83000000000000185</v>
      </c>
      <c r="AR18">
        <f t="shared" si="33"/>
        <v>0.76999999999999957</v>
      </c>
      <c r="AS18" s="30">
        <f t="shared" si="14"/>
        <v>-0.68683333333333607</v>
      </c>
      <c r="AT18">
        <f t="shared" si="4"/>
        <v>-2.0262318840579727</v>
      </c>
      <c r="AU18">
        <f t="shared" si="4"/>
        <v>-1.1047826086956558</v>
      </c>
      <c r="AV18">
        <f t="shared" si="4"/>
        <v>-0.73466666666666924</v>
      </c>
      <c r="AW18">
        <f t="shared" si="4"/>
        <v>-2.1083333333333361</v>
      </c>
      <c r="AX18">
        <f t="shared" si="4"/>
        <v>-2.7466666666667194E-2</v>
      </c>
      <c r="AY18" s="13">
        <f ca="1">W18-$AC18</f>
        <v>0.40400669807858769</v>
      </c>
      <c r="AZ18" s="6">
        <f t="shared" ca="1" si="38"/>
        <v>-0.16710761269719399</v>
      </c>
      <c r="BA18" s="6">
        <f t="shared" ca="1" si="39"/>
        <v>0.16415336213124121</v>
      </c>
      <c r="BB18" s="6">
        <f t="shared" ca="1" si="26"/>
        <v>0.59511882457510268</v>
      </c>
      <c r="BC18" s="6">
        <f t="shared" ca="1" si="27"/>
        <v>-0.36662450103602851</v>
      </c>
      <c r="BD18" s="2">
        <f t="shared" ca="1" si="28"/>
        <v>0.62682294554530138</v>
      </c>
      <c r="BE18" t="s">
        <v>191</v>
      </c>
      <c r="BG18">
        <v>2.7075286078872889</v>
      </c>
    </row>
    <row r="19" spans="1:74" x14ac:dyDescent="0.25">
      <c r="A19" t="s">
        <v>73</v>
      </c>
      <c r="B19">
        <f>B18+1</f>
        <v>3</v>
      </c>
      <c r="C19" s="13">
        <f ca="1">'Historical Trends'!N49</f>
        <v>14.438990415335411</v>
      </c>
      <c r="D19">
        <f ca="1">AVERAGE(OFFSET('Historical Trends'!$D$48,$B8,0,'Polling Correlations - xOTH'!D$4,1))</f>
        <v>13.439999999999998</v>
      </c>
      <c r="E19">
        <f ca="1">AVERAGE(OFFSET('Historical Trends'!$D$48,$B8,0,'Polling Correlations - xOTH'!E$4,1))</f>
        <v>11.350000000000001</v>
      </c>
      <c r="F19">
        <f ca="1">AVERAGE(OFFSET('Historical Trends'!$D$48,$B8,0,'Polling Correlations - xOTH'!F$4,1))</f>
        <v>10.810000000000008</v>
      </c>
      <c r="G19">
        <f ca="1">AVERAGE(OFFSET('Historical Trends'!$D$48,$B8,0,'Polling Correlations - xOTH'!G$4,1))</f>
        <v>10.700000000000006</v>
      </c>
      <c r="H19">
        <f ca="1">AVERAGE(OFFSET('Historical Trends'!$D$48,$B8,0,'Polling Correlations - xOTH'!H$4,1))</f>
        <v>10.594000000000005</v>
      </c>
      <c r="I19">
        <f ca="1">AVERAGE(OFFSET('Historical Trends'!$D$48,$B8,0,'Polling Correlations - xOTH'!I$4,1))</f>
        <v>9.7250000000000032</v>
      </c>
      <c r="J19">
        <f ca="1">AVERAGE(OFFSET('Historical Trends'!$D$48,$B8,0,'Polling Correlations - xOTH'!J$4,1))</f>
        <v>8.7657142857142869</v>
      </c>
      <c r="L19">
        <f>(17+16+16)/3</f>
        <v>16.333333333333332</v>
      </c>
      <c r="M19">
        <f>(17+16+14)/3</f>
        <v>15.666666666666666</v>
      </c>
      <c r="N19">
        <f>(17+15+17)/3</f>
        <v>16.333333333333332</v>
      </c>
      <c r="O19">
        <f>(15+17+15)/3</f>
        <v>15.666666666666666</v>
      </c>
      <c r="P19">
        <f>(12+15+17)/3</f>
        <v>14.666666666666666</v>
      </c>
      <c r="Q19" s="30">
        <f>K19-AVERAGE(AM$5:AM18,AM20:AM$30)</f>
        <v>-2.8241269841269863</v>
      </c>
      <c r="R19" s="31">
        <f>L19-AVERAGE(AN$5:AN18,AN20:AN$30)</f>
        <v>14.416376811594201</v>
      </c>
      <c r="S19" s="31">
        <f>M19-AVERAGE(AO$5:AO18,AO20:AO$30)</f>
        <v>14.016086956521738</v>
      </c>
      <c r="T19" s="31">
        <f>N19-AVERAGE(AP$5:AP18,AP20:AP$30)</f>
        <v>14.453599999999998</v>
      </c>
      <c r="U19" s="31">
        <f>O19-AVERAGE(AQ$5:AQ18,AQ20:AQ$30)</f>
        <v>14.466599999999998</v>
      </c>
      <c r="V19" s="31">
        <f>P19-AVERAGE(AR$5:AR18,AR20:AR$30)</f>
        <v>13.843466666666666</v>
      </c>
      <c r="W19" s="13">
        <f t="shared" ca="1" si="7"/>
        <v>5.2518433323524789</v>
      </c>
      <c r="X19" s="6">
        <f t="shared" ca="1" si="8"/>
        <v>13.90306040929266</v>
      </c>
      <c r="Y19" s="6">
        <f t="shared" ca="1" si="9"/>
        <v>13.736515928695724</v>
      </c>
      <c r="Z19" s="6">
        <f t="shared" ca="1" si="10"/>
        <v>13.853123058840509</v>
      </c>
      <c r="AA19" s="6">
        <f t="shared" ca="1" si="11"/>
        <v>13.972439257327565</v>
      </c>
      <c r="AB19" s="2">
        <f t="shared" ca="1" si="12"/>
        <v>13.671766001802089</v>
      </c>
      <c r="AC19" s="2">
        <f>'Historical Trends'!D50</f>
        <v>14.539999999999992</v>
      </c>
      <c r="AE19" s="13">
        <f t="shared" ca="1" si="17"/>
        <v>-0.1010095846645811</v>
      </c>
      <c r="AF19">
        <f t="shared" ca="1" si="18"/>
        <v>-1.0999999999999943</v>
      </c>
      <c r="AG19">
        <f t="shared" ca="1" si="19"/>
        <v>-3.1899999999999906</v>
      </c>
      <c r="AH19">
        <f t="shared" ca="1" si="20"/>
        <v>-3.7299999999999844</v>
      </c>
      <c r="AI19">
        <f t="shared" ca="1" si="21"/>
        <v>-3.8399999999999856</v>
      </c>
      <c r="AJ19">
        <f t="shared" ca="1" si="22"/>
        <v>-3.9459999999999873</v>
      </c>
      <c r="AK19">
        <f t="shared" ca="1" si="23"/>
        <v>-4.8149999999999888</v>
      </c>
      <c r="AL19">
        <f t="shared" ca="1" si="24"/>
        <v>-5.7742857142857051</v>
      </c>
      <c r="AN19">
        <f t="shared" si="36"/>
        <v>1.7933333333333401</v>
      </c>
      <c r="AO19">
        <f t="shared" si="37"/>
        <v>1.126666666666674</v>
      </c>
      <c r="AP19">
        <f t="shared" si="31"/>
        <v>1.7933333333333401</v>
      </c>
      <c r="AQ19">
        <f t="shared" si="32"/>
        <v>1.126666666666674</v>
      </c>
      <c r="AR19">
        <f t="shared" si="33"/>
        <v>0.12666666666667403</v>
      </c>
      <c r="AS19" s="30"/>
      <c r="AT19">
        <f t="shared" si="4"/>
        <v>-0.12362318840579078</v>
      </c>
      <c r="AU19">
        <f t="shared" si="4"/>
        <v>-0.52391304347825418</v>
      </c>
      <c r="AV19">
        <f t="shared" si="4"/>
        <v>-8.6399999999994037E-2</v>
      </c>
      <c r="AW19">
        <f t="shared" si="4"/>
        <v>-7.3399999999994137E-2</v>
      </c>
      <c r="AX19">
        <f t="shared" si="4"/>
        <v>-0.6965333333333259</v>
      </c>
      <c r="AZ19" s="6">
        <f t="shared" ca="1" si="38"/>
        <v>-0.63693959070733186</v>
      </c>
      <c r="BA19" s="6">
        <f t="shared" ca="1" si="39"/>
        <v>-0.80348407130426835</v>
      </c>
      <c r="BB19" s="6">
        <f t="shared" ca="1" si="26"/>
        <v>-0.68687694115948261</v>
      </c>
      <c r="BC19" s="6">
        <f t="shared" ca="1" si="27"/>
        <v>-0.56756074267242695</v>
      </c>
      <c r="BD19" s="2">
        <f t="shared" ca="1" si="28"/>
        <v>-0.86823399819790303</v>
      </c>
    </row>
    <row r="20" spans="1:74" x14ac:dyDescent="0.25">
      <c r="A20" t="s">
        <v>91</v>
      </c>
      <c r="B20">
        <v>0</v>
      </c>
      <c r="C20" s="13">
        <f ca="1">'Historical Trends'!N65</f>
        <v>8.4196184305255883</v>
      </c>
      <c r="D20">
        <f ca="1">AVERAGE(OFFSET('Historical Trends'!$D$66,$B5,0,'Polling Correlations - xOTH'!D$4,1))</f>
        <v>8.3400000000000034</v>
      </c>
      <c r="E20">
        <f ca="1">AVERAGE(OFFSET('Historical Trends'!$D$66,$B5,0,'Polling Correlations - xOTH'!E$4,1))</f>
        <v>7.6049999999999969</v>
      </c>
      <c r="F20">
        <f ca="1">AVERAGE(OFFSET('Historical Trends'!$D$66,$B5,0,'Polling Correlations - xOTH'!F$4,1))</f>
        <v>7.5033333333333347</v>
      </c>
      <c r="G20">
        <f ca="1">AVERAGE(OFFSET('Historical Trends'!$D$66,$B5,0,'Polling Correlations - xOTH'!G$4,1))</f>
        <v>6.6449999999999996</v>
      </c>
      <c r="H20">
        <f ca="1">AVERAGE(OFFSET('Historical Trends'!$D$66,$B5,0,'Polling Correlations - xOTH'!H$4,1))</f>
        <v>6.4099999999999966</v>
      </c>
      <c r="I20">
        <f ca="1">AVERAGE(OFFSET('Historical Trends'!$D$66,$B5,0,'Polling Correlations - xOTH'!I$4,1))</f>
        <v>6.3733333333333304</v>
      </c>
      <c r="J20">
        <f ca="1">AVERAGE(OFFSET('Historical Trends'!$D$66,$B5,0,'Polling Correlations - xOTH'!J$4,1))</f>
        <v>6.8071428571428543</v>
      </c>
      <c r="K20" s="13">
        <f>(10+8.5+8)/3</f>
        <v>8.8333333333333339</v>
      </c>
      <c r="L20">
        <f>(9+6+14.6)/3</f>
        <v>9.8666666666666671</v>
      </c>
      <c r="M20">
        <f>(5+7+7)/3</f>
        <v>6.333333333333333</v>
      </c>
      <c r="N20">
        <f>(5+7.9+5+7+7)/5</f>
        <v>6.38</v>
      </c>
      <c r="O20">
        <f>(12+8+10+11.4+10)/5</f>
        <v>10.28</v>
      </c>
      <c r="P20">
        <f>(8+10.4+9+12.5+9)/5</f>
        <v>9.7799999999999994</v>
      </c>
      <c r="Q20" s="30">
        <f>K20-AVERAGE(AM$5:AM19,AM21:AM$30)</f>
        <v>5.7821666666666642</v>
      </c>
      <c r="R20" s="31">
        <f>L20-AVERAGE(AN$5:AN19,AN21:AN$30)</f>
        <v>7.8420289855072447</v>
      </c>
      <c r="S20" s="31">
        <f>M20-AVERAGE(AO$5:AO19,AO21:AO$30)</f>
        <v>4.4504347826086939</v>
      </c>
      <c r="T20" s="31">
        <f>N20-AVERAGE(AP$5:AP19,AP21:AP$30)</f>
        <v>4.261733333333332</v>
      </c>
      <c r="U20" s="31">
        <f>O20-AVERAGE(AQ$5:AQ19,AQ21:AQ$30)</f>
        <v>9.0240666666666645</v>
      </c>
      <c r="V20" s="31">
        <f>P20-AVERAGE(AR$5:AR19,AR21:AR$30)</f>
        <v>8.9209333333333305</v>
      </c>
      <c r="W20" s="13">
        <f t="shared" ca="1" si="7"/>
        <v>7.0522616489956889</v>
      </c>
      <c r="X20" s="6">
        <f t="shared" ca="1" si="8"/>
        <v>8.1038302558513315</v>
      </c>
      <c r="Y20" s="6">
        <f t="shared" ca="1" si="9"/>
        <v>6.3380139636890824</v>
      </c>
      <c r="Z20" s="6">
        <f t="shared" ca="1" si="10"/>
        <v>6.6777801893245563</v>
      </c>
      <c r="AA20" s="6">
        <f t="shared" ca="1" si="11"/>
        <v>8.6947866237702556</v>
      </c>
      <c r="AB20" s="2">
        <f t="shared" ca="1" si="12"/>
        <v>8.673709342317153</v>
      </c>
      <c r="AC20" s="2">
        <f>'Historical Trends'!D65</f>
        <v>10.550000000000011</v>
      </c>
      <c r="AE20" s="13">
        <f t="shared" ca="1" si="17"/>
        <v>-2.130381569474423</v>
      </c>
      <c r="AF20">
        <f t="shared" ca="1" si="18"/>
        <v>-2.210000000000008</v>
      </c>
      <c r="AG20">
        <f t="shared" ca="1" si="19"/>
        <v>-2.9450000000000145</v>
      </c>
      <c r="AH20">
        <f t="shared" ca="1" si="20"/>
        <v>-3.0466666666666766</v>
      </c>
      <c r="AI20">
        <f t="shared" ca="1" si="21"/>
        <v>-3.9050000000000118</v>
      </c>
      <c r="AJ20">
        <f t="shared" ca="1" si="22"/>
        <v>-4.1400000000000148</v>
      </c>
      <c r="AK20">
        <f t="shared" ca="1" si="23"/>
        <v>-4.176666666666681</v>
      </c>
      <c r="AL20">
        <f t="shared" ca="1" si="24"/>
        <v>-3.7428571428571571</v>
      </c>
      <c r="AM20" s="13">
        <f>K20-$AC20</f>
        <v>-1.7166666666666774</v>
      </c>
      <c r="AN20">
        <f t="shared" si="36"/>
        <v>-0.68333333333334423</v>
      </c>
      <c r="AO20">
        <f t="shared" si="37"/>
        <v>-4.2166666666666783</v>
      </c>
      <c r="AP20">
        <f t="shared" si="31"/>
        <v>-4.1700000000000115</v>
      </c>
      <c r="AQ20">
        <f t="shared" si="32"/>
        <v>-0.27000000000001201</v>
      </c>
      <c r="AR20">
        <f t="shared" si="33"/>
        <v>-0.77000000000001201</v>
      </c>
      <c r="AS20" s="30">
        <f t="shared" si="14"/>
        <v>-4.7678333333333471</v>
      </c>
      <c r="AT20">
        <f t="shared" si="4"/>
        <v>-2.7079710144927667</v>
      </c>
      <c r="AU20">
        <f t="shared" si="4"/>
        <v>-6.0995652173913175</v>
      </c>
      <c r="AV20">
        <f t="shared" si="4"/>
        <v>-6.2882666666666793</v>
      </c>
      <c r="AW20">
        <f t="shared" si="4"/>
        <v>-1.5259333333333469</v>
      </c>
      <c r="AX20">
        <f t="shared" si="4"/>
        <v>-1.6290666666666809</v>
      </c>
      <c r="AY20" s="13">
        <f ca="1">W20-$AC20</f>
        <v>-3.4977383510043225</v>
      </c>
      <c r="AZ20" s="6">
        <f t="shared" ca="1" si="38"/>
        <v>-2.4461697441486798</v>
      </c>
      <c r="BA20" s="6">
        <f t="shared" ca="1" si="39"/>
        <v>-4.2119860363109289</v>
      </c>
      <c r="BB20" s="6">
        <f t="shared" ca="1" si="26"/>
        <v>-3.8722198106754551</v>
      </c>
      <c r="BC20" s="6">
        <f t="shared" ca="1" si="27"/>
        <v>-1.8552133762297558</v>
      </c>
      <c r="BD20" s="2">
        <f t="shared" ca="1" si="28"/>
        <v>-1.8762906576828584</v>
      </c>
      <c r="BE20" t="s">
        <v>194</v>
      </c>
      <c r="BG20">
        <f ca="1">SLOPE(BG8:BM8,BG6:BM6)</f>
        <v>9.5222498809085551E-2</v>
      </c>
    </row>
    <row r="21" spans="1:74" x14ac:dyDescent="0.25">
      <c r="A21" t="s">
        <v>92</v>
      </c>
      <c r="B21">
        <f>B20+1</f>
        <v>1</v>
      </c>
      <c r="C21" s="13">
        <f ca="1">'Historical Trends'!N66</f>
        <v>5.4812298232129422</v>
      </c>
      <c r="D21">
        <f ca="1">AVERAGE(OFFSET('Historical Trends'!$D$66,$B6,0,'Polling Correlations - xOTH'!D$4,1))</f>
        <v>6.8699999999999903</v>
      </c>
      <c r="E21">
        <f ca="1">AVERAGE(OFFSET('Historical Trends'!$D$66,$B6,0,'Polling Correlations - xOTH'!E$4,1))</f>
        <v>7.0850000000000009</v>
      </c>
      <c r="F21">
        <f ca="1">AVERAGE(OFFSET('Historical Trends'!$D$66,$B6,0,'Polling Correlations - xOTH'!F$4,1))</f>
        <v>6.0799999999999983</v>
      </c>
      <c r="G21">
        <f ca="1">AVERAGE(OFFSET('Historical Trends'!$D$66,$B6,0,'Polling Correlations - xOTH'!G$4,1))</f>
        <v>5.9274999999999949</v>
      </c>
      <c r="H21">
        <f ca="1">AVERAGE(OFFSET('Historical Trends'!$D$66,$B6,0,'Polling Correlations - xOTH'!H$4,1))</f>
        <v>5.9799999999999951</v>
      </c>
      <c r="I21">
        <f ca="1">AVERAGE(OFFSET('Historical Trends'!$D$66,$B6,0,'Polling Correlations - xOTH'!I$4,1))</f>
        <v>6.5516666666666623</v>
      </c>
      <c r="J21">
        <f ca="1">AVERAGE(OFFSET('Historical Trends'!$D$66,$B6,0,'Polling Correlations - xOTH'!J$4,1))</f>
        <v>6.1699999999999973</v>
      </c>
      <c r="K21" s="13">
        <f>(7+9+11+9+6.5)/5</f>
        <v>8.5</v>
      </c>
      <c r="L21">
        <f>(9+9.9+8+9+8)/5</f>
        <v>8.7799999999999994</v>
      </c>
      <c r="M21">
        <f>(10+7+9+9+9.9)/5</f>
        <v>8.98</v>
      </c>
      <c r="N21">
        <f>(10+12+8+7+9)/5</f>
        <v>9.1999999999999993</v>
      </c>
      <c r="O21">
        <f>(9+10.6+11+11+10)/5</f>
        <v>10.32</v>
      </c>
      <c r="P21">
        <f>(8.5+8+9+8+8)/5</f>
        <v>8.3000000000000007</v>
      </c>
      <c r="Q21" s="30">
        <f>K21-AVERAGE(AM$5:AM20,AM22:AM$30)</f>
        <v>5.5426666666666646</v>
      </c>
      <c r="R21" s="31">
        <f>L21-AVERAGE(AN$5:AN20,AN22:AN$30)</f>
        <v>6.8042028985507228</v>
      </c>
      <c r="S21" s="31">
        <f>M21-AVERAGE(AO$5:AO20,AO22:AO$30)</f>
        <v>7.3082608695652169</v>
      </c>
      <c r="T21" s="31">
        <f>N21-AVERAGE(AP$5:AP20,AP22:AP$30)</f>
        <v>7.2829333333333324</v>
      </c>
      <c r="U21" s="31">
        <f>O21-AVERAGE(AQ$5:AQ20,AQ22:AQ$30)</f>
        <v>9.1540666666666652</v>
      </c>
      <c r="V21" s="31">
        <f>P21-AVERAGE(AR$5:AR20,AR22:AR$30)</f>
        <v>7.4701333333333331</v>
      </c>
      <c r="W21" s="13">
        <f t="shared" ca="1" si="7"/>
        <v>6.2017555074347808</v>
      </c>
      <c r="X21" s="6">
        <f t="shared" ca="1" si="8"/>
        <v>6.8387948009768582</v>
      </c>
      <c r="Y21" s="6">
        <f t="shared" ca="1" si="9"/>
        <v>7.0955758914153098</v>
      </c>
      <c r="Z21" s="6">
        <f t="shared" ca="1" si="10"/>
        <v>7.038303356120629</v>
      </c>
      <c r="AA21" s="6">
        <f t="shared" ca="1" si="11"/>
        <v>8.0546159747580806</v>
      </c>
      <c r="AB21" s="2">
        <f t="shared" ca="1" si="12"/>
        <v>7.214738524161004</v>
      </c>
      <c r="AC21" s="2">
        <f>'Historical Trends'!D66</f>
        <v>8.3400000000000034</v>
      </c>
      <c r="AE21" s="13">
        <f t="shared" ca="1" si="17"/>
        <v>-2.8587701767870612</v>
      </c>
      <c r="AF21">
        <f t="shared" ca="1" si="18"/>
        <v>-1.4700000000000131</v>
      </c>
      <c r="AG21">
        <f t="shared" ca="1" si="19"/>
        <v>-1.2550000000000026</v>
      </c>
      <c r="AH21">
        <f t="shared" ca="1" si="20"/>
        <v>-2.2600000000000051</v>
      </c>
      <c r="AI21">
        <f t="shared" ca="1" si="21"/>
        <v>-2.4125000000000085</v>
      </c>
      <c r="AJ21">
        <f t="shared" ca="1" si="22"/>
        <v>-2.3600000000000083</v>
      </c>
      <c r="AK21">
        <f t="shared" ca="1" si="23"/>
        <v>-1.7883333333333411</v>
      </c>
      <c r="AL21">
        <f t="shared" ca="1" si="24"/>
        <v>-2.1700000000000061</v>
      </c>
      <c r="AM21" s="13">
        <f>K21-$AC21</f>
        <v>0.15999999999999659</v>
      </c>
      <c r="AN21">
        <f t="shared" si="36"/>
        <v>0.43999999999999595</v>
      </c>
      <c r="AO21">
        <f t="shared" si="37"/>
        <v>0.63999999999999702</v>
      </c>
      <c r="AP21">
        <f t="shared" si="31"/>
        <v>0.85999999999999588</v>
      </c>
      <c r="AQ21">
        <f t="shared" si="32"/>
        <v>1.9799999999999969</v>
      </c>
      <c r="AR21">
        <f t="shared" si="33"/>
        <v>-4.00000000000027E-2</v>
      </c>
      <c r="AS21" s="30">
        <f t="shared" si="14"/>
        <v>-2.7973333333333388</v>
      </c>
      <c r="AT21">
        <f t="shared" si="14"/>
        <v>-1.5357971014492806</v>
      </c>
      <c r="AU21">
        <f t="shared" si="14"/>
        <v>-1.0317391304347865</v>
      </c>
      <c r="AV21">
        <f t="shared" si="14"/>
        <v>-1.057066666666671</v>
      </c>
      <c r="AW21">
        <f t="shared" si="14"/>
        <v>0.81406666666666183</v>
      </c>
      <c r="AX21">
        <f t="shared" si="14"/>
        <v>-0.86986666666667034</v>
      </c>
      <c r="AY21" s="13">
        <f ca="1">W21-$AC21</f>
        <v>-2.1382444925652226</v>
      </c>
      <c r="AZ21" s="6">
        <f t="shared" ca="1" si="38"/>
        <v>-1.5012051990231452</v>
      </c>
      <c r="BA21" s="6">
        <f t="shared" ca="1" si="39"/>
        <v>-1.2444241085846937</v>
      </c>
      <c r="BB21" s="6">
        <f t="shared" ca="1" si="26"/>
        <v>-1.3016966438793744</v>
      </c>
      <c r="BC21" s="6">
        <f t="shared" ca="1" si="27"/>
        <v>-0.28538402524192286</v>
      </c>
      <c r="BD21" s="2">
        <f t="shared" ca="1" si="28"/>
        <v>-1.1252614758389994</v>
      </c>
      <c r="BE21" t="s">
        <v>195</v>
      </c>
      <c r="BG21">
        <f ca="1">INTERCEPT(BG8:BM8,BG6:BM6)</f>
        <v>1.4773202875445453</v>
      </c>
      <c r="BP21" t="s">
        <v>152</v>
      </c>
      <c r="BQ21" t="s">
        <v>154</v>
      </c>
      <c r="BR21" t="s">
        <v>153</v>
      </c>
      <c r="BS21" t="s">
        <v>156</v>
      </c>
      <c r="BU21" t="s">
        <v>154</v>
      </c>
      <c r="BV21" t="s">
        <v>155</v>
      </c>
    </row>
    <row r="22" spans="1:74" x14ac:dyDescent="0.25">
      <c r="A22" t="s">
        <v>93</v>
      </c>
      <c r="B22">
        <f>B21+1</f>
        <v>2</v>
      </c>
      <c r="C22" s="13">
        <f ca="1">'Historical Trends'!N67</f>
        <v>6.217671022290542</v>
      </c>
      <c r="D22">
        <f ca="1">AVERAGE(OFFSET('Historical Trends'!$D$66,$B7,0,'Polling Correlations - xOTH'!D$4,1))</f>
        <v>7.3000000000000114</v>
      </c>
      <c r="E22">
        <f ca="1">AVERAGE(OFFSET('Historical Trends'!$D$66,$B7,0,'Polling Correlations - xOTH'!E$4,1))</f>
        <v>5.6850000000000023</v>
      </c>
      <c r="F22">
        <f ca="1">AVERAGE(OFFSET('Historical Trends'!$D$66,$B7,0,'Polling Correlations - xOTH'!F$4,1))</f>
        <v>5.6133333333333297</v>
      </c>
      <c r="G22">
        <f ca="1">AVERAGE(OFFSET('Historical Trends'!$D$66,$B7,0,'Polling Correlations - xOTH'!G$4,1))</f>
        <v>5.7574999999999967</v>
      </c>
      <c r="H22">
        <f ca="1">AVERAGE(OFFSET('Historical Trends'!$D$66,$B7,0,'Polling Correlations - xOTH'!H$4,1))</f>
        <v>6.4879999999999969</v>
      </c>
      <c r="I22">
        <f ca="1">AVERAGE(OFFSET('Historical Trends'!$D$66,$B7,0,'Polling Correlations - xOTH'!I$4,1))</f>
        <v>6.0533333333333319</v>
      </c>
      <c r="J22">
        <f ca="1">AVERAGE(OFFSET('Historical Trends'!$D$66,$B7,0,'Polling Correlations - xOTH'!J$4,1))</f>
        <v>5.3085714285714278</v>
      </c>
      <c r="K22" s="13">
        <f>(6+7+9+7+8)/5</f>
        <v>7.4</v>
      </c>
      <c r="L22">
        <f>(7+10+7+6+5)/5</f>
        <v>7</v>
      </c>
      <c r="M22">
        <f>(8+8+7+10+7)/5</f>
        <v>8</v>
      </c>
      <c r="N22">
        <f>(9+12+8+8+7)/5</f>
        <v>8.8000000000000007</v>
      </c>
      <c r="O22">
        <f>(8+6+5+10+9)/5</f>
        <v>7.6</v>
      </c>
      <c r="P22">
        <f>(7+7+6+5+6)/5</f>
        <v>6.2</v>
      </c>
      <c r="Q22" s="30">
        <f>K22-AVERAGE(AM$5:AM21,AM23:AM$30)</f>
        <v>4.4611666666666654</v>
      </c>
      <c r="R22" s="31">
        <f>L22-AVERAGE(AN$5:AN21,AN23:AN$30)</f>
        <v>5.0107246376811592</v>
      </c>
      <c r="S22" s="31">
        <f>M22-AVERAGE(AO$5:AO21,AO23:AO$30)</f>
        <v>6.3495652173913033</v>
      </c>
      <c r="T22" s="31">
        <f>N22-AVERAGE(AP$5:AP21,AP23:AP$30)</f>
        <v>6.9257333333333344</v>
      </c>
      <c r="U22" s="31">
        <f>O22-AVERAGE(AQ$5:AQ21,AQ23:AQ$30)</f>
        <v>6.3840666666666657</v>
      </c>
      <c r="V22" s="31">
        <f>P22-AVERAGE(AR$5:AR21,AR23:AR$30)</f>
        <v>5.3449333333333326</v>
      </c>
      <c r="W22" s="13">
        <f t="shared" ca="1" si="7"/>
        <v>5.8707925110668953</v>
      </c>
      <c r="X22" s="6">
        <f t="shared" ca="1" si="8"/>
        <v>6.2142790225342353</v>
      </c>
      <c r="Y22" s="6">
        <f t="shared" ca="1" si="9"/>
        <v>6.8108046640536983</v>
      </c>
      <c r="Z22" s="6">
        <f t="shared" ca="1" si="10"/>
        <v>7.1474564027670002</v>
      </c>
      <c r="AA22" s="6">
        <f t="shared" ca="1" si="11"/>
        <v>6.824957272782429</v>
      </c>
      <c r="AB22" s="2">
        <f t="shared" ca="1" si="12"/>
        <v>6.1769382404414941</v>
      </c>
      <c r="AC22" s="2">
        <f>'Historical Trends'!D67</f>
        <v>6.8699999999999903</v>
      </c>
      <c r="AE22" s="13">
        <f t="shared" ca="1" si="17"/>
        <v>-0.65232897770944831</v>
      </c>
      <c r="AF22">
        <f t="shared" ca="1" si="18"/>
        <v>0.43000000000002103</v>
      </c>
      <c r="AG22">
        <f t="shared" ca="1" si="19"/>
        <v>-1.1849999999999881</v>
      </c>
      <c r="AH22">
        <f t="shared" ca="1" si="20"/>
        <v>-1.2566666666666606</v>
      </c>
      <c r="AI22">
        <f t="shared" ca="1" si="21"/>
        <v>-1.1124999999999936</v>
      </c>
      <c r="AJ22">
        <f t="shared" ca="1" si="22"/>
        <v>-0.38199999999999346</v>
      </c>
      <c r="AK22">
        <f t="shared" ca="1" si="23"/>
        <v>-0.81666666666665844</v>
      </c>
      <c r="AL22">
        <f t="shared" ca="1" si="24"/>
        <v>-1.5614285714285625</v>
      </c>
      <c r="AM22" s="13">
        <f>K22-$AC22</f>
        <v>0.53000000000001002</v>
      </c>
      <c r="AN22">
        <f t="shared" si="36"/>
        <v>0.13000000000000966</v>
      </c>
      <c r="AO22">
        <f t="shared" si="37"/>
        <v>1.1300000000000097</v>
      </c>
      <c r="AP22">
        <f t="shared" si="31"/>
        <v>1.9300000000000104</v>
      </c>
      <c r="AQ22">
        <f t="shared" si="32"/>
        <v>0.73000000000000931</v>
      </c>
      <c r="AR22">
        <f t="shared" si="33"/>
        <v>-0.66999999999999016</v>
      </c>
      <c r="AS22" s="30">
        <f t="shared" si="14"/>
        <v>-2.4088333333333249</v>
      </c>
      <c r="AT22">
        <f t="shared" si="14"/>
        <v>-1.8592753623188312</v>
      </c>
      <c r="AU22">
        <f t="shared" si="14"/>
        <v>-0.52043478260868703</v>
      </c>
      <c r="AV22">
        <f t="shared" si="14"/>
        <v>5.5733333333344071E-2</v>
      </c>
      <c r="AW22">
        <f t="shared" si="14"/>
        <v>-0.48593333333332467</v>
      </c>
      <c r="AX22">
        <f t="shared" si="14"/>
        <v>-1.5250666666666577</v>
      </c>
      <c r="AY22" s="13">
        <f ca="1">W22-$AC22</f>
        <v>-0.99920748893309508</v>
      </c>
      <c r="AZ22" s="6">
        <f t="shared" ca="1" si="38"/>
        <v>-0.65572097746575508</v>
      </c>
      <c r="BA22" s="6">
        <f t="shared" ca="1" si="39"/>
        <v>-5.9195335946292005E-2</v>
      </c>
      <c r="BB22" s="6">
        <f t="shared" ca="1" si="26"/>
        <v>0.27745640276700989</v>
      </c>
      <c r="BC22" s="6">
        <f t="shared" ca="1" si="27"/>
        <v>-4.5042727217561307E-2</v>
      </c>
      <c r="BD22" s="2">
        <f t="shared" ca="1" si="28"/>
        <v>-0.69306175955849625</v>
      </c>
      <c r="BP22">
        <v>1</v>
      </c>
      <c r="BQ22">
        <f>LN(BP22)</f>
        <v>0</v>
      </c>
      <c r="BR22">
        <f>MAX(0,(0.94+1/(8.3*0.97))-1/((8.3-MIN(8.2,BQ22)) * 0.97))</f>
        <v>0.94</v>
      </c>
      <c r="BS22">
        <f>1-(BR22/0.94)^10</f>
        <v>0</v>
      </c>
      <c r="BU22">
        <f>0</f>
        <v>0</v>
      </c>
      <c r="BV22">
        <f t="shared" ref="BV22:BV53" si="40">MAX(0,($BG$16+1/($BG$17*$BG$18))-1/((10-BU22) * $BG$18))</f>
        <v>0.53797551208869909</v>
      </c>
    </row>
    <row r="23" spans="1:74" x14ac:dyDescent="0.25">
      <c r="A23" t="s">
        <v>94</v>
      </c>
      <c r="B23">
        <f>B22+1</f>
        <v>3</v>
      </c>
      <c r="C23" s="13">
        <f ca="1">'Historical Trends'!N68</f>
        <v>6.8603906250000364</v>
      </c>
      <c r="D23">
        <f ca="1">AVERAGE(OFFSET('Historical Trends'!$D$66,$B8,0,'Polling Correlations - xOTH'!D$4,1))</f>
        <v>4.0699999999999932</v>
      </c>
      <c r="E23">
        <f ca="1">AVERAGE(OFFSET('Historical Trends'!$D$66,$B8,0,'Polling Correlations - xOTH'!E$4,1))</f>
        <v>4.7699999999999889</v>
      </c>
      <c r="F23">
        <f ca="1">AVERAGE(OFFSET('Historical Trends'!$D$66,$B8,0,'Polling Correlations - xOTH'!F$4,1))</f>
        <v>5.2433333333333252</v>
      </c>
      <c r="G23">
        <f ca="1">AVERAGE(OFFSET('Historical Trends'!$D$66,$B8,0,'Polling Correlations - xOTH'!G$4,1))</f>
        <v>6.284999999999993</v>
      </c>
      <c r="H23">
        <f ca="1">AVERAGE(OFFSET('Historical Trends'!$D$66,$B8,0,'Polling Correlations - xOTH'!H$4,1))</f>
        <v>5.8039999999999967</v>
      </c>
      <c r="I23">
        <f ca="1">AVERAGE(OFFSET('Historical Trends'!$D$66,$B8,0,'Polling Correlations - xOTH'!I$4,1))</f>
        <v>4.9766666666666639</v>
      </c>
      <c r="J23">
        <f ca="1">AVERAGE(OFFSET('Historical Trends'!$D$66,$B8,0,'Polling Correlations - xOTH'!J$4,1))</f>
        <v>4.4157142857142828</v>
      </c>
      <c r="L23">
        <f>(7+11+11)/3</f>
        <v>9.6666666666666661</v>
      </c>
      <c r="M23">
        <f>(7+11+11)/3</f>
        <v>9.6666666666666661</v>
      </c>
      <c r="N23">
        <f>(5+8+14)/3</f>
        <v>9</v>
      </c>
      <c r="O23">
        <f>(5+11+5)/3</f>
        <v>7</v>
      </c>
      <c r="P23">
        <f>(9+7+7)/3</f>
        <v>7.666666666666667</v>
      </c>
      <c r="Q23" s="30"/>
      <c r="R23" s="31">
        <f>L23-AVERAGE(AN$5:AN22,AN24:AN$30)</f>
        <v>7.774637681159418</v>
      </c>
      <c r="S23" s="31">
        <f>M23-AVERAGE(AO$5:AO22,AO24:AO$30)</f>
        <v>8.0699999999999967</v>
      </c>
      <c r="T23" s="31">
        <f>N23-AVERAGE(AP$5:AP22,AP24:AP$30)</f>
        <v>7.1165333333333329</v>
      </c>
      <c r="U23" s="31">
        <f>O23-AVERAGE(AQ$5:AQ22,AQ24:AQ$30)</f>
        <v>5.7428666666666643</v>
      </c>
      <c r="V23" s="31">
        <f>P23-AVERAGE(AR$5:AR22,AR24:AR$30)</f>
        <v>6.853066666666666</v>
      </c>
      <c r="W23" s="13">
        <f t="shared" ca="1" si="7"/>
        <v>2.0209630200348379</v>
      </c>
      <c r="X23" s="6">
        <f t="shared" ca="1" si="8"/>
        <v>5.8269764260559613</v>
      </c>
      <c r="Y23" s="6">
        <f t="shared" ca="1" si="9"/>
        <v>6.1288275803778669</v>
      </c>
      <c r="Z23" s="6">
        <f t="shared" ca="1" si="10"/>
        <v>5.3117059683565939</v>
      </c>
      <c r="AA23" s="6">
        <f t="shared" ca="1" si="11"/>
        <v>4.9376211626807303</v>
      </c>
      <c r="AB23" s="2">
        <f t="shared" ca="1" si="12"/>
        <v>5.6686952265746946</v>
      </c>
      <c r="AC23" s="2">
        <f>'Historical Trends'!D68</f>
        <v>7.3000000000000114</v>
      </c>
      <c r="AE23" s="13">
        <f t="shared" ca="1" si="17"/>
        <v>-0.43960937499997499</v>
      </c>
      <c r="AF23">
        <f t="shared" ca="1" si="18"/>
        <v>-3.2300000000000182</v>
      </c>
      <c r="AG23">
        <f t="shared" ca="1" si="19"/>
        <v>-2.5300000000000225</v>
      </c>
      <c r="AH23">
        <f t="shared" ca="1" si="20"/>
        <v>-2.0566666666666862</v>
      </c>
      <c r="AI23">
        <f t="shared" ca="1" si="21"/>
        <v>-1.0150000000000183</v>
      </c>
      <c r="AJ23">
        <f t="shared" ca="1" si="22"/>
        <v>-1.4960000000000147</v>
      </c>
      <c r="AK23">
        <f t="shared" ca="1" si="23"/>
        <v>-2.3233333333333475</v>
      </c>
      <c r="AL23">
        <f t="shared" ca="1" si="24"/>
        <v>-2.8842857142857286</v>
      </c>
      <c r="AN23">
        <f t="shared" si="36"/>
        <v>2.3666666666666547</v>
      </c>
      <c r="AO23">
        <f t="shared" si="37"/>
        <v>2.3666666666666547</v>
      </c>
      <c r="AP23">
        <f t="shared" si="31"/>
        <v>1.6999999999999886</v>
      </c>
      <c r="AQ23">
        <f t="shared" si="32"/>
        <v>-0.30000000000001137</v>
      </c>
      <c r="AR23">
        <f t="shared" si="33"/>
        <v>0.36666666666665559</v>
      </c>
      <c r="AS23" s="30"/>
      <c r="AT23">
        <f t="shared" si="14"/>
        <v>0.47463768115940663</v>
      </c>
      <c r="AU23">
        <f t="shared" si="14"/>
        <v>0.76999999999998536</v>
      </c>
      <c r="AV23">
        <f t="shared" si="14"/>
        <v>-0.18346666666667844</v>
      </c>
      <c r="AW23">
        <f t="shared" si="14"/>
        <v>-1.557133333333347</v>
      </c>
      <c r="AX23">
        <f t="shared" si="14"/>
        <v>-0.4469333333333454</v>
      </c>
      <c r="AZ23" s="6">
        <f t="shared" ca="1" si="38"/>
        <v>-1.47302357394405</v>
      </c>
      <c r="BA23" s="6">
        <f t="shared" ca="1" si="39"/>
        <v>-1.1711724196221445</v>
      </c>
      <c r="BB23" s="6">
        <f t="shared" ca="1" si="26"/>
        <v>-1.9882940316434174</v>
      </c>
      <c r="BC23" s="6">
        <f t="shared" ca="1" si="27"/>
        <v>-2.3623788373192811</v>
      </c>
      <c r="BD23" s="2">
        <f t="shared" ca="1" si="28"/>
        <v>-1.6313047734253168</v>
      </c>
      <c r="BP23">
        <f>BP22+1</f>
        <v>2</v>
      </c>
      <c r="BQ23">
        <f t="shared" ref="BQ23:BQ86" si="41">LN(BP23)</f>
        <v>0.69314718055994529</v>
      </c>
      <c r="BR23">
        <f t="shared" ref="BR23:BR86" si="42">MAX(0,(0.94+1/(8.3*0.97))-1/((8.3-MIN(8.2,BQ23)) * 0.97))</f>
        <v>0.92868197572765254</v>
      </c>
      <c r="BS23">
        <f t="shared" ref="BS23:BS86" si="43">1-(BR23/0.94)^10</f>
        <v>0.1140858660754307</v>
      </c>
      <c r="BU23">
        <f>BU22+0.1</f>
        <v>0.1</v>
      </c>
      <c r="BV23">
        <f t="shared" si="40"/>
        <v>0.53760244086531173</v>
      </c>
    </row>
    <row r="24" spans="1:74" x14ac:dyDescent="0.25">
      <c r="A24" t="s">
        <v>106</v>
      </c>
      <c r="B24">
        <v>0</v>
      </c>
      <c r="C24" s="13">
        <f ca="1">'Historical Trends'!N83</f>
        <v>7.3193720379146896</v>
      </c>
      <c r="D24">
        <f ca="1">AVERAGE(OFFSET('Historical Trends'!$D$84,$B5,0,'Polling Correlations - xOTH'!D$4,1))</f>
        <v>5.3299999999999983</v>
      </c>
      <c r="E24">
        <f ca="1">AVERAGE(OFFSET('Historical Trends'!$D$84,$B5,0,'Polling Correlations - xOTH'!E$4,1))</f>
        <v>7.1049999999999969</v>
      </c>
      <c r="F24">
        <f ca="1">AVERAGE(OFFSET('Historical Trends'!$D$84,$B5,0,'Polling Correlations - xOTH'!F$4,1))</f>
        <v>7.9299999999999971</v>
      </c>
      <c r="G24">
        <f ca="1">AVERAGE(OFFSET('Historical Trends'!$D$84,$B5,0,'Polling Correlations - xOTH'!G$4,1))</f>
        <v>8.16</v>
      </c>
      <c r="H24">
        <f ca="1">AVERAGE(OFFSET('Historical Trends'!$D$84,$B5,0,'Polling Correlations - xOTH'!H$4,1))</f>
        <v>8.2640000000000011</v>
      </c>
      <c r="I24">
        <f ca="1">AVERAGE(OFFSET('Historical Trends'!$D$84,$B5,0,'Polling Correlations - xOTH'!I$4,1))</f>
        <v>8.0250000000000039</v>
      </c>
      <c r="J24">
        <f ca="1">AVERAGE(OFFSET('Historical Trends'!$D$84,$B5,0,'Polling Correlations - xOTH'!J$4,1))</f>
        <v>8.0485714285714316</v>
      </c>
      <c r="K24" s="13">
        <f>(11+10+13+16+10)/5</f>
        <v>12</v>
      </c>
      <c r="L24">
        <f>(10+10+9.5+12.5+6)/5</f>
        <v>9.6</v>
      </c>
      <c r="M24">
        <f>(12.2+12+9+7+7)/5</f>
        <v>9.4400000000000013</v>
      </c>
      <c r="N24">
        <f>(13+13.6+12.2+12+9)/5</f>
        <v>11.959999999999999</v>
      </c>
      <c r="O24">
        <f>(5+4.5+6+6)/4</f>
        <v>5.375</v>
      </c>
      <c r="P24">
        <f>(4.9+7+7+4.2+3.4)/5</f>
        <v>5.2999999999999989</v>
      </c>
      <c r="Q24" s="30">
        <f>K24-AVERAGE(AM$5:AM23,AM25:AM$30)</f>
        <v>9.2681666666666658</v>
      </c>
      <c r="R24" s="31">
        <f>L24-AVERAGE(AN$5:AN23,AN25:AN$30)</f>
        <v>7.7037681159420277</v>
      </c>
      <c r="S24" s="31">
        <f>M24-AVERAGE(AO$5:AO23,AO25:AO$30)</f>
        <v>7.8321739130434791</v>
      </c>
      <c r="T24" s="31">
        <f>N24-AVERAGE(AP$5:AP23,AP25:AP$30)</f>
        <v>10.193733333333332</v>
      </c>
      <c r="U24" s="31">
        <f>O24-AVERAGE(AQ$5:AQ23,AQ25:AQ$30)</f>
        <v>4.0516666666666659</v>
      </c>
      <c r="V24" s="31">
        <f>P24-AVERAGE(AR$5:AR23,AR25:AR$30)</f>
        <v>4.3905333333333321</v>
      </c>
      <c r="W24" s="13">
        <f t="shared" ca="1" si="7"/>
        <v>7.3126656347091199</v>
      </c>
      <c r="X24" s="6">
        <f t="shared" ca="1" si="8"/>
        <v>6.455792851982264</v>
      </c>
      <c r="Y24" s="6">
        <f t="shared" ca="1" si="9"/>
        <v>6.6178861657689829</v>
      </c>
      <c r="Z24" s="6">
        <f t="shared" ca="1" si="10"/>
        <v>7.3123602920789512</v>
      </c>
      <c r="AA24" s="6">
        <f t="shared" ca="1" si="11"/>
        <v>4.6670009247836797</v>
      </c>
      <c r="AB24" s="2">
        <f t="shared" ca="1" si="12"/>
        <v>4.7903360050569948</v>
      </c>
      <c r="AC24" s="2">
        <f>'Historical Trends'!D83</f>
        <v>7.3299999999999841</v>
      </c>
      <c r="AE24" s="13">
        <f t="shared" ca="1" si="17"/>
        <v>-1.0627962085294484E-2</v>
      </c>
      <c r="AF24">
        <f t="shared" ca="1" si="18"/>
        <v>-1.9999999999999858</v>
      </c>
      <c r="AG24">
        <f t="shared" ca="1" si="19"/>
        <v>-0.22499999999998721</v>
      </c>
      <c r="AH24">
        <f t="shared" ca="1" si="20"/>
        <v>0.60000000000001297</v>
      </c>
      <c r="AI24">
        <f t="shared" ca="1" si="21"/>
        <v>0.83000000000001606</v>
      </c>
      <c r="AJ24">
        <f t="shared" ca="1" si="22"/>
        <v>0.93400000000001704</v>
      </c>
      <c r="AK24">
        <f t="shared" ca="1" si="23"/>
        <v>0.69500000000001982</v>
      </c>
      <c r="AL24">
        <f t="shared" ca="1" si="24"/>
        <v>0.71857142857144751</v>
      </c>
      <c r="AM24" s="13">
        <f t="shared" ref="AM24:AM29" si="44">K24-$AC24</f>
        <v>4.6700000000000159</v>
      </c>
      <c r="AN24">
        <f t="shared" si="36"/>
        <v>2.2700000000000156</v>
      </c>
      <c r="AO24">
        <f t="shared" si="37"/>
        <v>2.1100000000000172</v>
      </c>
      <c r="AP24">
        <f t="shared" si="31"/>
        <v>4.630000000000015</v>
      </c>
      <c r="AQ24">
        <f t="shared" si="32"/>
        <v>-1.9549999999999841</v>
      </c>
      <c r="AR24">
        <f t="shared" si="33"/>
        <v>-2.0299999999999851</v>
      </c>
      <c r="AS24" s="30">
        <f t="shared" si="14"/>
        <v>1.9381666666666817</v>
      </c>
      <c r="AT24">
        <f t="shared" si="14"/>
        <v>0.37376811594204362</v>
      </c>
      <c r="AU24">
        <f t="shared" si="14"/>
        <v>0.50217391304349501</v>
      </c>
      <c r="AV24">
        <f t="shared" si="14"/>
        <v>2.8637333333333483</v>
      </c>
      <c r="AW24">
        <f t="shared" si="14"/>
        <v>-3.2783333333333182</v>
      </c>
      <c r="AX24">
        <f t="shared" si="14"/>
        <v>-2.939466666666652</v>
      </c>
      <c r="AY24" s="13">
        <f t="shared" ref="AY24:AY29" ca="1" si="45">W24-$AC24</f>
        <v>-1.7334365290864184E-2</v>
      </c>
      <c r="AZ24" s="6">
        <f t="shared" ca="1" si="38"/>
        <v>-0.87420714801772004</v>
      </c>
      <c r="BA24" s="6">
        <f t="shared" ca="1" si="39"/>
        <v>-0.71211383423100116</v>
      </c>
      <c r="BB24" s="6">
        <f t="shared" ca="1" si="26"/>
        <v>-1.7639707921032866E-2</v>
      </c>
      <c r="BC24" s="6">
        <f t="shared" ca="1" si="27"/>
        <v>-2.6629990752163044</v>
      </c>
      <c r="BD24" s="2">
        <f t="shared" ca="1" si="28"/>
        <v>-2.5396639949429893</v>
      </c>
      <c r="BP24">
        <f t="shared" ref="BP24:BP31" si="46">BP23+1</f>
        <v>3</v>
      </c>
      <c r="BQ24">
        <f t="shared" si="41"/>
        <v>1.0986122886681098</v>
      </c>
      <c r="BR24">
        <f t="shared" si="42"/>
        <v>0.92105134307880865</v>
      </c>
      <c r="BS24">
        <f t="shared" si="43"/>
        <v>0.18424477193938826</v>
      </c>
      <c r="BU24">
        <f t="shared" ref="BU24:BU87" si="47">BU23+0.1</f>
        <v>0.2</v>
      </c>
      <c r="BV24">
        <f t="shared" si="40"/>
        <v>0.53722175594348776</v>
      </c>
    </row>
    <row r="25" spans="1:74" x14ac:dyDescent="0.25">
      <c r="A25" t="s">
        <v>107</v>
      </c>
      <c r="B25">
        <f>B24+1</f>
        <v>1</v>
      </c>
      <c r="C25" s="13">
        <f ca="1">'Historical Trends'!N84</f>
        <v>9.7540326633165648</v>
      </c>
      <c r="D25">
        <f ca="1">AVERAGE(OFFSET('Historical Trends'!$D$84,$B6,0,'Polling Correlations - xOTH'!D$4,1))</f>
        <v>8.8799999999999955</v>
      </c>
      <c r="E25">
        <f ca="1">AVERAGE(OFFSET('Historical Trends'!$D$84,$B6,0,'Polling Correlations - xOTH'!E$4,1))</f>
        <v>9.2299999999999969</v>
      </c>
      <c r="F25">
        <f ca="1">AVERAGE(OFFSET('Historical Trends'!$D$84,$B6,0,'Polling Correlations - xOTH'!F$4,1))</f>
        <v>9.1033333333333335</v>
      </c>
      <c r="G25">
        <f ca="1">AVERAGE(OFFSET('Historical Trends'!$D$84,$B6,0,'Polling Correlations - xOTH'!G$4,1))</f>
        <v>8.9975000000000023</v>
      </c>
      <c r="H25">
        <f ca="1">AVERAGE(OFFSET('Historical Trends'!$D$84,$B6,0,'Polling Correlations - xOTH'!H$4,1))</f>
        <v>8.5640000000000036</v>
      </c>
      <c r="I25">
        <f ca="1">AVERAGE(OFFSET('Historical Trends'!$D$84,$B6,0,'Polling Correlations - xOTH'!I$4,1))</f>
        <v>8.5016666666666705</v>
      </c>
      <c r="J25">
        <f ca="1">AVERAGE(OFFSET('Historical Trends'!$D$84,$B6,0,'Polling Correlations - xOTH'!J$4,1))</f>
        <v>7.4742857142857178</v>
      </c>
      <c r="K25" s="13">
        <f>(9+9+9+8+7)/5</f>
        <v>8.4</v>
      </c>
      <c r="L25">
        <f>(9+6+9+10+9)/5</f>
        <v>8.6</v>
      </c>
      <c r="M25">
        <f>(10+8+9+6+9)/5</f>
        <v>8.4</v>
      </c>
      <c r="N25">
        <f>(9+10+8+9+6)/5</f>
        <v>8.4</v>
      </c>
      <c r="O25">
        <f>(6+5+9+10+8)/5</f>
        <v>7.6</v>
      </c>
      <c r="P25">
        <f>(6+6+6+5+8)/5</f>
        <v>6.2</v>
      </c>
      <c r="Q25" s="30">
        <f>K25-AVERAGE(AM$5:AM24,AM26:AM$30)</f>
        <v>5.5881666666666643</v>
      </c>
      <c r="R25" s="31">
        <f>L25-AVERAGE(AN$5:AN24,AN26:AN$30)</f>
        <v>6.7472463768115922</v>
      </c>
      <c r="S25" s="31">
        <f>M25-AVERAGE(AO$5:AO24,AO26:AO$30)</f>
        <v>6.83391304347826</v>
      </c>
      <c r="T25" s="31">
        <f>N25-AVERAGE(AP$5:AP24,AP26:AP$30)</f>
        <v>6.5713333333333335</v>
      </c>
      <c r="U25" s="31">
        <f>O25-AVERAGE(AQ$5:AQ24,AQ26:AQ$30)</f>
        <v>6.4456666666666651</v>
      </c>
      <c r="V25" s="31">
        <f>P25-AVERAGE(AR$5:AR24,AR26:AR$30)</f>
        <v>5.406533333333333</v>
      </c>
      <c r="W25" s="13">
        <f t="shared" ca="1" si="7"/>
        <v>7.2227301641567596</v>
      </c>
      <c r="X25" s="6">
        <f t="shared" ca="1" si="8"/>
        <v>7.8685116545716429</v>
      </c>
      <c r="Y25" s="6">
        <f t="shared" ca="1" si="9"/>
        <v>7.8268649355154034</v>
      </c>
      <c r="Z25" s="6">
        <f t="shared" ca="1" si="10"/>
        <v>7.9390337064162741</v>
      </c>
      <c r="AA25" s="6">
        <f t="shared" ca="1" si="11"/>
        <v>7.6174492186949703</v>
      </c>
      <c r="AB25" s="2">
        <f t="shared" ca="1" si="12"/>
        <v>6.8847137762900648</v>
      </c>
      <c r="AC25" s="2">
        <f>'Historical Trends'!D84</f>
        <v>5.3299999999999983</v>
      </c>
      <c r="AE25" s="13">
        <f t="shared" ca="1" si="17"/>
        <v>4.4240326633165665</v>
      </c>
      <c r="AF25">
        <f t="shared" ca="1" si="18"/>
        <v>3.5499999999999972</v>
      </c>
      <c r="AG25">
        <f t="shared" ca="1" si="19"/>
        <v>3.8999999999999986</v>
      </c>
      <c r="AH25">
        <f t="shared" ca="1" si="20"/>
        <v>3.7733333333333352</v>
      </c>
      <c r="AI25">
        <f t="shared" ca="1" si="21"/>
        <v>3.667500000000004</v>
      </c>
      <c r="AJ25">
        <f t="shared" ca="1" si="22"/>
        <v>3.2340000000000053</v>
      </c>
      <c r="AK25">
        <f t="shared" ca="1" si="23"/>
        <v>3.1716666666666722</v>
      </c>
      <c r="AL25">
        <f t="shared" ca="1" si="24"/>
        <v>2.1442857142857195</v>
      </c>
      <c r="AM25" s="13">
        <f t="shared" si="44"/>
        <v>3.0700000000000021</v>
      </c>
      <c r="AN25">
        <f t="shared" si="36"/>
        <v>3.2700000000000014</v>
      </c>
      <c r="AO25">
        <f t="shared" si="37"/>
        <v>3.0700000000000021</v>
      </c>
      <c r="AP25">
        <f t="shared" si="31"/>
        <v>3.0700000000000021</v>
      </c>
      <c r="AQ25">
        <f t="shared" si="32"/>
        <v>2.2700000000000014</v>
      </c>
      <c r="AR25">
        <f t="shared" si="33"/>
        <v>0.87000000000000188</v>
      </c>
      <c r="AS25" s="30">
        <f t="shared" si="14"/>
        <v>0.25816666666666599</v>
      </c>
      <c r="AT25">
        <f t="shared" si="14"/>
        <v>1.4172463768115939</v>
      </c>
      <c r="AU25">
        <f t="shared" si="14"/>
        <v>1.5039130434782617</v>
      </c>
      <c r="AV25">
        <f t="shared" si="14"/>
        <v>1.2413333333333352</v>
      </c>
      <c r="AW25">
        <f t="shared" si="14"/>
        <v>1.1156666666666668</v>
      </c>
      <c r="AX25">
        <f t="shared" si="14"/>
        <v>7.6533333333334674E-2</v>
      </c>
      <c r="AY25" s="13">
        <f t="shared" ca="1" si="45"/>
        <v>1.8927301641567613</v>
      </c>
      <c r="AZ25" s="6">
        <f t="shared" ca="1" si="38"/>
        <v>2.5385116545716446</v>
      </c>
      <c r="BA25" s="6">
        <f t="shared" ca="1" si="39"/>
        <v>2.4968649355154051</v>
      </c>
      <c r="BB25" s="6">
        <f t="shared" ca="1" si="26"/>
        <v>2.6090337064162759</v>
      </c>
      <c r="BC25" s="6">
        <f t="shared" ca="1" si="27"/>
        <v>2.287449218694972</v>
      </c>
      <c r="BD25" s="2">
        <f t="shared" ca="1" si="28"/>
        <v>1.5547137762900665</v>
      </c>
      <c r="BP25">
        <f t="shared" si="46"/>
        <v>4</v>
      </c>
      <c r="BQ25">
        <f t="shared" si="41"/>
        <v>1.3862943611198906</v>
      </c>
      <c r="BR25">
        <f t="shared" si="42"/>
        <v>0.91509452980976436</v>
      </c>
      <c r="BS25">
        <f t="shared" si="43"/>
        <v>0.23549372110487321</v>
      </c>
      <c r="BU25">
        <f t="shared" si="47"/>
        <v>0.30000000000000004</v>
      </c>
      <c r="BV25">
        <f t="shared" si="40"/>
        <v>0.53683322184801796</v>
      </c>
    </row>
    <row r="26" spans="1:74" x14ac:dyDescent="0.25">
      <c r="A26" t="s">
        <v>108</v>
      </c>
      <c r="B26">
        <f>B25+1</f>
        <v>2</v>
      </c>
      <c r="C26" s="13">
        <f ca="1">'Historical Trends'!N85</f>
        <v>11.421666666666624</v>
      </c>
      <c r="D26">
        <f ca="1">AVERAGE(OFFSET('Historical Trends'!$D$84,$B7,0,'Polling Correlations - xOTH'!D$4,1))</f>
        <v>9.5799999999999983</v>
      </c>
      <c r="E26">
        <f ca="1">AVERAGE(OFFSET('Historical Trends'!$D$84,$B7,0,'Polling Correlations - xOTH'!E$4,1))</f>
        <v>9.2150000000000034</v>
      </c>
      <c r="F26">
        <f ca="1">AVERAGE(OFFSET('Historical Trends'!$D$84,$B7,0,'Polling Correlations - xOTH'!F$4,1))</f>
        <v>9.0366666666666706</v>
      </c>
      <c r="G26">
        <f ca="1">AVERAGE(OFFSET('Historical Trends'!$D$84,$B7,0,'Polling Correlations - xOTH'!G$4,1))</f>
        <v>8.4850000000000065</v>
      </c>
      <c r="H26">
        <f ca="1">AVERAGE(OFFSET('Historical Trends'!$D$84,$B7,0,'Polling Correlations - xOTH'!H$4,1))</f>
        <v>8.4260000000000055</v>
      </c>
      <c r="I26">
        <f ca="1">AVERAGE(OFFSET('Historical Trends'!$D$84,$B7,0,'Polling Correlations - xOTH'!I$4,1))</f>
        <v>7.2400000000000047</v>
      </c>
      <c r="J26">
        <f ca="1">AVERAGE(OFFSET('Historical Trends'!$D$84,$B7,0,'Polling Correlations - xOTH'!J$4,1))</f>
        <v>6.358571428571433</v>
      </c>
      <c r="K26" s="13">
        <f>(12+14+11)/3</f>
        <v>12.333333333333334</v>
      </c>
      <c r="L26">
        <f>(8+7+7)/3</f>
        <v>7.333333333333333</v>
      </c>
      <c r="M26">
        <f>(8+8+7)/3</f>
        <v>7.666666666666667</v>
      </c>
      <c r="N26">
        <f>(8+8+7)/3</f>
        <v>7.666666666666667</v>
      </c>
      <c r="O26">
        <f>(8+8+7)/3</f>
        <v>7.666666666666667</v>
      </c>
      <c r="P26">
        <f>(10+6+6)/3</f>
        <v>7.333333333333333</v>
      </c>
      <c r="Q26" s="30">
        <f>K26-AVERAGE(AM$5:AM25,AM27:AM$30)</f>
        <v>9.5406666666666649</v>
      </c>
      <c r="R26" s="31">
        <f>L26-AVERAGE(AN$5:AN25,AN27:AN$30)</f>
        <v>5.2711594202898535</v>
      </c>
      <c r="S26" s="31">
        <f>M26-AVERAGE(AO$5:AO25,AO27:AO$30)</f>
        <v>5.9143478260869555</v>
      </c>
      <c r="T26" s="31">
        <f>N26-AVERAGE(AP$5:AP25,AP27:AP$30)</f>
        <v>5.6666666666666661</v>
      </c>
      <c r="U26" s="31">
        <f>O26-AVERAGE(AQ$5:AQ25,AQ27:AQ$30)</f>
        <v>6.3729999999999993</v>
      </c>
      <c r="V26" s="31">
        <f>P26-AVERAGE(AR$5:AR25,AR27:AR$30)</f>
        <v>6.4431999999999992</v>
      </c>
      <c r="W26" s="13">
        <f t="shared" ca="1" si="7"/>
        <v>9.5601976770158963</v>
      </c>
      <c r="X26" s="6">
        <f t="shared" ca="1" si="8"/>
        <v>7.5364718674958944</v>
      </c>
      <c r="Y26" s="6">
        <f t="shared" ca="1" si="9"/>
        <v>7.6932635510689291</v>
      </c>
      <c r="Z26" s="6">
        <f t="shared" ca="1" si="10"/>
        <v>7.9850037125797115</v>
      </c>
      <c r="AA26" s="6">
        <f t="shared" ca="1" si="11"/>
        <v>7.9167107946137651</v>
      </c>
      <c r="AB26" s="2">
        <f t="shared" ca="1" si="12"/>
        <v>7.7781074162604149</v>
      </c>
      <c r="AC26" s="2">
        <f>'Historical Trends'!D85</f>
        <v>8.8799999999999955</v>
      </c>
      <c r="AE26" s="13">
        <f t="shared" ca="1" si="17"/>
        <v>2.5416666666666288</v>
      </c>
      <c r="AF26">
        <f t="shared" ca="1" si="18"/>
        <v>0.70000000000000284</v>
      </c>
      <c r="AG26">
        <f t="shared" ca="1" si="19"/>
        <v>0.33500000000000796</v>
      </c>
      <c r="AH26">
        <f t="shared" ca="1" si="20"/>
        <v>0.15666666666667517</v>
      </c>
      <c r="AI26">
        <f t="shared" ca="1" si="21"/>
        <v>-0.39499999999998892</v>
      </c>
      <c r="AJ26">
        <f t="shared" ca="1" si="22"/>
        <v>-0.45399999999998997</v>
      </c>
      <c r="AK26">
        <f t="shared" ca="1" si="23"/>
        <v>-1.6399999999999908</v>
      </c>
      <c r="AL26">
        <f t="shared" ca="1" si="24"/>
        <v>-2.5214285714285625</v>
      </c>
      <c r="AM26" s="13">
        <f t="shared" si="44"/>
        <v>3.4533333333333385</v>
      </c>
      <c r="AN26">
        <f t="shared" si="36"/>
        <v>-1.5466666666666624</v>
      </c>
      <c r="AO26">
        <f t="shared" si="37"/>
        <v>-1.2133333333333285</v>
      </c>
      <c r="AP26">
        <f t="shared" si="31"/>
        <v>-1.2133333333333285</v>
      </c>
      <c r="AQ26">
        <f t="shared" si="32"/>
        <v>-1.2133333333333285</v>
      </c>
      <c r="AR26">
        <f t="shared" si="33"/>
        <v>-1.5466666666666624</v>
      </c>
      <c r="AS26" s="30">
        <f t="shared" si="14"/>
        <v>0.6606666666666694</v>
      </c>
      <c r="AT26">
        <f t="shared" si="14"/>
        <v>-3.6088405797101419</v>
      </c>
      <c r="AU26">
        <f t="shared" si="14"/>
        <v>-2.9656521739130399</v>
      </c>
      <c r="AV26">
        <f t="shared" si="14"/>
        <v>-3.2133333333333294</v>
      </c>
      <c r="AW26">
        <f t="shared" si="14"/>
        <v>-2.5069999999999961</v>
      </c>
      <c r="AX26">
        <f t="shared" si="14"/>
        <v>-2.4367999999999963</v>
      </c>
      <c r="AY26" s="13">
        <f t="shared" ca="1" si="45"/>
        <v>0.68019767701590084</v>
      </c>
      <c r="AZ26" s="6">
        <f t="shared" ca="1" si="38"/>
        <v>-1.3435281325041011</v>
      </c>
      <c r="BA26" s="6">
        <f t="shared" ca="1" si="39"/>
        <v>-1.1867364489310663</v>
      </c>
      <c r="BB26" s="6">
        <f t="shared" ca="1" si="26"/>
        <v>-0.89499628742028392</v>
      </c>
      <c r="BC26" s="6">
        <f t="shared" ca="1" si="27"/>
        <v>-0.96328920538623031</v>
      </c>
      <c r="BD26" s="2">
        <f t="shared" ca="1" si="28"/>
        <v>-1.1018925837395805</v>
      </c>
      <c r="BP26">
        <f t="shared" si="46"/>
        <v>5</v>
      </c>
      <c r="BQ26">
        <f t="shared" si="41"/>
        <v>1.6094379124341003</v>
      </c>
      <c r="BR26">
        <f t="shared" si="42"/>
        <v>0.91012129326662006</v>
      </c>
      <c r="BS26">
        <f t="shared" si="43"/>
        <v>0.27604059116565138</v>
      </c>
      <c r="BU26">
        <f t="shared" si="47"/>
        <v>0.4</v>
      </c>
      <c r="BV26">
        <f t="shared" si="40"/>
        <v>0.53643659329222593</v>
      </c>
    </row>
    <row r="27" spans="1:74" x14ac:dyDescent="0.25">
      <c r="A27" t="s">
        <v>124</v>
      </c>
      <c r="B27" s="2">
        <v>0</v>
      </c>
      <c r="C27" s="13">
        <f ca="1">'Historical Trends'!N100</f>
        <v>11.5250638297872</v>
      </c>
      <c r="D27">
        <f ca="1">AVERAGE(OFFSET('Historical Trends'!$D$101,$B5,0,'Polling Correlations - xOTH'!D$4,1))</f>
        <v>10.590000000000003</v>
      </c>
      <c r="E27">
        <f ca="1">AVERAGE(OFFSET('Historical Trends'!$D$101,$B5,0,'Polling Correlations - xOTH'!E$4,1))</f>
        <v>11.155000000000001</v>
      </c>
      <c r="F27">
        <f ca="1">AVERAGE(OFFSET('Historical Trends'!$D$101,$B5,0,'Polling Correlations - xOTH'!F$4,1))</f>
        <v>9.5533333333333363</v>
      </c>
      <c r="G27">
        <f ca="1">AVERAGE(OFFSET('Historical Trends'!$D$101,$B5,0,'Polling Correlations - xOTH'!G$4,1))</f>
        <v>9.0000000000000036</v>
      </c>
      <c r="H27">
        <f ca="1">AVERAGE(OFFSET('Historical Trends'!$D$101,$B5,0,'Polling Correlations - xOTH'!H$4,1))</f>
        <v>8.4500000000000028</v>
      </c>
      <c r="I27">
        <f ca="1">AVERAGE(OFFSET('Historical Trends'!$D$101,$B5,0,'Polling Correlations - xOTH'!I$4,1))</f>
        <v>8.1466666666666683</v>
      </c>
      <c r="J27">
        <f ca="1">AVERAGE(OFFSET('Historical Trends'!$D$101,$B5,0,'Polling Correlations - xOTH'!J$4,1))</f>
        <v>7.5900000000000016</v>
      </c>
      <c r="K27" s="13">
        <f>(10+8+19+21+21)/5</f>
        <v>15.8</v>
      </c>
      <c r="L27">
        <f>(12+8+4+9+9)/5</f>
        <v>8.4</v>
      </c>
      <c r="M27">
        <f>(10+11+8+12+8)/5</f>
        <v>9.8000000000000007</v>
      </c>
      <c r="N27">
        <f>(6+6+10+11+8)/5</f>
        <v>8.1999999999999993</v>
      </c>
      <c r="O27">
        <f>(9.1+6+6+10+11)/5</f>
        <v>8.42</v>
      </c>
      <c r="P27">
        <f>(11+10+10+9.1+6)/5</f>
        <v>9.2200000000000006</v>
      </c>
      <c r="Q27" s="30">
        <f>K27-AVERAGE(AM$5:AM26,AM28:AM$30)</f>
        <v>13.209666666666665</v>
      </c>
      <c r="R27" s="31">
        <f>L27-AVERAGE(AN$5:AN26,AN28:AN$30)</f>
        <v>6.4094202898550714</v>
      </c>
      <c r="S27" s="31">
        <f>M27-AVERAGE(AO$5:AO26,AO28:AO$30)</f>
        <v>8.1656521739130437</v>
      </c>
      <c r="T27" s="31">
        <f>N27-AVERAGE(AP$5:AP26,AP28:AP$30)</f>
        <v>6.2445333333333322</v>
      </c>
      <c r="U27" s="31">
        <f>O27-AVERAGE(AQ$5:AQ26,AQ28:AQ$30)</f>
        <v>7.1796666666666651</v>
      </c>
      <c r="V27" s="31">
        <f>P27-AVERAGE(AR$5:AR26,AR28:AR$30)</f>
        <v>8.4285333333333341</v>
      </c>
      <c r="W27" s="13">
        <f t="shared" ca="1" si="7"/>
        <v>11.908868274000508</v>
      </c>
      <c r="X27" s="6">
        <f t="shared" ca="1" si="8"/>
        <v>8.6073013854154468</v>
      </c>
      <c r="Y27" s="6">
        <f t="shared" ca="1" si="9"/>
        <v>9.3421714578057617</v>
      </c>
      <c r="Z27" s="6">
        <f t="shared" ca="1" si="10"/>
        <v>8.8188748210114287</v>
      </c>
      <c r="AA27" s="6">
        <f t="shared" ca="1" si="11"/>
        <v>8.821253314592397</v>
      </c>
      <c r="AB27" s="2">
        <f t="shared" ca="1" si="12"/>
        <v>9.3483745356200654</v>
      </c>
      <c r="AC27" s="2">
        <f>'Historical Trends'!D100</f>
        <v>8.2999999999999972</v>
      </c>
      <c r="AE27" s="13">
        <f t="shared" ca="1" si="17"/>
        <v>3.225063829787203</v>
      </c>
      <c r="AF27">
        <f t="shared" ca="1" si="18"/>
        <v>2.2900000000000063</v>
      </c>
      <c r="AG27">
        <f t="shared" ca="1" si="19"/>
        <v>2.855000000000004</v>
      </c>
      <c r="AH27">
        <f t="shared" ca="1" si="20"/>
        <v>1.2533333333333392</v>
      </c>
      <c r="AI27">
        <f t="shared" ca="1" si="21"/>
        <v>0.70000000000000639</v>
      </c>
      <c r="AJ27">
        <f t="shared" ca="1" si="22"/>
        <v>0.15000000000000568</v>
      </c>
      <c r="AK27">
        <f t="shared" ca="1" si="23"/>
        <v>-0.15333333333332888</v>
      </c>
      <c r="AL27">
        <f t="shared" ca="1" si="24"/>
        <v>-0.70999999999999552</v>
      </c>
      <c r="AM27" s="13">
        <f t="shared" si="44"/>
        <v>7.5000000000000036</v>
      </c>
      <c r="AN27">
        <f t="shared" si="36"/>
        <v>0.1000000000000032</v>
      </c>
      <c r="AO27">
        <f t="shared" si="37"/>
        <v>1.5000000000000036</v>
      </c>
      <c r="AP27">
        <f t="shared" si="31"/>
        <v>-9.9999999999997868E-2</v>
      </c>
      <c r="AQ27">
        <f t="shared" si="32"/>
        <v>0.12000000000000277</v>
      </c>
      <c r="AR27">
        <f t="shared" si="33"/>
        <v>0.92000000000000348</v>
      </c>
      <c r="AS27" s="30">
        <f t="shared" si="14"/>
        <v>4.9096666666666682</v>
      </c>
      <c r="AT27">
        <f t="shared" si="14"/>
        <v>-1.8905797101449258</v>
      </c>
      <c r="AU27">
        <f t="shared" si="14"/>
        <v>-0.1343478260869535</v>
      </c>
      <c r="AV27">
        <f t="shared" si="14"/>
        <v>-2.055466666666665</v>
      </c>
      <c r="AW27">
        <f t="shared" si="14"/>
        <v>-1.1203333333333321</v>
      </c>
      <c r="AX27">
        <f t="shared" si="14"/>
        <v>0.12853333333333694</v>
      </c>
      <c r="AY27" s="13">
        <f t="shared" ca="1" si="45"/>
        <v>3.6088682740005105</v>
      </c>
      <c r="AZ27" s="6">
        <f t="shared" ca="1" si="38"/>
        <v>0.3073013854154496</v>
      </c>
      <c r="BA27" s="6">
        <f t="shared" ca="1" si="39"/>
        <v>1.0421714578057646</v>
      </c>
      <c r="BB27" s="6">
        <f t="shared" ca="1" si="26"/>
        <v>0.51887482101143156</v>
      </c>
      <c r="BC27" s="6">
        <f t="shared" ca="1" si="27"/>
        <v>0.52125331459239987</v>
      </c>
      <c r="BD27" s="2">
        <f t="shared" ca="1" si="28"/>
        <v>1.0483745356200682</v>
      </c>
      <c r="BP27">
        <f t="shared" si="46"/>
        <v>6</v>
      </c>
      <c r="BQ27">
        <f t="shared" si="41"/>
        <v>1.791759469228055</v>
      </c>
      <c r="BR27">
        <f t="shared" si="42"/>
        <v>0.90580471036790178</v>
      </c>
      <c r="BS27">
        <f t="shared" si="43"/>
        <v>0.30965336588943237</v>
      </c>
      <c r="BU27">
        <f t="shared" si="47"/>
        <v>0.5</v>
      </c>
      <c r="BV27">
        <f t="shared" si="40"/>
        <v>0.53603161466157512</v>
      </c>
    </row>
    <row r="28" spans="1:74" x14ac:dyDescent="0.25">
      <c r="A28" t="s">
        <v>125</v>
      </c>
      <c r="B28" s="2">
        <f>B27+1</f>
        <v>1</v>
      </c>
      <c r="C28" s="13">
        <f ca="1">'Historical Trends'!N101</f>
        <v>10.713401574803129</v>
      </c>
      <c r="D28">
        <f ca="1">AVERAGE(OFFSET('Historical Trends'!$D$101,$B6,0,'Polling Correlations - xOTH'!D$4,1))</f>
        <v>11.719999999999999</v>
      </c>
      <c r="E28">
        <f ca="1">AVERAGE(OFFSET('Historical Trends'!$D$101,$B6,0,'Polling Correlations - xOTH'!E$4,1))</f>
        <v>9.0350000000000019</v>
      </c>
      <c r="F28">
        <f ca="1">AVERAGE(OFFSET('Historical Trends'!$D$101,$B6,0,'Polling Correlations - xOTH'!F$4,1))</f>
        <v>8.4700000000000024</v>
      </c>
      <c r="G28">
        <f ca="1">AVERAGE(OFFSET('Historical Trends'!$D$101,$B6,0,'Polling Correlations - xOTH'!G$4,1))</f>
        <v>7.9150000000000018</v>
      </c>
      <c r="H28">
        <f ca="1">AVERAGE(OFFSET('Historical Trends'!$D$101,$B6,0,'Polling Correlations - xOTH'!H$4,1))</f>
        <v>7.6580000000000013</v>
      </c>
      <c r="I28">
        <f ca="1">AVERAGE(OFFSET('Historical Trends'!$D$101,$B6,0,'Polling Correlations - xOTH'!I$4,1))</f>
        <v>7.0900000000000007</v>
      </c>
      <c r="J28">
        <f ca="1">AVERAGE(OFFSET('Historical Trends'!$D$101,$B6,0,'Polling Correlations - xOTH'!J$4,1))</f>
        <v>6.604285714285715</v>
      </c>
      <c r="K28" s="13">
        <f>(15+15+20+15+15)/5</f>
        <v>16</v>
      </c>
      <c r="L28">
        <f>(10+10+15+17+15)/5</f>
        <v>13.4</v>
      </c>
      <c r="M28">
        <f>(13+10+10+15+17)/5</f>
        <v>13</v>
      </c>
      <c r="N28">
        <f>(17+12+13+10+10)/5</f>
        <v>12.4</v>
      </c>
      <c r="O28">
        <f>(12+17+12+13+10)/5</f>
        <v>12.8</v>
      </c>
      <c r="P28">
        <f>(16+15+12+17+12)/5</f>
        <v>14.4</v>
      </c>
      <c r="Q28" s="30">
        <f>K28-AVERAGE(AM$5:AM27,AM29:AM$30)</f>
        <v>13.305166666666665</v>
      </c>
      <c r="R28" s="31">
        <f>L28-AVERAGE(AN$5:AN27,AN29:AN$30)</f>
        <v>11.527246376811593</v>
      </c>
      <c r="S28" s="31">
        <f>M28-AVERAGE(AO$5:AO27,AO29:AO$30)</f>
        <v>11.405217391304348</v>
      </c>
      <c r="T28" s="31">
        <f>N28-AVERAGE(AP$5:AP27,AP29:AP$30)</f>
        <v>10.520933333333334</v>
      </c>
      <c r="U28" s="31">
        <f>O28-AVERAGE(AQ$5:AQ27,AQ29:AQ$30)</f>
        <v>11.643266666666666</v>
      </c>
      <c r="V28" s="31">
        <f>P28-AVERAGE(AR$5:AR27,AR29:AR$30)</f>
        <v>13.724133333333333</v>
      </c>
      <c r="W28" s="13">
        <f t="shared" ca="1" si="7"/>
        <v>12.518050397888967</v>
      </c>
      <c r="X28" s="6">
        <f t="shared" ca="1" si="8"/>
        <v>11.628583888324293</v>
      </c>
      <c r="Y28" s="6">
        <f t="shared" ca="1" si="9"/>
        <v>11.557979220848523</v>
      </c>
      <c r="Z28" s="6">
        <f t="shared" ca="1" si="10"/>
        <v>11.231284442495038</v>
      </c>
      <c r="AA28" s="6">
        <f t="shared" ca="1" si="11"/>
        <v>11.68020276737554</v>
      </c>
      <c r="AB28" s="2">
        <f t="shared" ca="1" si="12"/>
        <v>12.871247446492802</v>
      </c>
      <c r="AC28" s="2">
        <f>'Historical Trends'!D101</f>
        <v>10.590000000000003</v>
      </c>
      <c r="AE28" s="13">
        <f t="shared" ca="1" si="17"/>
        <v>0.12340157480312541</v>
      </c>
      <c r="AF28">
        <f t="shared" ca="1" si="18"/>
        <v>1.1299999999999955</v>
      </c>
      <c r="AG28">
        <f t="shared" ca="1" si="19"/>
        <v>-1.5550000000000015</v>
      </c>
      <c r="AH28">
        <f t="shared" ca="1" si="20"/>
        <v>-2.120000000000001</v>
      </c>
      <c r="AI28">
        <f t="shared" ca="1" si="21"/>
        <v>-2.6750000000000016</v>
      </c>
      <c r="AJ28">
        <f t="shared" ca="1" si="22"/>
        <v>-2.9320000000000022</v>
      </c>
      <c r="AK28">
        <f t="shared" ca="1" si="23"/>
        <v>-3.5000000000000027</v>
      </c>
      <c r="AL28">
        <f t="shared" ca="1" si="24"/>
        <v>-3.9857142857142884</v>
      </c>
      <c r="AM28" s="13">
        <f t="shared" si="44"/>
        <v>5.4099999999999966</v>
      </c>
      <c r="AN28">
        <f t="shared" si="36"/>
        <v>2.8099999999999969</v>
      </c>
      <c r="AO28">
        <f t="shared" si="37"/>
        <v>2.4099999999999966</v>
      </c>
      <c r="AP28">
        <f t="shared" si="31"/>
        <v>1.8099999999999969</v>
      </c>
      <c r="AQ28">
        <f t="shared" si="32"/>
        <v>2.2099999999999973</v>
      </c>
      <c r="AR28">
        <f t="shared" si="33"/>
        <v>3.8099999999999969</v>
      </c>
      <c r="AS28" s="30">
        <f t="shared" si="14"/>
        <v>2.7151666666666614</v>
      </c>
      <c r="AT28">
        <f t="shared" si="14"/>
        <v>0.93724637681158995</v>
      </c>
      <c r="AU28">
        <f t="shared" si="14"/>
        <v>0.81521739130434412</v>
      </c>
      <c r="AV28">
        <f t="shared" si="14"/>
        <v>-6.9066666666669718E-2</v>
      </c>
      <c r="AW28">
        <f t="shared" si="14"/>
        <v>1.0532666666666621</v>
      </c>
      <c r="AX28">
        <f t="shared" si="14"/>
        <v>3.1341333333333292</v>
      </c>
      <c r="AY28" s="13">
        <f t="shared" ca="1" si="45"/>
        <v>1.9280503978889634</v>
      </c>
      <c r="AZ28" s="6">
        <f t="shared" ca="1" si="38"/>
        <v>1.0385838883242897</v>
      </c>
      <c r="BA28" s="6">
        <f t="shared" ca="1" si="39"/>
        <v>0.96797922084851962</v>
      </c>
      <c r="BB28" s="6">
        <f t="shared" ca="1" si="26"/>
        <v>0.64128444249503502</v>
      </c>
      <c r="BC28" s="6">
        <f t="shared" ca="1" si="27"/>
        <v>1.090202767375537</v>
      </c>
      <c r="BD28" s="2">
        <f t="shared" ca="1" si="28"/>
        <v>2.2812474464927988</v>
      </c>
      <c r="BP28">
        <f t="shared" si="46"/>
        <v>7</v>
      </c>
      <c r="BQ28">
        <f t="shared" si="41"/>
        <v>1.9459101490553132</v>
      </c>
      <c r="BR28">
        <f t="shared" si="42"/>
        <v>0.90196183089833593</v>
      </c>
      <c r="BS28">
        <f t="shared" si="43"/>
        <v>0.33838847910654657</v>
      </c>
      <c r="BU28">
        <f t="shared" si="47"/>
        <v>0.6</v>
      </c>
      <c r="BV28">
        <f t="shared" si="40"/>
        <v>0.53561801946431464</v>
      </c>
    </row>
    <row r="29" spans="1:74" x14ac:dyDescent="0.25">
      <c r="A29" t="s">
        <v>127</v>
      </c>
      <c r="B29" s="2">
        <f>B28+1</f>
        <v>2</v>
      </c>
      <c r="C29" s="13">
        <f ca="1">'Historical Trends'!N102</f>
        <v>7.9313829787233772</v>
      </c>
      <c r="D29">
        <f ca="1">AVERAGE(OFFSET('Historical Trends'!$D$101,$B7,0,'Polling Correlations - xOTH'!D$4,1))</f>
        <v>6.3500000000000041</v>
      </c>
      <c r="E29">
        <f ca="1">AVERAGE(OFFSET('Historical Trends'!$D$101,$B7,0,'Polling Correlations - xOTH'!E$4,1))</f>
        <v>6.8450000000000042</v>
      </c>
      <c r="F29">
        <f ca="1">AVERAGE(OFFSET('Historical Trends'!$D$101,$B7,0,'Polling Correlations - xOTH'!F$4,1))</f>
        <v>6.6466666666666692</v>
      </c>
      <c r="G29">
        <f ca="1">AVERAGE(OFFSET('Historical Trends'!$D$101,$B7,0,'Polling Correlations - xOTH'!G$4,1))</f>
        <v>6.642500000000001</v>
      </c>
      <c r="H29">
        <f ca="1">AVERAGE(OFFSET('Historical Trends'!$D$101,$B7,0,'Polling Correlations - xOTH'!H$4,1))</f>
        <v>6.1640000000000006</v>
      </c>
      <c r="I29">
        <f ca="1">AVERAGE(OFFSET('Historical Trends'!$D$101,$B7,0,'Polling Correlations - xOTH'!I$4,1))</f>
        <v>5.7516666666666678</v>
      </c>
      <c r="J29">
        <f ca="1">AVERAGE(OFFSET('Historical Trends'!$D$101,$B7,0,'Polling Correlations - xOTH'!J$4,1))</f>
        <v>5.1599999999999984</v>
      </c>
      <c r="K29" s="13">
        <f>(12+14+12)/3</f>
        <v>12.666666666666666</v>
      </c>
      <c r="L29">
        <f>(14+12+13)/3</f>
        <v>13</v>
      </c>
      <c r="M29">
        <f>(14+13+12)/3</f>
        <v>13</v>
      </c>
      <c r="N29">
        <f>(12+15+10)/3</f>
        <v>12.333333333333334</v>
      </c>
      <c r="O29">
        <f>(14+12+15)/3</f>
        <v>13.666666666666666</v>
      </c>
      <c r="P29">
        <f>(12.3+11+14)/3</f>
        <v>12.433333333333332</v>
      </c>
      <c r="Q29" s="30">
        <f>K29-AVERAGE(AM$5:AM28,AM30:AM$30)</f>
        <v>9.748666666666665</v>
      </c>
      <c r="R29" s="31">
        <f>L29-AVERAGE(AN$5:AN28,AN30:AN$30)</f>
        <v>11.060724637681158</v>
      </c>
      <c r="S29" s="31">
        <f>M29-AVERAGE(AO$5:AO28,AO30:AO$30)</f>
        <v>11.356086956521738</v>
      </c>
      <c r="T29" s="31">
        <f>N29-AVERAGE(AP$5:AP28,AP30:AP$30)</f>
        <v>10.406400000000001</v>
      </c>
      <c r="U29" s="31">
        <f>O29-AVERAGE(AQ$5:AQ28,AQ30:AQ$30)</f>
        <v>12.499399999999998</v>
      </c>
      <c r="V29" s="31">
        <f>P29-AVERAGE(AR$5:AR28,AR30:AR$30)</f>
        <v>11.633599999999998</v>
      </c>
      <c r="W29" s="13">
        <f t="shared" ca="1" si="7"/>
        <v>8.0610549588636182</v>
      </c>
      <c r="X29" s="6">
        <f t="shared" ca="1" si="8"/>
        <v>8.5841272886520272</v>
      </c>
      <c r="Y29" s="6">
        <f t="shared" ca="1" si="9"/>
        <v>8.9266674739642209</v>
      </c>
      <c r="Z29" s="6">
        <f t="shared" ca="1" si="10"/>
        <v>8.003307395304514</v>
      </c>
      <c r="AA29" s="6">
        <f t="shared" ca="1" si="11"/>
        <v>9.539345381852856</v>
      </c>
      <c r="AB29" s="2">
        <f t="shared" ca="1" si="12"/>
        <v>9.3850929786554662</v>
      </c>
      <c r="AC29" s="2">
        <f>'Historical Trends'!D102</f>
        <v>11.719999999999999</v>
      </c>
      <c r="AE29" s="13">
        <f t="shared" ca="1" si="17"/>
        <v>-3.7886170212766217</v>
      </c>
      <c r="AF29">
        <f t="shared" ca="1" si="18"/>
        <v>-5.3699999999999948</v>
      </c>
      <c r="AG29">
        <f t="shared" ca="1" si="19"/>
        <v>-4.8749999999999947</v>
      </c>
      <c r="AH29">
        <f t="shared" ca="1" si="20"/>
        <v>-5.0733333333333297</v>
      </c>
      <c r="AI29">
        <f t="shared" ca="1" si="21"/>
        <v>-5.0774999999999979</v>
      </c>
      <c r="AJ29">
        <f t="shared" ca="1" si="22"/>
        <v>-5.5559999999999983</v>
      </c>
      <c r="AK29">
        <f t="shared" ca="1" si="23"/>
        <v>-5.968333333333331</v>
      </c>
      <c r="AL29">
        <f t="shared" ca="1" si="24"/>
        <v>-6.5600000000000005</v>
      </c>
      <c r="AM29" s="13">
        <f t="shared" si="44"/>
        <v>0.94666666666666721</v>
      </c>
      <c r="AN29">
        <f t="shared" si="36"/>
        <v>1.2800000000000011</v>
      </c>
      <c r="AO29">
        <f t="shared" si="37"/>
        <v>1.2800000000000011</v>
      </c>
      <c r="AP29">
        <f t="shared" si="31"/>
        <v>0.61333333333333506</v>
      </c>
      <c r="AQ29">
        <f t="shared" si="32"/>
        <v>1.9466666666666672</v>
      </c>
      <c r="AR29">
        <f t="shared" si="33"/>
        <v>0.71333333333333293</v>
      </c>
      <c r="AS29" s="30">
        <f t="shared" si="14"/>
        <v>-1.9713333333333338</v>
      </c>
      <c r="AT29">
        <f t="shared" si="14"/>
        <v>-0.65927536231884076</v>
      </c>
      <c r="AU29">
        <f t="shared" si="14"/>
        <v>-0.36391304347826114</v>
      </c>
      <c r="AV29">
        <f t="shared" si="14"/>
        <v>-1.3135999999999974</v>
      </c>
      <c r="AW29">
        <f t="shared" si="14"/>
        <v>0.77939999999999898</v>
      </c>
      <c r="AX29">
        <f t="shared" si="14"/>
        <v>-8.6400000000001143E-2</v>
      </c>
      <c r="AY29" s="13">
        <f t="shared" ca="1" si="45"/>
        <v>-3.6589450411363806</v>
      </c>
      <c r="AZ29" s="6">
        <f t="shared" ca="1" si="38"/>
        <v>-3.1358727113479716</v>
      </c>
      <c r="BA29" s="6">
        <f t="shared" ca="1" si="39"/>
        <v>-2.793332526035778</v>
      </c>
      <c r="BB29" s="6">
        <f t="shared" ca="1" si="26"/>
        <v>-3.7166926046954849</v>
      </c>
      <c r="BC29" s="6">
        <f t="shared" ca="1" si="27"/>
        <v>-2.1806546181471429</v>
      </c>
      <c r="BD29" s="2">
        <f t="shared" ca="1" si="28"/>
        <v>-2.3349070213445327</v>
      </c>
      <c r="BP29">
        <f t="shared" si="46"/>
        <v>8</v>
      </c>
      <c r="BQ29">
        <f t="shared" si="41"/>
        <v>2.0794415416798357</v>
      </c>
      <c r="BR29">
        <f t="shared" si="42"/>
        <v>0.89847902784446509</v>
      </c>
      <c r="BS29">
        <f t="shared" si="43"/>
        <v>0.36349633700567485</v>
      </c>
      <c r="BU29">
        <f t="shared" si="47"/>
        <v>0.7</v>
      </c>
      <c r="BV29">
        <f t="shared" si="40"/>
        <v>0.53519552974668305</v>
      </c>
    </row>
    <row r="30" spans="1:74" x14ac:dyDescent="0.25">
      <c r="A30" t="s">
        <v>128</v>
      </c>
      <c r="B30" s="2">
        <f>B29+1</f>
        <v>3</v>
      </c>
      <c r="C30" s="13">
        <f ca="1">'Historical Trends'!N103</f>
        <v>8.9470379146920322</v>
      </c>
      <c r="D30">
        <f ca="1">AVERAGE(OFFSET('Historical Trends'!$D$101,$B8,0,'Polling Correlations - xOTH'!D$4,1))</f>
        <v>7.3400000000000034</v>
      </c>
      <c r="E30">
        <f ca="1">AVERAGE(OFFSET('Historical Trends'!$D$101,$B8,0,'Polling Correlations - xOTH'!E$4,1))</f>
        <v>6.7950000000000017</v>
      </c>
      <c r="F30">
        <f ca="1">AVERAGE(OFFSET('Historical Trends'!$D$101,$B8,0,'Polling Correlations - xOTH'!F$4,1))</f>
        <v>6.7399999999999993</v>
      </c>
      <c r="G30">
        <f ca="1">AVERAGE(OFFSET('Historical Trends'!$D$101,$B8,0,'Polling Correlations - xOTH'!G$4,1))</f>
        <v>6.1174999999999997</v>
      </c>
      <c r="H30">
        <f ca="1">AVERAGE(OFFSET('Historical Trends'!$D$101,$B8,0,'Polling Correlations - xOTH'!H$4,1))</f>
        <v>5.6319999999999997</v>
      </c>
      <c r="I30">
        <f ca="1">AVERAGE(OFFSET('Historical Trends'!$D$101,$B8,0,'Polling Correlations - xOTH'!I$4,1))</f>
        <v>4.9616666666666633</v>
      </c>
      <c r="J30">
        <f ca="1">AVERAGE(OFFSET('Historical Trends'!$D$101,$B8,0,'Polling Correlations - xOTH'!J$4,1))</f>
        <v>4.3942857142857106</v>
      </c>
      <c r="N30">
        <f>(11+11)/2</f>
        <v>11</v>
      </c>
      <c r="O30">
        <f>(12+11+11)/3</f>
        <v>11.333333333333334</v>
      </c>
      <c r="P30">
        <f>(12.5+12+11)/3</f>
        <v>11.833333333333334</v>
      </c>
      <c r="Q30" s="30"/>
      <c r="R30" s="31"/>
      <c r="S30" s="31"/>
      <c r="T30" s="31">
        <f>N30-AVERAGE(AP$5:AP29)</f>
        <v>9.2345333333333333</v>
      </c>
      <c r="U30" s="31">
        <f>O30-AVERAGE(AQ$5:AQ29)</f>
        <v>10.287533333333332</v>
      </c>
      <c r="V30" s="31">
        <f>P30-AVERAGE(AR$5:AR29)</f>
        <v>11.224399999999999</v>
      </c>
      <c r="W30" s="13">
        <f t="shared" ca="1" si="7"/>
        <v>3.6446851516107475</v>
      </c>
      <c r="X30" s="6">
        <f t="shared" ca="1" si="8"/>
        <v>3.8589019609564832</v>
      </c>
      <c r="Y30" s="6">
        <f t="shared" ca="1" si="9"/>
        <v>3.5620513900066064</v>
      </c>
      <c r="Z30" s="6">
        <f t="shared" ca="1" si="10"/>
        <v>8.1121738414976132</v>
      </c>
      <c r="AA30" s="6">
        <f t="shared" ca="1" si="11"/>
        <v>8.8687185456343745</v>
      </c>
      <c r="AB30" s="2">
        <f t="shared" ca="1" si="12"/>
        <v>9.5713413517846355</v>
      </c>
      <c r="AC30" s="2">
        <f>'Historical Trends'!D103</f>
        <v>6.3500000000000041</v>
      </c>
      <c r="AE30" s="13">
        <f t="shared" ca="1" si="17"/>
        <v>2.5970379146920282</v>
      </c>
      <c r="AF30">
        <f t="shared" ref="AF30:AL30" ca="1" si="48">D30-$AC30</f>
        <v>0.98999999999999932</v>
      </c>
      <c r="AG30">
        <f t="shared" ca="1" si="48"/>
        <v>0.44499999999999762</v>
      </c>
      <c r="AH30">
        <f t="shared" ca="1" si="48"/>
        <v>0.38999999999999524</v>
      </c>
      <c r="AI30">
        <f t="shared" ca="1" si="48"/>
        <v>-0.23250000000000437</v>
      </c>
      <c r="AJ30">
        <f t="shared" ca="1" si="48"/>
        <v>-0.71800000000000441</v>
      </c>
      <c r="AK30">
        <f t="shared" ca="1" si="48"/>
        <v>-1.3883333333333407</v>
      </c>
      <c r="AL30">
        <f t="shared" ca="1" si="48"/>
        <v>-1.9557142857142935</v>
      </c>
      <c r="AP30">
        <f t="shared" si="31"/>
        <v>4.6499999999999959</v>
      </c>
      <c r="AQ30">
        <f t="shared" si="32"/>
        <v>4.9833333333333298</v>
      </c>
      <c r="AR30">
        <f t="shared" si="33"/>
        <v>5.4833333333333298</v>
      </c>
      <c r="AS30" s="30"/>
      <c r="AV30">
        <f t="shared" si="14"/>
        <v>2.8845333333333292</v>
      </c>
      <c r="AW30">
        <f t="shared" si="14"/>
        <v>3.9375333333333282</v>
      </c>
      <c r="AX30">
        <f t="shared" si="14"/>
        <v>4.8743999999999952</v>
      </c>
      <c r="BB30" s="6">
        <f t="shared" ca="1" si="26"/>
        <v>1.7621738414976091</v>
      </c>
      <c r="BC30" s="6">
        <f t="shared" ca="1" si="27"/>
        <v>2.5187185456343704</v>
      </c>
      <c r="BD30" s="2">
        <f t="shared" ca="1" si="28"/>
        <v>3.2213413517846314</v>
      </c>
      <c r="BP30">
        <f t="shared" si="46"/>
        <v>9</v>
      </c>
      <c r="BQ30">
        <f t="shared" si="41"/>
        <v>2.1972245773362196</v>
      </c>
      <c r="BR30">
        <f t="shared" si="42"/>
        <v>0.89528046973783304</v>
      </c>
      <c r="BS30">
        <f t="shared" si="43"/>
        <v>0.38579609965964168</v>
      </c>
      <c r="BU30">
        <f t="shared" si="47"/>
        <v>0.79999999999999993</v>
      </c>
      <c r="BV30">
        <f t="shared" si="40"/>
        <v>0.53476385546997252</v>
      </c>
    </row>
    <row r="31" spans="1:74" x14ac:dyDescent="0.25">
      <c r="BP31">
        <f t="shared" si="46"/>
        <v>10</v>
      </c>
      <c r="BQ31">
        <f t="shared" si="41"/>
        <v>2.3025850929940459</v>
      </c>
      <c r="BR31">
        <f t="shared" si="42"/>
        <v>0.89231280613779884</v>
      </c>
      <c r="BS31">
        <f t="shared" si="43"/>
        <v>0.4058546225073032</v>
      </c>
      <c r="BU31">
        <f t="shared" si="47"/>
        <v>0.89999999999999991</v>
      </c>
      <c r="BV31">
        <f t="shared" si="40"/>
        <v>0.53432269384652098</v>
      </c>
    </row>
    <row r="32" spans="1:74" x14ac:dyDescent="0.25">
      <c r="Q32" s="32"/>
      <c r="BP32">
        <f>BP31+5</f>
        <v>15</v>
      </c>
      <c r="BQ32">
        <f t="shared" si="41"/>
        <v>2.7080502011022101</v>
      </c>
      <c r="BR32">
        <f t="shared" si="42"/>
        <v>0.879848893553969</v>
      </c>
      <c r="BS32">
        <f t="shared" si="43"/>
        <v>0.4838185582782154</v>
      </c>
      <c r="BU32">
        <f t="shared" si="47"/>
        <v>0.99999999999999989</v>
      </c>
      <c r="BV32">
        <f t="shared" si="40"/>
        <v>0.53387172863143728</v>
      </c>
    </row>
    <row r="33" spans="57:74" x14ac:dyDescent="0.25">
      <c r="BP33">
        <f t="shared" ref="BP33:BP39" si="49">BP32+5</f>
        <v>20</v>
      </c>
      <c r="BQ33">
        <f t="shared" si="41"/>
        <v>2.9957322735539909</v>
      </c>
      <c r="BR33">
        <f t="shared" si="42"/>
        <v>0.86984999035138133</v>
      </c>
      <c r="BS33">
        <f t="shared" si="43"/>
        <v>0.53956842999097721</v>
      </c>
      <c r="BU33">
        <f t="shared" si="47"/>
        <v>1.0999999999999999</v>
      </c>
      <c r="BV33">
        <f t="shared" si="40"/>
        <v>0.53341062936657635</v>
      </c>
    </row>
    <row r="34" spans="57:74" x14ac:dyDescent="0.25">
      <c r="BP34">
        <f t="shared" si="49"/>
        <v>25</v>
      </c>
      <c r="BQ34">
        <f t="shared" si="41"/>
        <v>3.2188758248682006</v>
      </c>
      <c r="BR34">
        <f t="shared" si="42"/>
        <v>0.86131452190275737</v>
      </c>
      <c r="BS34">
        <f t="shared" si="43"/>
        <v>0.5828049378614828</v>
      </c>
      <c r="BU34">
        <f t="shared" si="47"/>
        <v>1.2</v>
      </c>
      <c r="BV34">
        <f t="shared" si="40"/>
        <v>0.53293905057296864</v>
      </c>
    </row>
    <row r="35" spans="57:74" x14ac:dyDescent="0.25">
      <c r="BP35">
        <f t="shared" si="49"/>
        <v>30</v>
      </c>
      <c r="BQ35">
        <f t="shared" si="41"/>
        <v>3.4011973816621555</v>
      </c>
      <c r="BR35">
        <f t="shared" si="42"/>
        <v>0.85376331210823564</v>
      </c>
      <c r="BS35">
        <f t="shared" si="43"/>
        <v>0.61797098580623311</v>
      </c>
      <c r="BU35">
        <f t="shared" si="47"/>
        <v>1.3</v>
      </c>
      <c r="BV35">
        <f t="shared" si="40"/>
        <v>0.53245663088755391</v>
      </c>
    </row>
    <row r="36" spans="57:74" x14ac:dyDescent="0.25">
      <c r="BP36">
        <f t="shared" si="49"/>
        <v>35</v>
      </c>
      <c r="BQ36">
        <f t="shared" si="41"/>
        <v>3.5553480614894135</v>
      </c>
      <c r="BR36">
        <f t="shared" si="42"/>
        <v>0.84692609437819422</v>
      </c>
      <c r="BS36">
        <f t="shared" si="43"/>
        <v>0.64748580981932835</v>
      </c>
      <c r="BU36">
        <f t="shared" si="47"/>
        <v>1.4000000000000001</v>
      </c>
      <c r="BV36">
        <f t="shared" si="40"/>
        <v>0.53196299213968756</v>
      </c>
    </row>
    <row r="37" spans="57:74" x14ac:dyDescent="0.25">
      <c r="BP37">
        <f t="shared" si="49"/>
        <v>40</v>
      </c>
      <c r="BQ37">
        <f t="shared" si="41"/>
        <v>3.6888794541139363</v>
      </c>
      <c r="BR37">
        <f t="shared" si="42"/>
        <v>0.84063391913611418</v>
      </c>
      <c r="BS37">
        <f t="shared" si="43"/>
        <v>0.67281712840632812</v>
      </c>
      <c r="BU37">
        <f t="shared" si="47"/>
        <v>1.5000000000000002</v>
      </c>
      <c r="BV37">
        <f t="shared" si="40"/>
        <v>0.53145773836245969</v>
      </c>
    </row>
    <row r="38" spans="57:74" x14ac:dyDescent="0.25">
      <c r="BE38" t="s">
        <v>217</v>
      </c>
      <c r="BG38">
        <f>Q4</f>
        <v>2.8241269841269863</v>
      </c>
      <c r="BH38">
        <f t="shared" ref="BH38:BK38" si="50">R4</f>
        <v>1.9118055555555566</v>
      </c>
      <c r="BI38">
        <f t="shared" si="50"/>
        <v>1.6287500000000008</v>
      </c>
      <c r="BJ38">
        <f t="shared" si="50"/>
        <v>1.8764102564102565</v>
      </c>
      <c r="BK38">
        <f t="shared" si="50"/>
        <v>1.1972435897435911</v>
      </c>
      <c r="BL38">
        <f t="shared" ref="BL38" si="51">AVERAGE(BK38,BM38)</f>
        <v>0.99682692307692422</v>
      </c>
      <c r="BM38">
        <f>V4</f>
        <v>0.7964102564102572</v>
      </c>
      <c r="BP38">
        <f t="shared" si="49"/>
        <v>45</v>
      </c>
      <c r="BQ38">
        <f t="shared" si="41"/>
        <v>3.8066624897703196</v>
      </c>
      <c r="BR38">
        <f t="shared" si="42"/>
        <v>0.8347734080477065</v>
      </c>
      <c r="BS38">
        <f t="shared" si="43"/>
        <v>0.6949243646841885</v>
      </c>
      <c r="BU38">
        <f t="shared" si="47"/>
        <v>1.6000000000000003</v>
      </c>
      <c r="BV38">
        <f t="shared" si="40"/>
        <v>0.53094045473339313</v>
      </c>
    </row>
    <row r="39" spans="57:74" x14ac:dyDescent="0.25">
      <c r="BP39">
        <f t="shared" si="49"/>
        <v>50</v>
      </c>
      <c r="BQ39">
        <f t="shared" si="41"/>
        <v>3.912023005428146</v>
      </c>
      <c r="BR39">
        <f t="shared" si="42"/>
        <v>0.82926440807702773</v>
      </c>
      <c r="BS39">
        <f t="shared" si="43"/>
        <v>0.71447001455916515</v>
      </c>
      <c r="BU39">
        <f t="shared" si="47"/>
        <v>1.7000000000000004</v>
      </c>
      <c r="BV39">
        <f t="shared" si="40"/>
        <v>0.5304107064385658</v>
      </c>
    </row>
    <row r="40" spans="57:74" x14ac:dyDescent="0.25">
      <c r="BP40">
        <f>BP39+10</f>
        <v>60</v>
      </c>
      <c r="BQ40">
        <f t="shared" si="41"/>
        <v>4.0943445622221004</v>
      </c>
      <c r="BR40">
        <f t="shared" si="42"/>
        <v>0.81907923870333688</v>
      </c>
      <c r="BS40">
        <f t="shared" si="43"/>
        <v>0.74766316959566648</v>
      </c>
      <c r="BU40">
        <f t="shared" si="47"/>
        <v>1.8000000000000005</v>
      </c>
      <c r="BV40">
        <f t="shared" si="40"/>
        <v>0.52986803745362077</v>
      </c>
    </row>
    <row r="41" spans="57:74" x14ac:dyDescent="0.25">
      <c r="BP41">
        <f t="shared" ref="BP41:BP54" si="52">BP40+10</f>
        <v>70</v>
      </c>
      <c r="BQ41">
        <f t="shared" si="41"/>
        <v>4.2484952420493594</v>
      </c>
      <c r="BR41">
        <f t="shared" si="42"/>
        <v>0.80975263189700109</v>
      </c>
      <c r="BS41">
        <f t="shared" si="43"/>
        <v>0.77496755104351545</v>
      </c>
      <c r="BU41">
        <f t="shared" si="47"/>
        <v>1.9000000000000006</v>
      </c>
      <c r="BV41">
        <f t="shared" si="40"/>
        <v>0.52931196923447965</v>
      </c>
    </row>
    <row r="42" spans="57:74" x14ac:dyDescent="0.25">
      <c r="BP42">
        <f t="shared" si="52"/>
        <v>80</v>
      </c>
      <c r="BQ42">
        <f t="shared" si="41"/>
        <v>4.3820266346738812</v>
      </c>
      <c r="BR42">
        <f t="shared" si="42"/>
        <v>0.80108034151045548</v>
      </c>
      <c r="BS42">
        <f t="shared" si="43"/>
        <v>0.79793913541597239</v>
      </c>
      <c r="BU42">
        <f t="shared" si="47"/>
        <v>2.0000000000000004</v>
      </c>
      <c r="BV42">
        <f t="shared" si="40"/>
        <v>0.52874199930985988</v>
      </c>
    </row>
    <row r="43" spans="57:74" x14ac:dyDescent="0.25">
      <c r="BP43">
        <f t="shared" si="52"/>
        <v>90</v>
      </c>
      <c r="BQ43">
        <f t="shared" si="41"/>
        <v>4.499809670330265</v>
      </c>
      <c r="BR43">
        <f t="shared" si="42"/>
        <v>0.79292496189577877</v>
      </c>
      <c r="BS43">
        <f t="shared" si="43"/>
        <v>0.81759263741514543</v>
      </c>
      <c r="BU43">
        <f t="shared" si="47"/>
        <v>2.1000000000000005</v>
      </c>
      <c r="BV43">
        <f t="shared" si="40"/>
        <v>0.52815759976689547</v>
      </c>
    </row>
    <row r="44" spans="57:74" x14ac:dyDescent="0.25">
      <c r="BP44">
        <f t="shared" si="52"/>
        <v>100</v>
      </c>
      <c r="BQ44">
        <f t="shared" si="41"/>
        <v>4.6051701859880918</v>
      </c>
      <c r="BR44">
        <f t="shared" si="42"/>
        <v>0.78518914172563514</v>
      </c>
      <c r="BS44">
        <f t="shared" si="43"/>
        <v>0.83462711013196844</v>
      </c>
      <c r="BU44">
        <f t="shared" si="47"/>
        <v>2.2000000000000006</v>
      </c>
      <c r="BV44">
        <f t="shared" si="40"/>
        <v>0.52755821562026517</v>
      </c>
    </row>
    <row r="45" spans="57:74" x14ac:dyDescent="0.25">
      <c r="BP45">
        <f t="shared" si="52"/>
        <v>110</v>
      </c>
      <c r="BQ45">
        <f t="shared" si="41"/>
        <v>4.7004803657924166</v>
      </c>
      <c r="BR45">
        <f t="shared" si="42"/>
        <v>0.77780111311839573</v>
      </c>
      <c r="BS45">
        <f t="shared" si="43"/>
        <v>0.84954484676076014</v>
      </c>
      <c r="BU45">
        <f t="shared" si="47"/>
        <v>2.3000000000000007</v>
      </c>
      <c r="BV45">
        <f t="shared" si="40"/>
        <v>0.52694326305424188</v>
      </c>
    </row>
    <row r="46" spans="57:74" x14ac:dyDescent="0.25">
      <c r="BP46">
        <f t="shared" si="52"/>
        <v>120</v>
      </c>
      <c r="BQ46">
        <f t="shared" si="41"/>
        <v>4.7874917427820458</v>
      </c>
      <c r="BR46">
        <f t="shared" si="42"/>
        <v>0.77070627637324507</v>
      </c>
      <c r="BS46">
        <f t="shared" si="43"/>
        <v>0.86271900397276902</v>
      </c>
      <c r="BU46">
        <f t="shared" si="47"/>
        <v>2.4000000000000008</v>
      </c>
      <c r="BV46">
        <f t="shared" si="40"/>
        <v>0.52631212752595491</v>
      </c>
    </row>
    <row r="47" spans="57:74" x14ac:dyDescent="0.25">
      <c r="BP47">
        <f t="shared" si="52"/>
        <v>130</v>
      </c>
      <c r="BQ47">
        <f t="shared" si="41"/>
        <v>4.8675344504555822</v>
      </c>
      <c r="BR47">
        <f t="shared" si="42"/>
        <v>0.76386201641897999</v>
      </c>
      <c r="BS47">
        <f t="shared" si="43"/>
        <v>0.87443441809294398</v>
      </c>
      <c r="BU47">
        <f t="shared" si="47"/>
        <v>2.5000000000000009</v>
      </c>
      <c r="BV47">
        <f t="shared" si="40"/>
        <v>0.52566416171691355</v>
      </c>
    </row>
    <row r="48" spans="57:74" x14ac:dyDescent="0.25">
      <c r="BP48">
        <f t="shared" si="52"/>
        <v>140</v>
      </c>
      <c r="BQ48">
        <f t="shared" si="41"/>
        <v>4.9416424226093039</v>
      </c>
      <c r="BR48">
        <f t="shared" si="42"/>
        <v>0.7572343586762027</v>
      </c>
      <c r="BS48">
        <f t="shared" si="43"/>
        <v>0.88491344827388807</v>
      </c>
      <c r="BU48">
        <f t="shared" si="47"/>
        <v>2.600000000000001</v>
      </c>
      <c r="BV48">
        <f t="shared" si="40"/>
        <v>0.52499868331843857</v>
      </c>
    </row>
    <row r="49" spans="68:74" x14ac:dyDescent="0.25">
      <c r="BP49">
        <f t="shared" si="52"/>
        <v>150</v>
      </c>
      <c r="BQ49">
        <f t="shared" si="41"/>
        <v>5.0106352940962555</v>
      </c>
      <c r="BR49">
        <f t="shared" si="42"/>
        <v>0.75079572787420124</v>
      </c>
      <c r="BS49">
        <f t="shared" si="43"/>
        <v>0.89433299656138121</v>
      </c>
      <c r="BU49">
        <f t="shared" si="47"/>
        <v>2.7000000000000011</v>
      </c>
      <c r="BV49">
        <f t="shared" si="40"/>
        <v>0.52431497263507398</v>
      </c>
    </row>
    <row r="50" spans="68:74" x14ac:dyDescent="0.25">
      <c r="BP50">
        <f t="shared" si="52"/>
        <v>160</v>
      </c>
      <c r="BQ50">
        <f t="shared" si="41"/>
        <v>5.0751738152338266</v>
      </c>
      <c r="BR50">
        <f t="shared" si="42"/>
        <v>0.74452339735186701</v>
      </c>
      <c r="BS50">
        <f t="shared" si="43"/>
        <v>0.90283609332738779</v>
      </c>
      <c r="BU50">
        <f t="shared" si="47"/>
        <v>2.8000000000000012</v>
      </c>
      <c r="BV50">
        <f t="shared" si="40"/>
        <v>0.52361226998828259</v>
      </c>
    </row>
    <row r="51" spans="68:74" x14ac:dyDescent="0.25">
      <c r="BP51">
        <f t="shared" si="52"/>
        <v>170</v>
      </c>
      <c r="BQ51">
        <f t="shared" si="41"/>
        <v>5.1357984370502621</v>
      </c>
      <c r="BR51">
        <f t="shared" si="42"/>
        <v>0.73839838659247792</v>
      </c>
      <c r="BS51">
        <f t="shared" si="43"/>
        <v>0.91054000803782009</v>
      </c>
      <c r="BU51">
        <f t="shared" si="47"/>
        <v>2.9000000000000012</v>
      </c>
      <c r="BV51">
        <f t="shared" si="40"/>
        <v>0.52288977290073646</v>
      </c>
    </row>
    <row r="52" spans="68:74" x14ac:dyDescent="0.25">
      <c r="BP52">
        <f t="shared" si="52"/>
        <v>180</v>
      </c>
      <c r="BQ52">
        <f t="shared" si="41"/>
        <v>5.1929568508902104</v>
      </c>
      <c r="BR52">
        <f t="shared" si="42"/>
        <v>0.73240465888899264</v>
      </c>
      <c r="BS52">
        <f t="shared" si="43"/>
        <v>0.91754206657603909</v>
      </c>
      <c r="BU52">
        <f t="shared" si="47"/>
        <v>3.0000000000000013</v>
      </c>
      <c r="BV52">
        <f t="shared" si="40"/>
        <v>0.52214663303926045</v>
      </c>
    </row>
    <row r="53" spans="68:74" x14ac:dyDescent="0.25">
      <c r="BP53">
        <f t="shared" si="52"/>
        <v>190</v>
      </c>
      <c r="BQ53">
        <f t="shared" si="41"/>
        <v>5.2470240721604862</v>
      </c>
      <c r="BR53">
        <f t="shared" si="42"/>
        <v>0.72652852542636714</v>
      </c>
      <c r="BS53">
        <f t="shared" si="43"/>
        <v>0.92392391251925343</v>
      </c>
      <c r="BU53">
        <f t="shared" si="47"/>
        <v>3.1000000000000014</v>
      </c>
      <c r="BV53">
        <f t="shared" si="40"/>
        <v>0.52138195289194456</v>
      </c>
    </row>
    <row r="54" spans="68:74" x14ac:dyDescent="0.25">
      <c r="BP54">
        <f t="shared" si="52"/>
        <v>200</v>
      </c>
      <c r="BQ54">
        <f t="shared" si="41"/>
        <v>5.2983173665480363</v>
      </c>
      <c r="BR54">
        <f t="shared" si="42"/>
        <v>0.72075819468806512</v>
      </c>
      <c r="BS54">
        <f t="shared" si="43"/>
        <v>0.92975468696968566</v>
      </c>
      <c r="BU54">
        <f t="shared" si="47"/>
        <v>3.2000000000000015</v>
      </c>
      <c r="BV54">
        <f t="shared" ref="BV54:BV85" si="53">MAX(0,($BG$16+1/($BG$17*$BG$18))-1/((10-BU54) * $BG$18))</f>
        <v>0.52059478215206068</v>
      </c>
    </row>
    <row r="55" spans="68:74" x14ac:dyDescent="0.25">
      <c r="BP55">
        <f>BP54+50</f>
        <v>250</v>
      </c>
      <c r="BQ55">
        <f t="shared" si="41"/>
        <v>5.521460917862246</v>
      </c>
      <c r="BR55">
        <f t="shared" si="42"/>
        <v>0.69317584095074125</v>
      </c>
      <c r="BS55">
        <f t="shared" si="43"/>
        <v>0.95244943915188174</v>
      </c>
      <c r="BU55">
        <f t="shared" si="47"/>
        <v>3.3000000000000016</v>
      </c>
      <c r="BV55">
        <f t="shared" si="53"/>
        <v>0.51978411377815026</v>
      </c>
    </row>
    <row r="56" spans="68:74" x14ac:dyDescent="0.25">
      <c r="BP56">
        <f t="shared" ref="BP56:BP70" si="54">BP55+50</f>
        <v>300</v>
      </c>
      <c r="BQ56">
        <f t="shared" si="41"/>
        <v>5.7037824746562009</v>
      </c>
      <c r="BR56">
        <f t="shared" si="42"/>
        <v>0.66711978373630698</v>
      </c>
      <c r="BS56">
        <f t="shared" si="43"/>
        <v>0.96758398203144513</v>
      </c>
      <c r="BU56">
        <f t="shared" si="47"/>
        <v>3.4000000000000017</v>
      </c>
      <c r="BV56">
        <f t="shared" si="53"/>
        <v>0.5189488796959395</v>
      </c>
    </row>
    <row r="57" spans="68:74" x14ac:dyDescent="0.25">
      <c r="BP57">
        <f t="shared" si="54"/>
        <v>350</v>
      </c>
      <c r="BQ57">
        <f t="shared" si="41"/>
        <v>5.857933154483459</v>
      </c>
      <c r="BR57">
        <f t="shared" si="42"/>
        <v>0.64205435800763322</v>
      </c>
      <c r="BS57">
        <f t="shared" si="43"/>
        <v>0.97789759943806631</v>
      </c>
      <c r="BU57">
        <f t="shared" si="47"/>
        <v>3.5000000000000018</v>
      </c>
      <c r="BV57">
        <f t="shared" si="53"/>
        <v>0.51808794610350695</v>
      </c>
    </row>
    <row r="58" spans="68:74" x14ac:dyDescent="0.25">
      <c r="BP58">
        <f t="shared" si="54"/>
        <v>400</v>
      </c>
      <c r="BQ58">
        <f t="shared" si="41"/>
        <v>5.9914645471079817</v>
      </c>
      <c r="BR58">
        <f t="shared" si="42"/>
        <v>0.61763593864421518</v>
      </c>
      <c r="BS58">
        <f t="shared" si="43"/>
        <v>0.9850015268695701</v>
      </c>
      <c r="BU58">
        <f t="shared" si="47"/>
        <v>3.6000000000000019</v>
      </c>
      <c r="BV58">
        <f t="shared" si="53"/>
        <v>0.51720010833631092</v>
      </c>
    </row>
    <row r="59" spans="68:74" x14ac:dyDescent="0.25">
      <c r="BP59">
        <f t="shared" si="54"/>
        <v>450</v>
      </c>
      <c r="BQ59">
        <f t="shared" si="41"/>
        <v>6.1092475827643655</v>
      </c>
      <c r="BR59">
        <f t="shared" si="42"/>
        <v>0.59362654672186865</v>
      </c>
      <c r="BS59">
        <f t="shared" si="43"/>
        <v>0.9899108493790626</v>
      </c>
      <c r="BU59">
        <f t="shared" si="47"/>
        <v>3.700000000000002</v>
      </c>
      <c r="BV59">
        <f t="shared" si="53"/>
        <v>0.51628408524317204</v>
      </c>
    </row>
    <row r="60" spans="68:74" x14ac:dyDescent="0.25">
      <c r="BP60">
        <f t="shared" si="54"/>
        <v>500</v>
      </c>
      <c r="BQ60">
        <f t="shared" si="41"/>
        <v>6.2146080984221914</v>
      </c>
      <c r="BR60">
        <f t="shared" si="42"/>
        <v>0.569851292413324</v>
      </c>
      <c r="BS60">
        <f t="shared" si="43"/>
        <v>0.99329595624928546</v>
      </c>
      <c r="BU60">
        <f t="shared" si="47"/>
        <v>3.800000000000002</v>
      </c>
      <c r="BV60">
        <f t="shared" si="53"/>
        <v>0.5153385130179966</v>
      </c>
    </row>
    <row r="61" spans="68:74" x14ac:dyDescent="0.25">
      <c r="BP61">
        <f t="shared" si="54"/>
        <v>550</v>
      </c>
      <c r="BQ61">
        <f t="shared" si="41"/>
        <v>6.3099182782265162</v>
      </c>
      <c r="BR61">
        <f t="shared" si="42"/>
        <v>0.54617525808218648</v>
      </c>
      <c r="BS61">
        <f t="shared" si="43"/>
        <v>0.99561427203877517</v>
      </c>
      <c r="BU61">
        <f t="shared" si="47"/>
        <v>3.9000000000000021</v>
      </c>
      <c r="BV61">
        <f t="shared" si="53"/>
        <v>0.51436193842478251</v>
      </c>
    </row>
    <row r="62" spans="68:74" x14ac:dyDescent="0.25">
      <c r="BP62">
        <f t="shared" si="54"/>
        <v>600</v>
      </c>
      <c r="BQ62">
        <f t="shared" si="41"/>
        <v>6.3969296552161463</v>
      </c>
      <c r="BR62">
        <f t="shared" si="42"/>
        <v>0.52248997636488048</v>
      </c>
      <c r="BS62">
        <f t="shared" si="43"/>
        <v>0.99718485288033465</v>
      </c>
      <c r="BU62">
        <f t="shared" si="47"/>
        <v>4.0000000000000018</v>
      </c>
      <c r="BV62">
        <f t="shared" si="53"/>
        <v>0.51335281134512789</v>
      </c>
    </row>
    <row r="63" spans="68:74" x14ac:dyDescent="0.25">
      <c r="BP63">
        <f t="shared" si="54"/>
        <v>650</v>
      </c>
      <c r="BQ63">
        <f t="shared" si="41"/>
        <v>6.4769723628896827</v>
      </c>
      <c r="BR63">
        <f t="shared" si="42"/>
        <v>0.49870504279401651</v>
      </c>
      <c r="BS63">
        <f t="shared" si="43"/>
        <v>0.99823331524566505</v>
      </c>
      <c r="BU63">
        <f t="shared" si="47"/>
        <v>4.1000000000000014</v>
      </c>
      <c r="BV63">
        <f t="shared" si="53"/>
        <v>0.51230947656785797</v>
      </c>
    </row>
    <row r="64" spans="68:74" x14ac:dyDescent="0.25">
      <c r="BP64">
        <f t="shared" si="54"/>
        <v>700</v>
      </c>
      <c r="BQ64">
        <f t="shared" si="41"/>
        <v>6.5510803350434044</v>
      </c>
      <c r="BR64">
        <f t="shared" si="42"/>
        <v>0.4747426555796147</v>
      </c>
      <c r="BS64">
        <f t="shared" si="43"/>
        <v>0.99892029773640656</v>
      </c>
      <c r="BU64">
        <f t="shared" si="47"/>
        <v>4.2000000000000011</v>
      </c>
      <c r="BV64">
        <f t="shared" si="53"/>
        <v>0.51123016472930283</v>
      </c>
    </row>
    <row r="65" spans="68:74" x14ac:dyDescent="0.25">
      <c r="BP65">
        <f t="shared" si="54"/>
        <v>750</v>
      </c>
      <c r="BQ65">
        <f t="shared" si="41"/>
        <v>6.620073206530356</v>
      </c>
      <c r="BR65">
        <f t="shared" si="42"/>
        <v>0.45053391098406859</v>
      </c>
      <c r="BS65">
        <f t="shared" si="43"/>
        <v>0.99936027059099286</v>
      </c>
      <c r="BU65">
        <f t="shared" si="47"/>
        <v>4.3000000000000007</v>
      </c>
      <c r="BV65">
        <f t="shared" si="53"/>
        <v>0.51011298229992119</v>
      </c>
    </row>
    <row r="66" spans="68:74" x14ac:dyDescent="0.25">
      <c r="BP66">
        <f t="shared" si="54"/>
        <v>800</v>
      </c>
      <c r="BQ66">
        <f t="shared" si="41"/>
        <v>6.6846117276679271</v>
      </c>
      <c r="BR66">
        <f t="shared" si="42"/>
        <v>0.42601619595390805</v>
      </c>
      <c r="BS66">
        <f t="shared" si="43"/>
        <v>0.99963441988520285</v>
      </c>
      <c r="BU66">
        <f t="shared" si="47"/>
        <v>4.4000000000000004</v>
      </c>
      <c r="BV66">
        <f t="shared" si="53"/>
        <v>0.50895590049806161</v>
      </c>
    </row>
    <row r="67" spans="68:74" x14ac:dyDescent="0.25">
      <c r="BP67">
        <f t="shared" si="54"/>
        <v>850</v>
      </c>
      <c r="BQ67">
        <f t="shared" si="41"/>
        <v>6.7452363494843626</v>
      </c>
      <c r="BR67">
        <f t="shared" si="42"/>
        <v>0.4011312899840046</v>
      </c>
      <c r="BS67">
        <f t="shared" si="43"/>
        <v>0.99979974338743116</v>
      </c>
      <c r="BU67">
        <f t="shared" si="47"/>
        <v>4.5</v>
      </c>
      <c r="BV67">
        <f t="shared" si="53"/>
        <v>0.50775674299431628</v>
      </c>
    </row>
    <row r="68" spans="68:74" x14ac:dyDescent="0.25">
      <c r="BP68">
        <f t="shared" si="54"/>
        <v>900</v>
      </c>
      <c r="BQ68">
        <f t="shared" si="41"/>
        <v>6.8023947633243109</v>
      </c>
      <c r="BR68">
        <f t="shared" si="42"/>
        <v>0.37582393798420943</v>
      </c>
      <c r="BS68">
        <f t="shared" si="43"/>
        <v>0.99989563236245727</v>
      </c>
      <c r="BU68">
        <f t="shared" si="47"/>
        <v>4.5999999999999996</v>
      </c>
      <c r="BV68">
        <f t="shared" si="53"/>
        <v>0.5065131722496915</v>
      </c>
    </row>
    <row r="69" spans="68:74" x14ac:dyDescent="0.25">
      <c r="BP69">
        <f t="shared" si="54"/>
        <v>950</v>
      </c>
      <c r="BQ69">
        <f t="shared" si="41"/>
        <v>6.8564619845945867</v>
      </c>
      <c r="BR69">
        <f t="shared" si="42"/>
        <v>0.35004074256376294</v>
      </c>
      <c r="BS69">
        <f t="shared" si="43"/>
        <v>0.9999487247922485</v>
      </c>
      <c r="BU69">
        <f t="shared" si="47"/>
        <v>4.6999999999999993</v>
      </c>
      <c r="BV69">
        <f t="shared" si="53"/>
        <v>0.50522267430715628</v>
      </c>
    </row>
    <row r="70" spans="68:74" x14ac:dyDescent="0.25">
      <c r="BP70">
        <f t="shared" si="54"/>
        <v>1000</v>
      </c>
      <c r="BQ70">
        <f t="shared" si="41"/>
        <v>6.9077552789821368</v>
      </c>
      <c r="BR70">
        <f t="shared" si="42"/>
        <v>0.32372927612893865</v>
      </c>
      <c r="BS70">
        <f t="shared" si="43"/>
        <v>0.99997652847943408</v>
      </c>
      <c r="BU70">
        <f t="shared" si="47"/>
        <v>4.7999999999999989</v>
      </c>
      <c r="BV70">
        <f t="shared" si="53"/>
        <v>0.50388254182836978</v>
      </c>
    </row>
    <row r="71" spans="68:74" x14ac:dyDescent="0.25">
      <c r="BP71">
        <f>BP70+100</f>
        <v>1100</v>
      </c>
      <c r="BQ71">
        <f t="shared" si="41"/>
        <v>7.0030654587864616</v>
      </c>
      <c r="BR71">
        <f t="shared" si="42"/>
        <v>0.26931236104985612</v>
      </c>
      <c r="BS71">
        <f t="shared" si="43"/>
        <v>0.99999627364404764</v>
      </c>
      <c r="BU71">
        <f t="shared" si="47"/>
        <v>4.8999999999999986</v>
      </c>
      <c r="BV71">
        <f t="shared" si="53"/>
        <v>0.50248985513472888</v>
      </c>
    </row>
    <row r="72" spans="68:74" x14ac:dyDescent="0.25">
      <c r="BP72">
        <f t="shared" ref="BP72:BP121" si="55">BP71+100</f>
        <v>1200</v>
      </c>
      <c r="BQ72">
        <f t="shared" si="41"/>
        <v>7.0900768357760917</v>
      </c>
      <c r="BR72">
        <f t="shared" si="42"/>
        <v>0.21214759125512084</v>
      </c>
      <c r="BS72">
        <f t="shared" si="43"/>
        <v>0.99999965715129369</v>
      </c>
      <c r="BU72">
        <f t="shared" si="47"/>
        <v>4.9999999999999982</v>
      </c>
      <c r="BV72">
        <f t="shared" si="53"/>
        <v>0.50104146097334235</v>
      </c>
    </row>
    <row r="73" spans="68:74" x14ac:dyDescent="0.25">
      <c r="BP73">
        <f t="shared" si="55"/>
        <v>1300</v>
      </c>
      <c r="BQ73">
        <f t="shared" si="41"/>
        <v>7.1701195434496281</v>
      </c>
      <c r="BR73">
        <f t="shared" si="42"/>
        <v>0.15178612941977676</v>
      </c>
      <c r="BS73">
        <f t="shared" si="43"/>
        <v>0.99999998794846601</v>
      </c>
      <c r="BU73">
        <f t="shared" si="47"/>
        <v>5.0999999999999979</v>
      </c>
      <c r="BV73">
        <f t="shared" si="53"/>
        <v>0.49953394868291962</v>
      </c>
    </row>
    <row r="74" spans="68:74" x14ac:dyDescent="0.25">
      <c r="BP74">
        <f t="shared" si="55"/>
        <v>1400</v>
      </c>
      <c r="BQ74">
        <f t="shared" si="41"/>
        <v>7.2442275156033498</v>
      </c>
      <c r="BR74">
        <f t="shared" si="42"/>
        <v>8.7740372980924741E-2</v>
      </c>
      <c r="BS74">
        <f t="shared" si="43"/>
        <v>0.9999999999497986</v>
      </c>
      <c r="BU74">
        <f t="shared" si="47"/>
        <v>5.1999999999999975</v>
      </c>
      <c r="BV74">
        <f t="shared" si="53"/>
        <v>0.49796362338039596</v>
      </c>
    </row>
    <row r="75" spans="68:74" x14ac:dyDescent="0.25">
      <c r="BP75">
        <f t="shared" si="55"/>
        <v>1500</v>
      </c>
      <c r="BQ75">
        <f t="shared" si="41"/>
        <v>7.3132203870903014</v>
      </c>
      <c r="BR75">
        <f t="shared" si="42"/>
        <v>1.9468474626479715E-2</v>
      </c>
      <c r="BS75">
        <f t="shared" si="43"/>
        <v>1</v>
      </c>
      <c r="BU75">
        <f t="shared" si="47"/>
        <v>5.2999999999999972</v>
      </c>
      <c r="BV75">
        <f t="shared" si="53"/>
        <v>0.49632647572457345</v>
      </c>
    </row>
    <row r="76" spans="68:74" x14ac:dyDescent="0.25">
      <c r="BP76">
        <f t="shared" si="55"/>
        <v>1600</v>
      </c>
      <c r="BQ76">
        <f t="shared" si="41"/>
        <v>7.3777589082278725</v>
      </c>
      <c r="BR76">
        <f t="shared" si="42"/>
        <v>0</v>
      </c>
      <c r="BS76">
        <f t="shared" si="43"/>
        <v>1</v>
      </c>
      <c r="BU76">
        <f t="shared" si="47"/>
        <v>5.3999999999999968</v>
      </c>
      <c r="BV76">
        <f t="shared" si="53"/>
        <v>0.49461814773588902</v>
      </c>
    </row>
    <row r="77" spans="68:74" x14ac:dyDescent="0.25">
      <c r="BP77">
        <f t="shared" si="55"/>
        <v>1700</v>
      </c>
      <c r="BQ77">
        <f t="shared" si="41"/>
        <v>7.4383835300443071</v>
      </c>
      <c r="BR77">
        <f t="shared" si="42"/>
        <v>0</v>
      </c>
      <c r="BS77">
        <f t="shared" si="43"/>
        <v>1</v>
      </c>
      <c r="BU77">
        <f t="shared" si="47"/>
        <v>5.4999999999999964</v>
      </c>
      <c r="BV77">
        <f t="shared" si="53"/>
        <v>0.49283389405881867</v>
      </c>
    </row>
    <row r="78" spans="68:74" x14ac:dyDescent="0.25">
      <c r="BP78">
        <f t="shared" si="55"/>
        <v>1800</v>
      </c>
      <c r="BQ78">
        <f t="shared" si="41"/>
        <v>7.4955419438842563</v>
      </c>
      <c r="BR78">
        <f t="shared" si="42"/>
        <v>0</v>
      </c>
      <c r="BS78">
        <f t="shared" si="43"/>
        <v>1</v>
      </c>
      <c r="BU78">
        <f t="shared" si="47"/>
        <v>5.5999999999999961</v>
      </c>
      <c r="BV78">
        <f t="shared" si="53"/>
        <v>0.49096853794188144</v>
      </c>
    </row>
    <row r="79" spans="68:74" x14ac:dyDescent="0.25">
      <c r="BP79">
        <f t="shared" si="55"/>
        <v>1900</v>
      </c>
      <c r="BQ79">
        <f t="shared" si="41"/>
        <v>7.5496091651545321</v>
      </c>
      <c r="BR79">
        <f t="shared" si="42"/>
        <v>0</v>
      </c>
      <c r="BS79">
        <f t="shared" si="43"/>
        <v>1</v>
      </c>
      <c r="BU79">
        <f t="shared" si="47"/>
        <v>5.6999999999999957</v>
      </c>
      <c r="BV79">
        <f t="shared" si="53"/>
        <v>0.48901642107531929</v>
      </c>
    </row>
    <row r="80" spans="68:74" x14ac:dyDescent="0.25">
      <c r="BP80">
        <f t="shared" si="55"/>
        <v>2000</v>
      </c>
      <c r="BQ80">
        <f t="shared" si="41"/>
        <v>7.6009024595420822</v>
      </c>
      <c r="BR80">
        <f t="shared" si="42"/>
        <v>0</v>
      </c>
      <c r="BS80">
        <f t="shared" si="43"/>
        <v>1</v>
      </c>
      <c r="BU80">
        <f t="shared" si="47"/>
        <v>5.7999999999999954</v>
      </c>
      <c r="BV80">
        <f t="shared" si="53"/>
        <v>0.48697134626273031</v>
      </c>
    </row>
    <row r="81" spans="68:74" x14ac:dyDescent="0.25">
      <c r="BP81">
        <f t="shared" si="55"/>
        <v>2100</v>
      </c>
      <c r="BQ81">
        <f t="shared" si="41"/>
        <v>7.6496926237115144</v>
      </c>
      <c r="BR81">
        <f t="shared" si="42"/>
        <v>0</v>
      </c>
      <c r="BS81">
        <f t="shared" si="43"/>
        <v>1</v>
      </c>
      <c r="BU81">
        <f t="shared" si="47"/>
        <v>5.899999999999995</v>
      </c>
      <c r="BV81">
        <f t="shared" si="53"/>
        <v>0.4848265117031858</v>
      </c>
    </row>
    <row r="82" spans="68:74" x14ac:dyDescent="0.25">
      <c r="BP82">
        <f t="shared" si="55"/>
        <v>2200</v>
      </c>
      <c r="BQ82">
        <f t="shared" si="41"/>
        <v>7.696212639346407</v>
      </c>
      <c r="BR82">
        <f t="shared" si="42"/>
        <v>0</v>
      </c>
      <c r="BS82">
        <f t="shared" si="43"/>
        <v>1</v>
      </c>
      <c r="BU82">
        <f t="shared" si="47"/>
        <v>5.9999999999999947</v>
      </c>
      <c r="BV82">
        <f t="shared" si="53"/>
        <v>0.48257443541566403</v>
      </c>
    </row>
    <row r="83" spans="68:74" x14ac:dyDescent="0.25">
      <c r="BP83">
        <f t="shared" si="55"/>
        <v>2300</v>
      </c>
      <c r="BQ83">
        <f t="shared" si="41"/>
        <v>7.7406644019172415</v>
      </c>
      <c r="BR83">
        <f t="shared" si="42"/>
        <v>0</v>
      </c>
      <c r="BS83">
        <f t="shared" si="43"/>
        <v>1</v>
      </c>
      <c r="BU83">
        <f t="shared" si="47"/>
        <v>6.0999999999999943</v>
      </c>
      <c r="BV83">
        <f t="shared" si="53"/>
        <v>0.4802068680364745</v>
      </c>
    </row>
    <row r="84" spans="68:74" x14ac:dyDescent="0.25">
      <c r="BP84">
        <f t="shared" si="55"/>
        <v>2400</v>
      </c>
      <c r="BQ84">
        <f t="shared" si="41"/>
        <v>7.7832240163360371</v>
      </c>
      <c r="BR84">
        <f t="shared" si="42"/>
        <v>0</v>
      </c>
      <c r="BS84">
        <f t="shared" si="43"/>
        <v>1</v>
      </c>
      <c r="BU84">
        <f t="shared" si="47"/>
        <v>6.199999999999994</v>
      </c>
      <c r="BV84">
        <f t="shared" si="53"/>
        <v>0.47771469184785398</v>
      </c>
    </row>
    <row r="85" spans="68:74" x14ac:dyDescent="0.25">
      <c r="BP85">
        <f t="shared" si="55"/>
        <v>2500</v>
      </c>
      <c r="BQ85">
        <f t="shared" si="41"/>
        <v>7.8240460108562919</v>
      </c>
      <c r="BR85">
        <f t="shared" si="42"/>
        <v>0</v>
      </c>
      <c r="BS85">
        <f t="shared" si="43"/>
        <v>1</v>
      </c>
      <c r="BU85">
        <f t="shared" si="47"/>
        <v>6.2999999999999936</v>
      </c>
      <c r="BV85">
        <f t="shared" si="53"/>
        <v>0.47508780343282148</v>
      </c>
    </row>
    <row r="86" spans="68:74" x14ac:dyDescent="0.25">
      <c r="BP86">
        <f t="shared" si="55"/>
        <v>2600</v>
      </c>
      <c r="BQ86">
        <f t="shared" si="41"/>
        <v>7.8632667240095735</v>
      </c>
      <c r="BR86">
        <f t="shared" si="42"/>
        <v>0</v>
      </c>
      <c r="BS86">
        <f t="shared" si="43"/>
        <v>1</v>
      </c>
      <c r="BU86">
        <f t="shared" si="47"/>
        <v>6.3999999999999932</v>
      </c>
      <c r="BV86">
        <f t="shared" ref="BV86:BV117" si="56">MAX(0,($BG$16+1/($BG$17*$BG$18))-1/((10-BU86) * $BG$18))</f>
        <v>0.47231497677250944</v>
      </c>
    </row>
    <row r="87" spans="68:74" x14ac:dyDescent="0.25">
      <c r="BP87">
        <f t="shared" si="55"/>
        <v>2700</v>
      </c>
      <c r="BQ87">
        <f t="shared" ref="BQ87:BQ121" si="57">LN(BP87)</f>
        <v>7.90100705199242</v>
      </c>
      <c r="BR87">
        <f t="shared" ref="BR87:BR121" si="58">MAX(0,(0.94+1/(8.3*0.97))-1/((8.3-MIN(8.2,BQ87)) * 0.97))</f>
        <v>0</v>
      </c>
      <c r="BS87">
        <f t="shared" ref="BS87:BS121" si="59">1-(BR87/0.94)^10</f>
        <v>1</v>
      </c>
      <c r="BU87">
        <f t="shared" si="47"/>
        <v>6.4999999999999929</v>
      </c>
      <c r="BV87">
        <f t="shared" si="56"/>
        <v>0.46938370287446529</v>
      </c>
    </row>
    <row r="88" spans="68:74" x14ac:dyDescent="0.25">
      <c r="BP88">
        <f t="shared" si="55"/>
        <v>2800</v>
      </c>
      <c r="BQ88">
        <f t="shared" si="57"/>
        <v>7.9373746961632952</v>
      </c>
      <c r="BR88">
        <f t="shared" si="58"/>
        <v>0</v>
      </c>
      <c r="BS88">
        <f t="shared" si="59"/>
        <v>1</v>
      </c>
      <c r="BU88">
        <f t="shared" ref="BU88:BU96" si="60">BU87+0.1</f>
        <v>6.5999999999999925</v>
      </c>
      <c r="BV88">
        <f t="shared" si="56"/>
        <v>0.46628000110006557</v>
      </c>
    </row>
    <row r="89" spans="68:74" x14ac:dyDescent="0.25">
      <c r="BP89">
        <f t="shared" si="55"/>
        <v>2900</v>
      </c>
      <c r="BQ89">
        <f t="shared" si="57"/>
        <v>7.9724660159745655</v>
      </c>
      <c r="BR89">
        <f t="shared" si="58"/>
        <v>0</v>
      </c>
      <c r="BS89">
        <f t="shared" si="59"/>
        <v>1</v>
      </c>
      <c r="BU89">
        <f t="shared" si="60"/>
        <v>6.6999999999999922</v>
      </c>
      <c r="BV89">
        <f t="shared" si="56"/>
        <v>0.46298819618782344</v>
      </c>
    </row>
    <row r="90" spans="68:74" x14ac:dyDescent="0.25">
      <c r="BP90">
        <f t="shared" si="55"/>
        <v>3000</v>
      </c>
      <c r="BQ90">
        <f t="shared" si="57"/>
        <v>8.0063675676502459</v>
      </c>
      <c r="BR90">
        <f t="shared" si="58"/>
        <v>0</v>
      </c>
      <c r="BS90">
        <f t="shared" si="59"/>
        <v>1</v>
      </c>
      <c r="BU90">
        <f t="shared" si="60"/>
        <v>6.7999999999999918</v>
      </c>
      <c r="BV90">
        <f t="shared" si="56"/>
        <v>0.45949065346856621</v>
      </c>
    </row>
    <row r="91" spans="68:74" x14ac:dyDescent="0.25">
      <c r="BP91">
        <f t="shared" si="55"/>
        <v>3100</v>
      </c>
      <c r="BQ91">
        <f t="shared" si="57"/>
        <v>8.0391573904732372</v>
      </c>
      <c r="BR91">
        <f t="shared" si="58"/>
        <v>0</v>
      </c>
      <c r="BS91">
        <f t="shared" si="59"/>
        <v>1</v>
      </c>
      <c r="BU91">
        <f t="shared" si="60"/>
        <v>6.8999999999999915</v>
      </c>
      <c r="BV91">
        <f t="shared" si="56"/>
        <v>0.45576746283193753</v>
      </c>
    </row>
    <row r="92" spans="68:74" x14ac:dyDescent="0.25">
      <c r="BP92">
        <f t="shared" si="55"/>
        <v>3200</v>
      </c>
      <c r="BQ92">
        <f t="shared" si="57"/>
        <v>8.0709060887878188</v>
      </c>
      <c r="BR92">
        <f t="shared" si="58"/>
        <v>0</v>
      </c>
      <c r="BS92">
        <f t="shared" si="59"/>
        <v>1</v>
      </c>
      <c r="BU92">
        <f t="shared" si="60"/>
        <v>6.9999999999999911</v>
      </c>
      <c r="BV92">
        <f t="shared" si="56"/>
        <v>0.45179605948620027</v>
      </c>
    </row>
    <row r="93" spans="68:74" x14ac:dyDescent="0.25">
      <c r="BP93">
        <f t="shared" si="55"/>
        <v>3300</v>
      </c>
      <c r="BQ93">
        <f t="shared" si="57"/>
        <v>8.1016777474545716</v>
      </c>
      <c r="BR93">
        <f t="shared" si="58"/>
        <v>0</v>
      </c>
      <c r="BS93">
        <f t="shared" si="59"/>
        <v>1</v>
      </c>
      <c r="BU93">
        <f t="shared" si="60"/>
        <v>7.0999999999999908</v>
      </c>
      <c r="BV93">
        <f t="shared" si="56"/>
        <v>0.44755076625455009</v>
      </c>
    </row>
    <row r="94" spans="68:74" x14ac:dyDescent="0.25">
      <c r="BP94">
        <f t="shared" si="55"/>
        <v>3400</v>
      </c>
      <c r="BQ94">
        <f t="shared" si="57"/>
        <v>8.1315307106042525</v>
      </c>
      <c r="BR94">
        <f t="shared" si="58"/>
        <v>0</v>
      </c>
      <c r="BS94">
        <f t="shared" si="59"/>
        <v>1</v>
      </c>
      <c r="BU94">
        <f t="shared" si="60"/>
        <v>7.1999999999999904</v>
      </c>
      <c r="BV94">
        <f t="shared" si="56"/>
        <v>0.44300223779206782</v>
      </c>
    </row>
    <row r="95" spans="68:74" x14ac:dyDescent="0.25">
      <c r="BP95">
        <f t="shared" si="55"/>
        <v>3500</v>
      </c>
      <c r="BQ95">
        <f t="shared" si="57"/>
        <v>8.1605182474775049</v>
      </c>
      <c r="BR95">
        <f t="shared" si="58"/>
        <v>0</v>
      </c>
      <c r="BS95">
        <f t="shared" si="59"/>
        <v>1</v>
      </c>
      <c r="BU95">
        <f t="shared" si="60"/>
        <v>7.2999999999999901</v>
      </c>
      <c r="BV95">
        <f t="shared" si="56"/>
        <v>0.4381167812953275</v>
      </c>
    </row>
    <row r="96" spans="68:74" x14ac:dyDescent="0.25">
      <c r="BP96">
        <f t="shared" si="55"/>
        <v>3600</v>
      </c>
      <c r="BQ96">
        <f t="shared" si="57"/>
        <v>8.1886891244442008</v>
      </c>
      <c r="BR96">
        <f t="shared" si="58"/>
        <v>0</v>
      </c>
      <c r="BS96">
        <f t="shared" si="59"/>
        <v>1</v>
      </c>
      <c r="BU96">
        <f t="shared" si="60"/>
        <v>7.3999999999999897</v>
      </c>
      <c r="BV96">
        <f t="shared" si="56"/>
        <v>0.43285552045268416</v>
      </c>
    </row>
    <row r="97" spans="68:74" x14ac:dyDescent="0.25">
      <c r="BP97">
        <f t="shared" si="55"/>
        <v>3700</v>
      </c>
      <c r="BQ97">
        <f t="shared" si="57"/>
        <v>8.2160880986323157</v>
      </c>
      <c r="BR97">
        <f t="shared" si="58"/>
        <v>0</v>
      </c>
      <c r="BS97">
        <f t="shared" si="59"/>
        <v>1</v>
      </c>
      <c r="BU97">
        <v>7.49</v>
      </c>
      <c r="BV97">
        <f t="shared" si="56"/>
        <v>0.42776194919865029</v>
      </c>
    </row>
    <row r="98" spans="68:74" x14ac:dyDescent="0.25">
      <c r="BP98">
        <f t="shared" si="55"/>
        <v>3800</v>
      </c>
      <c r="BQ98">
        <f t="shared" si="57"/>
        <v>8.2427563457144775</v>
      </c>
      <c r="BR98">
        <f t="shared" si="58"/>
        <v>0</v>
      </c>
      <c r="BS98">
        <f t="shared" si="59"/>
        <v>1</v>
      </c>
    </row>
    <row r="99" spans="68:74" x14ac:dyDescent="0.25">
      <c r="BP99">
        <f t="shared" si="55"/>
        <v>3900</v>
      </c>
      <c r="BQ99">
        <f t="shared" si="57"/>
        <v>8.2687318321177372</v>
      </c>
      <c r="BR99">
        <f t="shared" si="58"/>
        <v>0</v>
      </c>
      <c r="BS99">
        <f t="shared" si="59"/>
        <v>1</v>
      </c>
    </row>
    <row r="100" spans="68:74" x14ac:dyDescent="0.25">
      <c r="BP100">
        <f t="shared" si="55"/>
        <v>4000</v>
      </c>
      <c r="BQ100">
        <f t="shared" si="57"/>
        <v>8.2940496401020276</v>
      </c>
      <c r="BR100">
        <f t="shared" si="58"/>
        <v>0</v>
      </c>
      <c r="BS100">
        <f t="shared" si="59"/>
        <v>1</v>
      </c>
    </row>
    <row r="101" spans="68:74" x14ac:dyDescent="0.25">
      <c r="BP101">
        <f t="shared" si="55"/>
        <v>4100</v>
      </c>
      <c r="BQ101">
        <f t="shared" si="57"/>
        <v>8.3187422526923989</v>
      </c>
      <c r="BR101">
        <f t="shared" si="58"/>
        <v>0</v>
      </c>
      <c r="BS101">
        <f t="shared" si="59"/>
        <v>1</v>
      </c>
    </row>
    <row r="102" spans="68:74" x14ac:dyDescent="0.25">
      <c r="BP102">
        <f t="shared" si="55"/>
        <v>4200</v>
      </c>
      <c r="BQ102">
        <f t="shared" si="57"/>
        <v>8.3428398042714598</v>
      </c>
      <c r="BR102">
        <f t="shared" si="58"/>
        <v>0</v>
      </c>
      <c r="BS102">
        <f t="shared" si="59"/>
        <v>1</v>
      </c>
    </row>
    <row r="103" spans="68:74" x14ac:dyDescent="0.25">
      <c r="BP103">
        <f t="shared" si="55"/>
        <v>4300</v>
      </c>
      <c r="BQ103">
        <f t="shared" si="57"/>
        <v>8.3663703016816537</v>
      </c>
      <c r="BR103">
        <f t="shared" si="58"/>
        <v>0</v>
      </c>
      <c r="BS103">
        <f t="shared" si="59"/>
        <v>1</v>
      </c>
    </row>
    <row r="104" spans="68:74" x14ac:dyDescent="0.25">
      <c r="BP104">
        <f t="shared" si="55"/>
        <v>4400</v>
      </c>
      <c r="BQ104">
        <f t="shared" si="57"/>
        <v>8.3893598199063533</v>
      </c>
      <c r="BR104">
        <f t="shared" si="58"/>
        <v>0</v>
      </c>
      <c r="BS104">
        <f t="shared" si="59"/>
        <v>1</v>
      </c>
    </row>
    <row r="105" spans="68:74" x14ac:dyDescent="0.25">
      <c r="BP105">
        <f t="shared" si="55"/>
        <v>4500</v>
      </c>
      <c r="BQ105">
        <f t="shared" si="57"/>
        <v>8.4118326757584114</v>
      </c>
      <c r="BR105">
        <f t="shared" si="58"/>
        <v>0</v>
      </c>
      <c r="BS105">
        <f t="shared" si="59"/>
        <v>1</v>
      </c>
    </row>
    <row r="106" spans="68:74" x14ac:dyDescent="0.25">
      <c r="BP106">
        <f t="shared" si="55"/>
        <v>4600</v>
      </c>
      <c r="BQ106">
        <f t="shared" si="57"/>
        <v>8.4338115824771869</v>
      </c>
      <c r="BR106">
        <f t="shared" si="58"/>
        <v>0</v>
      </c>
      <c r="BS106">
        <f t="shared" si="59"/>
        <v>1</v>
      </c>
    </row>
    <row r="107" spans="68:74" x14ac:dyDescent="0.25">
      <c r="BP107">
        <f t="shared" si="55"/>
        <v>4700</v>
      </c>
      <c r="BQ107">
        <f t="shared" si="57"/>
        <v>8.4553177876981493</v>
      </c>
      <c r="BR107">
        <f t="shared" si="58"/>
        <v>0</v>
      </c>
      <c r="BS107">
        <f t="shared" si="59"/>
        <v>1</v>
      </c>
    </row>
    <row r="108" spans="68:74" x14ac:dyDescent="0.25">
      <c r="BP108">
        <f t="shared" si="55"/>
        <v>4800</v>
      </c>
      <c r="BQ108">
        <f t="shared" si="57"/>
        <v>8.4763711968959825</v>
      </c>
      <c r="BR108">
        <f t="shared" si="58"/>
        <v>0</v>
      </c>
      <c r="BS108">
        <f t="shared" si="59"/>
        <v>1</v>
      </c>
    </row>
    <row r="109" spans="68:74" x14ac:dyDescent="0.25">
      <c r="BP109">
        <f t="shared" si="55"/>
        <v>4900</v>
      </c>
      <c r="BQ109">
        <f t="shared" si="57"/>
        <v>8.4969904840987187</v>
      </c>
      <c r="BR109">
        <f t="shared" si="58"/>
        <v>0</v>
      </c>
      <c r="BS109">
        <f t="shared" si="59"/>
        <v>1</v>
      </c>
    </row>
    <row r="110" spans="68:74" x14ac:dyDescent="0.25">
      <c r="BP110">
        <f t="shared" si="55"/>
        <v>5000</v>
      </c>
      <c r="BQ110">
        <f t="shared" si="57"/>
        <v>8.5171931914162382</v>
      </c>
      <c r="BR110">
        <f t="shared" si="58"/>
        <v>0</v>
      </c>
      <c r="BS110">
        <f t="shared" si="59"/>
        <v>1</v>
      </c>
    </row>
    <row r="111" spans="68:74" x14ac:dyDescent="0.25">
      <c r="BP111">
        <f t="shared" si="55"/>
        <v>5100</v>
      </c>
      <c r="BQ111">
        <f t="shared" si="57"/>
        <v>8.536995818712418</v>
      </c>
      <c r="BR111">
        <f t="shared" si="58"/>
        <v>0</v>
      </c>
      <c r="BS111">
        <f t="shared" si="59"/>
        <v>1</v>
      </c>
    </row>
    <row r="112" spans="68:74" x14ac:dyDescent="0.25">
      <c r="BP112">
        <f t="shared" si="55"/>
        <v>5200</v>
      </c>
      <c r="BQ112">
        <f t="shared" si="57"/>
        <v>8.5564139045695189</v>
      </c>
      <c r="BR112">
        <f t="shared" si="58"/>
        <v>0</v>
      </c>
      <c r="BS112">
        <f t="shared" si="59"/>
        <v>1</v>
      </c>
    </row>
    <row r="113" spans="68:71" x14ac:dyDescent="0.25">
      <c r="BP113">
        <f t="shared" si="55"/>
        <v>5300</v>
      </c>
      <c r="BQ113">
        <f t="shared" si="57"/>
        <v>8.5754620995402124</v>
      </c>
      <c r="BR113">
        <f t="shared" si="58"/>
        <v>0</v>
      </c>
      <c r="BS113">
        <f t="shared" si="59"/>
        <v>1</v>
      </c>
    </row>
    <row r="114" spans="68:71" x14ac:dyDescent="0.25">
      <c r="BP114">
        <f t="shared" si="55"/>
        <v>5400</v>
      </c>
      <c r="BQ114">
        <f t="shared" si="57"/>
        <v>8.5941542325523663</v>
      </c>
      <c r="BR114">
        <f t="shared" si="58"/>
        <v>0</v>
      </c>
      <c r="BS114">
        <f t="shared" si="59"/>
        <v>1</v>
      </c>
    </row>
    <row r="115" spans="68:71" x14ac:dyDescent="0.25">
      <c r="BP115">
        <f t="shared" si="55"/>
        <v>5500</v>
      </c>
      <c r="BQ115">
        <f t="shared" si="57"/>
        <v>8.6125033712205621</v>
      </c>
      <c r="BR115">
        <f t="shared" si="58"/>
        <v>0</v>
      </c>
      <c r="BS115">
        <f t="shared" si="59"/>
        <v>1</v>
      </c>
    </row>
    <row r="116" spans="68:71" x14ac:dyDescent="0.25">
      <c r="BP116">
        <f t="shared" si="55"/>
        <v>5600</v>
      </c>
      <c r="BQ116">
        <f t="shared" si="57"/>
        <v>8.6305218767232414</v>
      </c>
      <c r="BR116">
        <f t="shared" si="58"/>
        <v>0</v>
      </c>
      <c r="BS116">
        <f t="shared" si="59"/>
        <v>1</v>
      </c>
    </row>
    <row r="117" spans="68:71" x14ac:dyDescent="0.25">
      <c r="BP117">
        <f t="shared" si="55"/>
        <v>5700</v>
      </c>
      <c r="BQ117">
        <f t="shared" si="57"/>
        <v>8.6482214538226412</v>
      </c>
      <c r="BR117">
        <f t="shared" si="58"/>
        <v>0</v>
      </c>
      <c r="BS117">
        <f t="shared" si="59"/>
        <v>1</v>
      </c>
    </row>
    <row r="118" spans="68:71" x14ac:dyDescent="0.25">
      <c r="BP118">
        <f t="shared" si="55"/>
        <v>5800</v>
      </c>
      <c r="BQ118">
        <f t="shared" si="57"/>
        <v>8.66561319653451</v>
      </c>
      <c r="BR118">
        <f t="shared" si="58"/>
        <v>0</v>
      </c>
      <c r="BS118">
        <f t="shared" si="59"/>
        <v>1</v>
      </c>
    </row>
    <row r="119" spans="68:71" x14ac:dyDescent="0.25">
      <c r="BP119">
        <f t="shared" si="55"/>
        <v>5900</v>
      </c>
      <c r="BQ119">
        <f t="shared" si="57"/>
        <v>8.6827076298938106</v>
      </c>
      <c r="BR119">
        <f t="shared" si="58"/>
        <v>0</v>
      </c>
      <c r="BS119">
        <f t="shared" si="59"/>
        <v>1</v>
      </c>
    </row>
    <row r="120" spans="68:71" x14ac:dyDescent="0.25">
      <c r="BP120">
        <f t="shared" si="55"/>
        <v>6000</v>
      </c>
      <c r="BQ120">
        <f t="shared" si="57"/>
        <v>8.6995147482101913</v>
      </c>
      <c r="BR120">
        <f t="shared" si="58"/>
        <v>0</v>
      </c>
      <c r="BS120">
        <f t="shared" si="59"/>
        <v>1</v>
      </c>
    </row>
    <row r="121" spans="68:71" x14ac:dyDescent="0.25">
      <c r="BP121">
        <f t="shared" si="55"/>
        <v>6100</v>
      </c>
      <c r="BQ121">
        <f t="shared" si="57"/>
        <v>8.7160440501614023</v>
      </c>
      <c r="BR121">
        <f t="shared" si="58"/>
        <v>0</v>
      </c>
      <c r="BS121">
        <f t="shared" si="59"/>
        <v>1</v>
      </c>
    </row>
  </sheetData>
  <mergeCells count="8">
    <mergeCell ref="AE1:AR1"/>
    <mergeCell ref="C2:J2"/>
    <mergeCell ref="AF2:AK2"/>
    <mergeCell ref="AY2:BD2"/>
    <mergeCell ref="Q2:V2"/>
    <mergeCell ref="AS2:AX2"/>
    <mergeCell ref="K2:P2"/>
    <mergeCell ref="AM2:AR2"/>
  </mergeCells>
  <pageMargins left="0.7" right="0.7" top="0.75" bottom="0.75" header="0.3" footer="0.3"/>
  <pageSetup orientation="portrait" horizontalDpi="4294967293" verticalDpi="0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ECFB2-91C2-4826-996E-963E3B6F6826}">
  <dimension ref="A1:BV121"/>
  <sheetViews>
    <sheetView topLeftCell="AS6" workbookViewId="0">
      <selection activeCell="BE38" sqref="BE38:BM38"/>
    </sheetView>
  </sheetViews>
  <sheetFormatPr defaultRowHeight="15" x14ac:dyDescent="0.25"/>
  <cols>
    <col min="2" max="2" width="2.7109375" customWidth="1"/>
    <col min="3" max="3" width="9.140625" style="13"/>
    <col min="4" max="10" width="6.42578125" customWidth="1"/>
    <col min="11" max="11" width="6.42578125" style="13" customWidth="1"/>
    <col min="12" max="12" width="6.42578125" customWidth="1"/>
    <col min="16" max="16" width="6.140625" customWidth="1"/>
    <col min="17" max="17" width="6.42578125" style="13" customWidth="1"/>
    <col min="18" max="18" width="6.42578125" customWidth="1"/>
    <col min="22" max="22" width="6.140625" customWidth="1"/>
    <col min="23" max="23" width="9.28515625" style="13" customWidth="1"/>
    <col min="24" max="27" width="9.28515625" style="6" customWidth="1"/>
    <col min="28" max="28" width="9.28515625" style="2" customWidth="1"/>
    <col min="29" max="29" width="7.140625" style="2" customWidth="1"/>
    <col min="31" max="31" width="9.140625" style="13"/>
    <col min="32" max="38" width="6" customWidth="1"/>
    <col min="39" max="39" width="9.140625" style="13"/>
    <col min="45" max="45" width="9.140625" style="13"/>
    <col min="51" max="51" width="9.5703125" style="13" customWidth="1"/>
    <col min="52" max="52" width="9.5703125" style="6" customWidth="1"/>
    <col min="53" max="55" width="9.140625" style="6"/>
    <col min="56" max="56" width="9.140625" style="2"/>
  </cols>
  <sheetData>
    <row r="1" spans="1:66" x14ac:dyDescent="0.25">
      <c r="A1" s="19" t="s">
        <v>46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24"/>
      <c r="R1" s="24"/>
      <c r="S1" s="24"/>
      <c r="T1" s="24"/>
      <c r="U1" s="24"/>
      <c r="V1" s="24"/>
      <c r="W1" s="22"/>
      <c r="X1" s="23"/>
      <c r="Y1" s="23"/>
      <c r="Z1" s="23"/>
      <c r="AA1" s="23"/>
      <c r="AB1" s="20"/>
      <c r="AC1" s="16"/>
      <c r="AD1" s="17"/>
      <c r="AE1" s="39" t="s">
        <v>47</v>
      </c>
      <c r="AF1" s="39"/>
      <c r="AG1" s="39"/>
      <c r="AH1" s="39"/>
      <c r="AI1" s="39"/>
      <c r="AJ1" s="39"/>
      <c r="AK1" s="39"/>
      <c r="AL1" s="39"/>
      <c r="AM1" s="39"/>
      <c r="AN1" s="39"/>
      <c r="AO1" s="39"/>
      <c r="AP1" s="39"/>
      <c r="AQ1" s="39"/>
      <c r="AR1" s="39"/>
      <c r="AS1" s="27"/>
      <c r="AT1" s="27"/>
      <c r="AU1" s="27"/>
      <c r="AV1" s="27"/>
      <c r="AW1" s="27"/>
      <c r="AX1" s="27"/>
    </row>
    <row r="2" spans="1:66" x14ac:dyDescent="0.25">
      <c r="A2" s="19"/>
      <c r="B2" s="19"/>
      <c r="C2" s="40" t="s">
        <v>87</v>
      </c>
      <c r="D2" s="34"/>
      <c r="E2" s="34"/>
      <c r="F2" s="34"/>
      <c r="G2" s="34"/>
      <c r="H2" s="34"/>
      <c r="I2" s="34"/>
      <c r="J2" s="35"/>
      <c r="K2" s="40" t="s">
        <v>183</v>
      </c>
      <c r="L2" s="41"/>
      <c r="M2" s="41"/>
      <c r="N2" s="41"/>
      <c r="O2" s="41"/>
      <c r="P2" s="35"/>
      <c r="Q2" s="40" t="s">
        <v>182</v>
      </c>
      <c r="R2" s="41"/>
      <c r="S2" s="41"/>
      <c r="T2" s="41"/>
      <c r="U2" s="41"/>
      <c r="V2" s="35"/>
      <c r="W2" s="22" t="s">
        <v>141</v>
      </c>
      <c r="X2" s="23"/>
      <c r="Y2" s="23"/>
      <c r="Z2" s="23"/>
      <c r="AA2" s="23"/>
      <c r="AB2" s="20"/>
      <c r="AC2" s="20"/>
      <c r="AE2" s="21"/>
      <c r="AF2" s="34" t="s">
        <v>87</v>
      </c>
      <c r="AG2" s="34"/>
      <c r="AH2" s="34"/>
      <c r="AI2" s="34"/>
      <c r="AJ2" s="34"/>
      <c r="AK2" s="34"/>
      <c r="AL2" s="19"/>
      <c r="AM2" s="42" t="s">
        <v>180</v>
      </c>
      <c r="AN2" s="37"/>
      <c r="AO2" s="37"/>
      <c r="AP2" s="37"/>
      <c r="AQ2" s="37"/>
      <c r="AR2" s="38"/>
      <c r="AS2" s="42" t="s">
        <v>181</v>
      </c>
      <c r="AT2" s="37"/>
      <c r="AU2" s="37"/>
      <c r="AV2" s="37"/>
      <c r="AW2" s="37"/>
      <c r="AX2" s="38"/>
      <c r="AY2" s="40" t="s">
        <v>141</v>
      </c>
      <c r="AZ2" s="41"/>
      <c r="BA2" s="41"/>
      <c r="BB2" s="41"/>
      <c r="BC2" s="41"/>
      <c r="BD2" s="35"/>
    </row>
    <row r="3" spans="1:66" x14ac:dyDescent="0.25">
      <c r="A3" t="s">
        <v>0</v>
      </c>
      <c r="B3" t="s">
        <v>86</v>
      </c>
      <c r="C3" s="13" t="s">
        <v>40</v>
      </c>
      <c r="D3">
        <v>1</v>
      </c>
      <c r="E3">
        <v>2</v>
      </c>
      <c r="F3">
        <v>3</v>
      </c>
      <c r="G3">
        <v>4</v>
      </c>
      <c r="H3">
        <v>5</v>
      </c>
      <c r="I3">
        <v>6</v>
      </c>
      <c r="J3">
        <v>7</v>
      </c>
      <c r="K3" s="13" t="s">
        <v>39</v>
      </c>
      <c r="L3" t="s">
        <v>41</v>
      </c>
      <c r="M3" t="s">
        <v>42</v>
      </c>
      <c r="N3" t="s">
        <v>43</v>
      </c>
      <c r="O3" t="s">
        <v>44</v>
      </c>
      <c r="P3" t="s">
        <v>88</v>
      </c>
      <c r="Q3" s="13" t="s">
        <v>39</v>
      </c>
      <c r="R3" t="s">
        <v>41</v>
      </c>
      <c r="S3" t="s">
        <v>42</v>
      </c>
      <c r="T3" t="s">
        <v>43</v>
      </c>
      <c r="U3" t="s">
        <v>44</v>
      </c>
      <c r="V3" t="s">
        <v>88</v>
      </c>
      <c r="W3" s="13" t="s">
        <v>174</v>
      </c>
      <c r="X3" s="6" t="s">
        <v>175</v>
      </c>
      <c r="Y3" s="6" t="s">
        <v>146</v>
      </c>
      <c r="Z3" s="6" t="s">
        <v>176</v>
      </c>
      <c r="AA3" s="6" t="s">
        <v>177</v>
      </c>
      <c r="AB3" s="2" t="s">
        <v>178</v>
      </c>
      <c r="AC3" s="2" t="s">
        <v>89</v>
      </c>
      <c r="AE3" s="13" t="s">
        <v>40</v>
      </c>
      <c r="AF3">
        <v>1</v>
      </c>
      <c r="AG3">
        <v>2</v>
      </c>
      <c r="AH3">
        <v>3</v>
      </c>
      <c r="AI3">
        <v>4</v>
      </c>
      <c r="AJ3">
        <v>5</v>
      </c>
      <c r="AK3">
        <v>6</v>
      </c>
      <c r="AL3">
        <v>7</v>
      </c>
      <c r="AM3" s="13" t="s">
        <v>39</v>
      </c>
      <c r="AN3" t="s">
        <v>41</v>
      </c>
      <c r="AO3" t="s">
        <v>42</v>
      </c>
      <c r="AP3" t="s">
        <v>43</v>
      </c>
      <c r="AQ3" t="s">
        <v>44</v>
      </c>
      <c r="AR3" t="s">
        <v>45</v>
      </c>
      <c r="AS3" s="13" t="s">
        <v>39</v>
      </c>
      <c r="AT3" t="s">
        <v>41</v>
      </c>
      <c r="AU3" t="s">
        <v>42</v>
      </c>
      <c r="AV3" t="s">
        <v>43</v>
      </c>
      <c r="AW3" t="s">
        <v>44</v>
      </c>
      <c r="AX3" t="s">
        <v>45</v>
      </c>
      <c r="AY3" s="13" t="s">
        <v>174</v>
      </c>
      <c r="AZ3" s="3" t="s">
        <v>179</v>
      </c>
      <c r="BA3" s="6" t="s">
        <v>146</v>
      </c>
      <c r="BB3" s="6" t="s">
        <v>176</v>
      </c>
      <c r="BC3" s="6" t="s">
        <v>177</v>
      </c>
      <c r="BD3" s="2" t="s">
        <v>178</v>
      </c>
    </row>
    <row r="4" spans="1:66" s="10" customFormat="1" x14ac:dyDescent="0.25">
      <c r="A4" s="10" t="s">
        <v>85</v>
      </c>
      <c r="C4" s="14"/>
      <c r="D4" s="10">
        <v>1</v>
      </c>
      <c r="E4" s="10">
        <v>2</v>
      </c>
      <c r="F4" s="10">
        <v>3</v>
      </c>
      <c r="G4" s="10">
        <v>4</v>
      </c>
      <c r="H4" s="10">
        <v>5</v>
      </c>
      <c r="I4" s="10">
        <v>6</v>
      </c>
      <c r="J4" s="10">
        <v>7</v>
      </c>
      <c r="K4" s="14"/>
      <c r="Q4" s="14">
        <f>AVERAGE(AM5:AM30)</f>
        <v>0.90142857142857347</v>
      </c>
      <c r="R4" s="10">
        <f t="shared" ref="R4:V4" si="0">AVERAGE(AN5:AN30)</f>
        <v>0.83250000000000102</v>
      </c>
      <c r="S4" s="10">
        <f t="shared" si="0"/>
        <v>0.91638888888889014</v>
      </c>
      <c r="T4" s="10">
        <f t="shared" si="0"/>
        <v>1.3382051282051295</v>
      </c>
      <c r="U4" s="10">
        <f t="shared" si="0"/>
        <v>1.0117948717948728</v>
      </c>
      <c r="V4" s="10">
        <f t="shared" si="0"/>
        <v>0.64243589743589824</v>
      </c>
      <c r="W4" s="14">
        <v>0.80720556691185752</v>
      </c>
      <c r="X4" s="10">
        <v>0.86848721387043248</v>
      </c>
      <c r="Y4" s="10">
        <v>0.77258238966325965</v>
      </c>
      <c r="Z4" s="10">
        <v>0.79950743874061159</v>
      </c>
      <c r="AA4" s="10">
        <v>0.76970278274318982</v>
      </c>
      <c r="AB4" s="15">
        <v>0.83700714303787438</v>
      </c>
      <c r="AC4" s="15"/>
      <c r="AE4" s="14">
        <f ca="1">SQRT(SUMSQ(AE5:AE1001)/COUNT(AE5:AE1001))</f>
        <v>5.087069103889271</v>
      </c>
      <c r="AF4" s="10">
        <f t="shared" ref="AF4:BD4" ca="1" si="1">SQRT(SUMSQ(AF5:AF1001)/COUNT(AF5:AF1001))</f>
        <v>5.3470311676380096</v>
      </c>
      <c r="AG4" s="10">
        <f t="shared" ca="1" si="1"/>
        <v>5.4842550858027961</v>
      </c>
      <c r="AH4" s="10">
        <f t="shared" ca="1" si="1"/>
        <v>5.6200622011948536</v>
      </c>
      <c r="AI4" s="10">
        <f t="shared" ca="1" si="1"/>
        <v>5.6804516977424084</v>
      </c>
      <c r="AJ4" s="10">
        <f t="shared" ca="1" si="1"/>
        <v>5.859533349757732</v>
      </c>
      <c r="AK4" s="10">
        <f t="shared" ca="1" si="1"/>
        <v>6.0496279552907959</v>
      </c>
      <c r="AL4" s="10">
        <f t="shared" ca="1" si="1"/>
        <v>6.3359053144634458</v>
      </c>
      <c r="AM4" s="14">
        <f t="shared" si="1"/>
        <v>3.8769584571293616</v>
      </c>
      <c r="AN4" s="10">
        <f t="shared" si="1"/>
        <v>2.8237542320398497</v>
      </c>
      <c r="AO4" s="10">
        <f t="shared" si="1"/>
        <v>3.0008589819632689</v>
      </c>
      <c r="AP4" s="10">
        <f t="shared" si="1"/>
        <v>2.8868523064604883</v>
      </c>
      <c r="AQ4" s="10">
        <f t="shared" si="1"/>
        <v>2.8597029311977233</v>
      </c>
      <c r="AR4" s="10">
        <f t="shared" si="1"/>
        <v>2.0931315230175032</v>
      </c>
      <c r="AS4" s="14">
        <f t="shared" si="1"/>
        <v>3.9592426464329429</v>
      </c>
      <c r="AT4" s="10">
        <f t="shared" si="1"/>
        <v>2.8155610891981953</v>
      </c>
      <c r="AU4" s="10">
        <f t="shared" si="1"/>
        <v>2.981753697821425</v>
      </c>
      <c r="AV4" s="10">
        <f t="shared" si="1"/>
        <v>2.6602710638830271</v>
      </c>
      <c r="AW4" s="10">
        <f t="shared" si="1"/>
        <v>2.781717531789786</v>
      </c>
      <c r="AX4" s="10">
        <f t="shared" si="1"/>
        <v>2.0717874665772706</v>
      </c>
      <c r="AY4" s="14">
        <f t="shared" ca="1" si="1"/>
        <v>3.8260807036843216</v>
      </c>
      <c r="AZ4" s="10">
        <f t="shared" ca="1" si="1"/>
        <v>2.7249028506821342</v>
      </c>
      <c r="BA4" s="10">
        <f t="shared" ca="1" si="1"/>
        <v>2.6366298930321843</v>
      </c>
      <c r="BB4" s="10">
        <f t="shared" ca="1" si="1"/>
        <v>2.3734700698937732</v>
      </c>
      <c r="BC4" s="10">
        <f t="shared" ca="1" si="1"/>
        <v>2.3848713359277753</v>
      </c>
      <c r="BD4" s="15">
        <f t="shared" ca="1" si="1"/>
        <v>1.8260794009466441</v>
      </c>
    </row>
    <row r="5" spans="1:66" x14ac:dyDescent="0.25">
      <c r="A5" t="s">
        <v>7</v>
      </c>
      <c r="B5">
        <v>0</v>
      </c>
      <c r="C5" s="13">
        <f ca="1">'Historical Trends'!N5</f>
        <v>10.807999999999993</v>
      </c>
      <c r="D5">
        <f ca="1">AVERAGE(OFFSET('Historical Trends'!$D$6,$B5,0,'Polling Correlations - OTH'!D$4,1))</f>
        <v>11.709999999999994</v>
      </c>
      <c r="E5">
        <f ca="1">AVERAGE(OFFSET('Historical Trends'!$D$6,$B5,0,'Polling Correlations - OTH'!E$4,1))</f>
        <v>9.3199999999999896</v>
      </c>
      <c r="F5">
        <f ca="1">AVERAGE(OFFSET('Historical Trends'!$D$6,$B5,0,'Polling Correlations - OTH'!F$4,1))</f>
        <v>8.3366666666666571</v>
      </c>
      <c r="G5">
        <f ca="1">AVERAGE(OFFSET('Historical Trends'!$D$6,$B5,0,'Polling Correlations - OTH'!G$4,1))</f>
        <v>7.6924999999999901</v>
      </c>
      <c r="H5">
        <f ca="1">AVERAGE(OFFSET('Historical Trends'!$D$6,$B5,0,'Polling Correlations - OTH'!H$4,1))</f>
        <v>7.361999999999993</v>
      </c>
      <c r="I5">
        <f ca="1">AVERAGE(OFFSET('Historical Trends'!$D$6,$B5,0,'Polling Correlations - OTH'!I$4,1))</f>
        <v>6.8899999999999944</v>
      </c>
      <c r="J5">
        <f ca="1">AVERAGE(OFFSET('Historical Trends'!$D$6,$B5,0,'Polling Correlations - OTH'!J$4,1))</f>
        <v>6.3642857142857112</v>
      </c>
      <c r="K5" s="13">
        <f>(18+17+15+16+20)/5</f>
        <v>17.2</v>
      </c>
      <c r="L5">
        <f>(15+14+16+15+18)/5</f>
        <v>15.6</v>
      </c>
      <c r="M5">
        <f>(17+16+16+15+16)/5</f>
        <v>16</v>
      </c>
      <c r="N5">
        <f>(16+18+15+16+16)/5</f>
        <v>16.2</v>
      </c>
      <c r="O5">
        <f>(13+15+16+16+18)/5</f>
        <v>15.6</v>
      </c>
      <c r="P5">
        <f>(16+15+15+16.2+15)/5</f>
        <v>15.440000000000001</v>
      </c>
      <c r="Q5" s="30">
        <f>K5-AVERAGE(AM6:AM$30)</f>
        <v>16.377499999999998</v>
      </c>
      <c r="R5" s="31">
        <f>L5-AVERAGE(AN6:AN$30)</f>
        <v>14.769565217391303</v>
      </c>
      <c r="S5" s="31">
        <f>M5-AVERAGE(AO6:AO$30)</f>
        <v>15.099420289855072</v>
      </c>
      <c r="T5" s="31">
        <f>N5-AVERAGE(AP6:AP$30)</f>
        <v>14.867466666666665</v>
      </c>
      <c r="U5" s="31">
        <f>O5-AVERAGE(AQ6:AQ$30)</f>
        <v>14.582933333333331</v>
      </c>
      <c r="V5" s="31">
        <f>P5-AVERAGE(AR6:AR$30)</f>
        <v>14.800666666666666</v>
      </c>
      <c r="W5" s="13">
        <f ca="1">Q5*W$4+$D5*(1-W$4)</f>
        <v>15.477631983561091</v>
      </c>
      <c r="X5" s="6">
        <f t="shared" ref="X5:AB5" ca="1" si="2">R5*X$4+$D5*(1-X$4)</f>
        <v>14.367193271307057</v>
      </c>
      <c r="Y5" s="6">
        <f t="shared" ca="1" si="2"/>
        <v>14.328606427109367</v>
      </c>
      <c r="Z5" s="6">
        <f t="shared" ca="1" si="2"/>
        <v>14.23441808757552</v>
      </c>
      <c r="AA5" s="6">
        <f t="shared" ca="1" si="2"/>
        <v>13.921304781302332</v>
      </c>
      <c r="AB5" s="2">
        <f t="shared" ca="1" si="2"/>
        <v>14.296910076749057</v>
      </c>
      <c r="AC5" s="2">
        <f>'Historical Trends'!C5</f>
        <v>14.719999999999999</v>
      </c>
      <c r="AE5" s="13">
        <f t="shared" ref="AE5:AS5" ca="1" si="3">C5-$AC5</f>
        <v>-3.9120000000000061</v>
      </c>
      <c r="AF5">
        <f t="shared" ca="1" si="3"/>
        <v>-3.0100000000000051</v>
      </c>
      <c r="AG5">
        <f t="shared" ca="1" si="3"/>
        <v>-5.4000000000000092</v>
      </c>
      <c r="AH5">
        <f t="shared" ca="1" si="3"/>
        <v>-6.3833333333333417</v>
      </c>
      <c r="AI5">
        <f t="shared" ca="1" si="3"/>
        <v>-7.0275000000000087</v>
      </c>
      <c r="AJ5">
        <f t="shared" ca="1" si="3"/>
        <v>-7.3580000000000059</v>
      </c>
      <c r="AK5">
        <f t="shared" ca="1" si="3"/>
        <v>-7.8300000000000045</v>
      </c>
      <c r="AL5">
        <f t="shared" ca="1" si="3"/>
        <v>-8.3557142857142885</v>
      </c>
      <c r="AM5" s="13">
        <f t="shared" si="3"/>
        <v>2.4800000000000004</v>
      </c>
      <c r="AN5">
        <f t="shared" si="3"/>
        <v>0.88000000000000078</v>
      </c>
      <c r="AO5">
        <f t="shared" si="3"/>
        <v>1.2800000000000011</v>
      </c>
      <c r="AP5">
        <f t="shared" si="3"/>
        <v>1.4800000000000004</v>
      </c>
      <c r="AQ5">
        <f t="shared" si="3"/>
        <v>0.88000000000000078</v>
      </c>
      <c r="AR5">
        <f t="shared" si="3"/>
        <v>0.72000000000000242</v>
      </c>
      <c r="AS5" s="30">
        <f t="shared" si="3"/>
        <v>1.6574999999999989</v>
      </c>
      <c r="AT5">
        <f t="shared" ref="AT5:AX20" si="4">R5-$AC5</f>
        <v>4.9565217391304373E-2</v>
      </c>
      <c r="AU5">
        <f t="shared" si="4"/>
        <v>0.37942028985507292</v>
      </c>
      <c r="AV5">
        <f t="shared" si="4"/>
        <v>0.14746666666666641</v>
      </c>
      <c r="AW5">
        <f t="shared" si="4"/>
        <v>-0.13706666666666756</v>
      </c>
      <c r="AX5">
        <f t="shared" si="4"/>
        <v>8.0666666666667552E-2</v>
      </c>
      <c r="AY5" s="13">
        <f t="shared" ref="AY5:BD9" ca="1" si="5">W5-$AC5</f>
        <v>0.75763198356109207</v>
      </c>
      <c r="AZ5" s="6">
        <f t="shared" ca="1" si="5"/>
        <v>-0.35280672869294172</v>
      </c>
      <c r="BA5" s="6">
        <f t="shared" ca="1" si="5"/>
        <v>-0.3913935728906317</v>
      </c>
      <c r="BB5" s="6">
        <f t="shared" ca="1" si="5"/>
        <v>-0.4855819124244789</v>
      </c>
      <c r="BC5" s="6">
        <f t="shared" ca="1" si="5"/>
        <v>-0.79869521869766658</v>
      </c>
      <c r="BD5" s="2">
        <f t="shared" ca="1" si="5"/>
        <v>-0.42308992325094152</v>
      </c>
      <c r="BG5" t="str">
        <f>AS3</f>
        <v>2 years</v>
      </c>
      <c r="BH5" t="str">
        <f t="shared" ref="BH5:BK5" si="6">AT3</f>
        <v>1 year</v>
      </c>
      <c r="BI5" t="str">
        <f t="shared" si="6"/>
        <v>6 months</v>
      </c>
      <c r="BJ5" t="str">
        <f t="shared" si="6"/>
        <v>3 months</v>
      </c>
      <c r="BK5" t="str">
        <f t="shared" si="6"/>
        <v>1 month</v>
      </c>
      <c r="BL5" s="33" t="s">
        <v>187</v>
      </c>
      <c r="BM5" s="33" t="str">
        <f>AX3</f>
        <v>Pre-election</v>
      </c>
    </row>
    <row r="6" spans="1:66" x14ac:dyDescent="0.25">
      <c r="A6" t="s">
        <v>9</v>
      </c>
      <c r="B6">
        <f>B5+1</f>
        <v>1</v>
      </c>
      <c r="C6" s="13">
        <f ca="1">'Historical Trends'!N6</f>
        <v>7.8573333333333721</v>
      </c>
      <c r="D6">
        <f ca="1">AVERAGE(OFFSET('Historical Trends'!$D$6,$B6,0,'Polling Correlations - OTH'!D$4,1))</f>
        <v>6.9299999999999873</v>
      </c>
      <c r="E6">
        <f ca="1">AVERAGE(OFFSET('Historical Trends'!$D$6,$B6,0,'Polling Correlations - OTH'!E$4,1))</f>
        <v>6.6499999999999888</v>
      </c>
      <c r="F6">
        <f ca="1">AVERAGE(OFFSET('Historical Trends'!$D$6,$B6,0,'Polling Correlations - OTH'!F$4,1))</f>
        <v>6.353333333333322</v>
      </c>
      <c r="G6">
        <f ca="1">AVERAGE(OFFSET('Historical Trends'!$D$6,$B6,0,'Polling Correlations - OTH'!G$4,1))</f>
        <v>6.2749999999999932</v>
      </c>
      <c r="H6">
        <f ca="1">AVERAGE(OFFSET('Historical Trends'!$D$6,$B6,0,'Polling Correlations - OTH'!H$4,1))</f>
        <v>5.9259999999999948</v>
      </c>
      <c r="I6">
        <f ca="1">AVERAGE(OFFSET('Historical Trends'!$D$6,$B6,0,'Polling Correlations - OTH'!I$4,1))</f>
        <v>5.4733333333333301</v>
      </c>
      <c r="J6">
        <f ca="1">AVERAGE(OFFSET('Historical Trends'!$D$6,$B6,0,'Polling Correlations - OTH'!J$4,1))</f>
        <v>5.3085714285714252</v>
      </c>
      <c r="K6" s="13">
        <f>(15+11.5+11+17+15)/5</f>
        <v>13.9</v>
      </c>
      <c r="L6">
        <f>(8+12+10+9+10)/5</f>
        <v>9.8000000000000007</v>
      </c>
      <c r="M6">
        <f>(10+9.9+10+10+10)/5</f>
        <v>9.98</v>
      </c>
      <c r="N6">
        <f>(9.1+11+10+10+10)/5</f>
        <v>10.02</v>
      </c>
      <c r="O6">
        <f>(17.1+12+13.6+9+10)/5</f>
        <v>12.34</v>
      </c>
      <c r="P6">
        <f>(13+13.5+11+14+12)/5</f>
        <v>12.7</v>
      </c>
      <c r="Q6" s="30">
        <f>K6-AVERAGE(AM5:AM$5,AM7:AM$30)</f>
        <v>12.998499999999998</v>
      </c>
      <c r="R6" s="31">
        <f>L6-AVERAGE(AN5:AN$5,AN7:AN$30)</f>
        <v>8.7921739130434773</v>
      </c>
      <c r="S6" s="31">
        <f>M6-AVERAGE(AO5:AO$5,AO7:AO$30)</f>
        <v>8.8924637681159417</v>
      </c>
      <c r="T6" s="31">
        <f>N6-AVERAGE(AP5:AP$5,AP7:AP$30)</f>
        <v>8.5090666666666657</v>
      </c>
      <c r="U6" s="31">
        <f>O6-AVERAGE(AQ5:AQ$5,AQ7:AQ$30)</f>
        <v>11.261333333333333</v>
      </c>
      <c r="V6" s="31">
        <f>P6-AVERAGE(AR5:AR$5,AR7:AR$30)</f>
        <v>12.019866666666665</v>
      </c>
      <c r="W6" s="13">
        <f t="shared" ref="W6:W30" ca="1" si="7">Q6*W$4+$D6*(1-W$4)</f>
        <v>11.828526982804604</v>
      </c>
      <c r="X6" s="6">
        <f t="shared" ref="X6:X30" ca="1" si="8">R6*X$4+$D6*(1-X$4)</f>
        <v>8.5472742334813283</v>
      </c>
      <c r="Y6" s="6">
        <f t="shared" ref="Y6:Y30" ca="1" si="9">S6*Y$4+$D6*(1-Y$4)</f>
        <v>8.4461649475985752</v>
      </c>
      <c r="Z6" s="6">
        <f t="shared" ref="Z6:Z30" ca="1" si="10">T6*Z$4+$D6*(1-Z$4)</f>
        <v>8.1924755462673389</v>
      </c>
      <c r="AA6" s="6">
        <f t="shared" ref="AA6:AA30" ca="1" si="11">U6*AA$4+$D6*(1-AA$4)</f>
        <v>10.263839319654998</v>
      </c>
      <c r="AB6" s="2">
        <f t="shared" ref="AB6:AB30" ca="1" si="12">V6*AB$4+$D6*(1-AB$4)</f>
        <v>11.190254757110372</v>
      </c>
      <c r="AC6" s="2">
        <f>'Historical Trends'!C6</f>
        <v>13</v>
      </c>
      <c r="AE6" s="13">
        <f t="shared" ref="AE6:AR9" ca="1" si="13">C6-$AC6</f>
        <v>-5.1426666666666279</v>
      </c>
      <c r="AF6">
        <f t="shared" ca="1" si="13"/>
        <v>-6.0700000000000127</v>
      </c>
      <c r="AG6">
        <f t="shared" ca="1" si="13"/>
        <v>-6.3500000000000112</v>
      </c>
      <c r="AH6">
        <f t="shared" ca="1" si="13"/>
        <v>-6.646666666666678</v>
      </c>
      <c r="AI6">
        <f t="shared" ca="1" si="13"/>
        <v>-6.7250000000000068</v>
      </c>
      <c r="AJ6">
        <f t="shared" ca="1" si="13"/>
        <v>-7.0740000000000052</v>
      </c>
      <c r="AK6">
        <f t="shared" ca="1" si="13"/>
        <v>-7.5266666666666699</v>
      </c>
      <c r="AL6">
        <f t="shared" ca="1" si="13"/>
        <v>-7.6914285714285748</v>
      </c>
      <c r="AM6" s="13">
        <f t="shared" si="13"/>
        <v>0.90000000000000036</v>
      </c>
      <c r="AN6">
        <f t="shared" si="13"/>
        <v>-3.1999999999999993</v>
      </c>
      <c r="AO6">
        <f t="shared" si="13"/>
        <v>-3.0199999999999996</v>
      </c>
      <c r="AP6">
        <f t="shared" si="13"/>
        <v>-2.9800000000000004</v>
      </c>
      <c r="AQ6">
        <f t="shared" si="13"/>
        <v>-0.66000000000000014</v>
      </c>
      <c r="AR6">
        <f t="shared" si="13"/>
        <v>-0.30000000000000071</v>
      </c>
      <c r="AS6" s="30">
        <f t="shared" ref="AS6:AX30" si="14">Q6-$AC6</f>
        <v>-1.5000000000018332E-3</v>
      </c>
      <c r="AT6">
        <f t="shared" si="4"/>
        <v>-4.2078260869565227</v>
      </c>
      <c r="AU6">
        <f t="shared" si="4"/>
        <v>-4.1075362318840583</v>
      </c>
      <c r="AV6">
        <f t="shared" si="4"/>
        <v>-4.4909333333333343</v>
      </c>
      <c r="AW6">
        <f t="shared" si="4"/>
        <v>-1.738666666666667</v>
      </c>
      <c r="AX6">
        <f t="shared" si="4"/>
        <v>-0.98013333333333463</v>
      </c>
      <c r="AY6" s="13">
        <f t="shared" ca="1" si="5"/>
        <v>-1.171473017195396</v>
      </c>
      <c r="AZ6" s="6">
        <f t="shared" ca="1" si="5"/>
        <v>-4.4527257665186717</v>
      </c>
      <c r="BA6" s="6">
        <f t="shared" ca="1" si="5"/>
        <v>-4.5538350524014248</v>
      </c>
      <c r="BB6" s="6">
        <f t="shared" ca="1" si="5"/>
        <v>-4.8075244537326611</v>
      </c>
      <c r="BC6" s="6">
        <f t="shared" ca="1" si="5"/>
        <v>-2.7361606803450016</v>
      </c>
      <c r="BD6" s="2">
        <f t="shared" ca="1" si="5"/>
        <v>-1.8097452428896279</v>
      </c>
      <c r="BE6" t="s">
        <v>150</v>
      </c>
      <c r="BG6">
        <f>LN(730)</f>
        <v>6.5930445341424369</v>
      </c>
      <c r="BH6">
        <f>LN(365)</f>
        <v>5.8998973535824915</v>
      </c>
      <c r="BI6">
        <f>LN(182)</f>
        <v>5.2040066870767951</v>
      </c>
      <c r="BJ6">
        <f>LN(90)</f>
        <v>4.499809670330265</v>
      </c>
      <c r="BK6">
        <f>LN(30)</f>
        <v>3.4011973816621555</v>
      </c>
      <c r="BL6">
        <f t="shared" ref="BL6:BL11" si="15">AVERAGE(BK6,BM6)</f>
        <v>2.0471722811110502</v>
      </c>
      <c r="BM6">
        <f>LN(2)</f>
        <v>0.69314718055994529</v>
      </c>
    </row>
    <row r="7" spans="1:66" x14ac:dyDescent="0.25">
      <c r="A7" t="s">
        <v>10</v>
      </c>
      <c r="B7">
        <f>B6+1</f>
        <v>2</v>
      </c>
      <c r="C7" s="13">
        <f ca="1">'Historical Trends'!N7</f>
        <v>7.0855348837209249</v>
      </c>
      <c r="D7">
        <f ca="1">AVERAGE(OFFSET('Historical Trends'!$D$6,$B7,0,'Polling Correlations - OTH'!D$4,1))</f>
        <v>6.3699999999999903</v>
      </c>
      <c r="E7">
        <f ca="1">AVERAGE(OFFSET('Historical Trends'!$D$6,$B7,0,'Polling Correlations - OTH'!E$4,1))</f>
        <v>6.0649999999999906</v>
      </c>
      <c r="F7">
        <f ca="1">AVERAGE(OFFSET('Historical Trends'!$D$6,$B7,0,'Polling Correlations - OTH'!F$4,1))</f>
        <v>6.0566666666666622</v>
      </c>
      <c r="G7">
        <f ca="1">AVERAGE(OFFSET('Historical Trends'!$D$6,$B7,0,'Polling Correlations - OTH'!G$4,1))</f>
        <v>5.6749999999999972</v>
      </c>
      <c r="H7">
        <f ca="1">AVERAGE(OFFSET('Historical Trends'!$D$6,$B7,0,'Polling Correlations - OTH'!H$4,1))</f>
        <v>5.1819999999999995</v>
      </c>
      <c r="I7">
        <f ca="1">AVERAGE(OFFSET('Historical Trends'!$D$6,$B7,0,'Polling Correlations - OTH'!I$4,1))</f>
        <v>5.0383333333333313</v>
      </c>
      <c r="J7">
        <f ca="1">AVERAGE(OFFSET('Historical Trends'!$D$6,$B7,0,'Polling Correlations - OTH'!J$4,1))</f>
        <v>5.0657142857142849</v>
      </c>
      <c r="K7" s="13">
        <f>(11+12+11+10+8)/5</f>
        <v>10.4</v>
      </c>
      <c r="L7">
        <f>(13+9+12+11+15)/5</f>
        <v>12</v>
      </c>
      <c r="M7">
        <f>(9+11+12+11+7)/5</f>
        <v>10</v>
      </c>
      <c r="N7">
        <f>(12+14+13+10+12)/5</f>
        <v>12.2</v>
      </c>
      <c r="O7">
        <f>(8.6+10+7+8+7)/5</f>
        <v>8.120000000000001</v>
      </c>
      <c r="P7">
        <f>(12.7+10+12+19.8+16)/5</f>
        <v>14.1</v>
      </c>
      <c r="Q7" s="30">
        <f>K7-AVERAGE(AM$5:AM6,AM8:AM$30)</f>
        <v>9.3524999999999991</v>
      </c>
      <c r="R7" s="31">
        <f>L7-AVERAGE(AN$5:AN6,AN8:AN$30)</f>
        <v>11.113043478260868</v>
      </c>
      <c r="S7" s="31">
        <f>M7-AVERAGE(AO$5:AO6,AO8:AO$30)</f>
        <v>8.9385507246376807</v>
      </c>
      <c r="T7" s="31">
        <f>N7-AVERAGE(AP$5:AP6,AP8:AP$30)</f>
        <v>10.799466666666666</v>
      </c>
      <c r="U7" s="31">
        <f>O7-AVERAGE(AQ$5:AQ6,AQ8:AQ$30)</f>
        <v>6.8957333333333342</v>
      </c>
      <c r="V7" s="31">
        <f>P7-AVERAGE(AR$5:AR6,AR8:AR$30)</f>
        <v>13.499066666666666</v>
      </c>
      <c r="W7" s="13">
        <f t="shared" ca="1" si="7"/>
        <v>8.7774906033146127</v>
      </c>
      <c r="X7" s="6">
        <f t="shared" ca="1" si="8"/>
        <v>10.489272615701106</v>
      </c>
      <c r="Y7" s="6">
        <f t="shared" ca="1" si="9"/>
        <v>8.3544170568118741</v>
      </c>
      <c r="Z7" s="6">
        <f t="shared" ca="1" si="10"/>
        <v>9.9113915496535796</v>
      </c>
      <c r="AA7" s="6">
        <f t="shared" ca="1" si="11"/>
        <v>6.7746584096475182</v>
      </c>
      <c r="AB7" s="2">
        <f t="shared" ca="1" si="12"/>
        <v>12.337079723193206</v>
      </c>
      <c r="AC7" s="2">
        <f>'Historical Trends'!C7</f>
        <v>12.419999999999987</v>
      </c>
      <c r="AE7" s="13">
        <f t="shared" ca="1" si="13"/>
        <v>-5.3344651162790626</v>
      </c>
      <c r="AF7">
        <f t="shared" ca="1" si="13"/>
        <v>-6.0499999999999972</v>
      </c>
      <c r="AG7">
        <f t="shared" ca="1" si="13"/>
        <v>-6.3549999999999969</v>
      </c>
      <c r="AH7">
        <f t="shared" ca="1" si="13"/>
        <v>-6.3633333333333253</v>
      </c>
      <c r="AI7">
        <f t="shared" ca="1" si="13"/>
        <v>-6.7449999999999903</v>
      </c>
      <c r="AJ7">
        <f t="shared" ca="1" si="13"/>
        <v>-7.237999999999988</v>
      </c>
      <c r="AK7">
        <f t="shared" ca="1" si="13"/>
        <v>-7.3816666666666562</v>
      </c>
      <c r="AL7">
        <f t="shared" ca="1" si="13"/>
        <v>-7.3542857142857025</v>
      </c>
      <c r="AM7" s="13">
        <f t="shared" si="13"/>
        <v>-2.0199999999999871</v>
      </c>
      <c r="AN7">
        <f t="shared" si="13"/>
        <v>-0.41999999999998749</v>
      </c>
      <c r="AO7">
        <f t="shared" si="13"/>
        <v>-2.4199999999999875</v>
      </c>
      <c r="AP7">
        <f t="shared" si="13"/>
        <v>-0.2199999999999882</v>
      </c>
      <c r="AQ7">
        <f t="shared" si="13"/>
        <v>-4.2999999999999865</v>
      </c>
      <c r="AR7">
        <f t="shared" si="13"/>
        <v>1.6800000000000122</v>
      </c>
      <c r="AS7" s="30">
        <f t="shared" si="14"/>
        <v>-3.0674999999999883</v>
      </c>
      <c r="AT7">
        <f t="shared" si="4"/>
        <v>-1.306956521739119</v>
      </c>
      <c r="AU7">
        <f t="shared" si="4"/>
        <v>-3.4814492753623068</v>
      </c>
      <c r="AV7">
        <f t="shared" si="4"/>
        <v>-1.6205333333333218</v>
      </c>
      <c r="AW7">
        <f t="shared" si="4"/>
        <v>-5.5242666666666533</v>
      </c>
      <c r="AX7">
        <f t="shared" si="4"/>
        <v>1.0790666666666784</v>
      </c>
      <c r="AY7" s="13">
        <f t="shared" ca="1" si="5"/>
        <v>-3.6425093966853748</v>
      </c>
      <c r="AZ7" s="6">
        <f t="shared" ca="1" si="5"/>
        <v>-1.9307273842988817</v>
      </c>
      <c r="BA7" s="6">
        <f t="shared" ca="1" si="5"/>
        <v>-4.0655829431881134</v>
      </c>
      <c r="BB7" s="6">
        <f t="shared" ca="1" si="5"/>
        <v>-2.5086084503464079</v>
      </c>
      <c r="BC7" s="6">
        <f t="shared" ca="1" si="5"/>
        <v>-5.6453415903524693</v>
      </c>
      <c r="BD7" s="2">
        <f t="shared" ca="1" si="5"/>
        <v>-8.2920276806781601E-2</v>
      </c>
      <c r="BE7" t="s">
        <v>180</v>
      </c>
      <c r="BG7">
        <f>AM4</f>
        <v>3.8769584571293616</v>
      </c>
      <c r="BH7">
        <f>AN4</f>
        <v>2.8237542320398497</v>
      </c>
      <c r="BI7">
        <f>AO4</f>
        <v>3.0008589819632689</v>
      </c>
      <c r="BJ7">
        <f>AP4</f>
        <v>2.8868523064604883</v>
      </c>
      <c r="BK7">
        <f>AQ4</f>
        <v>2.8597029311977233</v>
      </c>
      <c r="BL7">
        <f t="shared" si="15"/>
        <v>2.4764172271076133</v>
      </c>
      <c r="BM7">
        <f>AR4</f>
        <v>2.0931315230175032</v>
      </c>
    </row>
    <row r="8" spans="1:66" x14ac:dyDescent="0.25">
      <c r="A8" t="s">
        <v>11</v>
      </c>
      <c r="B8">
        <f>B7+1</f>
        <v>3</v>
      </c>
      <c r="C8" s="13">
        <f ca="1">'Historical Trends'!N8</f>
        <v>5.8699011124845413</v>
      </c>
      <c r="D8">
        <f ca="1">AVERAGE(OFFSET('Historical Trends'!$D$6,$B8,0,'Polling Correlations - OTH'!D$4,1))</f>
        <v>5.7599999999999909</v>
      </c>
      <c r="E8">
        <f ca="1">AVERAGE(OFFSET('Historical Trends'!$D$6,$B8,0,'Polling Correlations - OTH'!E$4,1))</f>
        <v>5.8999999999999986</v>
      </c>
      <c r="F8">
        <f ca="1">AVERAGE(OFFSET('Historical Trends'!$D$6,$B8,0,'Polling Correlations - OTH'!F$4,1))</f>
        <v>5.4433333333333325</v>
      </c>
      <c r="G8">
        <f ca="1">AVERAGE(OFFSET('Historical Trends'!$D$6,$B8,0,'Polling Correlations - OTH'!G$4,1))</f>
        <v>4.8850000000000016</v>
      </c>
      <c r="H8">
        <f ca="1">AVERAGE(OFFSET('Historical Trends'!$D$6,$B8,0,'Polling Correlations - OTH'!H$4,1))</f>
        <v>4.7720000000000002</v>
      </c>
      <c r="I8">
        <f ca="1">AVERAGE(OFFSET('Historical Trends'!$D$6,$B8,0,'Polling Correlations - OTH'!I$4,1))</f>
        <v>4.8483333333333336</v>
      </c>
      <c r="J8">
        <f ca="1">AVERAGE(OFFSET('Historical Trends'!$D$6,$B8,0,'Polling Correlations - OTH'!J$4,1))</f>
        <v>4.7942857142857127</v>
      </c>
      <c r="K8" s="13">
        <f>(9+6+6+7+8)/5</f>
        <v>7.2</v>
      </c>
      <c r="L8">
        <f>(8+7+7+9+8)/5</f>
        <v>7.8</v>
      </c>
      <c r="M8">
        <f>(9+7+10+8+8)/5</f>
        <v>8.4</v>
      </c>
      <c r="N8">
        <f>(8+8+8+12+12)/5</f>
        <v>9.6</v>
      </c>
      <c r="O8">
        <f>(5+6+8+6+6)/5</f>
        <v>6.2</v>
      </c>
      <c r="P8">
        <f>(6.5+6.6+7+7+7)/5</f>
        <v>6.82</v>
      </c>
      <c r="Q8" s="30">
        <f>K8-AVERAGE(AM$5:AM7,AM9:AM$30)</f>
        <v>6.283999999999998</v>
      </c>
      <c r="R8" s="31">
        <f>L8-AVERAGE(AN$5:AN7,AN9:AN$30)</f>
        <v>6.9839130434782604</v>
      </c>
      <c r="S8" s="31">
        <f>M8-AVERAGE(AO$5:AO7,AO9:AO$30)</f>
        <v>7.5224637681159416</v>
      </c>
      <c r="T8" s="31">
        <f>N8-AVERAGE(AP$5:AP7,AP9:AP$30)</f>
        <v>8.3286666666666651</v>
      </c>
      <c r="U8" s="31">
        <f>O8-AVERAGE(AQ$5:AQ7,AQ9:AQ$30)</f>
        <v>5.132133333333333</v>
      </c>
      <c r="V8" s="31">
        <f>P8-AVERAGE(AR$5:AR7,AR9:AR$30)</f>
        <v>6.1610666666666667</v>
      </c>
      <c r="W8" s="13">
        <f t="shared" ca="1" si="7"/>
        <v>6.1829757170618098</v>
      </c>
      <c r="X8" s="6">
        <f t="shared" ca="1" si="8"/>
        <v>6.8229528291501147</v>
      </c>
      <c r="Y8" s="6">
        <f t="shared" ca="1" si="9"/>
        <v>7.1216484696659261</v>
      </c>
      <c r="Z8" s="6">
        <f t="shared" ca="1" si="10"/>
        <v>7.8136681076450483</v>
      </c>
      <c r="AA8" s="6">
        <f t="shared" ca="1" si="11"/>
        <v>5.2767292794749734</v>
      </c>
      <c r="AB8" s="2">
        <f t="shared" ca="1" si="12"/>
        <v>6.0956956648343894</v>
      </c>
      <c r="AC8" s="2">
        <f>'Historical Trends'!C8</f>
        <v>6.5899999999999892</v>
      </c>
      <c r="AE8" s="13">
        <f t="shared" ca="1" si="13"/>
        <v>-0.72009888751544793</v>
      </c>
      <c r="AF8">
        <f t="shared" ca="1" si="13"/>
        <v>-0.82999999999999829</v>
      </c>
      <c r="AG8">
        <f t="shared" ca="1" si="13"/>
        <v>-0.68999999999999062</v>
      </c>
      <c r="AH8">
        <f t="shared" ca="1" si="13"/>
        <v>-1.1466666666666567</v>
      </c>
      <c r="AI8">
        <f t="shared" ca="1" si="13"/>
        <v>-1.7049999999999876</v>
      </c>
      <c r="AJ8">
        <f t="shared" ca="1" si="13"/>
        <v>-1.817999999999989</v>
      </c>
      <c r="AK8">
        <f t="shared" ca="1" si="13"/>
        <v>-1.7416666666666556</v>
      </c>
      <c r="AL8">
        <f t="shared" ca="1" si="13"/>
        <v>-1.7957142857142765</v>
      </c>
      <c r="AM8" s="13">
        <f t="shared" si="13"/>
        <v>0.61000000000001098</v>
      </c>
      <c r="AN8">
        <f t="shared" si="13"/>
        <v>1.2100000000000106</v>
      </c>
      <c r="AO8">
        <f t="shared" si="13"/>
        <v>1.8100000000000112</v>
      </c>
      <c r="AP8">
        <f t="shared" si="13"/>
        <v>3.0100000000000104</v>
      </c>
      <c r="AQ8">
        <f t="shared" si="13"/>
        <v>-0.38999999999998902</v>
      </c>
      <c r="AR8">
        <f t="shared" si="13"/>
        <v>0.23000000000001108</v>
      </c>
      <c r="AS8" s="30">
        <f t="shared" si="14"/>
        <v>-0.30599999999999117</v>
      </c>
      <c r="AT8">
        <f t="shared" si="4"/>
        <v>0.39391304347827116</v>
      </c>
      <c r="AU8">
        <f t="shared" si="4"/>
        <v>0.93246376811595244</v>
      </c>
      <c r="AV8">
        <f t="shared" si="4"/>
        <v>1.7386666666666759</v>
      </c>
      <c r="AW8">
        <f t="shared" si="4"/>
        <v>-1.4578666666666562</v>
      </c>
      <c r="AX8">
        <f t="shared" si="4"/>
        <v>-0.42893333333332251</v>
      </c>
      <c r="AY8" s="13">
        <f t="shared" ca="1" si="5"/>
        <v>-0.40702428293817938</v>
      </c>
      <c r="AZ8" s="6">
        <f t="shared" ca="1" si="5"/>
        <v>0.2329528291501255</v>
      </c>
      <c r="BA8" s="6">
        <f t="shared" ca="1" si="5"/>
        <v>0.53164846966593693</v>
      </c>
      <c r="BB8" s="6">
        <f t="shared" ca="1" si="5"/>
        <v>1.2236681076450591</v>
      </c>
      <c r="BC8" s="6">
        <f t="shared" ca="1" si="5"/>
        <v>-1.3132707205250158</v>
      </c>
      <c r="BD8" s="2">
        <f t="shared" ca="1" si="5"/>
        <v>-0.4943043351655998</v>
      </c>
      <c r="BE8" t="s">
        <v>184</v>
      </c>
      <c r="BG8">
        <f ca="1">AY4</f>
        <v>3.8260807036843216</v>
      </c>
      <c r="BH8">
        <f ca="1">AZ4</f>
        <v>2.7249028506821342</v>
      </c>
      <c r="BI8">
        <f ca="1">BA4</f>
        <v>2.6366298930321843</v>
      </c>
      <c r="BJ8">
        <f ca="1">BB4</f>
        <v>2.3734700698937732</v>
      </c>
      <c r="BK8">
        <f ca="1">BC4</f>
        <v>2.3848713359277753</v>
      </c>
      <c r="BL8">
        <f t="shared" ca="1" si="15"/>
        <v>2.1054753684372098</v>
      </c>
      <c r="BM8">
        <f ca="1">BD4</f>
        <v>1.8260794009466441</v>
      </c>
    </row>
    <row r="9" spans="1:66" x14ac:dyDescent="0.25">
      <c r="A9" t="s">
        <v>12</v>
      </c>
      <c r="B9">
        <f>B8+1</f>
        <v>4</v>
      </c>
      <c r="C9" s="13">
        <f ca="1">'Historical Trends'!N9</f>
        <v>5.1696969696969717</v>
      </c>
      <c r="D9">
        <f ca="1">AVERAGE(OFFSET('Historical Trends'!$D$6,$B9,0,'Polling Correlations - OTH'!D$4,1))</f>
        <v>6.0400000000000063</v>
      </c>
      <c r="E9">
        <f ca="1">AVERAGE(OFFSET('Historical Trends'!$D$6,$B9,0,'Polling Correlations - OTH'!E$4,1))</f>
        <v>5.2850000000000037</v>
      </c>
      <c r="F9">
        <f ca="1">AVERAGE(OFFSET('Historical Trends'!$D$6,$B9,0,'Polling Correlations - OTH'!F$4,1))</f>
        <v>4.5933333333333382</v>
      </c>
      <c r="G9">
        <f ca="1">AVERAGE(OFFSET('Historical Trends'!$D$6,$B9,0,'Polling Correlations - OTH'!G$4,1))</f>
        <v>4.5250000000000021</v>
      </c>
      <c r="H9">
        <f ca="1">AVERAGE(OFFSET('Historical Trends'!$D$6,$B9,0,'Polling Correlations - OTH'!H$4,1))</f>
        <v>4.6660000000000021</v>
      </c>
      <c r="I9">
        <f ca="1">AVERAGE(OFFSET('Historical Trends'!$D$6,$B9,0,'Polling Correlations - OTH'!I$4,1))</f>
        <v>4.6333333333333329</v>
      </c>
      <c r="J9">
        <f ca="1">AVERAGE(OFFSET('Historical Trends'!$D$6,$B9,0,'Polling Correlations - OTH'!J$4,1))</f>
        <v>4.2857142857142856</v>
      </c>
      <c r="K9" s="13">
        <f>(12+12+14+13+14)/5</f>
        <v>13</v>
      </c>
      <c r="L9">
        <f>(13+10+12+11+14)/5</f>
        <v>12</v>
      </c>
      <c r="M9">
        <f>(9+9+3+10+10)/5</f>
        <v>8.1999999999999993</v>
      </c>
      <c r="N9">
        <f>(10+9+5+9+9)/5</f>
        <v>8.4</v>
      </c>
      <c r="O9">
        <f>(6+4+9+8+5)/5</f>
        <v>6.4</v>
      </c>
      <c r="P9">
        <f>(6+6+6+6+4)/5</f>
        <v>5.6</v>
      </c>
      <c r="Q9" s="30">
        <f>K9-AVERAGE(AM$5:AM8,AM10:AM$30)</f>
        <v>12.366499999999998</v>
      </c>
      <c r="R9" s="31">
        <f>L9-AVERAGE(AN$5:AN8,AN10:AN$30)</f>
        <v>11.36</v>
      </c>
      <c r="S9" s="31">
        <f>M9-AVERAGE(AO$5:AO8,AO10:AO$30)</f>
        <v>7.3072463768115927</v>
      </c>
      <c r="T9" s="31">
        <f>N9-AVERAGE(AP$5:AP8,AP10:AP$30)</f>
        <v>7.0746666666666655</v>
      </c>
      <c r="U9" s="31">
        <f>O9-AVERAGE(AQ$5:AQ8,AQ10:AQ$30)</f>
        <v>5.3341333333333329</v>
      </c>
      <c r="V9" s="31">
        <f>P9-AVERAGE(AR$5:AR8,AR10:AR$30)</f>
        <v>4.8862666666666659</v>
      </c>
      <c r="W9" s="13">
        <f t="shared" ca="1" si="7"/>
        <v>11.146786019067866</v>
      </c>
      <c r="X9" s="6">
        <f t="shared" ca="1" si="8"/>
        <v>10.6603519777907</v>
      </c>
      <c r="Y9" s="6">
        <f t="shared" ca="1" si="9"/>
        <v>7.0190522340892096</v>
      </c>
      <c r="Z9" s="6">
        <f t="shared" ca="1" si="10"/>
        <v>6.8672236966169535</v>
      </c>
      <c r="AA9" s="6">
        <f t="shared" ca="1" si="11"/>
        <v>5.4966924624210085</v>
      </c>
      <c r="AB9" s="2">
        <f t="shared" ca="1" si="12"/>
        <v>5.0743169588391028</v>
      </c>
      <c r="AC9" s="2">
        <f>'Historical Trends'!C9</f>
        <v>6.7399999999999949</v>
      </c>
      <c r="AE9" s="13">
        <f t="shared" ca="1" si="13"/>
        <v>-1.5703030303030232</v>
      </c>
      <c r="AF9">
        <f t="shared" ca="1" si="13"/>
        <v>-0.69999999999998863</v>
      </c>
      <c r="AG9">
        <f t="shared" ca="1" si="13"/>
        <v>-1.4549999999999912</v>
      </c>
      <c r="AH9">
        <f t="shared" ca="1" si="13"/>
        <v>-2.1466666666666567</v>
      </c>
      <c r="AI9">
        <f t="shared" ca="1" si="13"/>
        <v>-2.2149999999999928</v>
      </c>
      <c r="AJ9">
        <f t="shared" ca="1" si="13"/>
        <v>-2.0739999999999927</v>
      </c>
      <c r="AK9">
        <f t="shared" ca="1" si="13"/>
        <v>-2.106666666666662</v>
      </c>
      <c r="AL9">
        <f t="shared" ca="1" si="13"/>
        <v>-2.4542857142857093</v>
      </c>
      <c r="AM9" s="13">
        <f t="shared" si="13"/>
        <v>6.2600000000000051</v>
      </c>
      <c r="AN9">
        <f t="shared" si="13"/>
        <v>5.2600000000000051</v>
      </c>
      <c r="AO9">
        <f t="shared" si="13"/>
        <v>1.4600000000000044</v>
      </c>
      <c r="AP9">
        <f t="shared" si="13"/>
        <v>1.6600000000000055</v>
      </c>
      <c r="AQ9">
        <f t="shared" si="13"/>
        <v>-0.33999999999999453</v>
      </c>
      <c r="AR9">
        <f t="shared" si="13"/>
        <v>-1.1399999999999952</v>
      </c>
      <c r="AS9" s="30">
        <f t="shared" si="14"/>
        <v>5.6265000000000036</v>
      </c>
      <c r="AT9">
        <f t="shared" si="4"/>
        <v>4.6200000000000045</v>
      </c>
      <c r="AU9">
        <f t="shared" si="4"/>
        <v>0.56724637681159784</v>
      </c>
      <c r="AV9">
        <f t="shared" si="4"/>
        <v>0.33466666666667066</v>
      </c>
      <c r="AW9">
        <f t="shared" si="4"/>
        <v>-1.4058666666666619</v>
      </c>
      <c r="AX9">
        <f t="shared" si="4"/>
        <v>-1.853733333333329</v>
      </c>
      <c r="AY9" s="13">
        <f t="shared" ca="1" si="5"/>
        <v>4.4067860190678712</v>
      </c>
      <c r="AZ9" s="6">
        <f t="shared" ca="1" si="5"/>
        <v>3.9203519777907054</v>
      </c>
      <c r="BA9" s="6">
        <f t="shared" ca="1" si="5"/>
        <v>0.27905223408921476</v>
      </c>
      <c r="BB9" s="6">
        <f t="shared" ca="1" si="5"/>
        <v>0.12722369661695865</v>
      </c>
      <c r="BC9" s="6">
        <f t="shared" ca="1" si="5"/>
        <v>-1.2433075375789864</v>
      </c>
      <c r="BD9" s="2">
        <f t="shared" ca="1" si="5"/>
        <v>-1.6656830411608921</v>
      </c>
      <c r="BE9" t="s">
        <v>185</v>
      </c>
      <c r="BG9">
        <f t="shared" ref="BG9:BM9" ca="1" si="16">$AK$4</f>
        <v>6.0496279552907959</v>
      </c>
      <c r="BH9">
        <f t="shared" ca="1" si="16"/>
        <v>6.0496279552907959</v>
      </c>
      <c r="BI9">
        <f t="shared" ca="1" si="16"/>
        <v>6.0496279552907959</v>
      </c>
      <c r="BJ9">
        <f t="shared" ca="1" si="16"/>
        <v>6.0496279552907959</v>
      </c>
      <c r="BK9">
        <f t="shared" ca="1" si="16"/>
        <v>6.0496279552907959</v>
      </c>
      <c r="BL9">
        <f t="shared" ca="1" si="15"/>
        <v>6.0496279552907959</v>
      </c>
      <c r="BM9">
        <f t="shared" ca="1" si="16"/>
        <v>6.0496279552907959</v>
      </c>
    </row>
    <row r="10" spans="1:66" x14ac:dyDescent="0.25">
      <c r="A10" t="s">
        <v>14</v>
      </c>
      <c r="B10">
        <f>B9+1</f>
        <v>5</v>
      </c>
      <c r="C10" s="13">
        <f ca="1">'Historical Trends'!N10</f>
        <v>4.7727070457354728</v>
      </c>
      <c r="D10">
        <f ca="1">AVERAGE(OFFSET('Historical Trends'!$D$6,$B10,0,'Polling Correlations - OTH'!D$4,1))</f>
        <v>4.5300000000000011</v>
      </c>
      <c r="E10">
        <f ca="1">AVERAGE(OFFSET('Historical Trends'!$D$6,$B10,0,'Polling Correlations - OTH'!E$4,1))</f>
        <v>3.8700000000000045</v>
      </c>
      <c r="F10">
        <f ca="1">AVERAGE(OFFSET('Historical Trends'!$D$6,$B10,0,'Polling Correlations - OTH'!F$4,1))</f>
        <v>4.0200000000000005</v>
      </c>
      <c r="G10">
        <f ca="1">AVERAGE(OFFSET('Historical Trends'!$D$6,$B10,0,'Polling Correlations - OTH'!G$4,1))</f>
        <v>4.3225000000000016</v>
      </c>
      <c r="H10">
        <f ca="1">AVERAGE(OFFSET('Historical Trends'!$D$6,$B10,0,'Polling Correlations - OTH'!H$4,1))</f>
        <v>4.3519999999999985</v>
      </c>
      <c r="I10">
        <f ca="1">AVERAGE(OFFSET('Historical Trends'!$D$6,$B10,0,'Polling Correlations - OTH'!I$4,1))</f>
        <v>3.9933333333333323</v>
      </c>
      <c r="J10">
        <f ca="1">AVERAGE(OFFSET('Historical Trends'!$D$6,$B10,0,'Polling Correlations - OTH'!J$4,1))</f>
        <v>3.7071428571428555</v>
      </c>
      <c r="N10">
        <f>(10+10+11)/3</f>
        <v>10.333333333333334</v>
      </c>
      <c r="O10">
        <f>(7+11+10)/3</f>
        <v>9.3333333333333339</v>
      </c>
      <c r="P10">
        <f>(9+8+10)/3</f>
        <v>9</v>
      </c>
      <c r="Q10" s="30"/>
      <c r="R10" s="31"/>
      <c r="S10" s="31">
        <f>M10-AVERAGE(AO$5:AO9,AO11:AO$30)</f>
        <v>-0.91638888888889014</v>
      </c>
      <c r="T10" s="31">
        <f>N10-AVERAGE(AP$5:AP9,AP11:AP$30)</f>
        <v>9.0161333333333324</v>
      </c>
      <c r="U10" s="31">
        <f>O10-AVERAGE(AQ$5:AQ9,AQ11:AQ$30)</f>
        <v>8.3155999999999999</v>
      </c>
      <c r="V10" s="31">
        <f>P10-AVERAGE(AR$5:AR9,AR11:AR$30)</f>
        <v>8.3530666666666651</v>
      </c>
      <c r="W10" s="13">
        <f t="shared" ca="1" si="7"/>
        <v>0.87335878188928562</v>
      </c>
      <c r="X10" s="6">
        <f t="shared" ca="1" si="8"/>
        <v>0.59575292116694101</v>
      </c>
      <c r="Y10" s="6">
        <f t="shared" ca="1" si="9"/>
        <v>0.32221585718679591</v>
      </c>
      <c r="Z10" s="6">
        <f t="shared" ca="1" si="10"/>
        <v>8.1166969711822148</v>
      </c>
      <c r="AA10" s="6">
        <f t="shared" ca="1" si="11"/>
        <v>7.44378685435262</v>
      </c>
      <c r="AB10" s="2">
        <f t="shared" ca="1" si="12"/>
        <v>7.7299341083099948</v>
      </c>
      <c r="AC10" s="2">
        <f>'Historical Trends'!C10</f>
        <v>8.4699999999999989</v>
      </c>
      <c r="AE10" s="13">
        <f t="shared" ref="AE10:AE30" ca="1" si="17">C10-$AC10</f>
        <v>-3.6972929542645261</v>
      </c>
      <c r="AF10">
        <f t="shared" ref="AF10:AF30" ca="1" si="18">D10-$AC10</f>
        <v>-3.9399999999999977</v>
      </c>
      <c r="AG10">
        <f t="shared" ref="AG10:AG30" ca="1" si="19">E10-$AC10</f>
        <v>-4.5999999999999943</v>
      </c>
      <c r="AH10">
        <f t="shared" ref="AH10:AH30" ca="1" si="20">F10-$AC10</f>
        <v>-4.4499999999999984</v>
      </c>
      <c r="AI10">
        <f t="shared" ref="AI10:AI30" ca="1" si="21">G10-$AC10</f>
        <v>-4.1474999999999973</v>
      </c>
      <c r="AJ10">
        <f t="shared" ref="AJ10:AJ30" ca="1" si="22">H10-$AC10</f>
        <v>-4.1180000000000003</v>
      </c>
      <c r="AK10">
        <f t="shared" ref="AK10:AK30" ca="1" si="23">I10-$AC10</f>
        <v>-4.4766666666666666</v>
      </c>
      <c r="AL10">
        <f t="shared" ref="AL10:AL30" ca="1" si="24">J10-$AC10</f>
        <v>-4.7628571428571433</v>
      </c>
      <c r="AP10">
        <f t="shared" ref="AP10:AP26" si="25">N10-$AC10</f>
        <v>1.8633333333333351</v>
      </c>
      <c r="AQ10">
        <f t="shared" ref="AQ10:AQ26" si="26">O10-$AC10</f>
        <v>0.86333333333333506</v>
      </c>
      <c r="AR10">
        <f t="shared" ref="AR10:AR26" si="27">P10-$AC10</f>
        <v>0.53000000000000114</v>
      </c>
      <c r="AS10" s="30"/>
      <c r="AV10">
        <f t="shared" si="4"/>
        <v>0.54613333333333358</v>
      </c>
      <c r="AW10">
        <f t="shared" si="4"/>
        <v>-0.15439999999999898</v>
      </c>
      <c r="AX10">
        <f t="shared" si="4"/>
        <v>-0.11693333333333378</v>
      </c>
      <c r="BB10" s="6">
        <f t="shared" ref="BB10:BB30" ca="1" si="28">Z10-$AC10</f>
        <v>-0.35330302881778408</v>
      </c>
      <c r="BC10" s="6">
        <f t="shared" ref="BC10:BC30" ca="1" si="29">AA10-$AC10</f>
        <v>-1.0262131456473789</v>
      </c>
      <c r="BD10" s="2">
        <f t="shared" ref="BD10:BD30" ca="1" si="30">AB10-$AC10</f>
        <v>-0.74006589169000403</v>
      </c>
      <c r="BE10" t="s">
        <v>153</v>
      </c>
      <c r="BG10">
        <f>W4</f>
        <v>0.80720556691185752</v>
      </c>
      <c r="BH10">
        <f>X4</f>
        <v>0.86848721387043248</v>
      </c>
      <c r="BI10">
        <f>Y4</f>
        <v>0.77258238966325965</v>
      </c>
      <c r="BJ10">
        <f>Z4</f>
        <v>0.79950743874061159</v>
      </c>
      <c r="BK10">
        <f>AA4</f>
        <v>0.76970278274318982</v>
      </c>
      <c r="BL10">
        <f t="shared" si="15"/>
        <v>0.8033549628905321</v>
      </c>
      <c r="BM10">
        <f>AB4</f>
        <v>0.83700714303787438</v>
      </c>
    </row>
    <row r="11" spans="1:66" x14ac:dyDescent="0.25">
      <c r="A11" t="s">
        <v>49</v>
      </c>
      <c r="B11">
        <v>0</v>
      </c>
      <c r="C11" s="13">
        <f ca="1">'Historical Trends'!N27</f>
        <v>5.3640173053151443</v>
      </c>
      <c r="D11">
        <f ca="1">AVERAGE(OFFSET('Historical Trends'!$D$28,$B5,0,'Polling Correlations - OTH'!D$4,1))</f>
        <v>7.6700000000000017</v>
      </c>
      <c r="E11">
        <f ca="1">AVERAGE(OFFSET('Historical Trends'!$D$28,$B5,0,'Polling Correlations - OTH'!E$4,1))</f>
        <v>6.1450000000000031</v>
      </c>
      <c r="F11">
        <f ca="1">AVERAGE(OFFSET('Historical Trends'!$D$28,$B5,0,'Polling Correlations - OTH'!F$4,1))</f>
        <v>6.563333333333337</v>
      </c>
      <c r="G11">
        <f ca="1">AVERAGE(OFFSET('Historical Trends'!$D$28,$B5,0,'Polling Correlations - OTH'!G$4,1))</f>
        <v>6.5650000000000048</v>
      </c>
      <c r="H11">
        <f ca="1">AVERAGE(OFFSET('Historical Trends'!$D$28,$B5,0,'Polling Correlations - OTH'!H$4,1))</f>
        <v>6.4220000000000024</v>
      </c>
      <c r="I11">
        <f ca="1">AVERAGE(OFFSET('Historical Trends'!$D$28,$B5,0,'Polling Correlations - OTH'!I$4,1))</f>
        <v>7.1850000000000023</v>
      </c>
      <c r="J11">
        <f ca="1">AVERAGE(OFFSET('Historical Trends'!$D$28,$B5,0,'Polling Correlations - OTH'!J$4,1))</f>
        <v>6.6200000000000028</v>
      </c>
      <c r="K11" s="13">
        <f>(12+11+12+11+12)/5</f>
        <v>11.6</v>
      </c>
      <c r="L11">
        <f>(21+20+20+20+16)/5</f>
        <v>19.399999999999999</v>
      </c>
      <c r="M11">
        <f>(22+23+24+28.9+28)/5</f>
        <v>25.18</v>
      </c>
      <c r="N11">
        <f>(23+21+23+21+23.4)/5</f>
        <v>22.28</v>
      </c>
      <c r="O11">
        <f>(19+21+23.9+20+23)/5</f>
        <v>21.380000000000003</v>
      </c>
      <c r="P11">
        <f>(19+20+29+22+22)/5</f>
        <v>22.4</v>
      </c>
      <c r="Q11" s="30">
        <f>K11-AVERAGE(AM$5:AM10,AM12:AM$30)</f>
        <v>10.189499999999997</v>
      </c>
      <c r="R11" s="31">
        <f>L11-AVERAGE(AN$5:AN10,AN12:AN$30)</f>
        <v>18.466956521739128</v>
      </c>
      <c r="S11" s="31">
        <f>M11-AVERAGE(AO$5:AO10,AO12:AO$30)</f>
        <v>24.41072463768116</v>
      </c>
      <c r="T11" s="31">
        <f>N11-AVERAGE(AP$5:AP10,AP12:AP$30)</f>
        <v>20.944266666666667</v>
      </c>
      <c r="U11" s="31">
        <f>O11-AVERAGE(AQ$5:AQ10,AQ12:AQ$30)</f>
        <v>20.347733333333334</v>
      </c>
      <c r="V11" s="31">
        <f>P11-AVERAGE(AR$5:AR10,AR12:AR$30)</f>
        <v>21.792666666666666</v>
      </c>
      <c r="W11" s="13">
        <f t="shared" ca="1" si="7"/>
        <v>9.7037544258344219</v>
      </c>
      <c r="X11" s="6">
        <f t="shared" ca="1" si="8"/>
        <v>17.047018687845412</v>
      </c>
      <c r="Y11" s="6">
        <f t="shared" ca="1" si="9"/>
        <v>20.603589045274315</v>
      </c>
      <c r="Z11" s="6">
        <f t="shared" ca="1" si="10"/>
        <v>18.282874943826545</v>
      </c>
      <c r="AA11" s="6">
        <f t="shared" ca="1" si="11"/>
        <v>17.428086625542765</v>
      </c>
      <c r="AB11" s="2">
        <f t="shared" ca="1" si="12"/>
        <v>19.490772878742888</v>
      </c>
      <c r="AC11" s="2">
        <f>'Historical Trends'!C27</f>
        <v>20.879999999999995</v>
      </c>
      <c r="AE11" s="13">
        <f t="shared" ca="1" si="17"/>
        <v>-15.515982694684851</v>
      </c>
      <c r="AF11">
        <f t="shared" ca="1" si="18"/>
        <v>-13.209999999999994</v>
      </c>
      <c r="AG11">
        <f t="shared" ca="1" si="19"/>
        <v>-14.734999999999992</v>
      </c>
      <c r="AH11">
        <f t="shared" ca="1" si="20"/>
        <v>-14.316666666666659</v>
      </c>
      <c r="AI11">
        <f t="shared" ca="1" si="21"/>
        <v>-14.314999999999991</v>
      </c>
      <c r="AJ11">
        <f t="shared" ca="1" si="22"/>
        <v>-14.457999999999993</v>
      </c>
      <c r="AK11">
        <f t="shared" ca="1" si="23"/>
        <v>-13.694999999999993</v>
      </c>
      <c r="AL11">
        <f t="shared" ca="1" si="24"/>
        <v>-14.259999999999993</v>
      </c>
      <c r="AM11" s="13">
        <f t="shared" ref="AM11:AO14" si="31">K11-$AC11</f>
        <v>-9.2799999999999958</v>
      </c>
      <c r="AN11">
        <f t="shared" si="31"/>
        <v>-1.4799999999999969</v>
      </c>
      <c r="AO11">
        <f t="shared" si="31"/>
        <v>4.3000000000000043</v>
      </c>
      <c r="AP11">
        <f t="shared" si="25"/>
        <v>1.4000000000000057</v>
      </c>
      <c r="AQ11">
        <f t="shared" si="26"/>
        <v>0.50000000000000711</v>
      </c>
      <c r="AR11">
        <f t="shared" si="27"/>
        <v>1.5200000000000031</v>
      </c>
      <c r="AS11" s="30">
        <f t="shared" si="14"/>
        <v>-10.690499999999998</v>
      </c>
      <c r="AT11">
        <f t="shared" si="4"/>
        <v>-2.4130434782608674</v>
      </c>
      <c r="AU11">
        <f t="shared" si="4"/>
        <v>3.5307246376811641</v>
      </c>
      <c r="AV11">
        <f t="shared" si="4"/>
        <v>6.4266666666672023E-2</v>
      </c>
      <c r="AW11">
        <f t="shared" si="4"/>
        <v>-0.53226666666666134</v>
      </c>
      <c r="AX11">
        <f t="shared" si="4"/>
        <v>0.91266666666667007</v>
      </c>
      <c r="AY11" s="13">
        <f t="shared" ref="AY11:BA14" ca="1" si="32">W11-$AC11</f>
        <v>-11.176245574165574</v>
      </c>
      <c r="AZ11" s="6">
        <f t="shared" ca="1" si="32"/>
        <v>-3.8329813121545833</v>
      </c>
      <c r="BA11" s="6">
        <f t="shared" ca="1" si="32"/>
        <v>-0.27641095472568011</v>
      </c>
      <c r="BB11" s="6">
        <f t="shared" ca="1" si="28"/>
        <v>-2.59712505617345</v>
      </c>
      <c r="BC11" s="6">
        <f t="shared" ca="1" si="29"/>
        <v>-3.4519133744572308</v>
      </c>
      <c r="BD11" s="2">
        <f t="shared" ca="1" si="30"/>
        <v>-1.3892271212571075</v>
      </c>
      <c r="BE11" t="s">
        <v>186</v>
      </c>
      <c r="BG11">
        <f>BG10</f>
        <v>0.80720556691185752</v>
      </c>
      <c r="BH11">
        <f>AVERAGE(BG10:BI10)</f>
        <v>0.81609172348185</v>
      </c>
      <c r="BI11">
        <f>AVERAGE(BH10:BJ10)</f>
        <v>0.81352568075810128</v>
      </c>
      <c r="BJ11">
        <f>AVERAGE(BI10:BK10)</f>
        <v>0.78059753704902046</v>
      </c>
      <c r="BK11">
        <f>AVERAGE(BJ10:BM10)</f>
        <v>0.80239308185305191</v>
      </c>
      <c r="BL11">
        <f t="shared" si="15"/>
        <v>0.81970011244546315</v>
      </c>
      <c r="BM11">
        <f>BM10</f>
        <v>0.83700714303787438</v>
      </c>
    </row>
    <row r="12" spans="1:66" x14ac:dyDescent="0.25">
      <c r="A12" t="s">
        <v>51</v>
      </c>
      <c r="B12">
        <f>B11+1</f>
        <v>1</v>
      </c>
      <c r="C12" s="13">
        <f ca="1">'Historical Trends'!N28</f>
        <v>6.1457575757575782</v>
      </c>
      <c r="D12">
        <f ca="1">AVERAGE(OFFSET('Historical Trends'!$D$28,$B6,0,'Polling Correlations - OTH'!D$4,1))</f>
        <v>4.6200000000000045</v>
      </c>
      <c r="E12">
        <f ca="1">AVERAGE(OFFSET('Historical Trends'!$D$28,$B6,0,'Polling Correlations - OTH'!E$4,1))</f>
        <v>6.0100000000000051</v>
      </c>
      <c r="F12">
        <f ca="1">AVERAGE(OFFSET('Historical Trends'!$D$28,$B6,0,'Polling Correlations - OTH'!F$4,1))</f>
        <v>6.1966666666666725</v>
      </c>
      <c r="G12">
        <f ca="1">AVERAGE(OFFSET('Historical Trends'!$D$28,$B6,0,'Polling Correlations - OTH'!G$4,1))</f>
        <v>6.110000000000003</v>
      </c>
      <c r="H12">
        <f ca="1">AVERAGE(OFFSET('Historical Trends'!$D$28,$B6,0,'Polling Correlations - OTH'!H$4,1))</f>
        <v>7.0880000000000027</v>
      </c>
      <c r="I12">
        <f ca="1">AVERAGE(OFFSET('Historical Trends'!$D$28,$B6,0,'Polling Correlations - OTH'!I$4,1))</f>
        <v>6.4450000000000029</v>
      </c>
      <c r="J12">
        <f ca="1">AVERAGE(OFFSET('Historical Trends'!$D$28,$B6,0,'Polling Correlations - OTH'!J$4,1))</f>
        <v>6.0957142857142879</v>
      </c>
      <c r="K12" s="13">
        <f>(14.2+17.8+16+14.3+19)/5</f>
        <v>16.259999999999998</v>
      </c>
      <c r="L12">
        <f>(16+18+15+20+14)/5</f>
        <v>16.600000000000001</v>
      </c>
      <c r="M12">
        <f>(21.7+20.8+19.9+15+19)/5</f>
        <v>19.28</v>
      </c>
      <c r="N12">
        <f>(16.5+16.8+18+18+18)/5</f>
        <v>17.46</v>
      </c>
      <c r="O12">
        <f>(15+15.6+16+17+16.5)/5</f>
        <v>16.02</v>
      </c>
      <c r="P12">
        <f>(13.8+14+16+12.9+16)/5</f>
        <v>14.539999999999997</v>
      </c>
      <c r="Q12" s="30">
        <f>K12-AVERAGE(AM$5:AM11,AM13:AM$30)</f>
        <v>15.487499999999995</v>
      </c>
      <c r="R12" s="31">
        <f>L12-AVERAGE(AN$5:AN11,AN13:AN$30)</f>
        <v>15.897391304347826</v>
      </c>
      <c r="S12" s="31">
        <f>M12-AVERAGE(AO$5:AO11,AO13:AO$30)</f>
        <v>18.606376811594203</v>
      </c>
      <c r="T12" s="31">
        <f>N12-AVERAGE(AP$5:AP11,AP13:AP$30)</f>
        <v>16.255466666666667</v>
      </c>
      <c r="U12" s="31">
        <f>O12-AVERAGE(AQ$5:AQ11,AQ13:AQ$30)</f>
        <v>15.097333333333331</v>
      </c>
      <c r="V12" s="31">
        <f>P12-AVERAGE(AR$5:AR11,AR13:AR$30)</f>
        <v>13.942266666666663</v>
      </c>
      <c r="W12" s="13">
        <f t="shared" ca="1" si="7"/>
        <v>13.392306498414609</v>
      </c>
      <c r="X12" s="6">
        <f t="shared" ca="1" si="8"/>
        <v>14.414270153639688</v>
      </c>
      <c r="Y12" s="6">
        <f t="shared" ca="1" si="9"/>
        <v>15.425628419832252</v>
      </c>
      <c r="Z12" s="6">
        <f t="shared" ca="1" si="10"/>
        <v>13.92264215321843</v>
      </c>
      <c r="AA12" s="6">
        <f t="shared" ca="1" si="11"/>
        <v>12.684432622394647</v>
      </c>
      <c r="AB12" s="2">
        <f t="shared" ca="1" si="12"/>
        <v>12.422803789303874</v>
      </c>
      <c r="AC12" s="2">
        <f>'Historical Trends'!C28</f>
        <v>12.780000000000001</v>
      </c>
      <c r="AE12" s="13">
        <f t="shared" ca="1" si="17"/>
        <v>-6.6342424242424229</v>
      </c>
      <c r="AF12">
        <f t="shared" ca="1" si="18"/>
        <v>-8.1599999999999966</v>
      </c>
      <c r="AG12">
        <f t="shared" ca="1" si="19"/>
        <v>-6.769999999999996</v>
      </c>
      <c r="AH12">
        <f t="shared" ca="1" si="20"/>
        <v>-6.5833333333333286</v>
      </c>
      <c r="AI12" s="6">
        <f t="shared" ca="1" si="21"/>
        <v>-6.6699999999999982</v>
      </c>
      <c r="AJ12">
        <f t="shared" ca="1" si="22"/>
        <v>-5.6919999999999984</v>
      </c>
      <c r="AK12">
        <f t="shared" ca="1" si="23"/>
        <v>-6.3349999999999982</v>
      </c>
      <c r="AL12">
        <f t="shared" ca="1" si="24"/>
        <v>-6.6842857142857133</v>
      </c>
      <c r="AM12" s="13">
        <f t="shared" si="31"/>
        <v>3.4799999999999969</v>
      </c>
      <c r="AN12">
        <f t="shared" si="31"/>
        <v>3.8200000000000003</v>
      </c>
      <c r="AO12">
        <f t="shared" si="31"/>
        <v>6.5</v>
      </c>
      <c r="AP12">
        <f t="shared" si="25"/>
        <v>4.68</v>
      </c>
      <c r="AQ12">
        <f t="shared" si="26"/>
        <v>3.2399999999999984</v>
      </c>
      <c r="AR12">
        <f t="shared" si="27"/>
        <v>1.7599999999999962</v>
      </c>
      <c r="AS12" s="30">
        <f t="shared" si="14"/>
        <v>2.7074999999999942</v>
      </c>
      <c r="AT12">
        <f t="shared" si="4"/>
        <v>3.1173913043478247</v>
      </c>
      <c r="AU12">
        <f t="shared" si="4"/>
        <v>5.8263768115942014</v>
      </c>
      <c r="AV12">
        <f t="shared" si="4"/>
        <v>3.4754666666666658</v>
      </c>
      <c r="AW12">
        <f t="shared" si="4"/>
        <v>2.3173333333333304</v>
      </c>
      <c r="AX12">
        <f t="shared" si="4"/>
        <v>1.1622666666666621</v>
      </c>
      <c r="AY12" s="13">
        <f t="shared" ca="1" si="32"/>
        <v>0.6123064984146076</v>
      </c>
      <c r="AZ12" s="6">
        <f t="shared" ca="1" si="32"/>
        <v>1.6342701536396866</v>
      </c>
      <c r="BA12" s="6">
        <f t="shared" ca="1" si="32"/>
        <v>2.6456284198322511</v>
      </c>
      <c r="BB12" s="6">
        <f t="shared" ca="1" si="28"/>
        <v>1.1426421532184285</v>
      </c>
      <c r="BC12" s="6">
        <f t="shared" ca="1" si="29"/>
        <v>-9.5567377605354054E-2</v>
      </c>
      <c r="BD12" s="2">
        <f t="shared" ca="1" si="30"/>
        <v>-0.35719621069612728</v>
      </c>
      <c r="BE12" t="s">
        <v>193</v>
      </c>
      <c r="BG12">
        <f>MAX(0,($BG$16+1/($BG$17*$BG$18))-1/((10-BG6) * $BG$18))</f>
        <v>0.80827163905483046</v>
      </c>
      <c r="BH12">
        <f t="shared" ref="BH12:BM12" si="33">MAX(0,($BG$16+1/($BG$17*$BG$18))-1/((10-BH6) * $BG$18))</f>
        <v>0.80827180993810421</v>
      </c>
      <c r="BI12">
        <f t="shared" si="33"/>
        <v>0.80827193180983925</v>
      </c>
      <c r="BJ12">
        <f t="shared" si="33"/>
        <v>0.80827202374320806</v>
      </c>
      <c r="BK12">
        <f t="shared" si="33"/>
        <v>0.80827212798380199</v>
      </c>
      <c r="BL12">
        <f t="shared" si="33"/>
        <v>0.8082722168374542</v>
      </c>
      <c r="BM12">
        <f t="shared" si="33"/>
        <v>0.80827227983702277</v>
      </c>
    </row>
    <row r="13" spans="1:66" x14ac:dyDescent="0.25">
      <c r="A13" t="s">
        <v>52</v>
      </c>
      <c r="B13">
        <f>B12+1</f>
        <v>2</v>
      </c>
      <c r="C13" s="13">
        <f ca="1">'Historical Trends'!N29</f>
        <v>8.6402843016069255</v>
      </c>
      <c r="D13">
        <f ca="1">AVERAGE(OFFSET('Historical Trends'!$D$28,$B7,0,'Polling Correlations - OTH'!D$4,1))</f>
        <v>7.4000000000000057</v>
      </c>
      <c r="E13">
        <f ca="1">AVERAGE(OFFSET('Historical Trends'!$D$28,$B7,0,'Polling Correlations - OTH'!E$4,1))</f>
        <v>6.9850000000000065</v>
      </c>
      <c r="F13">
        <f ca="1">AVERAGE(OFFSET('Historical Trends'!$D$28,$B7,0,'Polling Correlations - OTH'!F$4,1))</f>
        <v>6.6066666666666691</v>
      </c>
      <c r="G13">
        <f ca="1">AVERAGE(OFFSET('Historical Trends'!$D$28,$B7,0,'Polling Correlations - OTH'!G$4,1))</f>
        <v>7.7050000000000018</v>
      </c>
      <c r="H13">
        <f ca="1">AVERAGE(OFFSET('Historical Trends'!$D$28,$B7,0,'Polling Correlations - OTH'!H$4,1))</f>
        <v>6.8100000000000023</v>
      </c>
      <c r="I13">
        <f ca="1">AVERAGE(OFFSET('Historical Trends'!$D$28,$B7,0,'Polling Correlations - OTH'!I$4,1))</f>
        <v>6.3416666666666686</v>
      </c>
      <c r="J13">
        <f ca="1">AVERAGE(OFFSET('Historical Trends'!$D$28,$B7,0,'Polling Correlations - OTH'!J$4,1))</f>
        <v>6.3114285714285741</v>
      </c>
      <c r="K13" s="13">
        <f>(8+10+8.6)/3</f>
        <v>8.8666666666666671</v>
      </c>
      <c r="L13">
        <f>(7+15+8+16+12)/5</f>
        <v>11.6</v>
      </c>
      <c r="M13">
        <f>(15+11+7+7+15)/5</f>
        <v>11</v>
      </c>
      <c r="N13">
        <f>(12+15+15+11+7)/5</f>
        <v>12</v>
      </c>
      <c r="O13">
        <f>(10+14+9+12+15)/5</f>
        <v>12</v>
      </c>
      <c r="P13">
        <f>(16+14+10+14+9)/5</f>
        <v>12.6</v>
      </c>
      <c r="Q13" s="30">
        <f>K13-AVERAGE(AM$5:AM12,AM14:AM$30)</f>
        <v>7.5559999999999983</v>
      </c>
      <c r="R13" s="31">
        <f>L13-AVERAGE(AN$5:AN12,AN14:AN$30)</f>
        <v>10.533478260869563</v>
      </c>
      <c r="S13" s="31">
        <f>M13-AVERAGE(AO$5:AO12,AO14:AO$30)</f>
        <v>9.819855072463767</v>
      </c>
      <c r="T13" s="31">
        <f>N13-AVERAGE(AP$5:AP12,AP14:AP$30)</f>
        <v>10.442266666666665</v>
      </c>
      <c r="U13" s="31">
        <f>O13-AVERAGE(AQ$5:AQ12,AQ14:AQ$30)</f>
        <v>10.781733333333332</v>
      </c>
      <c r="V13" s="31">
        <f>P13-AVERAGE(AR$5:AR12,AR14:AR$30)</f>
        <v>11.789866666666665</v>
      </c>
      <c r="W13" s="13">
        <f t="shared" ca="1" si="7"/>
        <v>7.5259240684382487</v>
      </c>
      <c r="X13" s="6">
        <f t="shared" ca="1" si="8"/>
        <v>10.121385804506176</v>
      </c>
      <c r="Y13" s="6">
        <f t="shared" ca="1" si="9"/>
        <v>9.2695374145228193</v>
      </c>
      <c r="Z13" s="6">
        <f t="shared" ca="1" si="10"/>
        <v>9.8323148306326047</v>
      </c>
      <c r="AA13" s="6">
        <f t="shared" ca="1" si="11"/>
        <v>10.002929557162069</v>
      </c>
      <c r="AB13" s="2">
        <f t="shared" ca="1" si="12"/>
        <v>11.074349756983864</v>
      </c>
      <c r="AC13" s="2">
        <f>'Historical Trends'!C29</f>
        <v>16.150000000000006</v>
      </c>
      <c r="AE13" s="13">
        <f t="shared" ca="1" si="17"/>
        <v>-7.5097156983930802</v>
      </c>
      <c r="AF13">
        <f t="shared" ca="1" si="18"/>
        <v>-8.75</v>
      </c>
      <c r="AG13">
        <f t="shared" ca="1" si="19"/>
        <v>-9.1649999999999991</v>
      </c>
      <c r="AH13">
        <f t="shared" ca="1" si="20"/>
        <v>-9.5433333333333366</v>
      </c>
      <c r="AI13">
        <f t="shared" ca="1" si="21"/>
        <v>-8.4450000000000038</v>
      </c>
      <c r="AJ13">
        <f t="shared" ca="1" si="22"/>
        <v>-9.3400000000000034</v>
      </c>
      <c r="AK13">
        <f t="shared" ca="1" si="23"/>
        <v>-9.8083333333333371</v>
      </c>
      <c r="AL13">
        <f t="shared" ca="1" si="24"/>
        <v>-9.8385714285714307</v>
      </c>
      <c r="AM13" s="13">
        <f t="shared" si="31"/>
        <v>-7.2833333333333385</v>
      </c>
      <c r="AN13">
        <f t="shared" si="31"/>
        <v>-4.550000000000006</v>
      </c>
      <c r="AO13">
        <f t="shared" si="31"/>
        <v>-5.1500000000000057</v>
      </c>
      <c r="AP13">
        <f t="shared" si="25"/>
        <v>-4.1500000000000057</v>
      </c>
      <c r="AQ13">
        <f t="shared" si="26"/>
        <v>-4.1500000000000057</v>
      </c>
      <c r="AR13">
        <f t="shared" si="27"/>
        <v>-3.550000000000006</v>
      </c>
      <c r="AS13" s="30">
        <f t="shared" si="14"/>
        <v>-8.5940000000000083</v>
      </c>
      <c r="AT13">
        <f t="shared" si="4"/>
        <v>-5.6165217391304427</v>
      </c>
      <c r="AU13">
        <f t="shared" si="4"/>
        <v>-6.3301449275362387</v>
      </c>
      <c r="AV13">
        <f t="shared" si="4"/>
        <v>-5.7077333333333407</v>
      </c>
      <c r="AW13">
        <f t="shared" si="4"/>
        <v>-5.3682666666666741</v>
      </c>
      <c r="AX13">
        <f t="shared" si="4"/>
        <v>-4.3601333333333407</v>
      </c>
      <c r="AY13" s="13">
        <f t="shared" ca="1" si="32"/>
        <v>-8.624075931561757</v>
      </c>
      <c r="AZ13" s="6">
        <f t="shared" ca="1" si="32"/>
        <v>-6.0286141954938302</v>
      </c>
      <c r="BA13" s="6">
        <f t="shared" ca="1" si="32"/>
        <v>-6.8804625854771864</v>
      </c>
      <c r="BB13" s="6">
        <f t="shared" ca="1" si="28"/>
        <v>-6.317685169367401</v>
      </c>
      <c r="BC13" s="6">
        <f t="shared" ca="1" si="29"/>
        <v>-6.1470704428379364</v>
      </c>
      <c r="BD13" s="2">
        <f t="shared" ca="1" si="30"/>
        <v>-5.0756502430161419</v>
      </c>
      <c r="BE13" t="s">
        <v>192</v>
      </c>
      <c r="BG13">
        <f>(BG12-BG10)^2</f>
        <v>1.1365098140229172E-6</v>
      </c>
      <c r="BH13">
        <f t="shared" ref="BH13:BM13" si="34">(BH12-BH10)^2</f>
        <v>3.6258948707334551E-3</v>
      </c>
      <c r="BI13">
        <f t="shared" si="34"/>
        <v>1.2737434186324817E-3</v>
      </c>
      <c r="BJ13">
        <f t="shared" si="34"/>
        <v>7.6817950267738961E-5</v>
      </c>
      <c r="BK13">
        <f t="shared" si="34"/>
        <v>1.487594392289533E-3</v>
      </c>
      <c r="BL13">
        <f t="shared" si="34"/>
        <v>2.4179386378521036E-5</v>
      </c>
      <c r="BM13">
        <f t="shared" si="34"/>
        <v>8.2569236317165621E-4</v>
      </c>
      <c r="BN13">
        <f>SQRT(SUM(BG13:BM13))</f>
        <v>8.5528117547900059E-2</v>
      </c>
    </row>
    <row r="14" spans="1:66" x14ac:dyDescent="0.25">
      <c r="A14" t="s">
        <v>53</v>
      </c>
      <c r="B14">
        <f>B13+1</f>
        <v>3</v>
      </c>
      <c r="C14" s="13">
        <f ca="1">'Historical Trends'!N30</f>
        <v>7.670372093023218</v>
      </c>
      <c r="D14">
        <f ca="1">AVERAGE(OFFSET('Historical Trends'!$D$28,$B8,0,'Polling Correlations - OTH'!D$4,1))</f>
        <v>6.5700000000000074</v>
      </c>
      <c r="E14">
        <f ca="1">AVERAGE(OFFSET('Historical Trends'!$D$28,$B8,0,'Polling Correlations - OTH'!E$4,1))</f>
        <v>6.2100000000000009</v>
      </c>
      <c r="F14">
        <f ca="1">AVERAGE(OFFSET('Historical Trends'!$D$28,$B8,0,'Polling Correlations - OTH'!F$4,1))</f>
        <v>7.8066666666666675</v>
      </c>
      <c r="G14">
        <f ca="1">AVERAGE(OFFSET('Historical Trends'!$D$28,$B8,0,'Polling Correlations - OTH'!G$4,1))</f>
        <v>6.6625000000000014</v>
      </c>
      <c r="H14">
        <f ca="1">AVERAGE(OFFSET('Historical Trends'!$D$28,$B8,0,'Polling Correlations - OTH'!H$4,1))</f>
        <v>6.1300000000000008</v>
      </c>
      <c r="I14">
        <f ca="1">AVERAGE(OFFSET('Historical Trends'!$D$28,$B8,0,'Polling Correlations - OTH'!I$4,1))</f>
        <v>6.1300000000000026</v>
      </c>
      <c r="J14">
        <f ca="1">AVERAGE(OFFSET('Historical Trends'!$D$28,$B8,0,'Polling Correlations - OTH'!J$4,1))</f>
        <v>5.7957142857142872</v>
      </c>
      <c r="K14" s="13">
        <f>(11+10+10)/3</f>
        <v>10.333333333333334</v>
      </c>
      <c r="L14">
        <f>(7+10+7)/3</f>
        <v>8</v>
      </c>
      <c r="M14">
        <f>(11+6+9)/3</f>
        <v>8.6666666666666661</v>
      </c>
      <c r="N14">
        <f>(10+11+6)/3</f>
        <v>9</v>
      </c>
      <c r="O14">
        <f>(10+10+11)/3</f>
        <v>10.333333333333334</v>
      </c>
      <c r="P14">
        <f>(8.5+8+10)/3</f>
        <v>8.8333333333333339</v>
      </c>
      <c r="Q14" s="30">
        <f>K14-AVERAGE(AM$5:AM13,AM15:AM$30)</f>
        <v>9.5144999999999982</v>
      </c>
      <c r="R14" s="31">
        <f>L14-AVERAGE(AN$5:AN13,AN15:AN$30)</f>
        <v>7.1408695652173897</v>
      </c>
      <c r="S14" s="31">
        <f>M14-AVERAGE(AO$5:AO13,AO15:AO$30)</f>
        <v>7.7489855072463749</v>
      </c>
      <c r="T14" s="31">
        <f>N14-AVERAGE(AP$5:AP13,AP15:AP$30)</f>
        <v>7.6570666666666654</v>
      </c>
      <c r="U14" s="31">
        <f>O14-AVERAGE(AQ$5:AQ13,AQ15:AQ$30)</f>
        <v>9.3831999999999987</v>
      </c>
      <c r="V14" s="31">
        <f>P14-AVERAGE(AR$5:AR13,AR15:AR$30)</f>
        <v>8.2073333333333327</v>
      </c>
      <c r="W14" s="13">
        <f t="shared" ca="1" si="7"/>
        <v>8.9468167917719637</v>
      </c>
      <c r="X14" s="6">
        <f t="shared" ca="1" si="8"/>
        <v>7.0657929181790768</v>
      </c>
      <c r="Y14" s="6">
        <f t="shared" ca="1" si="9"/>
        <v>7.4808634405667558</v>
      </c>
      <c r="Z14" s="6">
        <f t="shared" ca="1" si="10"/>
        <v>7.4391178864069616</v>
      </c>
      <c r="AA14" s="6">
        <f t="shared" ca="1" si="11"/>
        <v>8.7353278684131421</v>
      </c>
      <c r="AB14" s="2">
        <f t="shared" ca="1" si="12"/>
        <v>7.9404596955340141</v>
      </c>
      <c r="AC14" s="2">
        <f>'Historical Trends'!C30</f>
        <v>7.7800000000000011</v>
      </c>
      <c r="AE14" s="13">
        <f t="shared" ca="1" si="17"/>
        <v>-0.10962790697678315</v>
      </c>
      <c r="AF14">
        <f t="shared" ca="1" si="18"/>
        <v>-1.2099999999999937</v>
      </c>
      <c r="AG14">
        <f t="shared" ca="1" si="19"/>
        <v>-1.5700000000000003</v>
      </c>
      <c r="AH14">
        <f t="shared" ca="1" si="20"/>
        <v>2.6666666666666394E-2</v>
      </c>
      <c r="AI14">
        <f t="shared" ca="1" si="21"/>
        <v>-1.1174999999999997</v>
      </c>
      <c r="AJ14">
        <f t="shared" ca="1" si="22"/>
        <v>-1.6500000000000004</v>
      </c>
      <c r="AK14">
        <f t="shared" ca="1" si="23"/>
        <v>-1.6499999999999986</v>
      </c>
      <c r="AL14">
        <f t="shared" ca="1" si="24"/>
        <v>-1.984285714285714</v>
      </c>
      <c r="AM14" s="13">
        <f t="shared" si="31"/>
        <v>2.5533333333333328</v>
      </c>
      <c r="AN14">
        <f t="shared" si="31"/>
        <v>0.21999999999999886</v>
      </c>
      <c r="AO14">
        <f t="shared" si="31"/>
        <v>0.88666666666666494</v>
      </c>
      <c r="AP14">
        <f t="shared" si="25"/>
        <v>1.2199999999999989</v>
      </c>
      <c r="AQ14">
        <f t="shared" si="26"/>
        <v>2.5533333333333328</v>
      </c>
      <c r="AR14">
        <f t="shared" si="27"/>
        <v>1.0533333333333328</v>
      </c>
      <c r="AS14" s="30">
        <f t="shared" si="14"/>
        <v>1.734499999999997</v>
      </c>
      <c r="AT14">
        <f t="shared" si="4"/>
        <v>-0.63913043478261145</v>
      </c>
      <c r="AU14">
        <f t="shared" si="4"/>
        <v>-3.1014492753626222E-2</v>
      </c>
      <c r="AV14">
        <f t="shared" si="4"/>
        <v>-0.12293333333333578</v>
      </c>
      <c r="AW14">
        <f t="shared" si="4"/>
        <v>1.6031999999999975</v>
      </c>
      <c r="AX14">
        <f t="shared" si="4"/>
        <v>0.42733333333333157</v>
      </c>
      <c r="AY14" s="13">
        <f t="shared" ca="1" si="32"/>
        <v>1.1668167917719625</v>
      </c>
      <c r="AZ14" s="6">
        <f t="shared" ca="1" si="32"/>
        <v>-0.71420708182092429</v>
      </c>
      <c r="BA14" s="6">
        <f t="shared" ca="1" si="32"/>
        <v>-0.29913655943324535</v>
      </c>
      <c r="BB14" s="6">
        <f t="shared" ca="1" si="28"/>
        <v>-0.34088211359303955</v>
      </c>
      <c r="BC14" s="6">
        <f t="shared" ca="1" si="29"/>
        <v>0.95532786841314099</v>
      </c>
      <c r="BD14" s="2">
        <f t="shared" ca="1" si="30"/>
        <v>0.16045969553401296</v>
      </c>
    </row>
    <row r="15" spans="1:66" x14ac:dyDescent="0.25">
      <c r="A15" t="s">
        <v>54</v>
      </c>
      <c r="B15">
        <f>B14+1</f>
        <v>4</v>
      </c>
      <c r="C15" s="13">
        <f ca="1">'Historical Trends'!N31</f>
        <v>7.8507619047618959</v>
      </c>
      <c r="D15">
        <f ca="1">AVERAGE(OFFSET('Historical Trends'!$D$28,$B9,0,'Polling Correlations - OTH'!D$4,1))</f>
        <v>5.8499999999999943</v>
      </c>
      <c r="E15">
        <f ca="1">AVERAGE(OFFSET('Historical Trends'!$D$28,$B9,0,'Polling Correlations - OTH'!E$4,1))</f>
        <v>8.4249999999999972</v>
      </c>
      <c r="F15">
        <f ca="1">AVERAGE(OFFSET('Historical Trends'!$D$28,$B9,0,'Polling Correlations - OTH'!F$4,1))</f>
        <v>6.6933333333333325</v>
      </c>
      <c r="G15">
        <f ca="1">AVERAGE(OFFSET('Historical Trends'!$D$28,$B9,0,'Polling Correlations - OTH'!G$4,1))</f>
        <v>6.02</v>
      </c>
      <c r="H15">
        <f ca="1">AVERAGE(OFFSET('Historical Trends'!$D$28,$B9,0,'Polling Correlations - OTH'!H$4,1))</f>
        <v>6.0420000000000016</v>
      </c>
      <c r="I15">
        <f ca="1">AVERAGE(OFFSET('Historical Trends'!$D$28,$B9,0,'Polling Correlations - OTH'!I$4,1))</f>
        <v>5.666666666666667</v>
      </c>
      <c r="J15">
        <f ca="1">AVERAGE(OFFSET('Historical Trends'!$D$28,$B9,0,'Polling Correlations - OTH'!J$4,1))</f>
        <v>5.13</v>
      </c>
      <c r="L15">
        <f>(15+15+13)/3</f>
        <v>14.333333333333334</v>
      </c>
      <c r="M15">
        <f>(14+14+13)/3</f>
        <v>13.666666666666666</v>
      </c>
      <c r="N15">
        <f>(16+14+14)/3</f>
        <v>14.666666666666666</v>
      </c>
      <c r="O15">
        <f>(15+16+14)/3</f>
        <v>15</v>
      </c>
      <c r="P15">
        <f>(10+10+15)/3</f>
        <v>11.666666666666666</v>
      </c>
      <c r="Q15" s="30"/>
      <c r="R15" s="31">
        <f>L15-AVERAGE(AN$5:AN14,AN16:AN$30)</f>
        <v>13.776086956521738</v>
      </c>
      <c r="S15" s="31">
        <f>M15-AVERAGE(AO$5:AO14,AO16:AO$30)</f>
        <v>12.992898550724636</v>
      </c>
      <c r="T15" s="31">
        <f>N15-AVERAGE(AP$5:AP14,AP16:AP$30)</f>
        <v>13.574799999999998</v>
      </c>
      <c r="U15" s="31">
        <f>O15-AVERAGE(AQ$5:AQ14,AQ16:AQ$30)</f>
        <v>14.260933333333332</v>
      </c>
      <c r="V15" s="31">
        <f>P15-AVERAGE(AR$5:AR14,AR16:AR$30)</f>
        <v>11.178399999999998</v>
      </c>
      <c r="W15" s="13">
        <f t="shared" ca="1" si="7"/>
        <v>1.1278474335656323</v>
      </c>
      <c r="X15" s="6">
        <f t="shared" ca="1" si="8"/>
        <v>12.733705177764339</v>
      </c>
      <c r="Y15" s="6">
        <f t="shared" ca="1" si="9"/>
        <v>11.36847763144107</v>
      </c>
      <c r="Z15" s="6">
        <f t="shared" ca="1" si="10"/>
        <v>12.026035062783473</v>
      </c>
      <c r="AA15" s="6">
        <f t="shared" ca="1" si="11"/>
        <v>12.323918792134117</v>
      </c>
      <c r="AB15" s="2">
        <f t="shared" ca="1" si="12"/>
        <v>10.309908860963008</v>
      </c>
      <c r="AC15" s="2">
        <f>'Historical Trends'!C31</f>
        <v>7.1700000000000017</v>
      </c>
      <c r="AE15" s="13">
        <f t="shared" ca="1" si="17"/>
        <v>0.68076190476189424</v>
      </c>
      <c r="AF15">
        <f t="shared" ca="1" si="18"/>
        <v>-1.3200000000000074</v>
      </c>
      <c r="AG15">
        <f t="shared" ca="1" si="19"/>
        <v>1.2549999999999955</v>
      </c>
      <c r="AH15">
        <f t="shared" ca="1" si="20"/>
        <v>-0.47666666666666924</v>
      </c>
      <c r="AI15">
        <f t="shared" ca="1" si="21"/>
        <v>-1.1500000000000021</v>
      </c>
      <c r="AJ15">
        <f t="shared" ca="1" si="22"/>
        <v>-1.1280000000000001</v>
      </c>
      <c r="AK15">
        <f t="shared" ca="1" si="23"/>
        <v>-1.5033333333333347</v>
      </c>
      <c r="AL15">
        <f t="shared" ca="1" si="24"/>
        <v>-2.0400000000000018</v>
      </c>
      <c r="AN15">
        <f t="shared" ref="AN15:AN16" si="35">L15-$AC15</f>
        <v>7.1633333333333322</v>
      </c>
      <c r="AO15">
        <f t="shared" ref="AO15:AO16" si="36">M15-$AC15</f>
        <v>6.4966666666666644</v>
      </c>
      <c r="AP15">
        <f t="shared" si="25"/>
        <v>7.4966666666666644</v>
      </c>
      <c r="AQ15">
        <f t="shared" si="26"/>
        <v>7.8299999999999983</v>
      </c>
      <c r="AR15">
        <f t="shared" si="27"/>
        <v>4.4966666666666644</v>
      </c>
      <c r="AS15" s="30"/>
      <c r="AT15">
        <f t="shared" si="4"/>
        <v>6.6060869565217359</v>
      </c>
      <c r="AU15">
        <f t="shared" si="4"/>
        <v>5.8228985507246342</v>
      </c>
      <c r="AV15">
        <f t="shared" si="4"/>
        <v>6.4047999999999963</v>
      </c>
      <c r="AW15">
        <f t="shared" si="4"/>
        <v>7.0909333333333304</v>
      </c>
      <c r="AX15">
        <f t="shared" si="4"/>
        <v>4.0083999999999964</v>
      </c>
      <c r="AZ15" s="6">
        <f t="shared" ref="AZ15:AZ17" ca="1" si="37">X15-$AC15</f>
        <v>5.5637051777643372</v>
      </c>
      <c r="BA15" s="6">
        <f t="shared" ref="BA15:BA17" ca="1" si="38">Y15-$AC15</f>
        <v>4.1984776314410688</v>
      </c>
      <c r="BB15" s="6">
        <f t="shared" ca="1" si="28"/>
        <v>4.8560350627834712</v>
      </c>
      <c r="BC15" s="6">
        <f t="shared" ca="1" si="29"/>
        <v>5.1539187921341156</v>
      </c>
      <c r="BD15" s="2">
        <f t="shared" ca="1" si="30"/>
        <v>3.1399088609630059</v>
      </c>
      <c r="BE15" t="s">
        <v>188</v>
      </c>
    </row>
    <row r="16" spans="1:66" x14ac:dyDescent="0.25">
      <c r="A16" t="s">
        <v>48</v>
      </c>
      <c r="B16">
        <v>0</v>
      </c>
      <c r="C16" s="13">
        <f ca="1">'Historical Trends'!N46</f>
        <v>11.552</v>
      </c>
      <c r="D16">
        <f ca="1">AVERAGE(OFFSET('Historical Trends'!$D$48,$B5,0,'Polling Correlations - OTH'!D$4,1))</f>
        <v>10</v>
      </c>
      <c r="E16">
        <f ca="1">AVERAGE(OFFSET('Historical Trends'!$D$48,$B5,0,'Polling Correlations - OTH'!E$4,1))</f>
        <v>11.515000000000001</v>
      </c>
      <c r="F16">
        <f ca="1">AVERAGE(OFFSET('Historical Trends'!$D$48,$B5,0,'Polling Correlations - OTH'!F$4,1))</f>
        <v>12.523333333333332</v>
      </c>
      <c r="G16">
        <f ca="1">AVERAGE(OFFSET('Historical Trends'!$D$48,$B5,0,'Polling Correlations - OTH'!G$4,1))</f>
        <v>12.752499999999998</v>
      </c>
      <c r="H16">
        <f ca="1">AVERAGE(OFFSET('Historical Trends'!$D$48,$B5,0,'Polling Correlations - OTH'!H$4,1))</f>
        <v>12.053999999999998</v>
      </c>
      <c r="I16">
        <f ca="1">AVERAGE(OFFSET('Historical Trends'!$D$48,$B5,0,'Polling Correlations - OTH'!I$4,1))</f>
        <v>11.66666666666667</v>
      </c>
      <c r="J16">
        <f ca="1">AVERAGE(OFFSET('Historical Trends'!$D$48,$B5,0,'Polling Correlations - OTH'!J$4,1))</f>
        <v>11.481428571428575</v>
      </c>
      <c r="K16" s="13">
        <f>(16+12+20.9+12.5+12)/5</f>
        <v>14.680000000000001</v>
      </c>
      <c r="L16">
        <f>(10.5+17+11+14.7+10)/5</f>
        <v>12.64</v>
      </c>
      <c r="M16">
        <f>(18.4+10.5+17+11+14.7)/5</f>
        <v>14.319999999999999</v>
      </c>
      <c r="N16">
        <f>(17.2+15+18.4+10.6+17)/5</f>
        <v>15.64</v>
      </c>
      <c r="O16">
        <f>(16+15+17.2+15+18.4)/5</f>
        <v>16.32</v>
      </c>
      <c r="P16">
        <f>(14+12+10+16.6+16)/5</f>
        <v>13.719999999999999</v>
      </c>
      <c r="Q16" s="30">
        <f>K16-AVERAGE(AM$5:AM15,AM17:AM$30)</f>
        <v>13.6905</v>
      </c>
      <c r="R16" s="31">
        <f>L16-AVERAGE(AN$5:AN15,AN17:AN$30)</f>
        <v>11.645217391304348</v>
      </c>
      <c r="S16" s="31">
        <f>M16-AVERAGE(AO$5:AO15,AO17:AO$30)</f>
        <v>13.310724637681156</v>
      </c>
      <c r="T16" s="31">
        <f>N16-AVERAGE(AP$5:AP15,AP17:AP$30)</f>
        <v>14.252266666666667</v>
      </c>
      <c r="U16" s="31">
        <f>O16-AVERAGE(AQ$5:AQ15,AQ17:AQ$30)</f>
        <v>15.298933333333332</v>
      </c>
      <c r="V16" s="31">
        <f>P16-AVERAGE(AR$5:AR15,AR17:AR$30)</f>
        <v>12.979066666666665</v>
      </c>
      <c r="W16" s="13">
        <f t="shared" ca="1" si="7"/>
        <v>12.978992144688211</v>
      </c>
      <c r="X16" s="6">
        <f t="shared" ca="1" si="8"/>
        <v>11.428850268385094</v>
      </c>
      <c r="Y16" s="6">
        <f t="shared" ca="1" si="9"/>
        <v>12.557807552096737</v>
      </c>
      <c r="Z16" s="6">
        <f t="shared" ca="1" si="10"/>
        <v>13.399718831508746</v>
      </c>
      <c r="AA16" s="6">
        <f t="shared" ca="1" si="11"/>
        <v>14.078603732237312</v>
      </c>
      <c r="AB16" s="2">
        <f t="shared" ca="1" si="12"/>
        <v>12.493500079586029</v>
      </c>
      <c r="AC16" s="2">
        <f>'Historical Trends'!C47</f>
        <v>15.539999999999992</v>
      </c>
      <c r="AE16" s="13">
        <f t="shared" ca="1" si="17"/>
        <v>-3.9879999999999924</v>
      </c>
      <c r="AF16">
        <f t="shared" ca="1" si="18"/>
        <v>-5.539999999999992</v>
      </c>
      <c r="AG16">
        <f t="shared" ca="1" si="19"/>
        <v>-4.0249999999999915</v>
      </c>
      <c r="AH16">
        <f t="shared" ca="1" si="20"/>
        <v>-3.0166666666666604</v>
      </c>
      <c r="AI16">
        <f t="shared" ca="1" si="21"/>
        <v>-2.7874999999999943</v>
      </c>
      <c r="AJ16">
        <f t="shared" ca="1" si="22"/>
        <v>-3.4859999999999935</v>
      </c>
      <c r="AK16">
        <f t="shared" ca="1" si="23"/>
        <v>-3.8733333333333224</v>
      </c>
      <c r="AL16">
        <f t="shared" ca="1" si="24"/>
        <v>-4.0585714285714172</v>
      </c>
      <c r="AM16" s="13">
        <f>K16-$AC16</f>
        <v>-0.85999999999999055</v>
      </c>
      <c r="AN16">
        <f t="shared" si="35"/>
        <v>-2.8999999999999915</v>
      </c>
      <c r="AO16">
        <f t="shared" si="36"/>
        <v>-1.2199999999999935</v>
      </c>
      <c r="AP16">
        <f t="shared" si="25"/>
        <v>0.10000000000000853</v>
      </c>
      <c r="AQ16">
        <f t="shared" si="26"/>
        <v>0.78000000000000824</v>
      </c>
      <c r="AR16">
        <f t="shared" si="27"/>
        <v>-1.8199999999999932</v>
      </c>
      <c r="AS16" s="30">
        <f t="shared" si="14"/>
        <v>-1.8494999999999919</v>
      </c>
      <c r="AT16">
        <f t="shared" si="4"/>
        <v>-3.8947826086956443</v>
      </c>
      <c r="AU16">
        <f t="shared" si="4"/>
        <v>-2.2292753623188357</v>
      </c>
      <c r="AV16">
        <f t="shared" si="4"/>
        <v>-1.2877333333333247</v>
      </c>
      <c r="AW16">
        <f t="shared" si="4"/>
        <v>-0.24106666666665966</v>
      </c>
      <c r="AX16">
        <f t="shared" si="4"/>
        <v>-2.5609333333333275</v>
      </c>
      <c r="AY16" s="13">
        <f ca="1">W16-$AC16</f>
        <v>-2.5610078553117805</v>
      </c>
      <c r="AZ16" s="6">
        <f t="shared" ca="1" si="37"/>
        <v>-4.1111497316148977</v>
      </c>
      <c r="BA16" s="6">
        <f t="shared" ca="1" si="38"/>
        <v>-2.9821924479032553</v>
      </c>
      <c r="BB16" s="6">
        <f t="shared" ca="1" si="28"/>
        <v>-2.1402811684912457</v>
      </c>
      <c r="BC16" s="6">
        <f t="shared" ca="1" si="29"/>
        <v>-1.4613962677626802</v>
      </c>
      <c r="BD16" s="2">
        <f t="shared" ca="1" si="30"/>
        <v>-3.0464999204139627</v>
      </c>
      <c r="BE16" t="s">
        <v>189</v>
      </c>
      <c r="BG16">
        <v>0.80827264868333881</v>
      </c>
    </row>
    <row r="17" spans="1:74" x14ac:dyDescent="0.25">
      <c r="A17" t="s">
        <v>70</v>
      </c>
      <c r="B17">
        <f>B16+1</f>
        <v>1</v>
      </c>
      <c r="C17" s="13">
        <f ca="1">'Historical Trends'!N47</f>
        <v>13.042666666666662</v>
      </c>
      <c r="D17">
        <f ca="1">AVERAGE(OFFSET('Historical Trends'!$D$48,$B6,0,'Polling Correlations - OTH'!D$4,1))</f>
        <v>13.030000000000001</v>
      </c>
      <c r="E17">
        <f ca="1">AVERAGE(OFFSET('Historical Trends'!$D$48,$B6,0,'Polling Correlations - OTH'!E$4,1))</f>
        <v>13.784999999999997</v>
      </c>
      <c r="F17">
        <f ca="1">AVERAGE(OFFSET('Historical Trends'!$D$48,$B6,0,'Polling Correlations - OTH'!F$4,1))</f>
        <v>13.669999999999996</v>
      </c>
      <c r="G17">
        <f ca="1">AVERAGE(OFFSET('Historical Trends'!$D$48,$B6,0,'Polling Correlations - OTH'!G$4,1))</f>
        <v>12.567499999999999</v>
      </c>
      <c r="H17">
        <f ca="1">AVERAGE(OFFSET('Historical Trends'!$D$48,$B6,0,'Polling Correlations - OTH'!H$4,1))</f>
        <v>12.000000000000004</v>
      </c>
      <c r="I17">
        <f ca="1">AVERAGE(OFFSET('Historical Trends'!$D$48,$B6,0,'Polling Correlations - OTH'!I$4,1))</f>
        <v>11.728333333333337</v>
      </c>
      <c r="J17">
        <f ca="1">AVERAGE(OFFSET('Historical Trends'!$D$48,$B6,0,'Polling Correlations - OTH'!J$4,1))</f>
        <v>11.505714285714289</v>
      </c>
      <c r="K17" s="13">
        <f>(15+16+15+10+16)/5</f>
        <v>14.4</v>
      </c>
      <c r="L17">
        <f>(13+13+13+13+13)/5</f>
        <v>13</v>
      </c>
      <c r="M17">
        <f>(9+14+13+9+9)/5</f>
        <v>10.8</v>
      </c>
      <c r="N17">
        <f>(10+12+9+9+12)/5</f>
        <v>10.4</v>
      </c>
      <c r="O17">
        <f>(10.4+10+11+8+9)/5</f>
        <v>9.68</v>
      </c>
      <c r="P17">
        <f>(10.3+11+10+8+9)/5</f>
        <v>9.66</v>
      </c>
      <c r="Q17" s="30">
        <f>K17-AVERAGE(AM$5:AM16,AM18:AM$30)</f>
        <v>13.673499999999999</v>
      </c>
      <c r="R17" s="31">
        <f>L17-AVERAGE(AN$5:AN16,AN18:AN$30)</f>
        <v>12.261739130434782</v>
      </c>
      <c r="S17" s="31">
        <f>M17-AVERAGE(AO$5:AO16,AO18:AO$30)</f>
        <v>9.8785507246376802</v>
      </c>
      <c r="T17" s="31">
        <f>N17-AVERAGE(AP$5:AP16,AP18:AP$30)</f>
        <v>9.0242666666666658</v>
      </c>
      <c r="U17" s="31">
        <f>O17-AVERAGE(AQ$5:AQ16,AQ18:AQ$30)</f>
        <v>8.6149333333333313</v>
      </c>
      <c r="V17" s="31">
        <f>P17-AVERAGE(AR$5:AR16,AR18:AR$30)</f>
        <v>8.9782666666666664</v>
      </c>
      <c r="W17" s="13">
        <f t="shared" ca="1" si="7"/>
        <v>13.549436782307779</v>
      </c>
      <c r="X17" s="6">
        <f t="shared" ca="1" si="8"/>
        <v>12.362775257865628</v>
      </c>
      <c r="Y17" s="6">
        <f t="shared" ca="1" si="9"/>
        <v>10.595245787938032</v>
      </c>
      <c r="Z17" s="6">
        <f t="shared" ca="1" si="10"/>
        <v>9.8273864023887736</v>
      </c>
      <c r="AA17" s="6">
        <f t="shared" ca="1" si="11"/>
        <v>9.6317109006699653</v>
      </c>
      <c r="AB17" s="2">
        <f t="shared" ca="1" si="12"/>
        <v>9.6386702583153436</v>
      </c>
      <c r="AC17" s="2">
        <f>'Historical Trends'!C48</f>
        <v>10</v>
      </c>
      <c r="AE17" s="13">
        <f t="shared" ca="1" si="17"/>
        <v>3.042666666666662</v>
      </c>
      <c r="AF17">
        <f t="shared" ca="1" si="18"/>
        <v>3.0300000000000011</v>
      </c>
      <c r="AG17">
        <f t="shared" ca="1" si="19"/>
        <v>3.7849999999999966</v>
      </c>
      <c r="AH17">
        <f t="shared" ca="1" si="20"/>
        <v>3.6699999999999964</v>
      </c>
      <c r="AI17">
        <f t="shared" ca="1" si="21"/>
        <v>2.567499999999999</v>
      </c>
      <c r="AJ17">
        <f t="shared" ca="1" si="22"/>
        <v>2.0000000000000036</v>
      </c>
      <c r="AK17">
        <f t="shared" ca="1" si="23"/>
        <v>1.7283333333333371</v>
      </c>
      <c r="AL17">
        <f t="shared" ca="1" si="24"/>
        <v>1.5057142857142889</v>
      </c>
      <c r="AM17" s="13">
        <f>K17-$AC17</f>
        <v>4.4000000000000004</v>
      </c>
      <c r="AN17">
        <f t="shared" ref="AN17:AN26" si="39">L17-$AC17</f>
        <v>3</v>
      </c>
      <c r="AO17">
        <f t="shared" ref="AO17:AO26" si="40">M17-$AC17</f>
        <v>0.80000000000000071</v>
      </c>
      <c r="AP17">
        <f t="shared" si="25"/>
        <v>0.40000000000000036</v>
      </c>
      <c r="AQ17">
        <f t="shared" si="26"/>
        <v>-0.32000000000000028</v>
      </c>
      <c r="AR17">
        <f t="shared" si="27"/>
        <v>-0.33999999999999986</v>
      </c>
      <c r="AS17" s="30">
        <f t="shared" si="14"/>
        <v>3.6734999999999989</v>
      </c>
      <c r="AT17">
        <f t="shared" si="4"/>
        <v>2.2617391304347816</v>
      </c>
      <c r="AU17">
        <f t="shared" si="4"/>
        <v>-0.12144927536231975</v>
      </c>
      <c r="AV17">
        <f t="shared" si="4"/>
        <v>-0.97573333333333423</v>
      </c>
      <c r="AW17">
        <f t="shared" si="4"/>
        <v>-1.3850666666666687</v>
      </c>
      <c r="AX17">
        <f t="shared" si="4"/>
        <v>-1.0217333333333336</v>
      </c>
      <c r="AY17" s="13">
        <f ca="1">W17-$AC17</f>
        <v>3.5494367823077795</v>
      </c>
      <c r="AZ17" s="6">
        <f t="shared" ca="1" si="37"/>
        <v>2.3627752578656285</v>
      </c>
      <c r="BA17" s="6">
        <f t="shared" ca="1" si="38"/>
        <v>0.59524578793803151</v>
      </c>
      <c r="BB17" s="6">
        <f t="shared" ca="1" si="28"/>
        <v>-0.17261359761122641</v>
      </c>
      <c r="BC17" s="6">
        <f t="shared" ca="1" si="29"/>
        <v>-0.36828909933003473</v>
      </c>
      <c r="BD17" s="2">
        <f t="shared" ca="1" si="30"/>
        <v>-0.36132974168465637</v>
      </c>
      <c r="BE17" t="s">
        <v>190</v>
      </c>
      <c r="BG17">
        <v>2918.8300165762648</v>
      </c>
    </row>
    <row r="18" spans="1:74" x14ac:dyDescent="0.25">
      <c r="A18" t="s">
        <v>72</v>
      </c>
      <c r="B18">
        <f>B17+1</f>
        <v>2</v>
      </c>
      <c r="C18" s="13">
        <f ca="1">'Historical Trends'!N48</f>
        <v>14.919333333333384</v>
      </c>
      <c r="D18">
        <f ca="1">AVERAGE(OFFSET('Historical Trends'!$D$48,$B7,0,'Polling Correlations - OTH'!D$4,1))</f>
        <v>14.539999999999992</v>
      </c>
      <c r="E18">
        <f ca="1">AVERAGE(OFFSET('Historical Trends'!$D$48,$B7,0,'Polling Correlations - OTH'!E$4,1))</f>
        <v>13.989999999999995</v>
      </c>
      <c r="F18">
        <f ca="1">AVERAGE(OFFSET('Historical Trends'!$D$48,$B7,0,'Polling Correlations - OTH'!F$4,1))</f>
        <v>12.413333333333332</v>
      </c>
      <c r="G18">
        <f ca="1">AVERAGE(OFFSET('Historical Trends'!$D$48,$B7,0,'Polling Correlations - OTH'!G$4,1))</f>
        <v>11.742500000000003</v>
      </c>
      <c r="H18">
        <f ca="1">AVERAGE(OFFSET('Historical Trends'!$D$48,$B7,0,'Polling Correlations - OTH'!H$4,1))</f>
        <v>11.468000000000004</v>
      </c>
      <c r="I18">
        <f ca="1">AVERAGE(OFFSET('Historical Trends'!$D$48,$B7,0,'Polling Correlations - OTH'!I$4,1))</f>
        <v>11.25166666666667</v>
      </c>
      <c r="J18">
        <f ca="1">AVERAGE(OFFSET('Historical Trends'!$D$48,$B7,0,'Polling Correlations - OTH'!J$4,1))</f>
        <v>10.412857142857145</v>
      </c>
      <c r="K18" s="13">
        <f>(13+17+18+14+14)/5</f>
        <v>15.2</v>
      </c>
      <c r="L18">
        <f>(14+13+9+13+16)/5</f>
        <v>13</v>
      </c>
      <c r="M18">
        <f>(15+13+13+14+13)/5</f>
        <v>13.6</v>
      </c>
      <c r="N18">
        <f>(16+11.5+14+15+13)/5</f>
        <v>13.9</v>
      </c>
      <c r="O18">
        <f>(12+10+14+11+14)/5</f>
        <v>12.2</v>
      </c>
      <c r="P18">
        <f>(15+15+15+11+13)/5</f>
        <v>13.8</v>
      </c>
      <c r="Q18" s="30">
        <f>K18-AVERAGE(AM$5:AM17,AM19:AM$30)</f>
        <v>14.361999999999997</v>
      </c>
      <c r="R18" s="31">
        <f>L18-AVERAGE(AN$5:AN17,AN19:AN$30)</f>
        <v>12.129999999999999</v>
      </c>
      <c r="S18" s="31">
        <f>M18-AVERAGE(AO$5:AO17,AO19:AO$30)</f>
        <v>12.668550724637679</v>
      </c>
      <c r="T18" s="31">
        <f>N18-AVERAGE(AP$5:AP17,AP19:AP$30)</f>
        <v>12.543066666666666</v>
      </c>
      <c r="U18" s="31">
        <f>O18-AVERAGE(AQ$5:AQ17,AQ19:AQ$30)</f>
        <v>11.11453333333333</v>
      </c>
      <c r="V18" s="31">
        <f>P18-AVERAGE(AR$5:AR17,AR19:AR$30)</f>
        <v>13.162666666666667</v>
      </c>
      <c r="W18" s="13">
        <f t="shared" ca="1" si="7"/>
        <v>14.396317409089685</v>
      </c>
      <c r="X18" s="6">
        <f t="shared" ca="1" si="8"/>
        <v>12.446945814572256</v>
      </c>
      <c r="Y18" s="6">
        <f t="shared" ca="1" si="9"/>
        <v>13.094151246707002</v>
      </c>
      <c r="Z18" s="6">
        <f t="shared" ca="1" si="10"/>
        <v>12.943436945330912</v>
      </c>
      <c r="AA18" s="6">
        <f t="shared" ca="1" si="11"/>
        <v>11.903408774472624</v>
      </c>
      <c r="AB18" s="2">
        <f t="shared" ca="1" si="12"/>
        <v>13.387162161655834</v>
      </c>
      <c r="AC18" s="2">
        <f>'Historical Trends'!C49</f>
        <v>13.030000000000001</v>
      </c>
      <c r="AE18" s="13">
        <f t="shared" ca="1" si="17"/>
        <v>1.8893333333333828</v>
      </c>
      <c r="AF18">
        <f t="shared" ca="1" si="18"/>
        <v>1.5099999999999909</v>
      </c>
      <c r="AG18">
        <f t="shared" ca="1" si="19"/>
        <v>0.95999999999999375</v>
      </c>
      <c r="AH18">
        <f t="shared" ca="1" si="20"/>
        <v>-0.61666666666666892</v>
      </c>
      <c r="AI18">
        <f t="shared" ca="1" si="21"/>
        <v>-1.2874999999999979</v>
      </c>
      <c r="AJ18">
        <f t="shared" ca="1" si="22"/>
        <v>-1.5619999999999976</v>
      </c>
      <c r="AK18">
        <f t="shared" ca="1" si="23"/>
        <v>-1.7783333333333307</v>
      </c>
      <c r="AL18">
        <f t="shared" ca="1" si="24"/>
        <v>-2.6171428571428557</v>
      </c>
      <c r="AM18" s="13">
        <f>K18-$AC18</f>
        <v>2.1699999999999982</v>
      </c>
      <c r="AN18">
        <f t="shared" si="39"/>
        <v>-3.0000000000001137E-2</v>
      </c>
      <c r="AO18">
        <f t="shared" si="40"/>
        <v>0.56999999999999851</v>
      </c>
      <c r="AP18">
        <f t="shared" si="25"/>
        <v>0.86999999999999922</v>
      </c>
      <c r="AQ18">
        <f t="shared" si="26"/>
        <v>-0.83000000000000185</v>
      </c>
      <c r="AR18">
        <f t="shared" si="27"/>
        <v>0.76999999999999957</v>
      </c>
      <c r="AS18" s="30">
        <f t="shared" si="14"/>
        <v>1.3319999999999954</v>
      </c>
      <c r="AT18">
        <f t="shared" si="4"/>
        <v>-0.90000000000000213</v>
      </c>
      <c r="AU18">
        <f t="shared" si="4"/>
        <v>-0.36144927536232174</v>
      </c>
      <c r="AV18">
        <f t="shared" si="4"/>
        <v>-0.48693333333333477</v>
      </c>
      <c r="AW18">
        <f t="shared" si="4"/>
        <v>-1.9154666666666706</v>
      </c>
      <c r="AX18">
        <f t="shared" si="4"/>
        <v>0.13266666666666538</v>
      </c>
      <c r="AY18" s="13">
        <f ca="1">W18-$AC18</f>
        <v>1.3663174090896835</v>
      </c>
      <c r="AZ18" s="6">
        <f t="shared" ref="AZ18:AZ29" ca="1" si="41">X18-$AC18</f>
        <v>-0.5830541854277449</v>
      </c>
      <c r="BA18" s="6">
        <f t="shared" ref="BA18:BA29" ca="1" si="42">Y18-$AC18</f>
        <v>6.4151246707000453E-2</v>
      </c>
      <c r="BB18" s="6">
        <f t="shared" ca="1" si="28"/>
        <v>-8.6563054669088757E-2</v>
      </c>
      <c r="BC18" s="6">
        <f t="shared" ca="1" si="29"/>
        <v>-1.1265912255273776</v>
      </c>
      <c r="BD18" s="2">
        <f t="shared" ca="1" si="30"/>
        <v>0.35716216165583248</v>
      </c>
      <c r="BE18" t="s">
        <v>191</v>
      </c>
      <c r="BG18">
        <v>290378.67500433931</v>
      </c>
    </row>
    <row r="19" spans="1:74" x14ac:dyDescent="0.25">
      <c r="A19" t="s">
        <v>73</v>
      </c>
      <c r="B19">
        <f>B18+1</f>
        <v>3</v>
      </c>
      <c r="C19" s="13">
        <f ca="1">'Historical Trends'!N49</f>
        <v>14.438990415335411</v>
      </c>
      <c r="D19">
        <f ca="1">AVERAGE(OFFSET('Historical Trends'!$D$48,$B8,0,'Polling Correlations - OTH'!D$4,1))</f>
        <v>13.439999999999998</v>
      </c>
      <c r="E19">
        <f ca="1">AVERAGE(OFFSET('Historical Trends'!$D$48,$B8,0,'Polling Correlations - OTH'!E$4,1))</f>
        <v>11.350000000000001</v>
      </c>
      <c r="F19">
        <f ca="1">AVERAGE(OFFSET('Historical Trends'!$D$48,$B8,0,'Polling Correlations - OTH'!F$4,1))</f>
        <v>10.810000000000008</v>
      </c>
      <c r="G19">
        <f ca="1">AVERAGE(OFFSET('Historical Trends'!$D$48,$B8,0,'Polling Correlations - OTH'!G$4,1))</f>
        <v>10.700000000000006</v>
      </c>
      <c r="H19">
        <f ca="1">AVERAGE(OFFSET('Historical Trends'!$D$48,$B8,0,'Polling Correlations - OTH'!H$4,1))</f>
        <v>10.594000000000005</v>
      </c>
      <c r="I19">
        <f ca="1">AVERAGE(OFFSET('Historical Trends'!$D$48,$B8,0,'Polling Correlations - OTH'!I$4,1))</f>
        <v>9.7250000000000032</v>
      </c>
      <c r="J19">
        <f ca="1">AVERAGE(OFFSET('Historical Trends'!$D$48,$B8,0,'Polling Correlations - OTH'!J$4,1))</f>
        <v>8.7657142857142869</v>
      </c>
      <c r="L19">
        <f>(17+16+16)/3</f>
        <v>16.333333333333332</v>
      </c>
      <c r="M19">
        <f>(17+16+14)/3</f>
        <v>15.666666666666666</v>
      </c>
      <c r="N19">
        <f>(17+15+17)/3</f>
        <v>16.333333333333332</v>
      </c>
      <c r="O19">
        <f>(15+17+15)/3</f>
        <v>15.666666666666666</v>
      </c>
      <c r="P19">
        <f>(12+15+17)/3</f>
        <v>14.666666666666666</v>
      </c>
      <c r="Q19" s="30"/>
      <c r="R19" s="31">
        <f>L19-AVERAGE(AN$5:AN18,AN20:AN$30)</f>
        <v>15.519130434782607</v>
      </c>
      <c r="S19" s="31">
        <f>M19-AVERAGE(AO$5:AO18,AO20:AO$30)</f>
        <v>14.735942028985505</v>
      </c>
      <c r="T19" s="31">
        <f>N19-AVERAGE(AP$5:AP18,AP20:AP$30)</f>
        <v>14.991733333333331</v>
      </c>
      <c r="U19" s="31">
        <f>O19-AVERAGE(AQ$5:AQ18,AQ20:AQ$30)</f>
        <v>14.637866666666666</v>
      </c>
      <c r="V19" s="31">
        <f>P19-AVERAGE(AR$5:AR18,AR20:AR$30)</f>
        <v>13.981999999999999</v>
      </c>
      <c r="W19" s="13">
        <f t="shared" ca="1" si="7"/>
        <v>2.5911571807046343</v>
      </c>
      <c r="X19" s="6">
        <f t="shared" ca="1" si="8"/>
        <v>15.245698198577568</v>
      </c>
      <c r="Y19" s="6">
        <f t="shared" ca="1" si="9"/>
        <v>14.441221989618674</v>
      </c>
      <c r="Z19" s="6">
        <f t="shared" ca="1" si="10"/>
        <v>14.680622342941763</v>
      </c>
      <c r="AA19" s="6">
        <f t="shared" ca="1" si="11"/>
        <v>14.36200130668864</v>
      </c>
      <c r="AB19" s="2">
        <f t="shared" ca="1" si="12"/>
        <v>13.893657871526527</v>
      </c>
      <c r="AC19" s="2">
        <f>'Historical Trends'!C50</f>
        <v>15.079999999999998</v>
      </c>
      <c r="AE19" s="13">
        <f t="shared" ca="1" si="17"/>
        <v>-0.64100958466458735</v>
      </c>
      <c r="AF19">
        <f t="shared" ca="1" si="18"/>
        <v>-1.6400000000000006</v>
      </c>
      <c r="AG19">
        <f t="shared" ca="1" si="19"/>
        <v>-3.7299999999999969</v>
      </c>
      <c r="AH19">
        <f t="shared" ca="1" si="20"/>
        <v>-4.2699999999999907</v>
      </c>
      <c r="AI19">
        <f t="shared" ca="1" si="21"/>
        <v>-4.3799999999999919</v>
      </c>
      <c r="AJ19">
        <f t="shared" ca="1" si="22"/>
        <v>-4.4859999999999935</v>
      </c>
      <c r="AK19">
        <f t="shared" ca="1" si="23"/>
        <v>-5.3549999999999951</v>
      </c>
      <c r="AL19">
        <f t="shared" ca="1" si="24"/>
        <v>-6.3142857142857114</v>
      </c>
      <c r="AN19">
        <f t="shared" si="39"/>
        <v>1.2533333333333339</v>
      </c>
      <c r="AO19">
        <f t="shared" si="40"/>
        <v>0.58666666666666778</v>
      </c>
      <c r="AP19">
        <f t="shared" si="25"/>
        <v>1.2533333333333339</v>
      </c>
      <c r="AQ19">
        <f t="shared" si="26"/>
        <v>0.58666666666666778</v>
      </c>
      <c r="AR19">
        <f t="shared" si="27"/>
        <v>-0.41333333333333222</v>
      </c>
      <c r="AS19" s="30"/>
      <c r="AT19">
        <f t="shared" si="4"/>
        <v>0.4391304347826086</v>
      </c>
      <c r="AU19">
        <f t="shared" si="4"/>
        <v>-0.34405797101449309</v>
      </c>
      <c r="AV19">
        <f t="shared" si="4"/>
        <v>-8.8266666666667604E-2</v>
      </c>
      <c r="AW19">
        <f t="shared" si="4"/>
        <v>-0.4421333333333326</v>
      </c>
      <c r="AX19">
        <f t="shared" si="4"/>
        <v>-1.097999999999999</v>
      </c>
      <c r="AZ19" s="6">
        <f t="shared" ca="1" si="41"/>
        <v>0.1656981985775694</v>
      </c>
      <c r="BA19" s="6">
        <f t="shared" ca="1" si="42"/>
        <v>-0.63877801038132453</v>
      </c>
      <c r="BB19" s="6">
        <f t="shared" ca="1" si="28"/>
        <v>-0.3993776570582348</v>
      </c>
      <c r="BC19" s="6">
        <f t="shared" ca="1" si="29"/>
        <v>-0.71799869331135824</v>
      </c>
      <c r="BD19" s="2">
        <f t="shared" ca="1" si="30"/>
        <v>-1.1863421284734716</v>
      </c>
    </row>
    <row r="20" spans="1:74" x14ac:dyDescent="0.25">
      <c r="A20" t="s">
        <v>91</v>
      </c>
      <c r="B20">
        <v>0</v>
      </c>
      <c r="C20" s="13">
        <f ca="1">'Historical Trends'!N65</f>
        <v>8.4196184305255883</v>
      </c>
      <c r="D20">
        <f ca="1">AVERAGE(OFFSET('Historical Trends'!$D$66,$B5,0,'Polling Correlations - OTH'!D$4,1))</f>
        <v>8.3400000000000034</v>
      </c>
      <c r="E20">
        <f ca="1">AVERAGE(OFFSET('Historical Trends'!$D$66,$B5,0,'Polling Correlations - OTH'!E$4,1))</f>
        <v>7.6049999999999969</v>
      </c>
      <c r="F20">
        <f ca="1">AVERAGE(OFFSET('Historical Trends'!$D$66,$B5,0,'Polling Correlations - OTH'!F$4,1))</f>
        <v>7.5033333333333347</v>
      </c>
      <c r="G20">
        <f ca="1">AVERAGE(OFFSET('Historical Trends'!$D$66,$B5,0,'Polling Correlations - OTH'!G$4,1))</f>
        <v>6.6449999999999996</v>
      </c>
      <c r="H20">
        <f ca="1">AVERAGE(OFFSET('Historical Trends'!$D$66,$B5,0,'Polling Correlations - OTH'!H$4,1))</f>
        <v>6.4099999999999966</v>
      </c>
      <c r="I20">
        <f ca="1">AVERAGE(OFFSET('Historical Trends'!$D$66,$B5,0,'Polling Correlations - OTH'!I$4,1))</f>
        <v>6.3733333333333304</v>
      </c>
      <c r="J20">
        <f ca="1">AVERAGE(OFFSET('Historical Trends'!$D$66,$B5,0,'Polling Correlations - OTH'!J$4,1))</f>
        <v>6.8071428571428543</v>
      </c>
      <c r="K20" s="13">
        <f>(9+6+14.6+9+6)/5</f>
        <v>8.92</v>
      </c>
      <c r="L20">
        <f>(9+9+14+15.7+4)/5</f>
        <v>10.34</v>
      </c>
      <c r="M20">
        <f>(10+13+13+9+9)/5</f>
        <v>10.8</v>
      </c>
      <c r="N20">
        <f>(10+11.4+10+13+13)/5</f>
        <v>11.48</v>
      </c>
      <c r="O20">
        <f>(12+8+10+11.4+10)/5</f>
        <v>10.28</v>
      </c>
      <c r="P20">
        <f>(8+10.4+9+12.5+9)/5</f>
        <v>9.7799999999999994</v>
      </c>
      <c r="Q20" s="30">
        <f>K20-AVERAGE(AM$5:AM19,AM21:AM$30)</f>
        <v>7.8574999999999973</v>
      </c>
      <c r="R20" s="31">
        <f>L20-AVERAGE(AN$5:AN19,AN21:AN$30)</f>
        <v>9.4321739130434761</v>
      </c>
      <c r="S20" s="31">
        <f>M20-AVERAGE(AO$5:AO19,AO21:AO$30)</f>
        <v>9.8246376811594196</v>
      </c>
      <c r="T20" s="31">
        <f>N20-AVERAGE(AP$5:AP19,AP21:AP$30)</f>
        <v>10.097866666666665</v>
      </c>
      <c r="U20" s="31">
        <f>O20-AVERAGE(AQ$5:AQ19,AQ21:AQ$30)</f>
        <v>9.1893333333333302</v>
      </c>
      <c r="V20" s="31">
        <f>P20-AVERAGE(AR$5:AR19,AR21:AR$30)</f>
        <v>9.0534666666666652</v>
      </c>
      <c r="W20" s="13">
        <f t="shared" ca="1" si="7"/>
        <v>7.9505233139650269</v>
      </c>
      <c r="X20" s="6">
        <f t="shared" ca="1" si="8"/>
        <v>9.2885390788010973</v>
      </c>
      <c r="Y20" s="6">
        <f t="shared" ca="1" si="9"/>
        <v>9.4870049274942652</v>
      </c>
      <c r="Z20" s="6">
        <f t="shared" ca="1" si="10"/>
        <v>9.7454274763141626</v>
      </c>
      <c r="AA20" s="6">
        <f t="shared" ca="1" si="11"/>
        <v>8.9937342301432146</v>
      </c>
      <c r="AB20" s="2">
        <f t="shared" ca="1" si="12"/>
        <v>8.9371766963194208</v>
      </c>
      <c r="AC20" s="2">
        <f>'Historical Trends'!C65</f>
        <v>11.240000000000009</v>
      </c>
      <c r="AE20" s="13">
        <f t="shared" ca="1" si="17"/>
        <v>-2.8203815694744208</v>
      </c>
      <c r="AF20">
        <f t="shared" ca="1" si="18"/>
        <v>-2.9000000000000057</v>
      </c>
      <c r="AG20">
        <f t="shared" ca="1" si="19"/>
        <v>-3.6350000000000122</v>
      </c>
      <c r="AH20">
        <f t="shared" ca="1" si="20"/>
        <v>-3.7366666666666744</v>
      </c>
      <c r="AI20">
        <f t="shared" ca="1" si="21"/>
        <v>-4.5950000000000095</v>
      </c>
      <c r="AJ20">
        <f t="shared" ca="1" si="22"/>
        <v>-4.8300000000000125</v>
      </c>
      <c r="AK20">
        <f t="shared" ca="1" si="23"/>
        <v>-4.8666666666666787</v>
      </c>
      <c r="AL20">
        <f t="shared" ca="1" si="24"/>
        <v>-4.4328571428571548</v>
      </c>
      <c r="AM20" s="13">
        <f>K20-$AC20</f>
        <v>-2.3200000000000092</v>
      </c>
      <c r="AN20">
        <f t="shared" si="39"/>
        <v>-0.90000000000000924</v>
      </c>
      <c r="AO20">
        <f t="shared" si="40"/>
        <v>-0.44000000000000838</v>
      </c>
      <c r="AP20">
        <f t="shared" si="25"/>
        <v>0.23999999999999133</v>
      </c>
      <c r="AQ20">
        <f t="shared" si="26"/>
        <v>-0.96000000000000973</v>
      </c>
      <c r="AR20">
        <f t="shared" si="27"/>
        <v>-1.4600000000000097</v>
      </c>
      <c r="AS20" s="30">
        <f t="shared" si="14"/>
        <v>-3.3825000000000118</v>
      </c>
      <c r="AT20">
        <f t="shared" si="4"/>
        <v>-1.807826086956533</v>
      </c>
      <c r="AU20">
        <f t="shared" si="4"/>
        <v>-1.4153623188405895</v>
      </c>
      <c r="AV20">
        <f t="shared" si="4"/>
        <v>-1.1421333333333443</v>
      </c>
      <c r="AW20">
        <f t="shared" si="4"/>
        <v>-2.0506666666666789</v>
      </c>
      <c r="AX20">
        <f t="shared" si="4"/>
        <v>-2.1865333333333439</v>
      </c>
      <c r="AY20" s="13">
        <f ca="1">W20-$AC20</f>
        <v>-3.2894766860349822</v>
      </c>
      <c r="AZ20" s="6">
        <f t="shared" ca="1" si="41"/>
        <v>-1.9514609211989118</v>
      </c>
      <c r="BA20" s="6">
        <f t="shared" ca="1" si="42"/>
        <v>-1.7529950725057439</v>
      </c>
      <c r="BB20" s="6">
        <f t="shared" ca="1" si="28"/>
        <v>-1.4945725236858465</v>
      </c>
      <c r="BC20" s="6">
        <f t="shared" ca="1" si="29"/>
        <v>-2.2462657698567945</v>
      </c>
      <c r="BD20" s="2">
        <f t="shared" ca="1" si="30"/>
        <v>-2.3028233036805883</v>
      </c>
      <c r="BE20" t="s">
        <v>194</v>
      </c>
      <c r="BG20">
        <f ca="1">SLOPE(BG8:BM8,BG6:BM6)</f>
        <v>0.25869496636857153</v>
      </c>
    </row>
    <row r="21" spans="1:74" x14ac:dyDescent="0.25">
      <c r="A21" t="s">
        <v>92</v>
      </c>
      <c r="B21">
        <f>B20+1</f>
        <v>1</v>
      </c>
      <c r="C21" s="13">
        <f ca="1">'Historical Trends'!N66</f>
        <v>5.4812298232129422</v>
      </c>
      <c r="D21">
        <f ca="1">AVERAGE(OFFSET('Historical Trends'!$D$66,$B6,0,'Polling Correlations - OTH'!D$4,1))</f>
        <v>6.8699999999999903</v>
      </c>
      <c r="E21">
        <f ca="1">AVERAGE(OFFSET('Historical Trends'!$D$66,$B6,0,'Polling Correlations - OTH'!E$4,1))</f>
        <v>7.0850000000000009</v>
      </c>
      <c r="F21">
        <f ca="1">AVERAGE(OFFSET('Historical Trends'!$D$66,$B6,0,'Polling Correlations - OTH'!F$4,1))</f>
        <v>6.0799999999999983</v>
      </c>
      <c r="G21">
        <f ca="1">AVERAGE(OFFSET('Historical Trends'!$D$66,$B6,0,'Polling Correlations - OTH'!G$4,1))</f>
        <v>5.9274999999999949</v>
      </c>
      <c r="H21">
        <f ca="1">AVERAGE(OFFSET('Historical Trends'!$D$66,$B6,0,'Polling Correlations - OTH'!H$4,1))</f>
        <v>5.9799999999999951</v>
      </c>
      <c r="I21">
        <f ca="1">AVERAGE(OFFSET('Historical Trends'!$D$66,$B6,0,'Polling Correlations - OTH'!I$4,1))</f>
        <v>6.5516666666666623</v>
      </c>
      <c r="J21">
        <f ca="1">AVERAGE(OFFSET('Historical Trends'!$D$66,$B6,0,'Polling Correlations - OTH'!J$4,1))</f>
        <v>6.1699999999999973</v>
      </c>
      <c r="K21" s="13">
        <f>(7+9+11+9+8)/5</f>
        <v>8.8000000000000007</v>
      </c>
      <c r="L21">
        <f>(9+9.9+8+9+8)/5</f>
        <v>8.7799999999999994</v>
      </c>
      <c r="M21">
        <f>(10+7+9+9+9.9)/5</f>
        <v>8.98</v>
      </c>
      <c r="N21">
        <f>(10+12+8+7+9)/5</f>
        <v>9.1999999999999993</v>
      </c>
      <c r="O21">
        <f>(9+10.6+11+11+10)/5</f>
        <v>10.32</v>
      </c>
      <c r="P21">
        <f>(9.5+8+9+8+9)/5</f>
        <v>8.6999999999999993</v>
      </c>
      <c r="Q21" s="30">
        <f>K21-AVERAGE(AM$5:AM20,AM22:AM$30)</f>
        <v>7.8724999999999987</v>
      </c>
      <c r="R21" s="31">
        <f>L21-AVERAGE(AN$5:AN20,AN22:AN$30)</f>
        <v>7.926956521739128</v>
      </c>
      <c r="S21" s="31">
        <f>M21-AVERAGE(AO$5:AO20,AO22:AO$30)</f>
        <v>8.0481159420289838</v>
      </c>
      <c r="T21" s="31">
        <f>N21-AVERAGE(AP$5:AP20,AP22:AP$30)</f>
        <v>7.8394666666666648</v>
      </c>
      <c r="U21" s="31">
        <f>O21-AVERAGE(AQ$5:AQ20,AQ22:AQ$30)</f>
        <v>9.3437333333333328</v>
      </c>
      <c r="V21" s="31">
        <f>P21-AVERAGE(AR$5:AR20,AR22:AR$30)</f>
        <v>8.0430666666666646</v>
      </c>
      <c r="W21" s="13">
        <f t="shared" ca="1" si="7"/>
        <v>7.6792235808291345</v>
      </c>
      <c r="X21" s="6">
        <f t="shared" ca="1" si="8"/>
        <v>7.7879532247473966</v>
      </c>
      <c r="Y21" s="6">
        <f t="shared" ca="1" si="9"/>
        <v>7.7801916297931317</v>
      </c>
      <c r="Z21" s="6">
        <f t="shared" ca="1" si="10"/>
        <v>7.6450958116110614</v>
      </c>
      <c r="AA21" s="6">
        <f t="shared" ca="1" si="11"/>
        <v>8.7740394304312499</v>
      </c>
      <c r="AB21" s="2">
        <f t="shared" ca="1" si="12"/>
        <v>7.8518651792596259</v>
      </c>
      <c r="AC21" s="2">
        <f>'Historical Trends'!C66</f>
        <v>8.4200000000000017</v>
      </c>
      <c r="AE21" s="13">
        <f t="shared" ca="1" si="17"/>
        <v>-2.9387701767870595</v>
      </c>
      <c r="AF21">
        <f t="shared" ca="1" si="18"/>
        <v>-1.5500000000000114</v>
      </c>
      <c r="AG21">
        <f t="shared" ca="1" si="19"/>
        <v>-1.3350000000000009</v>
      </c>
      <c r="AH21">
        <f t="shared" ca="1" si="20"/>
        <v>-2.3400000000000034</v>
      </c>
      <c r="AI21">
        <f t="shared" ca="1" si="21"/>
        <v>-2.4925000000000068</v>
      </c>
      <c r="AJ21">
        <f t="shared" ca="1" si="22"/>
        <v>-2.4400000000000066</v>
      </c>
      <c r="AK21">
        <f t="shared" ca="1" si="23"/>
        <v>-1.8683333333333394</v>
      </c>
      <c r="AL21">
        <f t="shared" ca="1" si="24"/>
        <v>-2.2500000000000044</v>
      </c>
      <c r="AM21" s="13">
        <f>K21-$AC21</f>
        <v>0.37999999999999901</v>
      </c>
      <c r="AN21">
        <f t="shared" si="39"/>
        <v>0.35999999999999766</v>
      </c>
      <c r="AO21">
        <f t="shared" si="40"/>
        <v>0.55999999999999872</v>
      </c>
      <c r="AP21">
        <f t="shared" si="25"/>
        <v>0.77999999999999758</v>
      </c>
      <c r="AQ21">
        <f t="shared" si="26"/>
        <v>1.8999999999999986</v>
      </c>
      <c r="AR21">
        <f t="shared" si="27"/>
        <v>0.27999999999999758</v>
      </c>
      <c r="AS21" s="30">
        <f t="shared" si="14"/>
        <v>-0.54750000000000298</v>
      </c>
      <c r="AT21">
        <f t="shared" si="14"/>
        <v>-0.49304347826087369</v>
      </c>
      <c r="AU21">
        <f t="shared" si="14"/>
        <v>-0.37188405797101787</v>
      </c>
      <c r="AV21">
        <f t="shared" si="14"/>
        <v>-0.5805333333333369</v>
      </c>
      <c r="AW21">
        <f t="shared" si="14"/>
        <v>0.92373333333333107</v>
      </c>
      <c r="AX21">
        <f t="shared" si="14"/>
        <v>-0.37693333333333712</v>
      </c>
      <c r="AY21" s="13">
        <f ca="1">W21-$AC21</f>
        <v>-0.74077641917086723</v>
      </c>
      <c r="AZ21" s="6">
        <f t="shared" ca="1" si="41"/>
        <v>-0.63204677525260511</v>
      </c>
      <c r="BA21" s="6">
        <f t="shared" ca="1" si="42"/>
        <v>-0.63980837020686998</v>
      </c>
      <c r="BB21" s="6">
        <f t="shared" ca="1" si="28"/>
        <v>-0.77490418838894026</v>
      </c>
      <c r="BC21" s="6">
        <f t="shared" ca="1" si="29"/>
        <v>0.35403943043124819</v>
      </c>
      <c r="BD21" s="2">
        <f t="shared" ca="1" si="30"/>
        <v>-0.5681348207403758</v>
      </c>
      <c r="BE21" t="s">
        <v>195</v>
      </c>
      <c r="BG21">
        <f ca="1">INTERCEPT(BG8:BM8,BG6:BM6)</f>
        <v>1.5066486430928892</v>
      </c>
      <c r="BP21" t="s">
        <v>152</v>
      </c>
      <c r="BQ21" t="s">
        <v>154</v>
      </c>
      <c r="BR21" t="s">
        <v>153</v>
      </c>
      <c r="BS21" t="s">
        <v>156</v>
      </c>
      <c r="BU21" t="s">
        <v>154</v>
      </c>
      <c r="BV21" t="s">
        <v>155</v>
      </c>
    </row>
    <row r="22" spans="1:74" x14ac:dyDescent="0.25">
      <c r="A22" t="s">
        <v>93</v>
      </c>
      <c r="B22">
        <f>B21+1</f>
        <v>2</v>
      </c>
      <c r="C22" s="13">
        <f ca="1">'Historical Trends'!N67</f>
        <v>6.217671022290542</v>
      </c>
      <c r="D22">
        <f ca="1">AVERAGE(OFFSET('Historical Trends'!$D$66,$B7,0,'Polling Correlations - OTH'!D$4,1))</f>
        <v>7.3000000000000114</v>
      </c>
      <c r="E22">
        <f ca="1">AVERAGE(OFFSET('Historical Trends'!$D$66,$B7,0,'Polling Correlations - OTH'!E$4,1))</f>
        <v>5.6850000000000023</v>
      </c>
      <c r="F22">
        <f ca="1">AVERAGE(OFFSET('Historical Trends'!$D$66,$B7,0,'Polling Correlations - OTH'!F$4,1))</f>
        <v>5.6133333333333297</v>
      </c>
      <c r="G22">
        <f ca="1">AVERAGE(OFFSET('Historical Trends'!$D$66,$B7,0,'Polling Correlations - OTH'!G$4,1))</f>
        <v>5.7574999999999967</v>
      </c>
      <c r="H22">
        <f ca="1">AVERAGE(OFFSET('Historical Trends'!$D$66,$B7,0,'Polling Correlations - OTH'!H$4,1))</f>
        <v>6.4879999999999969</v>
      </c>
      <c r="I22">
        <f ca="1">AVERAGE(OFFSET('Historical Trends'!$D$66,$B7,0,'Polling Correlations - OTH'!I$4,1))</f>
        <v>6.0533333333333319</v>
      </c>
      <c r="J22">
        <f ca="1">AVERAGE(OFFSET('Historical Trends'!$D$66,$B7,0,'Polling Correlations - OTH'!J$4,1))</f>
        <v>5.3085714285714278</v>
      </c>
      <c r="K22" s="13">
        <f>(6+7+9+7+8)/5</f>
        <v>7.4</v>
      </c>
      <c r="L22">
        <f>(7+10+7+6+5)/5</f>
        <v>7</v>
      </c>
      <c r="M22">
        <f>(8+8+7+10+7)/5</f>
        <v>8</v>
      </c>
      <c r="N22">
        <f>(9+12+8+8+7)/5</f>
        <v>8.8000000000000007</v>
      </c>
      <c r="O22">
        <f>(6+5+10+9+12)/5</f>
        <v>8.4</v>
      </c>
      <c r="P22">
        <f>(7+7+6+5+6)/5</f>
        <v>6.2</v>
      </c>
      <c r="Q22" s="30">
        <f>K22-AVERAGE(AM$5:AM21,AM23:AM$30)</f>
        <v>6.4354999999999984</v>
      </c>
      <c r="R22" s="31">
        <f>L22-AVERAGE(AN$5:AN21,AN23:AN$30)</f>
        <v>6.098260869565217</v>
      </c>
      <c r="S22" s="31">
        <f>M22-AVERAGE(AO$5:AO21,AO23:AO$30)</f>
        <v>7.0542028985507237</v>
      </c>
      <c r="T22" s="31">
        <f>N22-AVERAGE(AP$5:AP21,AP23:AP$30)</f>
        <v>7.4498666666666669</v>
      </c>
      <c r="U22" s="31">
        <f>O22-AVERAGE(AQ$5:AQ21,AQ23:AQ$30)</f>
        <v>7.3733333333333331</v>
      </c>
      <c r="V22" s="31">
        <f>P22-AVERAGE(AR$5:AR21,AR23:AR$30)</f>
        <v>5.4694666666666665</v>
      </c>
      <c r="W22" s="13">
        <f t="shared" ca="1" si="7"/>
        <v>6.6021707874046998</v>
      </c>
      <c r="X22" s="6">
        <f t="shared" ca="1" si="8"/>
        <v>6.2563049308096206</v>
      </c>
      <c r="Y22" s="6">
        <f t="shared" ca="1" si="9"/>
        <v>7.1101014879900175</v>
      </c>
      <c r="Z22" s="6">
        <f t="shared" ca="1" si="10"/>
        <v>7.4198195148192614</v>
      </c>
      <c r="AA22" s="6">
        <f t="shared" ca="1" si="11"/>
        <v>7.3564448707345029</v>
      </c>
      <c r="AB22" s="2">
        <f t="shared" ca="1" si="12"/>
        <v>5.7678305244310719</v>
      </c>
      <c r="AC22" s="2">
        <f>'Historical Trends'!C67</f>
        <v>7.7599999999999909</v>
      </c>
      <c r="AE22" s="13">
        <f t="shared" ca="1" si="17"/>
        <v>-1.5423289777094489</v>
      </c>
      <c r="AF22">
        <f t="shared" ca="1" si="18"/>
        <v>-0.45999999999997954</v>
      </c>
      <c r="AG22">
        <f t="shared" ca="1" si="19"/>
        <v>-2.0749999999999886</v>
      </c>
      <c r="AH22">
        <f t="shared" ca="1" si="20"/>
        <v>-2.1466666666666612</v>
      </c>
      <c r="AI22">
        <f t="shared" ca="1" si="21"/>
        <v>-2.0024999999999942</v>
      </c>
      <c r="AJ22">
        <f t="shared" ca="1" si="22"/>
        <v>-1.271999999999994</v>
      </c>
      <c r="AK22">
        <f t="shared" ca="1" si="23"/>
        <v>-1.706666666666659</v>
      </c>
      <c r="AL22">
        <f t="shared" ca="1" si="24"/>
        <v>-2.4514285714285631</v>
      </c>
      <c r="AM22" s="13">
        <f>K22-$AC22</f>
        <v>-0.35999999999999055</v>
      </c>
      <c r="AN22">
        <f t="shared" si="39"/>
        <v>-0.75999999999999091</v>
      </c>
      <c r="AO22">
        <f t="shared" si="40"/>
        <v>0.24000000000000909</v>
      </c>
      <c r="AP22">
        <f t="shared" si="25"/>
        <v>1.0400000000000098</v>
      </c>
      <c r="AQ22">
        <f t="shared" si="26"/>
        <v>0.64000000000000945</v>
      </c>
      <c r="AR22">
        <f t="shared" si="27"/>
        <v>-1.5599999999999907</v>
      </c>
      <c r="AS22" s="30">
        <f t="shared" si="14"/>
        <v>-1.3244999999999925</v>
      </c>
      <c r="AT22">
        <f t="shared" si="14"/>
        <v>-1.6617391304347739</v>
      </c>
      <c r="AU22">
        <f t="shared" si="14"/>
        <v>-0.70579710144926722</v>
      </c>
      <c r="AV22">
        <f t="shared" si="14"/>
        <v>-0.31013333333332405</v>
      </c>
      <c r="AW22">
        <f t="shared" si="14"/>
        <v>-0.38666666666665783</v>
      </c>
      <c r="AX22">
        <f t="shared" si="14"/>
        <v>-2.2905333333333244</v>
      </c>
      <c r="AY22" s="13">
        <f ca="1">W22-$AC22</f>
        <v>-1.1578292125952911</v>
      </c>
      <c r="AZ22" s="6">
        <f t="shared" ca="1" si="41"/>
        <v>-1.5036950691903703</v>
      </c>
      <c r="BA22" s="6">
        <f t="shared" ca="1" si="42"/>
        <v>-0.64989851200997339</v>
      </c>
      <c r="BB22" s="6">
        <f t="shared" ca="1" si="28"/>
        <v>-0.34018048518072952</v>
      </c>
      <c r="BC22" s="6">
        <f t="shared" ca="1" si="29"/>
        <v>-0.40355512926548798</v>
      </c>
      <c r="BD22" s="2">
        <f t="shared" ca="1" si="30"/>
        <v>-1.992169475568919</v>
      </c>
      <c r="BP22">
        <v>1</v>
      </c>
      <c r="BQ22">
        <f>LN(BP22)</f>
        <v>0</v>
      </c>
      <c r="BR22">
        <f>MAX(0,(0.94+1/(8.3*0.97))-1/((8.3-MIN(8.2,BQ22)) * 0.97))</f>
        <v>0.94</v>
      </c>
      <c r="BS22">
        <f>1-(BR22/0.94)^10</f>
        <v>0</v>
      </c>
      <c r="BU22">
        <f>0</f>
        <v>0</v>
      </c>
      <c r="BV22">
        <f t="shared" ref="BV22:BV53" si="43">MAX(0,($BG$16+1/($BG$17*$BG$18))-1/((10-BU22) * $BG$18))</f>
        <v>0.80827230548528206</v>
      </c>
    </row>
    <row r="23" spans="1:74" x14ac:dyDescent="0.25">
      <c r="A23" t="s">
        <v>94</v>
      </c>
      <c r="B23">
        <f>B22+1</f>
        <v>3</v>
      </c>
      <c r="C23" s="13">
        <f ca="1">'Historical Trends'!N68</f>
        <v>6.8603906250000364</v>
      </c>
      <c r="D23">
        <f ca="1">AVERAGE(OFFSET('Historical Trends'!$D$66,$B8,0,'Polling Correlations - OTH'!D$4,1))</f>
        <v>4.0699999999999932</v>
      </c>
      <c r="E23">
        <f ca="1">AVERAGE(OFFSET('Historical Trends'!$D$66,$B8,0,'Polling Correlations - OTH'!E$4,1))</f>
        <v>4.7699999999999889</v>
      </c>
      <c r="F23">
        <f ca="1">AVERAGE(OFFSET('Historical Trends'!$D$66,$B8,0,'Polling Correlations - OTH'!F$4,1))</f>
        <v>5.2433333333333252</v>
      </c>
      <c r="G23">
        <f ca="1">AVERAGE(OFFSET('Historical Trends'!$D$66,$B8,0,'Polling Correlations - OTH'!G$4,1))</f>
        <v>6.284999999999993</v>
      </c>
      <c r="H23">
        <f ca="1">AVERAGE(OFFSET('Historical Trends'!$D$66,$B8,0,'Polling Correlations - OTH'!H$4,1))</f>
        <v>5.8039999999999967</v>
      </c>
      <c r="I23">
        <f ca="1">AVERAGE(OFFSET('Historical Trends'!$D$66,$B8,0,'Polling Correlations - OTH'!I$4,1))</f>
        <v>4.9766666666666639</v>
      </c>
      <c r="J23">
        <f ca="1">AVERAGE(OFFSET('Historical Trends'!$D$66,$B8,0,'Polling Correlations - OTH'!J$4,1))</f>
        <v>4.4157142857142828</v>
      </c>
      <c r="L23">
        <f>(7+11+11+9)/4</f>
        <v>9.5</v>
      </c>
      <c r="M23">
        <f>(7+11+11+12+7)/5</f>
        <v>9.6</v>
      </c>
      <c r="N23">
        <f>(5+8+14+7+11)/5</f>
        <v>9</v>
      </c>
      <c r="O23">
        <f>(5+11+5+8+14)/5</f>
        <v>8.6</v>
      </c>
      <c r="P23">
        <f>(9+7+7+8+5)/5</f>
        <v>7.2</v>
      </c>
      <c r="Q23" s="30"/>
      <c r="R23" s="31">
        <f>L23-AVERAGE(AN$5:AN22,AN24:AN$30)</f>
        <v>8.7269565217391296</v>
      </c>
      <c r="S23" s="31">
        <f>M23-AVERAGE(AO$5:AO22,AO24:AO$30)</f>
        <v>8.7437681159420269</v>
      </c>
      <c r="T23" s="31">
        <f>N23-AVERAGE(AP$5:AP22,AP24:AP$30)</f>
        <v>7.676266666666665</v>
      </c>
      <c r="U23" s="31">
        <f>O23-AVERAGE(AQ$5:AQ22,AQ24:AQ$30)</f>
        <v>7.5997333333333312</v>
      </c>
      <c r="V23" s="31">
        <f>P23-AVERAGE(AR$5:AR22,AR24:AR$30)</f>
        <v>6.5278666666666654</v>
      </c>
      <c r="W23" s="13">
        <f t="shared" ca="1" si="7"/>
        <v>0.78467334266873856</v>
      </c>
      <c r="X23" s="6">
        <f t="shared" ca="1" si="8"/>
        <v>8.1145071946809555</v>
      </c>
      <c r="Y23" s="6">
        <f t="shared" ca="1" si="9"/>
        <v>7.6808709397464403</v>
      </c>
      <c r="Z23" s="6">
        <f t="shared" ca="1" si="10"/>
        <v>6.9532370260823066</v>
      </c>
      <c r="AA23" s="6">
        <f t="shared" ca="1" si="11"/>
        <v>6.7868455690080589</v>
      </c>
      <c r="AB23" s="2">
        <f t="shared" ca="1" si="12"/>
        <v>6.1272519566346881</v>
      </c>
      <c r="AC23" s="2">
        <f>'Historical Trends'!C68</f>
        <v>7.3000000000000114</v>
      </c>
      <c r="AE23" s="13">
        <f t="shared" ca="1" si="17"/>
        <v>-0.43960937499997499</v>
      </c>
      <c r="AF23">
        <f t="shared" ca="1" si="18"/>
        <v>-3.2300000000000182</v>
      </c>
      <c r="AG23">
        <f t="shared" ca="1" si="19"/>
        <v>-2.5300000000000225</v>
      </c>
      <c r="AH23">
        <f t="shared" ca="1" si="20"/>
        <v>-2.0566666666666862</v>
      </c>
      <c r="AI23">
        <f t="shared" ca="1" si="21"/>
        <v>-1.0150000000000183</v>
      </c>
      <c r="AJ23">
        <f t="shared" ca="1" si="22"/>
        <v>-1.4960000000000147</v>
      </c>
      <c r="AK23">
        <f t="shared" ca="1" si="23"/>
        <v>-2.3233333333333475</v>
      </c>
      <c r="AL23">
        <f t="shared" ca="1" si="24"/>
        <v>-2.8842857142857286</v>
      </c>
      <c r="AN23">
        <f t="shared" si="39"/>
        <v>2.1999999999999886</v>
      </c>
      <c r="AO23">
        <f t="shared" si="40"/>
        <v>2.2999999999999883</v>
      </c>
      <c r="AP23">
        <f t="shared" si="25"/>
        <v>1.6999999999999886</v>
      </c>
      <c r="AQ23">
        <f t="shared" si="26"/>
        <v>1.2999999999999883</v>
      </c>
      <c r="AR23">
        <f t="shared" si="27"/>
        <v>-0.10000000000001119</v>
      </c>
      <c r="AS23" s="30"/>
      <c r="AT23">
        <f t="shared" si="14"/>
        <v>1.4269565217391182</v>
      </c>
      <c r="AU23">
        <f t="shared" si="14"/>
        <v>1.4437681159420155</v>
      </c>
      <c r="AV23">
        <f t="shared" si="14"/>
        <v>0.37626666666665365</v>
      </c>
      <c r="AW23">
        <f t="shared" si="14"/>
        <v>0.29973333333331986</v>
      </c>
      <c r="AX23">
        <f t="shared" si="14"/>
        <v>-0.77213333333334599</v>
      </c>
      <c r="AZ23" s="6">
        <f t="shared" ca="1" si="41"/>
        <v>0.81450719468094412</v>
      </c>
      <c r="BA23" s="6">
        <f t="shared" ca="1" si="42"/>
        <v>0.38087093974642894</v>
      </c>
      <c r="BB23" s="6">
        <f t="shared" ca="1" si="28"/>
        <v>-0.34676297391770472</v>
      </c>
      <c r="BC23" s="6">
        <f t="shared" ca="1" si="29"/>
        <v>-0.51315443099195246</v>
      </c>
      <c r="BD23" s="2">
        <f t="shared" ca="1" si="30"/>
        <v>-1.1727480433653232</v>
      </c>
      <c r="BP23">
        <f>BP22+1</f>
        <v>2</v>
      </c>
      <c r="BQ23">
        <f t="shared" ref="BQ23:BQ86" si="44">LN(BP23)</f>
        <v>0.69314718055994529</v>
      </c>
      <c r="BR23">
        <f t="shared" ref="BR23:BR86" si="45">MAX(0,(0.94+1/(8.3*0.97))-1/((8.3-MIN(8.2,BQ23)) * 0.97))</f>
        <v>0.92868197572765254</v>
      </c>
      <c r="BS23">
        <f t="shared" ref="BS23:BS86" si="46">1-(BR23/0.94)^10</f>
        <v>0.1140858660754307</v>
      </c>
      <c r="BU23">
        <f>BU22+0.1</f>
        <v>0.1</v>
      </c>
      <c r="BV23">
        <f t="shared" si="43"/>
        <v>0.8082723020067174</v>
      </c>
    </row>
    <row r="24" spans="1:74" x14ac:dyDescent="0.25">
      <c r="A24" t="s">
        <v>106</v>
      </c>
      <c r="B24">
        <v>0</v>
      </c>
      <c r="C24" s="13">
        <f ca="1">'Historical Trends'!N83</f>
        <v>7.3193720379146896</v>
      </c>
      <c r="D24">
        <f ca="1">AVERAGE(OFFSET('Historical Trends'!$D$84,$B5,0,'Polling Correlations - OTH'!D$4,1))</f>
        <v>5.3299999999999983</v>
      </c>
      <c r="E24">
        <f ca="1">AVERAGE(OFFSET('Historical Trends'!$D$84,$B5,0,'Polling Correlations - OTH'!E$4,1))</f>
        <v>7.1049999999999969</v>
      </c>
      <c r="F24">
        <f ca="1">AVERAGE(OFFSET('Historical Trends'!$D$84,$B5,0,'Polling Correlations - OTH'!F$4,1))</f>
        <v>7.9299999999999971</v>
      </c>
      <c r="G24">
        <f ca="1">AVERAGE(OFFSET('Historical Trends'!$D$84,$B5,0,'Polling Correlations - OTH'!G$4,1))</f>
        <v>8.16</v>
      </c>
      <c r="H24">
        <f ca="1">AVERAGE(OFFSET('Historical Trends'!$D$84,$B5,0,'Polling Correlations - OTH'!H$4,1))</f>
        <v>8.2640000000000011</v>
      </c>
      <c r="I24">
        <f ca="1">AVERAGE(OFFSET('Historical Trends'!$D$84,$B5,0,'Polling Correlations - OTH'!I$4,1))</f>
        <v>8.0250000000000039</v>
      </c>
      <c r="J24">
        <f ca="1">AVERAGE(OFFSET('Historical Trends'!$D$84,$B5,0,'Polling Correlations - OTH'!J$4,1))</f>
        <v>8.0485714285714316</v>
      </c>
      <c r="K24" s="13">
        <f>(11+10+13+16+10)/5</f>
        <v>12</v>
      </c>
      <c r="L24">
        <f>(10+10+6+13+11)/5</f>
        <v>10</v>
      </c>
      <c r="M24">
        <f>(12+10+9+7+5)/5</f>
        <v>8.6</v>
      </c>
      <c r="N24">
        <f>(13+13.6+12.2+12+9)/5</f>
        <v>11.959999999999999</v>
      </c>
      <c r="O24">
        <f>(18+15.3+13+13.6+12.2)/5</f>
        <v>14.419999999999998</v>
      </c>
      <c r="P24">
        <f>(11.7+15+16+12.7+15.1)/5</f>
        <v>14.1</v>
      </c>
      <c r="Q24" s="30">
        <f>K24-AVERAGE(AM$5:AM23,AM25:AM$30)</f>
        <v>11.040499999999998</v>
      </c>
      <c r="R24" s="31">
        <f>L24-AVERAGE(AN$5:AN23,AN25:AN$30)</f>
        <v>9.0330434782608684</v>
      </c>
      <c r="S24" s="31">
        <f>M24-AVERAGE(AO$5:AO23,AO25:AO$30)</f>
        <v>7.4846376811594189</v>
      </c>
      <c r="T24" s="31">
        <f>N24-AVERAGE(AP$5:AP23,AP25:AP$30)</f>
        <v>10.556266666666664</v>
      </c>
      <c r="U24" s="31">
        <f>O24-AVERAGE(AQ$5:AQ23,AQ25:AQ$30)</f>
        <v>13.454133333333331</v>
      </c>
      <c r="V24" s="31">
        <f>P24-AVERAGE(AR$5:AR23,AR25:AR$30)</f>
        <v>13.505466666666665</v>
      </c>
      <c r="W24" s="13">
        <f t="shared" ca="1" si="7"/>
        <v>9.9395473898501603</v>
      </c>
      <c r="X24" s="6">
        <f t="shared" ca="1" si="8"/>
        <v>8.5460459132758562</v>
      </c>
      <c r="Y24" s="6">
        <f t="shared" ca="1" si="9"/>
        <v>6.9946351285686479</v>
      </c>
      <c r="Z24" s="6">
        <f t="shared" ca="1" si="10"/>
        <v>9.5084390768420981</v>
      </c>
      <c r="AA24" s="6">
        <f t="shared" ca="1" si="11"/>
        <v>11.583168034043371</v>
      </c>
      <c r="AB24" s="2">
        <f t="shared" ca="1" si="12"/>
        <v>12.172923997668038</v>
      </c>
      <c r="AC24" s="2">
        <f>'Historical Trends'!C83</f>
        <v>12.259999999999991</v>
      </c>
      <c r="AE24" s="13">
        <f t="shared" ca="1" si="17"/>
        <v>-4.9406279620853013</v>
      </c>
      <c r="AF24">
        <f t="shared" ca="1" si="18"/>
        <v>-6.9299999999999926</v>
      </c>
      <c r="AG24">
        <f t="shared" ca="1" si="19"/>
        <v>-5.154999999999994</v>
      </c>
      <c r="AH24">
        <f t="shared" ca="1" si="20"/>
        <v>-4.3299999999999939</v>
      </c>
      <c r="AI24">
        <f t="shared" ca="1" si="21"/>
        <v>-4.0999999999999908</v>
      </c>
      <c r="AJ24">
        <f t="shared" ca="1" si="22"/>
        <v>-3.9959999999999898</v>
      </c>
      <c r="AK24">
        <f t="shared" ca="1" si="23"/>
        <v>-4.234999999999987</v>
      </c>
      <c r="AL24">
        <f t="shared" ca="1" si="24"/>
        <v>-4.2114285714285593</v>
      </c>
      <c r="AM24" s="13">
        <f t="shared" ref="AM24:AM29" si="47">K24-$AC24</f>
        <v>-0.25999999999999091</v>
      </c>
      <c r="AN24">
        <f t="shared" si="39"/>
        <v>-2.2599999999999909</v>
      </c>
      <c r="AO24">
        <f t="shared" si="40"/>
        <v>-3.6599999999999913</v>
      </c>
      <c r="AP24">
        <f t="shared" si="25"/>
        <v>-0.29999999999999183</v>
      </c>
      <c r="AQ24">
        <f t="shared" si="26"/>
        <v>2.1600000000000072</v>
      </c>
      <c r="AR24">
        <f t="shared" si="27"/>
        <v>1.8400000000000087</v>
      </c>
      <c r="AS24" s="30">
        <f t="shared" si="14"/>
        <v>-1.2194999999999929</v>
      </c>
      <c r="AT24">
        <f t="shared" si="14"/>
        <v>-3.2269565217391225</v>
      </c>
      <c r="AU24">
        <f t="shared" si="14"/>
        <v>-4.7753623188405721</v>
      </c>
      <c r="AV24">
        <f t="shared" si="14"/>
        <v>-1.7037333333333269</v>
      </c>
      <c r="AW24">
        <f t="shared" si="14"/>
        <v>1.1941333333333404</v>
      </c>
      <c r="AX24">
        <f t="shared" si="14"/>
        <v>1.2454666666666743</v>
      </c>
      <c r="AY24" s="13">
        <f t="shared" ref="AY24:AY29" ca="1" si="48">W24-$AC24</f>
        <v>-2.3204526101498306</v>
      </c>
      <c r="AZ24" s="6">
        <f t="shared" ca="1" si="41"/>
        <v>-3.7139540867241347</v>
      </c>
      <c r="BA24" s="6">
        <f t="shared" ca="1" si="42"/>
        <v>-5.265364871431343</v>
      </c>
      <c r="BB24" s="6">
        <f t="shared" ca="1" si="28"/>
        <v>-2.7515609231578928</v>
      </c>
      <c r="BC24" s="6">
        <f t="shared" ca="1" si="29"/>
        <v>-0.67683196595661954</v>
      </c>
      <c r="BD24" s="2">
        <f t="shared" ca="1" si="30"/>
        <v>-8.7076002331953006E-2</v>
      </c>
      <c r="BP24">
        <f t="shared" ref="BP24:BP31" si="49">BP23+1</f>
        <v>3</v>
      </c>
      <c r="BQ24">
        <f t="shared" si="44"/>
        <v>1.0986122886681098</v>
      </c>
      <c r="BR24">
        <f t="shared" si="45"/>
        <v>0.92105134307880865</v>
      </c>
      <c r="BS24">
        <f t="shared" si="46"/>
        <v>0.18424477193938826</v>
      </c>
      <c r="BU24">
        <f t="shared" ref="BU24:BU87" si="50">BU23+0.1</f>
        <v>0.2</v>
      </c>
      <c r="BV24">
        <f t="shared" si="43"/>
        <v>0.80827229845716153</v>
      </c>
    </row>
    <row r="25" spans="1:74" x14ac:dyDescent="0.25">
      <c r="A25" t="s">
        <v>107</v>
      </c>
      <c r="B25">
        <f>B24+1</f>
        <v>1</v>
      </c>
      <c r="C25" s="13">
        <f ca="1">'Historical Trends'!N84</f>
        <v>9.7540326633165648</v>
      </c>
      <c r="D25">
        <f ca="1">AVERAGE(OFFSET('Historical Trends'!$D$84,$B6,0,'Polling Correlations - OTH'!D$4,1))</f>
        <v>8.8799999999999955</v>
      </c>
      <c r="E25">
        <f ca="1">AVERAGE(OFFSET('Historical Trends'!$D$84,$B6,0,'Polling Correlations - OTH'!E$4,1))</f>
        <v>9.2299999999999969</v>
      </c>
      <c r="F25">
        <f ca="1">AVERAGE(OFFSET('Historical Trends'!$D$84,$B6,0,'Polling Correlations - OTH'!F$4,1))</f>
        <v>9.1033333333333335</v>
      </c>
      <c r="G25">
        <f ca="1">AVERAGE(OFFSET('Historical Trends'!$D$84,$B6,0,'Polling Correlations - OTH'!G$4,1))</f>
        <v>8.9975000000000023</v>
      </c>
      <c r="H25">
        <f ca="1">AVERAGE(OFFSET('Historical Trends'!$D$84,$B6,0,'Polling Correlations - OTH'!H$4,1))</f>
        <v>8.5640000000000036</v>
      </c>
      <c r="I25">
        <f ca="1">AVERAGE(OFFSET('Historical Trends'!$D$84,$B6,0,'Polling Correlations - OTH'!I$4,1))</f>
        <v>8.5016666666666705</v>
      </c>
      <c r="J25">
        <f ca="1">AVERAGE(OFFSET('Historical Trends'!$D$84,$B6,0,'Polling Correlations - OTH'!J$4,1))</f>
        <v>7.4742857142857178</v>
      </c>
      <c r="K25" s="13">
        <f>AVERAGE(9+9+9)/3</f>
        <v>9</v>
      </c>
      <c r="L25">
        <f>(9+6+9)/3</f>
        <v>8</v>
      </c>
      <c r="M25">
        <f>(10+8+9)/3</f>
        <v>9</v>
      </c>
      <c r="N25">
        <f>(10+8+9)/3</f>
        <v>9</v>
      </c>
      <c r="O25">
        <f>(6+5+9+10+8)/5</f>
        <v>7.6</v>
      </c>
      <c r="P25">
        <f>(6+6+6+5+9)/5</f>
        <v>6.4</v>
      </c>
      <c r="Q25" s="30">
        <f>K25-AVERAGE(AM$5:AM24,AM26:AM$30)</f>
        <v>8.2369999999999983</v>
      </c>
      <c r="R25" s="31">
        <f>L25-AVERAGE(AN$5:AN24,AN26:AN$30)</f>
        <v>7.2473913043478255</v>
      </c>
      <c r="S25" s="31">
        <f>M25-AVERAGE(AO$5:AO24,AO26:AO$30)</f>
        <v>8.2033333333333314</v>
      </c>
      <c r="T25" s="31">
        <f>N25-AVERAGE(AP$5:AP24,AP26:AP$30)</f>
        <v>7.7550666666666652</v>
      </c>
      <c r="U25" s="31">
        <f>O25-AVERAGE(AQ$5:AQ24,AQ26:AQ$30)</f>
        <v>6.6385333333333314</v>
      </c>
      <c r="V25" s="31">
        <f>P25-AVERAGE(AR$5:AR24,AR26:AR$30)</f>
        <v>5.7746666666666666</v>
      </c>
      <c r="W25" s="13">
        <f t="shared" ca="1" si="7"/>
        <v>8.3609668204756744</v>
      </c>
      <c r="X25" s="6">
        <f t="shared" ca="1" si="8"/>
        <v>7.4621002225724018</v>
      </c>
      <c r="Y25" s="6">
        <f t="shared" ca="1" si="9"/>
        <v>8.3572192496611919</v>
      </c>
      <c r="Z25" s="6">
        <f t="shared" ca="1" si="10"/>
        <v>7.980607431912726</v>
      </c>
      <c r="AA25" s="6">
        <f t="shared" ca="1" si="11"/>
        <v>7.154736869240562</v>
      </c>
      <c r="AB25" s="2">
        <f t="shared" ca="1" si="12"/>
        <v>6.2808138184863864</v>
      </c>
      <c r="AC25" s="2">
        <f>'Historical Trends'!C84</f>
        <v>5.3299999999999983</v>
      </c>
      <c r="AE25" s="13">
        <f t="shared" ca="1" si="17"/>
        <v>4.4240326633165665</v>
      </c>
      <c r="AF25">
        <f t="shared" ca="1" si="18"/>
        <v>3.5499999999999972</v>
      </c>
      <c r="AG25">
        <f t="shared" ca="1" si="19"/>
        <v>3.8999999999999986</v>
      </c>
      <c r="AH25">
        <f t="shared" ca="1" si="20"/>
        <v>3.7733333333333352</v>
      </c>
      <c r="AI25">
        <f t="shared" ca="1" si="21"/>
        <v>3.667500000000004</v>
      </c>
      <c r="AJ25">
        <f t="shared" ca="1" si="22"/>
        <v>3.2340000000000053</v>
      </c>
      <c r="AK25">
        <f t="shared" ca="1" si="23"/>
        <v>3.1716666666666722</v>
      </c>
      <c r="AL25">
        <f t="shared" ca="1" si="24"/>
        <v>2.1442857142857195</v>
      </c>
      <c r="AM25" s="13">
        <f t="shared" si="47"/>
        <v>3.6700000000000017</v>
      </c>
      <c r="AN25">
        <f t="shared" si="39"/>
        <v>2.6700000000000017</v>
      </c>
      <c r="AO25">
        <f t="shared" si="40"/>
        <v>3.6700000000000017</v>
      </c>
      <c r="AP25">
        <f t="shared" si="25"/>
        <v>3.6700000000000017</v>
      </c>
      <c r="AQ25">
        <f t="shared" si="26"/>
        <v>2.2700000000000014</v>
      </c>
      <c r="AR25">
        <f t="shared" si="27"/>
        <v>1.0700000000000021</v>
      </c>
      <c r="AS25" s="30">
        <f t="shared" si="14"/>
        <v>2.907</v>
      </c>
      <c r="AT25">
        <f t="shared" si="14"/>
        <v>1.9173913043478272</v>
      </c>
      <c r="AU25">
        <f t="shared" si="14"/>
        <v>2.8733333333333331</v>
      </c>
      <c r="AV25">
        <f t="shared" si="14"/>
        <v>2.4250666666666669</v>
      </c>
      <c r="AW25">
        <f t="shared" si="14"/>
        <v>1.3085333333333331</v>
      </c>
      <c r="AX25">
        <f t="shared" si="14"/>
        <v>0.44466666666666832</v>
      </c>
      <c r="AY25" s="13">
        <f t="shared" ca="1" si="48"/>
        <v>3.0309668204756761</v>
      </c>
      <c r="AZ25" s="6">
        <f t="shared" ca="1" si="41"/>
        <v>2.1321002225724035</v>
      </c>
      <c r="BA25" s="6">
        <f t="shared" ca="1" si="42"/>
        <v>3.0272192496611936</v>
      </c>
      <c r="BB25" s="6">
        <f t="shared" ca="1" si="28"/>
        <v>2.6506074319127277</v>
      </c>
      <c r="BC25" s="6">
        <f t="shared" ca="1" si="29"/>
        <v>1.8247368692405637</v>
      </c>
      <c r="BD25" s="2">
        <f t="shared" ca="1" si="30"/>
        <v>0.95081381848638813</v>
      </c>
      <c r="BP25">
        <f t="shared" si="49"/>
        <v>4</v>
      </c>
      <c r="BQ25">
        <f t="shared" si="44"/>
        <v>1.3862943611198906</v>
      </c>
      <c r="BR25">
        <f t="shared" si="45"/>
        <v>0.91509452980976436</v>
      </c>
      <c r="BS25">
        <f t="shared" si="46"/>
        <v>0.23549372110487321</v>
      </c>
      <c r="BU25">
        <f t="shared" si="50"/>
        <v>0.30000000000000004</v>
      </c>
      <c r="BV25">
        <f t="shared" si="43"/>
        <v>0.80827229483441898</v>
      </c>
    </row>
    <row r="26" spans="1:74" x14ac:dyDescent="0.25">
      <c r="A26" t="s">
        <v>108</v>
      </c>
      <c r="B26">
        <f>B25+1</f>
        <v>2</v>
      </c>
      <c r="C26" s="13">
        <f ca="1">'Historical Trends'!N85</f>
        <v>11.421666666666624</v>
      </c>
      <c r="D26">
        <f ca="1">AVERAGE(OFFSET('Historical Trends'!$D$84,$B7,0,'Polling Correlations - OTH'!D$4,1))</f>
        <v>9.5799999999999983</v>
      </c>
      <c r="E26">
        <f ca="1">AVERAGE(OFFSET('Historical Trends'!$D$84,$B7,0,'Polling Correlations - OTH'!E$4,1))</f>
        <v>9.2150000000000034</v>
      </c>
      <c r="F26">
        <f ca="1">AVERAGE(OFFSET('Historical Trends'!$D$84,$B7,0,'Polling Correlations - OTH'!F$4,1))</f>
        <v>9.0366666666666706</v>
      </c>
      <c r="G26">
        <f ca="1">AVERAGE(OFFSET('Historical Trends'!$D$84,$B7,0,'Polling Correlations - OTH'!G$4,1))</f>
        <v>8.4850000000000065</v>
      </c>
      <c r="H26">
        <f ca="1">AVERAGE(OFFSET('Historical Trends'!$D$84,$B7,0,'Polling Correlations - OTH'!H$4,1))</f>
        <v>8.4260000000000055</v>
      </c>
      <c r="I26">
        <f ca="1">AVERAGE(OFFSET('Historical Trends'!$D$84,$B7,0,'Polling Correlations - OTH'!I$4,1))</f>
        <v>7.2400000000000047</v>
      </c>
      <c r="J26">
        <f ca="1">AVERAGE(OFFSET('Historical Trends'!$D$84,$B7,0,'Polling Correlations - OTH'!J$4,1))</f>
        <v>6.358571428571433</v>
      </c>
      <c r="K26" s="13">
        <f>(12+14+11)/3</f>
        <v>12.333333333333334</v>
      </c>
      <c r="L26">
        <f>(7+10+12)/3</f>
        <v>9.6666666666666661</v>
      </c>
      <c r="M26">
        <f>(8+7+7)/3</f>
        <v>7.333333333333333</v>
      </c>
      <c r="N26">
        <f>(8+8+7)/3</f>
        <v>7.666666666666667</v>
      </c>
      <c r="O26">
        <f>(8+8+7)/3</f>
        <v>7.666666666666667</v>
      </c>
      <c r="P26">
        <f>(10+6+6)/3</f>
        <v>7.333333333333333</v>
      </c>
      <c r="Q26" s="30">
        <f>K26-AVERAGE(AM$5:AM25,AM27:AM$30)</f>
        <v>11.559499999999998</v>
      </c>
      <c r="R26" s="31">
        <f>L26-AVERAGE(AN$5:AN25,AN27:AN$30)</f>
        <v>8.8321739130434764</v>
      </c>
      <c r="S26" s="31">
        <f>M26-AVERAGE(AO$5:AO25,AO27:AO$30)</f>
        <v>6.3098550724637663</v>
      </c>
      <c r="T26" s="31">
        <f>N26-AVERAGE(AP$5:AP25,AP27:AP$30)</f>
        <v>6.226399999999999</v>
      </c>
      <c r="U26" s="31">
        <f>O26-AVERAGE(AQ$5:AQ25,AQ27:AQ$30)</f>
        <v>6.5658666666666665</v>
      </c>
      <c r="V26" s="31">
        <f>P26-AVERAGE(AR$5:AR25,AR27:AR$30)</f>
        <v>6.6033333333333326</v>
      </c>
      <c r="W26" s="13">
        <f t="shared" ca="1" si="7"/>
        <v>11.177863419702019</v>
      </c>
      <c r="X26" s="6">
        <f t="shared" ca="1" si="8"/>
        <v>8.930522605279501</v>
      </c>
      <c r="Y26" s="6">
        <f t="shared" ca="1" si="9"/>
        <v>7.0535436173388693</v>
      </c>
      <c r="Z26" s="6">
        <f t="shared" ca="1" si="10"/>
        <v>6.8987718534394835</v>
      </c>
      <c r="AA26" s="6">
        <f t="shared" ca="1" si="11"/>
        <v>7.2600131857743264</v>
      </c>
      <c r="AB26" s="2">
        <f t="shared" ca="1" si="12"/>
        <v>7.0885087375572597</v>
      </c>
      <c r="AC26" s="2">
        <f>'Historical Trends'!C85</f>
        <v>8.8799999999999955</v>
      </c>
      <c r="AE26" s="13">
        <f t="shared" ca="1" si="17"/>
        <v>2.5416666666666288</v>
      </c>
      <c r="AF26">
        <f t="shared" ca="1" si="18"/>
        <v>0.70000000000000284</v>
      </c>
      <c r="AG26">
        <f t="shared" ca="1" si="19"/>
        <v>0.33500000000000796</v>
      </c>
      <c r="AH26">
        <f t="shared" ca="1" si="20"/>
        <v>0.15666666666667517</v>
      </c>
      <c r="AI26">
        <f t="shared" ca="1" si="21"/>
        <v>-0.39499999999998892</v>
      </c>
      <c r="AJ26">
        <f t="shared" ca="1" si="22"/>
        <v>-0.45399999999998997</v>
      </c>
      <c r="AK26">
        <f t="shared" ca="1" si="23"/>
        <v>-1.6399999999999908</v>
      </c>
      <c r="AL26">
        <f t="shared" ca="1" si="24"/>
        <v>-2.5214285714285625</v>
      </c>
      <c r="AM26" s="13">
        <f t="shared" si="47"/>
        <v>3.4533333333333385</v>
      </c>
      <c r="AN26">
        <f t="shared" si="39"/>
        <v>0.78666666666667062</v>
      </c>
      <c r="AO26">
        <f t="shared" si="40"/>
        <v>-1.5466666666666624</v>
      </c>
      <c r="AP26">
        <f t="shared" si="25"/>
        <v>-1.2133333333333285</v>
      </c>
      <c r="AQ26">
        <f t="shared" si="26"/>
        <v>-1.2133333333333285</v>
      </c>
      <c r="AR26">
        <f t="shared" si="27"/>
        <v>-1.5466666666666624</v>
      </c>
      <c r="AS26" s="30">
        <f t="shared" si="14"/>
        <v>2.6795000000000027</v>
      </c>
      <c r="AT26">
        <f t="shared" si="14"/>
        <v>-4.7826086956519021E-2</v>
      </c>
      <c r="AU26">
        <f t="shared" si="14"/>
        <v>-2.5701449275362291</v>
      </c>
      <c r="AV26">
        <f t="shared" si="14"/>
        <v>-2.6535999999999964</v>
      </c>
      <c r="AW26">
        <f t="shared" si="14"/>
        <v>-2.3141333333333289</v>
      </c>
      <c r="AX26">
        <f t="shared" si="14"/>
        <v>-2.2766666666666628</v>
      </c>
      <c r="AY26" s="13">
        <f t="shared" ca="1" si="48"/>
        <v>2.2978634197020238</v>
      </c>
      <c r="AZ26" s="6">
        <f t="shared" ca="1" si="41"/>
        <v>5.0522605279505584E-2</v>
      </c>
      <c r="BA26" s="6">
        <f t="shared" ca="1" si="42"/>
        <v>-1.8264563826611262</v>
      </c>
      <c r="BB26" s="6">
        <f t="shared" ca="1" si="28"/>
        <v>-1.9812281465605119</v>
      </c>
      <c r="BC26" s="6">
        <f t="shared" ca="1" si="29"/>
        <v>-1.619986814225669</v>
      </c>
      <c r="BD26" s="2">
        <f t="shared" ca="1" si="30"/>
        <v>-1.7914912624427357</v>
      </c>
      <c r="BP26">
        <f t="shared" si="49"/>
        <v>5</v>
      </c>
      <c r="BQ26">
        <f t="shared" si="44"/>
        <v>1.6094379124341003</v>
      </c>
      <c r="BR26">
        <f t="shared" si="45"/>
        <v>0.91012129326662006</v>
      </c>
      <c r="BS26">
        <f t="shared" si="46"/>
        <v>0.27604059116565138</v>
      </c>
      <c r="BU26">
        <f t="shared" si="50"/>
        <v>0.4</v>
      </c>
      <c r="BV26">
        <f t="shared" si="43"/>
        <v>0.80827229113620269</v>
      </c>
    </row>
    <row r="27" spans="1:74" x14ac:dyDescent="0.25">
      <c r="A27" t="s">
        <v>124</v>
      </c>
      <c r="B27" s="2">
        <v>0</v>
      </c>
      <c r="C27" s="13">
        <f ca="1">'Historical Trends'!N100</f>
        <v>11.5250638297872</v>
      </c>
      <c r="D27">
        <f ca="1">AVERAGE(OFFSET('Historical Trends'!$D$101,$B5,0,'Polling Correlations - OTH'!D$4,1))</f>
        <v>10.590000000000003</v>
      </c>
      <c r="E27">
        <f ca="1">AVERAGE(OFFSET('Historical Trends'!$D$101,$B5,0,'Polling Correlations - OTH'!E$4,1))</f>
        <v>11.155000000000001</v>
      </c>
      <c r="F27">
        <f ca="1">AVERAGE(OFFSET('Historical Trends'!$D$101,$B5,0,'Polling Correlations - OTH'!F$4,1))</f>
        <v>9.5533333333333363</v>
      </c>
      <c r="G27">
        <f ca="1">AVERAGE(OFFSET('Historical Trends'!$D$101,$B5,0,'Polling Correlations - OTH'!G$4,1))</f>
        <v>9.0000000000000036</v>
      </c>
      <c r="H27">
        <f ca="1">AVERAGE(OFFSET('Historical Trends'!$D$101,$B5,0,'Polling Correlations - OTH'!H$4,1))</f>
        <v>8.4500000000000028</v>
      </c>
      <c r="I27">
        <f ca="1">AVERAGE(OFFSET('Historical Trends'!$D$101,$B5,0,'Polling Correlations - OTH'!I$4,1))</f>
        <v>8.1466666666666683</v>
      </c>
      <c r="J27">
        <f ca="1">AVERAGE(OFFSET('Historical Trends'!$D$101,$B5,0,'Polling Correlations - OTH'!J$4,1))</f>
        <v>7.5900000000000016</v>
      </c>
      <c r="K27" s="13">
        <f>(25+32+28+31.5+19)/5</f>
        <v>27.1</v>
      </c>
      <c r="L27">
        <f>(30+17+25+31+29)/5</f>
        <v>26.4</v>
      </c>
      <c r="M27">
        <f>(28+32+27+30+17)/5</f>
        <v>26.8</v>
      </c>
      <c r="N27">
        <f>(28+38+28+32+27)/5</f>
        <v>30.6</v>
      </c>
      <c r="O27">
        <f>(26.7+28+38+28+32)/5</f>
        <v>30.54</v>
      </c>
      <c r="P27">
        <f>(27+27+31+26.7+28)/5</f>
        <v>27.939999999999998</v>
      </c>
      <c r="Q27" s="30">
        <f>K27-AVERAGE(AM$5:AM26,AM28:AM$30)</f>
        <v>26.383499999999998</v>
      </c>
      <c r="R27" s="31">
        <f>L27-AVERAGE(AN$5:AN26,AN28:AN$30)</f>
        <v>25.700869565217388</v>
      </c>
      <c r="S27" s="31">
        <f>M27-AVERAGE(AO$5:AO26,AO28:AO$30)</f>
        <v>26.030724637681161</v>
      </c>
      <c r="T27" s="31">
        <f>N27-AVERAGE(AP$5:AP26,AP28:AP$30)</f>
        <v>29.532266666666665</v>
      </c>
      <c r="U27" s="31">
        <f>O27-AVERAGE(AQ$5:AQ26,AQ28:AQ$30)</f>
        <v>29.809333333333331</v>
      </c>
      <c r="V27" s="31">
        <f>P27-AVERAGE(AR$5:AR26,AR28:AR$30)</f>
        <v>27.489466666666665</v>
      </c>
      <c r="W27" s="13">
        <f t="shared" ca="1" si="7"/>
        <v>23.338601121022421</v>
      </c>
      <c r="X27" s="6">
        <f t="shared" ca="1" si="8"/>
        <v>23.713597007855164</v>
      </c>
      <c r="Y27" s="6">
        <f t="shared" ca="1" si="9"/>
        <v>22.519231938712082</v>
      </c>
      <c r="Z27" s="6">
        <f t="shared" ca="1" si="10"/>
        <v>25.73448310660833</v>
      </c>
      <c r="AA27" s="6">
        <f t="shared" ca="1" si="11"/>
        <v>25.383174349135611</v>
      </c>
      <c r="AB27" s="2">
        <f t="shared" ca="1" si="12"/>
        <v>24.734974313530458</v>
      </c>
      <c r="AC27" s="2">
        <f>'Historical Trends'!C100</f>
        <v>22.5</v>
      </c>
      <c r="AE27" s="13">
        <f t="shared" ca="1" si="17"/>
        <v>-10.9749361702128</v>
      </c>
      <c r="AF27">
        <f t="shared" ca="1" si="18"/>
        <v>-11.909999999999997</v>
      </c>
      <c r="AG27">
        <f t="shared" ca="1" si="19"/>
        <v>-11.344999999999999</v>
      </c>
      <c r="AH27">
        <f t="shared" ca="1" si="20"/>
        <v>-12.946666666666664</v>
      </c>
      <c r="AI27">
        <f t="shared" ca="1" si="21"/>
        <v>-13.499999999999996</v>
      </c>
      <c r="AJ27">
        <f t="shared" ca="1" si="22"/>
        <v>-14.049999999999997</v>
      </c>
      <c r="AK27">
        <f t="shared" ca="1" si="23"/>
        <v>-14.353333333333332</v>
      </c>
      <c r="AL27">
        <f t="shared" ca="1" si="24"/>
        <v>-14.909999999999998</v>
      </c>
      <c r="AM27" s="13">
        <f t="shared" si="47"/>
        <v>4.6000000000000014</v>
      </c>
      <c r="AN27">
        <f t="shared" ref="AN27:AR29" si="51">L27-$AC27</f>
        <v>3.8999999999999986</v>
      </c>
      <c r="AO27">
        <f t="shared" si="51"/>
        <v>4.3000000000000007</v>
      </c>
      <c r="AP27">
        <f t="shared" si="51"/>
        <v>8.1000000000000014</v>
      </c>
      <c r="AQ27">
        <f t="shared" si="51"/>
        <v>8.0399999999999991</v>
      </c>
      <c r="AR27">
        <f t="shared" si="51"/>
        <v>5.4399999999999977</v>
      </c>
      <c r="AS27" s="30">
        <f t="shared" si="14"/>
        <v>3.883499999999998</v>
      </c>
      <c r="AT27">
        <f t="shared" si="14"/>
        <v>3.2008695652173884</v>
      </c>
      <c r="AU27">
        <f t="shared" si="14"/>
        <v>3.5307246376811605</v>
      </c>
      <c r="AV27">
        <f t="shared" si="14"/>
        <v>7.0322666666666649</v>
      </c>
      <c r="AW27">
        <f t="shared" si="14"/>
        <v>7.3093333333333312</v>
      </c>
      <c r="AX27">
        <f t="shared" si="14"/>
        <v>4.9894666666666652</v>
      </c>
      <c r="AY27" s="13">
        <f t="shared" ca="1" si="48"/>
        <v>0.83860112102242113</v>
      </c>
      <c r="AZ27" s="6">
        <f t="shared" ca="1" si="41"/>
        <v>1.2135970078551637</v>
      </c>
      <c r="BA27" s="6">
        <f t="shared" ca="1" si="42"/>
        <v>1.9231938712081842E-2</v>
      </c>
      <c r="BB27" s="6">
        <f t="shared" ca="1" si="28"/>
        <v>3.2344831066083302</v>
      </c>
      <c r="BC27" s="6">
        <f t="shared" ca="1" si="29"/>
        <v>2.8831743491356114</v>
      </c>
      <c r="BD27" s="2">
        <f t="shared" ca="1" si="30"/>
        <v>2.2349743135304578</v>
      </c>
      <c r="BP27">
        <f t="shared" si="49"/>
        <v>6</v>
      </c>
      <c r="BQ27">
        <f t="shared" si="44"/>
        <v>1.791759469228055</v>
      </c>
      <c r="BR27">
        <f t="shared" si="45"/>
        <v>0.90580471036790178</v>
      </c>
      <c r="BS27">
        <f t="shared" si="46"/>
        <v>0.30965336588943237</v>
      </c>
      <c r="BU27">
        <f t="shared" si="50"/>
        <v>0.5</v>
      </c>
      <c r="BV27">
        <f t="shared" si="43"/>
        <v>0.80827228736012913</v>
      </c>
    </row>
    <row r="28" spans="1:74" x14ac:dyDescent="0.25">
      <c r="A28" t="s">
        <v>125</v>
      </c>
      <c r="B28" s="2">
        <f>B27+1</f>
        <v>1</v>
      </c>
      <c r="C28" s="13">
        <f ca="1">'Historical Trends'!N101</f>
        <v>10.713401574803129</v>
      </c>
      <c r="D28">
        <f ca="1">AVERAGE(OFFSET('Historical Trends'!$D$101,$B6,0,'Polling Correlations - OTH'!D$4,1))</f>
        <v>11.719999999999999</v>
      </c>
      <c r="E28">
        <f ca="1">AVERAGE(OFFSET('Historical Trends'!$D$101,$B6,0,'Polling Correlations - OTH'!E$4,1))</f>
        <v>9.0350000000000019</v>
      </c>
      <c r="F28">
        <f ca="1">AVERAGE(OFFSET('Historical Trends'!$D$101,$B6,0,'Polling Correlations - OTH'!F$4,1))</f>
        <v>8.4700000000000024</v>
      </c>
      <c r="G28">
        <f ca="1">AVERAGE(OFFSET('Historical Trends'!$D$101,$B6,0,'Polling Correlations - OTH'!G$4,1))</f>
        <v>7.9150000000000018</v>
      </c>
      <c r="H28">
        <f ca="1">AVERAGE(OFFSET('Historical Trends'!$D$101,$B6,0,'Polling Correlations - OTH'!H$4,1))</f>
        <v>7.6580000000000013</v>
      </c>
      <c r="I28">
        <f ca="1">AVERAGE(OFFSET('Historical Trends'!$D$101,$B6,0,'Polling Correlations - OTH'!I$4,1))</f>
        <v>7.0900000000000007</v>
      </c>
      <c r="J28">
        <f ca="1">AVERAGE(OFFSET('Historical Trends'!$D$101,$B6,0,'Polling Correlations - OTH'!J$4,1))</f>
        <v>6.604285714285715</v>
      </c>
      <c r="K28" s="13">
        <f>(15+15+20+15+15)/5</f>
        <v>16</v>
      </c>
      <c r="L28">
        <f>(10+10+15+17+15)/5</f>
        <v>13.4</v>
      </c>
      <c r="M28">
        <f>(13+10+10+15+17)/5</f>
        <v>13</v>
      </c>
      <c r="N28">
        <f>(17+12+13+10+10)/5</f>
        <v>12.4</v>
      </c>
      <c r="O28">
        <f>(12+17+12+13+10)/5</f>
        <v>12.8</v>
      </c>
      <c r="P28">
        <f>(16+15+12+17+12)/5</f>
        <v>14.4</v>
      </c>
      <c r="Q28" s="30">
        <f>K28-AVERAGE(AM$5:AM27,AM29:AM$30)</f>
        <v>15.323999999999998</v>
      </c>
      <c r="R28" s="31">
        <f>L28-AVERAGE(AN$5:AN27,AN29:AN$30)</f>
        <v>12.653478260869564</v>
      </c>
      <c r="S28" s="31">
        <f>M28-AVERAGE(AO$5:AO27,AO29:AO$30)</f>
        <v>12.14855072463768</v>
      </c>
      <c r="T28" s="31">
        <f>N28-AVERAGE(AP$5:AP27,AP29:AP$30)</f>
        <v>11.080666666666666</v>
      </c>
      <c r="U28" s="31">
        <f>O28-AVERAGE(AQ$5:AQ27,AQ29:AQ$30)</f>
        <v>11.836133333333333</v>
      </c>
      <c r="V28" s="31">
        <f>P28-AVERAGE(AR$5:AR27,AR29:AR$30)</f>
        <v>13.884266666666665</v>
      </c>
      <c r="W28" s="13">
        <f t="shared" ca="1" si="7"/>
        <v>14.629168863150332</v>
      </c>
      <c r="X28" s="6">
        <f t="shared" ca="1" si="8"/>
        <v>12.530713933991224</v>
      </c>
      <c r="Y28" s="6">
        <f t="shared" ca="1" si="9"/>
        <v>12.051090742932502</v>
      </c>
      <c r="Z28" s="6">
        <f t="shared" ca="1" si="10"/>
        <v>11.208848244165168</v>
      </c>
      <c r="AA28" s="6">
        <f t="shared" ca="1" si="11"/>
        <v>11.809388149835907</v>
      </c>
      <c r="AB28" s="2">
        <f t="shared" ca="1" si="12"/>
        <v>13.531506659438769</v>
      </c>
      <c r="AC28" s="2">
        <f>'Historical Trends'!C101</f>
        <v>10.590000000000003</v>
      </c>
      <c r="AE28" s="13">
        <f t="shared" ca="1" si="17"/>
        <v>0.12340157480312541</v>
      </c>
      <c r="AF28">
        <f t="shared" ca="1" si="18"/>
        <v>1.1299999999999955</v>
      </c>
      <c r="AG28">
        <f t="shared" ca="1" si="19"/>
        <v>-1.5550000000000015</v>
      </c>
      <c r="AH28">
        <f t="shared" ca="1" si="20"/>
        <v>-2.120000000000001</v>
      </c>
      <c r="AI28">
        <f t="shared" ca="1" si="21"/>
        <v>-2.6750000000000016</v>
      </c>
      <c r="AJ28">
        <f t="shared" ca="1" si="22"/>
        <v>-2.9320000000000022</v>
      </c>
      <c r="AK28">
        <f t="shared" ca="1" si="23"/>
        <v>-3.5000000000000027</v>
      </c>
      <c r="AL28">
        <f t="shared" ca="1" si="24"/>
        <v>-3.9857142857142884</v>
      </c>
      <c r="AM28" s="13">
        <f t="shared" si="47"/>
        <v>5.4099999999999966</v>
      </c>
      <c r="AN28">
        <f t="shared" si="51"/>
        <v>2.8099999999999969</v>
      </c>
      <c r="AO28">
        <f t="shared" si="51"/>
        <v>2.4099999999999966</v>
      </c>
      <c r="AP28">
        <f t="shared" si="51"/>
        <v>1.8099999999999969</v>
      </c>
      <c r="AQ28">
        <f t="shared" si="51"/>
        <v>2.2099999999999973</v>
      </c>
      <c r="AR28">
        <f t="shared" si="51"/>
        <v>3.8099999999999969</v>
      </c>
      <c r="AS28" s="30">
        <f t="shared" si="14"/>
        <v>4.7339999999999947</v>
      </c>
      <c r="AT28">
        <f t="shared" si="14"/>
        <v>2.0634782608695605</v>
      </c>
      <c r="AU28">
        <f t="shared" si="14"/>
        <v>1.5585507246376764</v>
      </c>
      <c r="AV28">
        <f t="shared" si="14"/>
        <v>0.49066666666666237</v>
      </c>
      <c r="AW28">
        <f t="shared" si="14"/>
        <v>1.2461333333333293</v>
      </c>
      <c r="AX28">
        <f t="shared" si="14"/>
        <v>3.2942666666666618</v>
      </c>
      <c r="AY28" s="13">
        <f t="shared" ca="1" si="48"/>
        <v>4.0391688631503282</v>
      </c>
      <c r="AZ28" s="6">
        <f t="shared" ca="1" si="41"/>
        <v>1.9407139339912209</v>
      </c>
      <c r="BA28" s="6">
        <f t="shared" ca="1" si="42"/>
        <v>1.4610907429324982</v>
      </c>
      <c r="BB28" s="6">
        <f t="shared" ca="1" si="28"/>
        <v>0.61884824416516437</v>
      </c>
      <c r="BC28" s="6">
        <f t="shared" ca="1" si="29"/>
        <v>1.219388149835904</v>
      </c>
      <c r="BD28" s="2">
        <f t="shared" ca="1" si="30"/>
        <v>2.9415066594387653</v>
      </c>
      <c r="BP28">
        <f t="shared" si="49"/>
        <v>7</v>
      </c>
      <c r="BQ28">
        <f t="shared" si="44"/>
        <v>1.9459101490553132</v>
      </c>
      <c r="BR28">
        <f t="shared" si="45"/>
        <v>0.90196183089833593</v>
      </c>
      <c r="BS28">
        <f t="shared" si="46"/>
        <v>0.33838847910654657</v>
      </c>
      <c r="BU28">
        <f t="shared" si="50"/>
        <v>0.6</v>
      </c>
      <c r="BV28">
        <f t="shared" si="43"/>
        <v>0.80827228350371361</v>
      </c>
    </row>
    <row r="29" spans="1:74" x14ac:dyDescent="0.25">
      <c r="A29" t="s">
        <v>127</v>
      </c>
      <c r="B29" s="2">
        <f>B28+1</f>
        <v>2</v>
      </c>
      <c r="C29" s="13">
        <f ca="1">'Historical Trends'!N102</f>
        <v>7.9313829787233772</v>
      </c>
      <c r="D29">
        <f ca="1">AVERAGE(OFFSET('Historical Trends'!$D$101,$B7,0,'Polling Correlations - OTH'!D$4,1))</f>
        <v>6.3500000000000041</v>
      </c>
      <c r="E29">
        <f ca="1">AVERAGE(OFFSET('Historical Trends'!$D$101,$B7,0,'Polling Correlations - OTH'!E$4,1))</f>
        <v>6.8450000000000042</v>
      </c>
      <c r="F29">
        <f ca="1">AVERAGE(OFFSET('Historical Trends'!$D$101,$B7,0,'Polling Correlations - OTH'!F$4,1))</f>
        <v>6.6466666666666692</v>
      </c>
      <c r="G29">
        <f ca="1">AVERAGE(OFFSET('Historical Trends'!$D$101,$B7,0,'Polling Correlations - OTH'!G$4,1))</f>
        <v>6.642500000000001</v>
      </c>
      <c r="H29">
        <f ca="1">AVERAGE(OFFSET('Historical Trends'!$D$101,$B7,0,'Polling Correlations - OTH'!H$4,1))</f>
        <v>6.1640000000000006</v>
      </c>
      <c r="I29">
        <f ca="1">AVERAGE(OFFSET('Historical Trends'!$D$101,$B7,0,'Polling Correlations - OTH'!I$4,1))</f>
        <v>5.7516666666666678</v>
      </c>
      <c r="J29">
        <f ca="1">AVERAGE(OFFSET('Historical Trends'!$D$101,$B7,0,'Polling Correlations - OTH'!J$4,1))</f>
        <v>5.1599999999999984</v>
      </c>
      <c r="K29" s="13">
        <f>(12+14+12)/3</f>
        <v>12.666666666666666</v>
      </c>
      <c r="L29">
        <f>(13+12+13)/3</f>
        <v>12.666666666666666</v>
      </c>
      <c r="M29">
        <f>(14+13+12)/3</f>
        <v>13</v>
      </c>
      <c r="N29">
        <f>(12+15+10)/3</f>
        <v>12.333333333333334</v>
      </c>
      <c r="O29">
        <f>(14+12+15)/3</f>
        <v>13.666666666666666</v>
      </c>
      <c r="P29">
        <f>(12.3+11+14)/3</f>
        <v>12.433333333333332</v>
      </c>
      <c r="Q29" s="30">
        <f>K29-AVERAGE(AM$5:AM28,AM30:AM$30)</f>
        <v>11.767499999999997</v>
      </c>
      <c r="R29" s="31">
        <f>L29-AVERAGE(AN$5:AN28,AN30:AN$30)</f>
        <v>11.839130434782607</v>
      </c>
      <c r="S29" s="31">
        <f>M29-AVERAGE(AO$5:AO28,AO30:AO$30)</f>
        <v>12.099420289855072</v>
      </c>
      <c r="T29" s="31">
        <f>N29-AVERAGE(AP$5:AP28,AP30:AP$30)</f>
        <v>10.966133333333334</v>
      </c>
      <c r="U29" s="31">
        <f>O29-AVERAGE(AQ$5:AQ28,AQ30:AQ$30)</f>
        <v>12.692266666666665</v>
      </c>
      <c r="V29" s="31">
        <f>P29-AVERAGE(AR$5:AR28,AR30:AR$30)</f>
        <v>11.79373333333333</v>
      </c>
      <c r="W29" s="13">
        <f t="shared" ca="1" si="7"/>
        <v>10.723036158744986</v>
      </c>
      <c r="X29" s="6">
        <f t="shared" ca="1" si="8"/>
        <v>11.117239597875743</v>
      </c>
      <c r="Y29" s="6">
        <f t="shared" ca="1" si="9"/>
        <v>10.791900866714663</v>
      </c>
      <c r="Z29" s="6">
        <f t="shared" ca="1" si="10"/>
        <v>10.040632938218495</v>
      </c>
      <c r="AA29" s="6">
        <f t="shared" ca="1" si="11"/>
        <v>11.231660302232708</v>
      </c>
      <c r="AB29" s="2">
        <f t="shared" ca="1" si="12"/>
        <v>10.906443684793377</v>
      </c>
      <c r="AC29" s="2">
        <f>'Historical Trends'!C102</f>
        <v>11.719999999999999</v>
      </c>
      <c r="AE29" s="13">
        <f t="shared" ca="1" si="17"/>
        <v>-3.7886170212766217</v>
      </c>
      <c r="AF29">
        <f t="shared" ca="1" si="18"/>
        <v>-5.3699999999999948</v>
      </c>
      <c r="AG29">
        <f t="shared" ca="1" si="19"/>
        <v>-4.8749999999999947</v>
      </c>
      <c r="AH29">
        <f t="shared" ca="1" si="20"/>
        <v>-5.0733333333333297</v>
      </c>
      <c r="AI29">
        <f t="shared" ca="1" si="21"/>
        <v>-5.0774999999999979</v>
      </c>
      <c r="AJ29">
        <f t="shared" ca="1" si="22"/>
        <v>-5.5559999999999983</v>
      </c>
      <c r="AK29">
        <f t="shared" ca="1" si="23"/>
        <v>-5.968333333333331</v>
      </c>
      <c r="AL29">
        <f t="shared" ca="1" si="24"/>
        <v>-6.5600000000000005</v>
      </c>
      <c r="AM29" s="13">
        <f t="shared" si="47"/>
        <v>0.94666666666666721</v>
      </c>
      <c r="AN29">
        <f t="shared" si="51"/>
        <v>0.94666666666666721</v>
      </c>
      <c r="AO29">
        <f t="shared" si="51"/>
        <v>1.2800000000000011</v>
      </c>
      <c r="AP29">
        <f t="shared" si="51"/>
        <v>0.61333333333333506</v>
      </c>
      <c r="AQ29">
        <f t="shared" si="51"/>
        <v>1.9466666666666672</v>
      </c>
      <c r="AR29">
        <f t="shared" si="51"/>
        <v>0.71333333333333293</v>
      </c>
      <c r="AS29" s="30">
        <f t="shared" si="14"/>
        <v>4.7499999999997655E-2</v>
      </c>
      <c r="AT29">
        <f t="shared" si="14"/>
        <v>0.11913043478260832</v>
      </c>
      <c r="AU29">
        <f t="shared" si="14"/>
        <v>0.37942028985507292</v>
      </c>
      <c r="AV29">
        <f t="shared" si="14"/>
        <v>-0.75386666666666535</v>
      </c>
      <c r="AW29">
        <f t="shared" si="14"/>
        <v>0.97226666666666617</v>
      </c>
      <c r="AX29">
        <f t="shared" si="14"/>
        <v>7.373333333333143E-2</v>
      </c>
      <c r="AY29" s="13">
        <f t="shared" ca="1" si="48"/>
        <v>-0.99696384125501325</v>
      </c>
      <c r="AZ29" s="6">
        <f t="shared" ca="1" si="41"/>
        <v>-0.60276040212425563</v>
      </c>
      <c r="BA29" s="6">
        <f t="shared" ca="1" si="42"/>
        <v>-0.92809913328533611</v>
      </c>
      <c r="BB29" s="6">
        <f t="shared" ca="1" si="28"/>
        <v>-1.6793670617815035</v>
      </c>
      <c r="BC29" s="6">
        <f t="shared" ca="1" si="29"/>
        <v>-0.48833969776729091</v>
      </c>
      <c r="BD29" s="2">
        <f t="shared" ca="1" si="30"/>
        <v>-0.81355631520662186</v>
      </c>
      <c r="BP29">
        <f t="shared" si="49"/>
        <v>8</v>
      </c>
      <c r="BQ29">
        <f t="shared" si="44"/>
        <v>2.0794415416798357</v>
      </c>
      <c r="BR29">
        <f t="shared" si="45"/>
        <v>0.89847902784446509</v>
      </c>
      <c r="BS29">
        <f t="shared" si="46"/>
        <v>0.36349633700567485</v>
      </c>
      <c r="BU29">
        <f t="shared" si="50"/>
        <v>0.7</v>
      </c>
      <c r="BV29">
        <f t="shared" si="43"/>
        <v>0.80827227956436443</v>
      </c>
    </row>
    <row r="30" spans="1:74" x14ac:dyDescent="0.25">
      <c r="A30" t="s">
        <v>128</v>
      </c>
      <c r="B30" s="2">
        <f>B29+1</f>
        <v>3</v>
      </c>
      <c r="C30" s="13">
        <f ca="1">'Historical Trends'!N103</f>
        <v>8.9470379146920322</v>
      </c>
      <c r="D30">
        <f ca="1">AVERAGE(OFFSET('Historical Trends'!$D$101,$B8,0,'Polling Correlations - OTH'!D$4,1))</f>
        <v>7.3400000000000034</v>
      </c>
      <c r="E30">
        <f ca="1">AVERAGE(OFFSET('Historical Trends'!$D$101,$B8,0,'Polling Correlations - OTH'!E$4,1))</f>
        <v>6.7950000000000017</v>
      </c>
      <c r="F30">
        <f ca="1">AVERAGE(OFFSET('Historical Trends'!$D$101,$B8,0,'Polling Correlations - OTH'!F$4,1))</f>
        <v>6.7399999999999993</v>
      </c>
      <c r="G30">
        <f ca="1">AVERAGE(OFFSET('Historical Trends'!$D$101,$B8,0,'Polling Correlations - OTH'!G$4,1))</f>
        <v>6.1174999999999997</v>
      </c>
      <c r="H30">
        <f ca="1">AVERAGE(OFFSET('Historical Trends'!$D$101,$B8,0,'Polling Correlations - OTH'!H$4,1))</f>
        <v>5.6319999999999997</v>
      </c>
      <c r="I30">
        <f ca="1">AVERAGE(OFFSET('Historical Trends'!$D$101,$B8,0,'Polling Correlations - OTH'!I$4,1))</f>
        <v>4.9616666666666633</v>
      </c>
      <c r="J30">
        <f ca="1">AVERAGE(OFFSET('Historical Trends'!$D$101,$B8,0,'Polling Correlations - OTH'!J$4,1))</f>
        <v>4.3942857142857106</v>
      </c>
      <c r="N30">
        <f>(13+12)/2</f>
        <v>12.5</v>
      </c>
      <c r="O30">
        <f>(15+13)/2</f>
        <v>14</v>
      </c>
      <c r="P30">
        <f>(15.5+15)/2</f>
        <v>15.25</v>
      </c>
      <c r="Q30" s="30"/>
      <c r="R30" s="31"/>
      <c r="S30" s="31"/>
      <c r="T30" s="31">
        <f>N30-AVERAGE(AP$5:AP29)</f>
        <v>11.119066666666665</v>
      </c>
      <c r="U30" s="31">
        <f>O30-AVERAGE(AQ$5:AQ29)</f>
        <v>13.018533333333332</v>
      </c>
      <c r="V30" s="31">
        <f>P30-AVERAGE(AR$5:AR29)</f>
        <v>14.702666666666666</v>
      </c>
      <c r="W30" s="13">
        <f t="shared" ca="1" si="7"/>
        <v>1.4151111388669664</v>
      </c>
      <c r="X30" s="6">
        <f t="shared" ca="1" si="8"/>
        <v>0.96530385019102605</v>
      </c>
      <c r="Y30" s="6">
        <f t="shared" ca="1" si="9"/>
        <v>1.6692452598716749</v>
      </c>
      <c r="Z30" s="6">
        <f t="shared" ca="1" si="10"/>
        <v>10.361391911496685</v>
      </c>
      <c r="AA30" s="6">
        <f t="shared" ca="1" si="11"/>
        <v>11.710782908566628</v>
      </c>
      <c r="AB30" s="2">
        <f t="shared" ca="1" si="12"/>
        <v>13.502604591806858</v>
      </c>
      <c r="AC30" s="2">
        <f>'Historical Trends'!C103</f>
        <v>12.230000000000004</v>
      </c>
      <c r="AE30" s="13">
        <f t="shared" ca="1" si="17"/>
        <v>-3.2829620853079717</v>
      </c>
      <c r="AF30">
        <f t="shared" ca="1" si="18"/>
        <v>-4.8900000000000006</v>
      </c>
      <c r="AG30">
        <f t="shared" ca="1" si="19"/>
        <v>-5.4350000000000023</v>
      </c>
      <c r="AH30">
        <f t="shared" ca="1" si="20"/>
        <v>-5.4900000000000047</v>
      </c>
      <c r="AI30">
        <f t="shared" ca="1" si="21"/>
        <v>-6.1125000000000043</v>
      </c>
      <c r="AJ30">
        <f t="shared" ca="1" si="22"/>
        <v>-6.5980000000000043</v>
      </c>
      <c r="AK30">
        <f t="shared" ca="1" si="23"/>
        <v>-7.2683333333333406</v>
      </c>
      <c r="AL30">
        <f t="shared" ca="1" si="24"/>
        <v>-7.8357142857142934</v>
      </c>
      <c r="AP30">
        <f>N30-$AC30</f>
        <v>0.26999999999999602</v>
      </c>
      <c r="AQ30">
        <f>O30-$AC30</f>
        <v>1.769999999999996</v>
      </c>
      <c r="AR30">
        <f>P30-$AC30</f>
        <v>3.019999999999996</v>
      </c>
      <c r="AS30" s="30"/>
      <c r="AV30">
        <f t="shared" si="14"/>
        <v>-1.1109333333333389</v>
      </c>
      <c r="AW30">
        <f t="shared" si="14"/>
        <v>0.7885333333333282</v>
      </c>
      <c r="AX30">
        <f t="shared" si="14"/>
        <v>2.4726666666666617</v>
      </c>
      <c r="BB30" s="6">
        <f t="shared" ca="1" si="28"/>
        <v>-1.8686080885033185</v>
      </c>
      <c r="BC30" s="6">
        <f t="shared" ca="1" si="29"/>
        <v>-0.5192170914333758</v>
      </c>
      <c r="BD30" s="2">
        <f t="shared" ca="1" si="30"/>
        <v>1.2726045918068536</v>
      </c>
      <c r="BP30">
        <f t="shared" si="49"/>
        <v>9</v>
      </c>
      <c r="BQ30">
        <f t="shared" si="44"/>
        <v>2.1972245773362196</v>
      </c>
      <c r="BR30">
        <f t="shared" si="45"/>
        <v>0.89528046973783304</v>
      </c>
      <c r="BS30">
        <f t="shared" si="46"/>
        <v>0.38579609965964168</v>
      </c>
      <c r="BU30">
        <f t="shared" si="50"/>
        <v>0.79999999999999993</v>
      </c>
      <c r="BV30">
        <f t="shared" si="43"/>
        <v>0.80827227553937719</v>
      </c>
    </row>
    <row r="31" spans="1:74" x14ac:dyDescent="0.25">
      <c r="BP31">
        <f t="shared" si="49"/>
        <v>10</v>
      </c>
      <c r="BQ31">
        <f t="shared" si="44"/>
        <v>2.3025850929940459</v>
      </c>
      <c r="BR31">
        <f t="shared" si="45"/>
        <v>0.89231280613779884</v>
      </c>
      <c r="BS31">
        <f t="shared" si="46"/>
        <v>0.4058546225073032</v>
      </c>
      <c r="BU31">
        <f t="shared" si="50"/>
        <v>0.89999999999999991</v>
      </c>
      <c r="BV31">
        <f t="shared" si="43"/>
        <v>0.80827227142592872</v>
      </c>
    </row>
    <row r="32" spans="1:74" x14ac:dyDescent="0.25">
      <c r="Q32" s="32"/>
      <c r="BP32">
        <f>BP31+5</f>
        <v>15</v>
      </c>
      <c r="BQ32">
        <f t="shared" si="44"/>
        <v>2.7080502011022101</v>
      </c>
      <c r="BR32">
        <f t="shared" si="45"/>
        <v>0.879848893553969</v>
      </c>
      <c r="BS32">
        <f t="shared" si="46"/>
        <v>0.4838185582782154</v>
      </c>
      <c r="BU32">
        <f t="shared" si="50"/>
        <v>0.99999999999999989</v>
      </c>
      <c r="BV32">
        <f t="shared" si="43"/>
        <v>0.80827226722107026</v>
      </c>
    </row>
    <row r="33" spans="57:74" x14ac:dyDescent="0.25">
      <c r="BP33">
        <f t="shared" ref="BP33:BP39" si="52">BP32+5</f>
        <v>20</v>
      </c>
      <c r="BQ33">
        <f t="shared" si="44"/>
        <v>2.9957322735539909</v>
      </c>
      <c r="BR33">
        <f t="shared" si="45"/>
        <v>0.86984999035138133</v>
      </c>
      <c r="BS33">
        <f t="shared" si="46"/>
        <v>0.53956842999097721</v>
      </c>
      <c r="BU33">
        <f t="shared" si="50"/>
        <v>1.0999999999999999</v>
      </c>
      <c r="BV33">
        <f t="shared" si="43"/>
        <v>0.80827226292172072</v>
      </c>
    </row>
    <row r="34" spans="57:74" x14ac:dyDescent="0.25">
      <c r="BP34">
        <f t="shared" si="52"/>
        <v>25</v>
      </c>
      <c r="BQ34">
        <f t="shared" si="44"/>
        <v>3.2188758248682006</v>
      </c>
      <c r="BR34">
        <f t="shared" si="45"/>
        <v>0.86131452190275737</v>
      </c>
      <c r="BS34">
        <f t="shared" si="46"/>
        <v>0.5828049378614828</v>
      </c>
      <c r="BU34">
        <f t="shared" si="50"/>
        <v>1.2</v>
      </c>
      <c r="BV34">
        <f t="shared" si="43"/>
        <v>0.80827225852465856</v>
      </c>
    </row>
    <row r="35" spans="57:74" x14ac:dyDescent="0.25">
      <c r="BP35">
        <f t="shared" si="52"/>
        <v>30</v>
      </c>
      <c r="BQ35">
        <f t="shared" si="44"/>
        <v>3.4011973816621555</v>
      </c>
      <c r="BR35">
        <f t="shared" si="45"/>
        <v>0.85376331210823564</v>
      </c>
      <c r="BS35">
        <f t="shared" si="46"/>
        <v>0.61797098580623311</v>
      </c>
      <c r="BU35">
        <f t="shared" si="50"/>
        <v>1.3</v>
      </c>
      <c r="BV35">
        <f t="shared" si="43"/>
        <v>0.80827225402651448</v>
      </c>
    </row>
    <row r="36" spans="57:74" x14ac:dyDescent="0.25">
      <c r="BP36">
        <f t="shared" si="52"/>
        <v>35</v>
      </c>
      <c r="BQ36">
        <f t="shared" si="44"/>
        <v>3.5553480614894135</v>
      </c>
      <c r="BR36">
        <f t="shared" si="45"/>
        <v>0.84692609437819422</v>
      </c>
      <c r="BS36">
        <f t="shared" si="46"/>
        <v>0.64748580981932835</v>
      </c>
      <c r="BU36">
        <f t="shared" si="50"/>
        <v>1.4000000000000001</v>
      </c>
      <c r="BV36">
        <f t="shared" si="43"/>
        <v>0.80827224942376252</v>
      </c>
    </row>
    <row r="37" spans="57:74" x14ac:dyDescent="0.25">
      <c r="BP37">
        <f t="shared" si="52"/>
        <v>40</v>
      </c>
      <c r="BQ37">
        <f t="shared" si="44"/>
        <v>3.6888794541139363</v>
      </c>
      <c r="BR37">
        <f t="shared" si="45"/>
        <v>0.84063391913611418</v>
      </c>
      <c r="BS37">
        <f t="shared" si="46"/>
        <v>0.67281712840632812</v>
      </c>
      <c r="BU37">
        <f t="shared" si="50"/>
        <v>1.5000000000000002</v>
      </c>
      <c r="BV37">
        <f t="shared" si="43"/>
        <v>0.80827224471271042</v>
      </c>
    </row>
    <row r="38" spans="57:74" x14ac:dyDescent="0.25">
      <c r="BE38" t="s">
        <v>217</v>
      </c>
      <c r="BG38">
        <f>Q4</f>
        <v>0.90142857142857347</v>
      </c>
      <c r="BH38">
        <f t="shared" ref="BH38:BK38" si="53">R4</f>
        <v>0.83250000000000102</v>
      </c>
      <c r="BI38">
        <f t="shared" si="53"/>
        <v>0.91638888888889014</v>
      </c>
      <c r="BJ38">
        <f t="shared" si="53"/>
        <v>1.3382051282051295</v>
      </c>
      <c r="BK38">
        <f t="shared" si="53"/>
        <v>1.0117948717948728</v>
      </c>
      <c r="BL38">
        <f t="shared" ref="BL38" si="54">AVERAGE(BK38,BM38)</f>
        <v>0.82711538461538558</v>
      </c>
      <c r="BM38">
        <f>V4</f>
        <v>0.64243589743589824</v>
      </c>
      <c r="BP38">
        <f t="shared" si="52"/>
        <v>45</v>
      </c>
      <c r="BQ38">
        <f t="shared" si="44"/>
        <v>3.8066624897703196</v>
      </c>
      <c r="BR38">
        <f t="shared" si="45"/>
        <v>0.8347734080477065</v>
      </c>
      <c r="BS38">
        <f t="shared" si="46"/>
        <v>0.6949243646841885</v>
      </c>
      <c r="BU38">
        <f t="shared" si="50"/>
        <v>1.6000000000000003</v>
      </c>
      <c r="BV38">
        <f t="shared" si="43"/>
        <v>0.80827223988949048</v>
      </c>
    </row>
    <row r="39" spans="57:74" x14ac:dyDescent="0.25">
      <c r="BP39">
        <f t="shared" si="52"/>
        <v>50</v>
      </c>
      <c r="BQ39">
        <f t="shared" si="44"/>
        <v>3.912023005428146</v>
      </c>
      <c r="BR39">
        <f t="shared" si="45"/>
        <v>0.82926440807702773</v>
      </c>
      <c r="BS39">
        <f t="shared" si="46"/>
        <v>0.71447001455916515</v>
      </c>
      <c r="BU39">
        <f t="shared" si="50"/>
        <v>1.7000000000000004</v>
      </c>
      <c r="BV39">
        <f t="shared" si="43"/>
        <v>0.8082722349500483</v>
      </c>
    </row>
    <row r="40" spans="57:74" x14ac:dyDescent="0.25">
      <c r="BP40">
        <f>BP39+10</f>
        <v>60</v>
      </c>
      <c r="BQ40">
        <f t="shared" si="44"/>
        <v>4.0943445622221004</v>
      </c>
      <c r="BR40">
        <f t="shared" si="45"/>
        <v>0.81907923870333688</v>
      </c>
      <c r="BS40">
        <f t="shared" si="46"/>
        <v>0.74766316959566648</v>
      </c>
      <c r="BU40">
        <f t="shared" si="50"/>
        <v>1.8000000000000005</v>
      </c>
      <c r="BV40">
        <f t="shared" si="43"/>
        <v>0.80827222989013203</v>
      </c>
    </row>
    <row r="41" spans="57:74" x14ac:dyDescent="0.25">
      <c r="BP41">
        <f t="shared" ref="BP41:BP54" si="55">BP40+10</f>
        <v>70</v>
      </c>
      <c r="BQ41">
        <f t="shared" si="44"/>
        <v>4.2484952420493594</v>
      </c>
      <c r="BR41">
        <f t="shared" si="45"/>
        <v>0.80975263189700109</v>
      </c>
      <c r="BS41">
        <f t="shared" si="46"/>
        <v>0.77496755104351545</v>
      </c>
      <c r="BU41">
        <f t="shared" si="50"/>
        <v>1.9000000000000006</v>
      </c>
      <c r="BV41">
        <f t="shared" si="43"/>
        <v>0.80827222470527949</v>
      </c>
    </row>
    <row r="42" spans="57:74" x14ac:dyDescent="0.25">
      <c r="BP42">
        <f t="shared" si="55"/>
        <v>80</v>
      </c>
      <c r="BQ42">
        <f t="shared" si="44"/>
        <v>4.3820266346738812</v>
      </c>
      <c r="BR42">
        <f t="shared" si="45"/>
        <v>0.80108034151045548</v>
      </c>
      <c r="BS42">
        <f t="shared" si="46"/>
        <v>0.79793913541597239</v>
      </c>
      <c r="BU42">
        <f t="shared" si="50"/>
        <v>2.0000000000000004</v>
      </c>
      <c r="BV42">
        <f t="shared" si="43"/>
        <v>0.80827221939080562</v>
      </c>
    </row>
    <row r="43" spans="57:74" x14ac:dyDescent="0.25">
      <c r="BP43">
        <f t="shared" si="55"/>
        <v>90</v>
      </c>
      <c r="BQ43">
        <f t="shared" si="44"/>
        <v>4.499809670330265</v>
      </c>
      <c r="BR43">
        <f t="shared" si="45"/>
        <v>0.79292496189577877</v>
      </c>
      <c r="BS43">
        <f t="shared" si="46"/>
        <v>0.81759263741514543</v>
      </c>
      <c r="BU43">
        <f t="shared" si="50"/>
        <v>2.1000000000000005</v>
      </c>
      <c r="BV43">
        <f t="shared" si="43"/>
        <v>0.80827221394178816</v>
      </c>
    </row>
    <row r="44" spans="57:74" x14ac:dyDescent="0.25">
      <c r="BP44">
        <f t="shared" si="55"/>
        <v>100</v>
      </c>
      <c r="BQ44">
        <f t="shared" si="44"/>
        <v>4.6051701859880918</v>
      </c>
      <c r="BR44">
        <f t="shared" si="45"/>
        <v>0.78518914172563514</v>
      </c>
      <c r="BS44">
        <f t="shared" si="46"/>
        <v>0.83462711013196844</v>
      </c>
      <c r="BU44">
        <f t="shared" si="50"/>
        <v>2.2000000000000006</v>
      </c>
      <c r="BV44">
        <f t="shared" si="43"/>
        <v>0.80827220835305225</v>
      </c>
    </row>
    <row r="45" spans="57:74" x14ac:dyDescent="0.25">
      <c r="BP45">
        <f t="shared" si="55"/>
        <v>110</v>
      </c>
      <c r="BQ45">
        <f t="shared" si="44"/>
        <v>4.7004803657924166</v>
      </c>
      <c r="BR45">
        <f t="shared" si="45"/>
        <v>0.77780111311839573</v>
      </c>
      <c r="BS45">
        <f t="shared" si="46"/>
        <v>0.84954484676076014</v>
      </c>
      <c r="BU45">
        <f t="shared" si="50"/>
        <v>2.3000000000000007</v>
      </c>
      <c r="BV45">
        <f t="shared" si="43"/>
        <v>0.80827220261915433</v>
      </c>
    </row>
    <row r="46" spans="57:74" x14ac:dyDescent="0.25">
      <c r="BP46">
        <f t="shared" si="55"/>
        <v>120</v>
      </c>
      <c r="BQ46">
        <f t="shared" si="44"/>
        <v>4.7874917427820458</v>
      </c>
      <c r="BR46">
        <f t="shared" si="45"/>
        <v>0.77070627637324507</v>
      </c>
      <c r="BS46">
        <f t="shared" si="46"/>
        <v>0.86271900397276902</v>
      </c>
      <c r="BU46">
        <f t="shared" si="50"/>
        <v>2.4000000000000008</v>
      </c>
      <c r="BV46">
        <f t="shared" si="43"/>
        <v>0.80827219673436446</v>
      </c>
    </row>
    <row r="47" spans="57:74" x14ac:dyDescent="0.25">
      <c r="BP47">
        <f t="shared" si="55"/>
        <v>130</v>
      </c>
      <c r="BQ47">
        <f t="shared" si="44"/>
        <v>4.8675344504555822</v>
      </c>
      <c r="BR47">
        <f t="shared" si="45"/>
        <v>0.76386201641897999</v>
      </c>
      <c r="BS47">
        <f t="shared" si="46"/>
        <v>0.87443441809294398</v>
      </c>
      <c r="BU47">
        <f t="shared" si="50"/>
        <v>2.5000000000000009</v>
      </c>
      <c r="BV47">
        <f t="shared" si="43"/>
        <v>0.80827219069264677</v>
      </c>
    </row>
    <row r="48" spans="57:74" x14ac:dyDescent="0.25">
      <c r="BP48">
        <f t="shared" si="55"/>
        <v>140</v>
      </c>
      <c r="BQ48">
        <f t="shared" si="44"/>
        <v>4.9416424226093039</v>
      </c>
      <c r="BR48">
        <f t="shared" si="45"/>
        <v>0.7572343586762027</v>
      </c>
      <c r="BS48">
        <f t="shared" si="46"/>
        <v>0.88491344827388807</v>
      </c>
      <c r="BU48">
        <f t="shared" si="50"/>
        <v>2.600000000000001</v>
      </c>
      <c r="BV48">
        <f t="shared" si="43"/>
        <v>0.80827218448763949</v>
      </c>
    </row>
    <row r="49" spans="68:74" x14ac:dyDescent="0.25">
      <c r="BP49">
        <f t="shared" si="55"/>
        <v>150</v>
      </c>
      <c r="BQ49">
        <f t="shared" si="44"/>
        <v>5.0106352940962555</v>
      </c>
      <c r="BR49">
        <f t="shared" si="45"/>
        <v>0.75079572787420124</v>
      </c>
      <c r="BS49">
        <f t="shared" si="46"/>
        <v>0.89433299656138121</v>
      </c>
      <c r="BU49">
        <f t="shared" si="50"/>
        <v>2.7000000000000011</v>
      </c>
      <c r="BV49">
        <f t="shared" si="43"/>
        <v>0.80827217811263197</v>
      </c>
    </row>
    <row r="50" spans="68:74" x14ac:dyDescent="0.25">
      <c r="BP50">
        <f t="shared" si="55"/>
        <v>160</v>
      </c>
      <c r="BQ50">
        <f t="shared" si="44"/>
        <v>5.0751738152338266</v>
      </c>
      <c r="BR50">
        <f t="shared" si="45"/>
        <v>0.74452339735186701</v>
      </c>
      <c r="BS50">
        <f t="shared" si="46"/>
        <v>0.90283609332738779</v>
      </c>
      <c r="BU50">
        <f t="shared" si="50"/>
        <v>2.8000000000000012</v>
      </c>
      <c r="BV50">
        <f t="shared" si="43"/>
        <v>0.80827217156054088</v>
      </c>
    </row>
    <row r="51" spans="68:74" x14ac:dyDescent="0.25">
      <c r="BP51">
        <f t="shared" si="55"/>
        <v>170</v>
      </c>
      <c r="BQ51">
        <f t="shared" si="44"/>
        <v>5.1357984370502621</v>
      </c>
      <c r="BR51">
        <f t="shared" si="45"/>
        <v>0.73839838659247792</v>
      </c>
      <c r="BS51">
        <f t="shared" si="46"/>
        <v>0.91054000803782009</v>
      </c>
      <c r="BU51">
        <f t="shared" si="50"/>
        <v>2.9000000000000012</v>
      </c>
      <c r="BV51">
        <f t="shared" si="43"/>
        <v>0.80827216482388387</v>
      </c>
    </row>
    <row r="52" spans="68:74" x14ac:dyDescent="0.25">
      <c r="BP52">
        <f t="shared" si="55"/>
        <v>180</v>
      </c>
      <c r="BQ52">
        <f t="shared" si="44"/>
        <v>5.1929568508902104</v>
      </c>
      <c r="BR52">
        <f t="shared" si="45"/>
        <v>0.73240465888899264</v>
      </c>
      <c r="BS52">
        <f t="shared" si="46"/>
        <v>0.91754206657603909</v>
      </c>
      <c r="BU52">
        <f t="shared" si="50"/>
        <v>3.0000000000000013</v>
      </c>
      <c r="BV52">
        <f t="shared" si="43"/>
        <v>0.80827215789475104</v>
      </c>
    </row>
    <row r="53" spans="68:74" x14ac:dyDescent="0.25">
      <c r="BP53">
        <f t="shared" si="55"/>
        <v>190</v>
      </c>
      <c r="BQ53">
        <f t="shared" si="44"/>
        <v>5.2470240721604862</v>
      </c>
      <c r="BR53">
        <f t="shared" si="45"/>
        <v>0.72652852542636714</v>
      </c>
      <c r="BS53">
        <f t="shared" si="46"/>
        <v>0.92392391251925343</v>
      </c>
      <c r="BU53">
        <f t="shared" si="50"/>
        <v>3.1000000000000014</v>
      </c>
      <c r="BV53">
        <f t="shared" si="43"/>
        <v>0.80827215076477366</v>
      </c>
    </row>
    <row r="54" spans="68:74" x14ac:dyDescent="0.25">
      <c r="BP54">
        <f t="shared" si="55"/>
        <v>200</v>
      </c>
      <c r="BQ54">
        <f t="shared" si="44"/>
        <v>5.2983173665480363</v>
      </c>
      <c r="BR54">
        <f t="shared" si="45"/>
        <v>0.72075819468806512</v>
      </c>
      <c r="BS54">
        <f t="shared" si="46"/>
        <v>0.92975468696968566</v>
      </c>
      <c r="BU54">
        <f t="shared" si="50"/>
        <v>3.2000000000000015</v>
      </c>
      <c r="BV54">
        <f t="shared" ref="BV54:BV85" si="56">MAX(0,($BG$16+1/($BG$17*$BG$18))-1/((10-BU54) * $BG$18))</f>
        <v>0.80827214342509113</v>
      </c>
    </row>
    <row r="55" spans="68:74" x14ac:dyDescent="0.25">
      <c r="BP55">
        <f>BP54+50</f>
        <v>250</v>
      </c>
      <c r="BQ55">
        <f t="shared" si="44"/>
        <v>5.521460917862246</v>
      </c>
      <c r="BR55">
        <f t="shared" si="45"/>
        <v>0.69317584095074125</v>
      </c>
      <c r="BS55">
        <f t="shared" si="46"/>
        <v>0.95244943915188174</v>
      </c>
      <c r="BU55">
        <f t="shared" si="50"/>
        <v>3.3000000000000016</v>
      </c>
      <c r="BV55">
        <f t="shared" si="56"/>
        <v>0.80827213586631352</v>
      </c>
    </row>
    <row r="56" spans="68:74" x14ac:dyDescent="0.25">
      <c r="BP56">
        <f t="shared" ref="BP56:BP70" si="57">BP55+50</f>
        <v>300</v>
      </c>
      <c r="BQ56">
        <f t="shared" si="44"/>
        <v>5.7037824746562009</v>
      </c>
      <c r="BR56">
        <f t="shared" si="45"/>
        <v>0.66711978373630698</v>
      </c>
      <c r="BS56">
        <f t="shared" si="46"/>
        <v>0.96758398203144513</v>
      </c>
      <c r="BU56">
        <f t="shared" si="50"/>
        <v>3.4000000000000017</v>
      </c>
      <c r="BV56">
        <f t="shared" si="56"/>
        <v>0.80827212807848214</v>
      </c>
    </row>
    <row r="57" spans="68:74" x14ac:dyDescent="0.25">
      <c r="BP57">
        <f t="shared" si="57"/>
        <v>350</v>
      </c>
      <c r="BQ57">
        <f t="shared" si="44"/>
        <v>5.857933154483459</v>
      </c>
      <c r="BR57">
        <f t="shared" si="45"/>
        <v>0.64205435800763322</v>
      </c>
      <c r="BS57">
        <f t="shared" si="46"/>
        <v>0.97789759943806631</v>
      </c>
      <c r="BU57">
        <f t="shared" si="50"/>
        <v>3.5000000000000018</v>
      </c>
      <c r="BV57">
        <f t="shared" si="56"/>
        <v>0.80827212005102511</v>
      </c>
    </row>
    <row r="58" spans="68:74" x14ac:dyDescent="0.25">
      <c r="BP58">
        <f t="shared" si="57"/>
        <v>400</v>
      </c>
      <c r="BQ58">
        <f t="shared" si="44"/>
        <v>5.9914645471079817</v>
      </c>
      <c r="BR58">
        <f t="shared" si="45"/>
        <v>0.61763593864421518</v>
      </c>
      <c r="BS58">
        <f t="shared" si="46"/>
        <v>0.9850015268695701</v>
      </c>
      <c r="BU58">
        <f t="shared" si="50"/>
        <v>3.6000000000000019</v>
      </c>
      <c r="BV58">
        <f t="shared" si="56"/>
        <v>0.80827211177271008</v>
      </c>
    </row>
    <row r="59" spans="68:74" x14ac:dyDescent="0.25">
      <c r="BP59">
        <f t="shared" si="57"/>
        <v>450</v>
      </c>
      <c r="BQ59">
        <f t="shared" si="44"/>
        <v>6.1092475827643655</v>
      </c>
      <c r="BR59">
        <f t="shared" si="45"/>
        <v>0.59362654672186865</v>
      </c>
      <c r="BS59">
        <f t="shared" si="46"/>
        <v>0.9899108493790626</v>
      </c>
      <c r="BU59">
        <f t="shared" si="50"/>
        <v>3.700000000000002</v>
      </c>
      <c r="BV59">
        <f t="shared" si="56"/>
        <v>0.80827210323159138</v>
      </c>
    </row>
    <row r="60" spans="68:74" x14ac:dyDescent="0.25">
      <c r="BP60">
        <f t="shared" si="57"/>
        <v>500</v>
      </c>
      <c r="BQ60">
        <f t="shared" si="44"/>
        <v>6.2146080984221914</v>
      </c>
      <c r="BR60">
        <f t="shared" si="45"/>
        <v>0.569851292413324</v>
      </c>
      <c r="BS60">
        <f t="shared" si="46"/>
        <v>0.99329595624928546</v>
      </c>
      <c r="BU60">
        <f t="shared" si="50"/>
        <v>3.800000000000002</v>
      </c>
      <c r="BV60">
        <f t="shared" si="56"/>
        <v>0.80827209441495274</v>
      </c>
    </row>
    <row r="61" spans="68:74" x14ac:dyDescent="0.25">
      <c r="BP61">
        <f t="shared" si="57"/>
        <v>550</v>
      </c>
      <c r="BQ61">
        <f t="shared" si="44"/>
        <v>6.3099182782265162</v>
      </c>
      <c r="BR61">
        <f t="shared" si="45"/>
        <v>0.54617525808218648</v>
      </c>
      <c r="BS61">
        <f t="shared" si="46"/>
        <v>0.99561427203877517</v>
      </c>
      <c r="BU61">
        <f t="shared" si="50"/>
        <v>3.9000000000000021</v>
      </c>
      <c r="BV61">
        <f t="shared" si="56"/>
        <v>0.80827208530924388</v>
      </c>
    </row>
    <row r="62" spans="68:74" x14ac:dyDescent="0.25">
      <c r="BP62">
        <f t="shared" si="57"/>
        <v>600</v>
      </c>
      <c r="BQ62">
        <f t="shared" si="44"/>
        <v>6.3969296552161463</v>
      </c>
      <c r="BR62">
        <f t="shared" si="45"/>
        <v>0.52248997636488048</v>
      </c>
      <c r="BS62">
        <f t="shared" si="46"/>
        <v>0.99718485288033465</v>
      </c>
      <c r="BU62">
        <f t="shared" si="50"/>
        <v>4.0000000000000018</v>
      </c>
      <c r="BV62">
        <f t="shared" si="56"/>
        <v>0.80827207590001149</v>
      </c>
    </row>
    <row r="63" spans="68:74" x14ac:dyDescent="0.25">
      <c r="BP63">
        <f t="shared" si="57"/>
        <v>650</v>
      </c>
      <c r="BQ63">
        <f t="shared" si="44"/>
        <v>6.4769723628896827</v>
      </c>
      <c r="BR63">
        <f t="shared" si="45"/>
        <v>0.49870504279401651</v>
      </c>
      <c r="BS63">
        <f t="shared" si="46"/>
        <v>0.99823331524566505</v>
      </c>
      <c r="BU63">
        <f t="shared" si="50"/>
        <v>4.1000000000000014</v>
      </c>
      <c r="BV63">
        <f t="shared" si="56"/>
        <v>0.80827206617182212</v>
      </c>
    </row>
    <row r="64" spans="68:74" x14ac:dyDescent="0.25">
      <c r="BP64">
        <f t="shared" si="57"/>
        <v>700</v>
      </c>
      <c r="BQ64">
        <f t="shared" si="44"/>
        <v>6.5510803350434044</v>
      </c>
      <c r="BR64">
        <f t="shared" si="45"/>
        <v>0.4747426555796147</v>
      </c>
      <c r="BS64">
        <f t="shared" si="46"/>
        <v>0.99892029773640656</v>
      </c>
      <c r="BU64">
        <f t="shared" si="50"/>
        <v>4.2000000000000011</v>
      </c>
      <c r="BV64">
        <f t="shared" si="56"/>
        <v>0.80827205610817787</v>
      </c>
    </row>
    <row r="65" spans="68:74" x14ac:dyDescent="0.25">
      <c r="BP65">
        <f t="shared" si="57"/>
        <v>750</v>
      </c>
      <c r="BQ65">
        <f t="shared" si="44"/>
        <v>6.620073206530356</v>
      </c>
      <c r="BR65">
        <f t="shared" si="45"/>
        <v>0.45053391098406859</v>
      </c>
      <c r="BS65">
        <f t="shared" si="46"/>
        <v>0.99936027059099286</v>
      </c>
      <c r="BU65">
        <f t="shared" si="50"/>
        <v>4.3000000000000007</v>
      </c>
      <c r="BV65">
        <f t="shared" si="56"/>
        <v>0.8082720456914233</v>
      </c>
    </row>
    <row r="66" spans="68:74" x14ac:dyDescent="0.25">
      <c r="BP66">
        <f t="shared" si="57"/>
        <v>800</v>
      </c>
      <c r="BQ66">
        <f t="shared" si="44"/>
        <v>6.6846117276679271</v>
      </c>
      <c r="BR66">
        <f t="shared" si="45"/>
        <v>0.42601619595390805</v>
      </c>
      <c r="BS66">
        <f t="shared" si="46"/>
        <v>0.99963441988520285</v>
      </c>
      <c r="BU66">
        <f t="shared" si="50"/>
        <v>4.4000000000000004</v>
      </c>
      <c r="BV66">
        <f t="shared" si="56"/>
        <v>0.80827203490264177</v>
      </c>
    </row>
    <row r="67" spans="68:74" x14ac:dyDescent="0.25">
      <c r="BP67">
        <f t="shared" si="57"/>
        <v>850</v>
      </c>
      <c r="BQ67">
        <f t="shared" si="44"/>
        <v>6.7452363494843626</v>
      </c>
      <c r="BR67">
        <f t="shared" si="45"/>
        <v>0.4011312899840046</v>
      </c>
      <c r="BS67">
        <f t="shared" si="46"/>
        <v>0.99979974338743116</v>
      </c>
      <c r="BU67">
        <f t="shared" si="50"/>
        <v>4.5</v>
      </c>
      <c r="BV67">
        <f t="shared" si="56"/>
        <v>0.80827202372154094</v>
      </c>
    </row>
    <row r="68" spans="68:74" x14ac:dyDescent="0.25">
      <c r="BP68">
        <f t="shared" si="57"/>
        <v>900</v>
      </c>
      <c r="BQ68">
        <f t="shared" si="44"/>
        <v>6.8023947633243109</v>
      </c>
      <c r="BR68">
        <f t="shared" si="45"/>
        <v>0.37582393798420943</v>
      </c>
      <c r="BS68">
        <f t="shared" si="46"/>
        <v>0.99989563236245727</v>
      </c>
      <c r="BU68">
        <f t="shared" si="50"/>
        <v>4.5999999999999996</v>
      </c>
      <c r="BV68">
        <f t="shared" si="56"/>
        <v>0.80827201212632527</v>
      </c>
    </row>
    <row r="69" spans="68:74" x14ac:dyDescent="0.25">
      <c r="BP69">
        <f t="shared" si="57"/>
        <v>950</v>
      </c>
      <c r="BQ69">
        <f t="shared" si="44"/>
        <v>6.8564619845945867</v>
      </c>
      <c r="BR69">
        <f t="shared" si="45"/>
        <v>0.35004074256376294</v>
      </c>
      <c r="BS69">
        <f t="shared" si="46"/>
        <v>0.9999487247922485</v>
      </c>
      <c r="BU69">
        <f t="shared" si="50"/>
        <v>4.6999999999999993</v>
      </c>
      <c r="BV69">
        <f t="shared" si="56"/>
        <v>0.80827200009355427</v>
      </c>
    </row>
    <row r="70" spans="68:74" x14ac:dyDescent="0.25">
      <c r="BP70">
        <f t="shared" si="57"/>
        <v>1000</v>
      </c>
      <c r="BQ70">
        <f t="shared" si="44"/>
        <v>6.9077552789821368</v>
      </c>
      <c r="BR70">
        <f t="shared" si="45"/>
        <v>0.32372927612893865</v>
      </c>
      <c r="BS70">
        <f t="shared" si="46"/>
        <v>0.99997652847943408</v>
      </c>
      <c r="BU70">
        <f t="shared" si="50"/>
        <v>4.7999999999999989</v>
      </c>
      <c r="BV70">
        <f t="shared" si="56"/>
        <v>0.80827198759798435</v>
      </c>
    </row>
    <row r="71" spans="68:74" x14ac:dyDescent="0.25">
      <c r="BP71">
        <f>BP70+100</f>
        <v>1100</v>
      </c>
      <c r="BQ71">
        <f t="shared" si="44"/>
        <v>7.0030654587864616</v>
      </c>
      <c r="BR71">
        <f t="shared" si="45"/>
        <v>0.26931236104985612</v>
      </c>
      <c r="BS71">
        <f t="shared" si="46"/>
        <v>0.99999627364404764</v>
      </c>
      <c r="BU71">
        <f t="shared" si="50"/>
        <v>4.8999999999999986</v>
      </c>
      <c r="BV71">
        <f t="shared" si="56"/>
        <v>0.8082719746123922</v>
      </c>
    </row>
    <row r="72" spans="68:74" x14ac:dyDescent="0.25">
      <c r="BP72">
        <f t="shared" ref="BP72:BP121" si="58">BP71+100</f>
        <v>1200</v>
      </c>
      <c r="BQ72">
        <f t="shared" si="44"/>
        <v>7.0900768357760917</v>
      </c>
      <c r="BR72">
        <f t="shared" si="45"/>
        <v>0.21214759125512084</v>
      </c>
      <c r="BS72">
        <f t="shared" si="46"/>
        <v>0.99999965715129369</v>
      </c>
      <c r="BU72">
        <f t="shared" si="50"/>
        <v>4.9999999999999982</v>
      </c>
      <c r="BV72">
        <f t="shared" si="56"/>
        <v>0.8082719611073762</v>
      </c>
    </row>
    <row r="73" spans="68:74" x14ac:dyDescent="0.25">
      <c r="BP73">
        <f t="shared" si="58"/>
        <v>1300</v>
      </c>
      <c r="BQ73">
        <f t="shared" si="44"/>
        <v>7.1701195434496281</v>
      </c>
      <c r="BR73">
        <f t="shared" si="45"/>
        <v>0.15178612941977676</v>
      </c>
      <c r="BS73">
        <f t="shared" si="46"/>
        <v>0.99999998794846601</v>
      </c>
      <c r="BU73">
        <f t="shared" si="50"/>
        <v>5.0999999999999979</v>
      </c>
      <c r="BV73">
        <f t="shared" si="56"/>
        <v>0.80827194705113514</v>
      </c>
    </row>
    <row r="74" spans="68:74" x14ac:dyDescent="0.25">
      <c r="BP74">
        <f t="shared" si="58"/>
        <v>1400</v>
      </c>
      <c r="BQ74">
        <f t="shared" si="44"/>
        <v>7.2442275156033498</v>
      </c>
      <c r="BR74">
        <f t="shared" si="45"/>
        <v>8.7740372980924741E-2</v>
      </c>
      <c r="BS74">
        <f t="shared" si="46"/>
        <v>0.9999999999497986</v>
      </c>
      <c r="BU74">
        <f t="shared" si="50"/>
        <v>5.1999999999999975</v>
      </c>
      <c r="BV74">
        <f t="shared" si="56"/>
        <v>0.80827193240921746</v>
      </c>
    </row>
    <row r="75" spans="68:74" x14ac:dyDescent="0.25">
      <c r="BP75">
        <f t="shared" si="58"/>
        <v>1500</v>
      </c>
      <c r="BQ75">
        <f t="shared" si="44"/>
        <v>7.3132203870903014</v>
      </c>
      <c r="BR75">
        <f t="shared" si="45"/>
        <v>1.9468474626479715E-2</v>
      </c>
      <c r="BS75">
        <f t="shared" si="46"/>
        <v>1</v>
      </c>
      <c r="BU75">
        <f t="shared" si="50"/>
        <v>5.2999999999999972</v>
      </c>
      <c r="BV75">
        <f t="shared" si="56"/>
        <v>0.80827191714423929</v>
      </c>
    </row>
    <row r="76" spans="68:74" x14ac:dyDescent="0.25">
      <c r="BP76">
        <f t="shared" si="58"/>
        <v>1600</v>
      </c>
      <c r="BQ76">
        <f t="shared" si="44"/>
        <v>7.3777589082278725</v>
      </c>
      <c r="BR76">
        <f t="shared" si="45"/>
        <v>0</v>
      </c>
      <c r="BS76">
        <f t="shared" si="46"/>
        <v>1</v>
      </c>
      <c r="BU76">
        <f t="shared" si="50"/>
        <v>5.3999999999999968</v>
      </c>
      <c r="BV76">
        <f t="shared" si="56"/>
        <v>0.80827190121556647</v>
      </c>
    </row>
    <row r="77" spans="68:74" x14ac:dyDescent="0.25">
      <c r="BP77">
        <f t="shared" si="58"/>
        <v>1700</v>
      </c>
      <c r="BQ77">
        <f t="shared" si="44"/>
        <v>7.4383835300443071</v>
      </c>
      <c r="BR77">
        <f t="shared" si="45"/>
        <v>0</v>
      </c>
      <c r="BS77">
        <f t="shared" si="46"/>
        <v>1</v>
      </c>
      <c r="BU77">
        <f t="shared" si="50"/>
        <v>5.4999999999999964</v>
      </c>
      <c r="BV77">
        <f t="shared" si="56"/>
        <v>0.80827188457895272</v>
      </c>
    </row>
    <row r="78" spans="68:74" x14ac:dyDescent="0.25">
      <c r="BP78">
        <f t="shared" si="58"/>
        <v>1800</v>
      </c>
      <c r="BQ78">
        <f t="shared" si="44"/>
        <v>7.4955419438842563</v>
      </c>
      <c r="BR78">
        <f t="shared" si="45"/>
        <v>0</v>
      </c>
      <c r="BS78">
        <f t="shared" si="46"/>
        <v>1</v>
      </c>
      <c r="BU78">
        <f t="shared" si="50"/>
        <v>5.5999999999999961</v>
      </c>
      <c r="BV78">
        <f t="shared" si="56"/>
        <v>0.8082718671861292</v>
      </c>
    </row>
    <row r="79" spans="68:74" x14ac:dyDescent="0.25">
      <c r="BP79">
        <f t="shared" si="58"/>
        <v>1900</v>
      </c>
      <c r="BQ79">
        <f t="shared" si="44"/>
        <v>7.5496091651545321</v>
      </c>
      <c r="BR79">
        <f t="shared" si="45"/>
        <v>0</v>
      </c>
      <c r="BS79">
        <f t="shared" si="46"/>
        <v>1</v>
      </c>
      <c r="BU79">
        <f t="shared" si="50"/>
        <v>5.6999999999999957</v>
      </c>
      <c r="BV79">
        <f t="shared" si="56"/>
        <v>0.80827184898433713</v>
      </c>
    </row>
    <row r="80" spans="68:74" x14ac:dyDescent="0.25">
      <c r="BP80">
        <f t="shared" si="58"/>
        <v>2000</v>
      </c>
      <c r="BQ80">
        <f t="shared" si="44"/>
        <v>7.6009024595420822</v>
      </c>
      <c r="BR80">
        <f t="shared" si="45"/>
        <v>0</v>
      </c>
      <c r="BS80">
        <f t="shared" si="46"/>
        <v>1</v>
      </c>
      <c r="BU80">
        <f t="shared" si="50"/>
        <v>5.7999999999999954</v>
      </c>
      <c r="BV80">
        <f t="shared" si="56"/>
        <v>0.80827182991579305</v>
      </c>
    </row>
    <row r="81" spans="68:74" x14ac:dyDescent="0.25">
      <c r="BP81">
        <f t="shared" si="58"/>
        <v>2100</v>
      </c>
      <c r="BQ81">
        <f t="shared" si="44"/>
        <v>7.6496926237115144</v>
      </c>
      <c r="BR81">
        <f t="shared" si="45"/>
        <v>0</v>
      </c>
      <c r="BS81">
        <f t="shared" si="46"/>
        <v>1</v>
      </c>
      <c r="BU81">
        <f t="shared" si="50"/>
        <v>5.899999999999995</v>
      </c>
      <c r="BV81">
        <f t="shared" si="56"/>
        <v>0.80827180991707614</v>
      </c>
    </row>
    <row r="82" spans="68:74" x14ac:dyDescent="0.25">
      <c r="BP82">
        <f t="shared" si="58"/>
        <v>2200</v>
      </c>
      <c r="BQ82">
        <f t="shared" si="44"/>
        <v>7.696212639346407</v>
      </c>
      <c r="BR82">
        <f t="shared" si="45"/>
        <v>0</v>
      </c>
      <c r="BS82">
        <f t="shared" si="46"/>
        <v>1</v>
      </c>
      <c r="BU82">
        <f t="shared" si="50"/>
        <v>5.9999999999999947</v>
      </c>
      <c r="BV82">
        <f t="shared" si="56"/>
        <v>0.80827178891842333</v>
      </c>
    </row>
    <row r="83" spans="68:74" x14ac:dyDescent="0.25">
      <c r="BP83">
        <f t="shared" si="58"/>
        <v>2300</v>
      </c>
      <c r="BQ83">
        <f t="shared" si="44"/>
        <v>7.7406644019172415</v>
      </c>
      <c r="BR83">
        <f t="shared" si="45"/>
        <v>0</v>
      </c>
      <c r="BS83">
        <f t="shared" si="46"/>
        <v>1</v>
      </c>
      <c r="BU83">
        <f t="shared" si="50"/>
        <v>6.0999999999999943</v>
      </c>
      <c r="BV83">
        <f t="shared" si="56"/>
        <v>0.80827176684291657</v>
      </c>
    </row>
    <row r="84" spans="68:74" x14ac:dyDescent="0.25">
      <c r="BP84">
        <f t="shared" si="58"/>
        <v>2400</v>
      </c>
      <c r="BQ84">
        <f t="shared" si="44"/>
        <v>7.7832240163360371</v>
      </c>
      <c r="BR84">
        <f t="shared" si="45"/>
        <v>0</v>
      </c>
      <c r="BS84">
        <f t="shared" si="46"/>
        <v>1</v>
      </c>
      <c r="BU84">
        <f t="shared" si="50"/>
        <v>6.199999999999994</v>
      </c>
      <c r="BV84">
        <f t="shared" si="56"/>
        <v>0.80827174360554099</v>
      </c>
    </row>
    <row r="85" spans="68:74" x14ac:dyDescent="0.25">
      <c r="BP85">
        <f t="shared" si="58"/>
        <v>2500</v>
      </c>
      <c r="BQ85">
        <f t="shared" si="44"/>
        <v>7.8240460108562919</v>
      </c>
      <c r="BR85">
        <f t="shared" si="45"/>
        <v>0</v>
      </c>
      <c r="BS85">
        <f t="shared" si="46"/>
        <v>1</v>
      </c>
      <c r="BU85">
        <f t="shared" si="50"/>
        <v>6.2999999999999936</v>
      </c>
      <c r="BV85">
        <f t="shared" si="56"/>
        <v>0.80827171911209106</v>
      </c>
    </row>
    <row r="86" spans="68:74" x14ac:dyDescent="0.25">
      <c r="BP86">
        <f t="shared" si="58"/>
        <v>2600</v>
      </c>
      <c r="BQ86">
        <f t="shared" si="44"/>
        <v>7.8632667240095735</v>
      </c>
      <c r="BR86">
        <f t="shared" si="45"/>
        <v>0</v>
      </c>
      <c r="BS86">
        <f t="shared" si="46"/>
        <v>1</v>
      </c>
      <c r="BU86">
        <f t="shared" si="50"/>
        <v>6.3999999999999932</v>
      </c>
      <c r="BV86">
        <f t="shared" ref="BV86:BV117" si="59">MAX(0,($BG$16+1/($BG$17*$BG$18))-1/((10-BU86) * $BG$18))</f>
        <v>0.80827169325789394</v>
      </c>
    </row>
    <row r="87" spans="68:74" x14ac:dyDescent="0.25">
      <c r="BP87">
        <f t="shared" si="58"/>
        <v>2700</v>
      </c>
      <c r="BQ87">
        <f t="shared" ref="BQ87:BQ121" si="60">LN(BP87)</f>
        <v>7.90100705199242</v>
      </c>
      <c r="BR87">
        <f t="shared" ref="BR87:BR121" si="61">MAX(0,(0.94+1/(8.3*0.97))-1/((8.3-MIN(8.2,BQ87)) * 0.97))</f>
        <v>0</v>
      </c>
      <c r="BS87">
        <f t="shared" ref="BS87:BS121" si="62">1-(BR87/0.94)^10</f>
        <v>1</v>
      </c>
      <c r="BU87">
        <f t="shared" si="50"/>
        <v>6.4999999999999929</v>
      </c>
      <c r="BV87">
        <f t="shared" si="59"/>
        <v>0.80827166592631405</v>
      </c>
    </row>
    <row r="88" spans="68:74" x14ac:dyDescent="0.25">
      <c r="BP88">
        <f t="shared" si="58"/>
        <v>2800</v>
      </c>
      <c r="BQ88">
        <f t="shared" si="60"/>
        <v>7.9373746961632952</v>
      </c>
      <c r="BR88">
        <f t="shared" si="61"/>
        <v>0</v>
      </c>
      <c r="BS88">
        <f t="shared" si="62"/>
        <v>1</v>
      </c>
      <c r="BU88">
        <f t="shared" ref="BU88:BU96" si="63">BU87+0.1</f>
        <v>6.5999999999999925</v>
      </c>
      <c r="BV88">
        <f t="shared" si="59"/>
        <v>0.80827163698699422</v>
      </c>
    </row>
    <row r="89" spans="68:74" x14ac:dyDescent="0.25">
      <c r="BP89">
        <f t="shared" si="58"/>
        <v>2900</v>
      </c>
      <c r="BQ89">
        <f t="shared" si="60"/>
        <v>7.9724660159745655</v>
      </c>
      <c r="BR89">
        <f t="shared" si="61"/>
        <v>0</v>
      </c>
      <c r="BS89">
        <f t="shared" si="62"/>
        <v>1</v>
      </c>
      <c r="BU89">
        <f t="shared" si="63"/>
        <v>6.6999999999999922</v>
      </c>
      <c r="BV89">
        <f t="shared" si="59"/>
        <v>0.80827160629377626</v>
      </c>
    </row>
    <row r="90" spans="68:74" x14ac:dyDescent="0.25">
      <c r="BP90">
        <f t="shared" si="58"/>
        <v>3000</v>
      </c>
      <c r="BQ90">
        <f t="shared" si="60"/>
        <v>8.0063675676502459</v>
      </c>
      <c r="BR90">
        <f t="shared" si="61"/>
        <v>0</v>
      </c>
      <c r="BS90">
        <f t="shared" si="62"/>
        <v>1</v>
      </c>
      <c r="BU90">
        <f t="shared" si="63"/>
        <v>6.7999999999999918</v>
      </c>
      <c r="BV90">
        <f t="shared" si="59"/>
        <v>0.80827157368223213</v>
      </c>
    </row>
    <row r="91" spans="68:74" x14ac:dyDescent="0.25">
      <c r="BP91">
        <f t="shared" si="58"/>
        <v>3100</v>
      </c>
      <c r="BQ91">
        <f t="shared" si="60"/>
        <v>8.0391573904732372</v>
      </c>
      <c r="BR91">
        <f t="shared" si="61"/>
        <v>0</v>
      </c>
      <c r="BS91">
        <f t="shared" si="62"/>
        <v>1</v>
      </c>
      <c r="BU91">
        <f t="shared" si="63"/>
        <v>6.8999999999999915</v>
      </c>
      <c r="BV91">
        <f t="shared" si="59"/>
        <v>0.80827153896671744</v>
      </c>
    </row>
    <row r="92" spans="68:74" x14ac:dyDescent="0.25">
      <c r="BP92">
        <f t="shared" si="58"/>
        <v>3200</v>
      </c>
      <c r="BQ92">
        <f t="shared" si="60"/>
        <v>8.0709060887878188</v>
      </c>
      <c r="BR92">
        <f t="shared" si="61"/>
        <v>0</v>
      </c>
      <c r="BS92">
        <f t="shared" si="62"/>
        <v>1</v>
      </c>
      <c r="BU92">
        <f t="shared" si="63"/>
        <v>6.9999999999999911</v>
      </c>
      <c r="BV92">
        <f t="shared" si="59"/>
        <v>0.80827150193683506</v>
      </c>
    </row>
    <row r="93" spans="68:74" x14ac:dyDescent="0.25">
      <c r="BP93">
        <f t="shared" si="58"/>
        <v>3300</v>
      </c>
      <c r="BQ93">
        <f t="shared" si="60"/>
        <v>8.1016777474545716</v>
      </c>
      <c r="BR93">
        <f t="shared" si="61"/>
        <v>0</v>
      </c>
      <c r="BS93">
        <f t="shared" si="62"/>
        <v>1</v>
      </c>
      <c r="BU93">
        <f t="shared" si="63"/>
        <v>7.0999999999999908</v>
      </c>
      <c r="BV93">
        <f t="shared" si="59"/>
        <v>0.80827146235316771</v>
      </c>
    </row>
    <row r="94" spans="68:74" x14ac:dyDescent="0.25">
      <c r="BP94">
        <f t="shared" si="58"/>
        <v>3400</v>
      </c>
      <c r="BQ94">
        <f t="shared" si="60"/>
        <v>8.1315307106042525</v>
      </c>
      <c r="BR94">
        <f t="shared" si="61"/>
        <v>0</v>
      </c>
      <c r="BS94">
        <f t="shared" si="62"/>
        <v>1</v>
      </c>
      <c r="BU94">
        <f t="shared" si="63"/>
        <v>7.1999999999999904</v>
      </c>
      <c r="BV94">
        <f t="shared" si="59"/>
        <v>0.80827141994209561</v>
      </c>
    </row>
    <row r="95" spans="68:74" x14ac:dyDescent="0.25">
      <c r="BP95">
        <f t="shared" si="58"/>
        <v>3500</v>
      </c>
      <c r="BQ95">
        <f t="shared" si="60"/>
        <v>8.1605182474775049</v>
      </c>
      <c r="BR95">
        <f t="shared" si="61"/>
        <v>0</v>
      </c>
      <c r="BS95">
        <f t="shared" si="62"/>
        <v>1</v>
      </c>
      <c r="BU95">
        <f t="shared" si="63"/>
        <v>7.2999999999999901</v>
      </c>
      <c r="BV95">
        <f t="shared" si="59"/>
        <v>0.80827137438946262</v>
      </c>
    </row>
    <row r="96" spans="68:74" x14ac:dyDescent="0.25">
      <c r="BP96">
        <f t="shared" si="58"/>
        <v>3600</v>
      </c>
      <c r="BQ96">
        <f t="shared" si="60"/>
        <v>8.1886891244442008</v>
      </c>
      <c r="BR96">
        <f t="shared" si="61"/>
        <v>0</v>
      </c>
      <c r="BS96">
        <f t="shared" si="62"/>
        <v>1</v>
      </c>
      <c r="BU96">
        <f t="shared" si="63"/>
        <v>7.3999999999999897</v>
      </c>
      <c r="BV96">
        <f t="shared" si="59"/>
        <v>0.80827132533278079</v>
      </c>
    </row>
    <row r="97" spans="68:74" x14ac:dyDescent="0.25">
      <c r="BP97">
        <f t="shared" si="58"/>
        <v>3700</v>
      </c>
      <c r="BQ97">
        <f t="shared" si="60"/>
        <v>8.2160880986323157</v>
      </c>
      <c r="BR97">
        <f t="shared" si="61"/>
        <v>0</v>
      </c>
      <c r="BS97">
        <f t="shared" si="62"/>
        <v>1</v>
      </c>
      <c r="BU97">
        <v>7.49</v>
      </c>
      <c r="BV97">
        <f t="shared" si="59"/>
        <v>0.80827127783965869</v>
      </c>
    </row>
    <row r="98" spans="68:74" x14ac:dyDescent="0.25">
      <c r="BP98">
        <f t="shared" si="58"/>
        <v>3800</v>
      </c>
      <c r="BQ98">
        <f t="shared" si="60"/>
        <v>8.2427563457144775</v>
      </c>
      <c r="BR98">
        <f t="shared" si="61"/>
        <v>0</v>
      </c>
      <c r="BS98">
        <f t="shared" si="62"/>
        <v>1</v>
      </c>
    </row>
    <row r="99" spans="68:74" x14ac:dyDescent="0.25">
      <c r="BP99">
        <f t="shared" si="58"/>
        <v>3900</v>
      </c>
      <c r="BQ99">
        <f t="shared" si="60"/>
        <v>8.2687318321177372</v>
      </c>
      <c r="BR99">
        <f t="shared" si="61"/>
        <v>0</v>
      </c>
      <c r="BS99">
        <f t="shared" si="62"/>
        <v>1</v>
      </c>
    </row>
    <row r="100" spans="68:74" x14ac:dyDescent="0.25">
      <c r="BP100">
        <f t="shared" si="58"/>
        <v>4000</v>
      </c>
      <c r="BQ100">
        <f t="shared" si="60"/>
        <v>8.2940496401020276</v>
      </c>
      <c r="BR100">
        <f t="shared" si="61"/>
        <v>0</v>
      </c>
      <c r="BS100">
        <f t="shared" si="62"/>
        <v>1</v>
      </c>
    </row>
    <row r="101" spans="68:74" x14ac:dyDescent="0.25">
      <c r="BP101">
        <f t="shared" si="58"/>
        <v>4100</v>
      </c>
      <c r="BQ101">
        <f t="shared" si="60"/>
        <v>8.3187422526923989</v>
      </c>
      <c r="BR101">
        <f t="shared" si="61"/>
        <v>0</v>
      </c>
      <c r="BS101">
        <f t="shared" si="62"/>
        <v>1</v>
      </c>
    </row>
    <row r="102" spans="68:74" x14ac:dyDescent="0.25">
      <c r="BP102">
        <f t="shared" si="58"/>
        <v>4200</v>
      </c>
      <c r="BQ102">
        <f t="shared" si="60"/>
        <v>8.3428398042714598</v>
      </c>
      <c r="BR102">
        <f t="shared" si="61"/>
        <v>0</v>
      </c>
      <c r="BS102">
        <f t="shared" si="62"/>
        <v>1</v>
      </c>
    </row>
    <row r="103" spans="68:74" x14ac:dyDescent="0.25">
      <c r="BP103">
        <f t="shared" si="58"/>
        <v>4300</v>
      </c>
      <c r="BQ103">
        <f t="shared" si="60"/>
        <v>8.3663703016816537</v>
      </c>
      <c r="BR103">
        <f t="shared" si="61"/>
        <v>0</v>
      </c>
      <c r="BS103">
        <f t="shared" si="62"/>
        <v>1</v>
      </c>
    </row>
    <row r="104" spans="68:74" x14ac:dyDescent="0.25">
      <c r="BP104">
        <f t="shared" si="58"/>
        <v>4400</v>
      </c>
      <c r="BQ104">
        <f t="shared" si="60"/>
        <v>8.3893598199063533</v>
      </c>
      <c r="BR104">
        <f t="shared" si="61"/>
        <v>0</v>
      </c>
      <c r="BS104">
        <f t="shared" si="62"/>
        <v>1</v>
      </c>
    </row>
    <row r="105" spans="68:74" x14ac:dyDescent="0.25">
      <c r="BP105">
        <f t="shared" si="58"/>
        <v>4500</v>
      </c>
      <c r="BQ105">
        <f t="shared" si="60"/>
        <v>8.4118326757584114</v>
      </c>
      <c r="BR105">
        <f t="shared" si="61"/>
        <v>0</v>
      </c>
      <c r="BS105">
        <f t="shared" si="62"/>
        <v>1</v>
      </c>
    </row>
    <row r="106" spans="68:74" x14ac:dyDescent="0.25">
      <c r="BP106">
        <f t="shared" si="58"/>
        <v>4600</v>
      </c>
      <c r="BQ106">
        <f t="shared" si="60"/>
        <v>8.4338115824771869</v>
      </c>
      <c r="BR106">
        <f t="shared" si="61"/>
        <v>0</v>
      </c>
      <c r="BS106">
        <f t="shared" si="62"/>
        <v>1</v>
      </c>
    </row>
    <row r="107" spans="68:74" x14ac:dyDescent="0.25">
      <c r="BP107">
        <f t="shared" si="58"/>
        <v>4700</v>
      </c>
      <c r="BQ107">
        <f t="shared" si="60"/>
        <v>8.4553177876981493</v>
      </c>
      <c r="BR107">
        <f t="shared" si="61"/>
        <v>0</v>
      </c>
      <c r="BS107">
        <f t="shared" si="62"/>
        <v>1</v>
      </c>
    </row>
    <row r="108" spans="68:74" x14ac:dyDescent="0.25">
      <c r="BP108">
        <f t="shared" si="58"/>
        <v>4800</v>
      </c>
      <c r="BQ108">
        <f t="shared" si="60"/>
        <v>8.4763711968959825</v>
      </c>
      <c r="BR108">
        <f t="shared" si="61"/>
        <v>0</v>
      </c>
      <c r="BS108">
        <f t="shared" si="62"/>
        <v>1</v>
      </c>
    </row>
    <row r="109" spans="68:74" x14ac:dyDescent="0.25">
      <c r="BP109">
        <f t="shared" si="58"/>
        <v>4900</v>
      </c>
      <c r="BQ109">
        <f t="shared" si="60"/>
        <v>8.4969904840987187</v>
      </c>
      <c r="BR109">
        <f t="shared" si="61"/>
        <v>0</v>
      </c>
      <c r="BS109">
        <f t="shared" si="62"/>
        <v>1</v>
      </c>
    </row>
    <row r="110" spans="68:74" x14ac:dyDescent="0.25">
      <c r="BP110">
        <f t="shared" si="58"/>
        <v>5000</v>
      </c>
      <c r="BQ110">
        <f t="shared" si="60"/>
        <v>8.5171931914162382</v>
      </c>
      <c r="BR110">
        <f t="shared" si="61"/>
        <v>0</v>
      </c>
      <c r="BS110">
        <f t="shared" si="62"/>
        <v>1</v>
      </c>
    </row>
    <row r="111" spans="68:74" x14ac:dyDescent="0.25">
      <c r="BP111">
        <f t="shared" si="58"/>
        <v>5100</v>
      </c>
      <c r="BQ111">
        <f t="shared" si="60"/>
        <v>8.536995818712418</v>
      </c>
      <c r="BR111">
        <f t="shared" si="61"/>
        <v>0</v>
      </c>
      <c r="BS111">
        <f t="shared" si="62"/>
        <v>1</v>
      </c>
    </row>
    <row r="112" spans="68:74" x14ac:dyDescent="0.25">
      <c r="BP112">
        <f t="shared" si="58"/>
        <v>5200</v>
      </c>
      <c r="BQ112">
        <f t="shared" si="60"/>
        <v>8.5564139045695189</v>
      </c>
      <c r="BR112">
        <f t="shared" si="61"/>
        <v>0</v>
      </c>
      <c r="BS112">
        <f t="shared" si="62"/>
        <v>1</v>
      </c>
    </row>
    <row r="113" spans="68:71" x14ac:dyDescent="0.25">
      <c r="BP113">
        <f t="shared" si="58"/>
        <v>5300</v>
      </c>
      <c r="BQ113">
        <f t="shared" si="60"/>
        <v>8.5754620995402124</v>
      </c>
      <c r="BR113">
        <f t="shared" si="61"/>
        <v>0</v>
      </c>
      <c r="BS113">
        <f t="shared" si="62"/>
        <v>1</v>
      </c>
    </row>
    <row r="114" spans="68:71" x14ac:dyDescent="0.25">
      <c r="BP114">
        <f t="shared" si="58"/>
        <v>5400</v>
      </c>
      <c r="BQ114">
        <f t="shared" si="60"/>
        <v>8.5941542325523663</v>
      </c>
      <c r="BR114">
        <f t="shared" si="61"/>
        <v>0</v>
      </c>
      <c r="BS114">
        <f t="shared" si="62"/>
        <v>1</v>
      </c>
    </row>
    <row r="115" spans="68:71" x14ac:dyDescent="0.25">
      <c r="BP115">
        <f t="shared" si="58"/>
        <v>5500</v>
      </c>
      <c r="BQ115">
        <f t="shared" si="60"/>
        <v>8.6125033712205621</v>
      </c>
      <c r="BR115">
        <f t="shared" si="61"/>
        <v>0</v>
      </c>
      <c r="BS115">
        <f t="shared" si="62"/>
        <v>1</v>
      </c>
    </row>
    <row r="116" spans="68:71" x14ac:dyDescent="0.25">
      <c r="BP116">
        <f t="shared" si="58"/>
        <v>5600</v>
      </c>
      <c r="BQ116">
        <f t="shared" si="60"/>
        <v>8.6305218767232414</v>
      </c>
      <c r="BR116">
        <f t="shared" si="61"/>
        <v>0</v>
      </c>
      <c r="BS116">
        <f t="shared" si="62"/>
        <v>1</v>
      </c>
    </row>
    <row r="117" spans="68:71" x14ac:dyDescent="0.25">
      <c r="BP117">
        <f t="shared" si="58"/>
        <v>5700</v>
      </c>
      <c r="BQ117">
        <f t="shared" si="60"/>
        <v>8.6482214538226412</v>
      </c>
      <c r="BR117">
        <f t="shared" si="61"/>
        <v>0</v>
      </c>
      <c r="BS117">
        <f t="shared" si="62"/>
        <v>1</v>
      </c>
    </row>
    <row r="118" spans="68:71" x14ac:dyDescent="0.25">
      <c r="BP118">
        <f t="shared" si="58"/>
        <v>5800</v>
      </c>
      <c r="BQ118">
        <f t="shared" si="60"/>
        <v>8.66561319653451</v>
      </c>
      <c r="BR118">
        <f t="shared" si="61"/>
        <v>0</v>
      </c>
      <c r="BS118">
        <f t="shared" si="62"/>
        <v>1</v>
      </c>
    </row>
    <row r="119" spans="68:71" x14ac:dyDescent="0.25">
      <c r="BP119">
        <f t="shared" si="58"/>
        <v>5900</v>
      </c>
      <c r="BQ119">
        <f t="shared" si="60"/>
        <v>8.6827076298938106</v>
      </c>
      <c r="BR119">
        <f t="shared" si="61"/>
        <v>0</v>
      </c>
      <c r="BS119">
        <f t="shared" si="62"/>
        <v>1</v>
      </c>
    </row>
    <row r="120" spans="68:71" x14ac:dyDescent="0.25">
      <c r="BP120">
        <f t="shared" si="58"/>
        <v>6000</v>
      </c>
      <c r="BQ120">
        <f t="shared" si="60"/>
        <v>8.6995147482101913</v>
      </c>
      <c r="BR120">
        <f t="shared" si="61"/>
        <v>0</v>
      </c>
      <c r="BS120">
        <f t="shared" si="62"/>
        <v>1</v>
      </c>
    </row>
    <row r="121" spans="68:71" x14ac:dyDescent="0.25">
      <c r="BP121">
        <f t="shared" si="58"/>
        <v>6100</v>
      </c>
      <c r="BQ121">
        <f t="shared" si="60"/>
        <v>8.7160440501614023</v>
      </c>
      <c r="BR121">
        <f t="shared" si="61"/>
        <v>0</v>
      </c>
      <c r="BS121">
        <f t="shared" si="62"/>
        <v>1</v>
      </c>
    </row>
  </sheetData>
  <mergeCells count="8">
    <mergeCell ref="AE1:AR1"/>
    <mergeCell ref="C2:J2"/>
    <mergeCell ref="AF2:AK2"/>
    <mergeCell ref="AY2:BD2"/>
    <mergeCell ref="Q2:V2"/>
    <mergeCell ref="K2:P2"/>
    <mergeCell ref="AM2:AR2"/>
    <mergeCell ref="AS2:AX2"/>
  </mergeCells>
  <pageMargins left="0.7" right="0.7" top="0.75" bottom="0.75" header="0.3" footer="0.3"/>
  <pageSetup orientation="portrait" horizontalDpi="4294967293" verticalDpi="0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4C481-4B22-43DE-A3A5-E4A7C7C99CAD}">
  <dimension ref="A1:CI121"/>
  <sheetViews>
    <sheetView topLeftCell="AX1" workbookViewId="0">
      <selection activeCell="BK16" sqref="BK16"/>
    </sheetView>
  </sheetViews>
  <sheetFormatPr defaultRowHeight="15" x14ac:dyDescent="0.25"/>
  <cols>
    <col min="1" max="1" width="19.28515625" customWidth="1"/>
    <col min="2" max="2" width="2.7109375" customWidth="1"/>
    <col min="3" max="3" width="9.140625" style="13"/>
    <col min="4" max="10" width="6.42578125" customWidth="1"/>
    <col min="11" max="11" width="6.42578125" style="13" customWidth="1"/>
    <col min="12" max="12" width="6.42578125" customWidth="1"/>
    <col min="16" max="16" width="6.140625" customWidth="1"/>
    <col min="17" max="17" width="6.42578125" style="13" customWidth="1"/>
    <col min="18" max="18" width="6.42578125" customWidth="1"/>
    <col min="22" max="22" width="6.140625" customWidth="1"/>
    <col min="23" max="23" width="9.28515625" style="13" customWidth="1"/>
    <col min="24" max="27" width="9.28515625" style="6" customWidth="1"/>
    <col min="28" max="28" width="9.28515625" style="2" customWidth="1"/>
    <col min="29" max="29" width="7.140625" style="2" customWidth="1"/>
    <col min="31" max="31" width="9.140625" style="13"/>
    <col min="32" max="38" width="6" customWidth="1"/>
    <col min="39" max="39" width="9.140625" style="13"/>
    <col min="45" max="45" width="9.140625" style="13"/>
    <col min="51" max="51" width="9.5703125" style="13" customWidth="1"/>
    <col min="52" max="52" width="9.5703125" style="6" customWidth="1"/>
    <col min="53" max="55" width="9.140625" style="6"/>
    <col min="56" max="56" width="9.140625" style="2"/>
    <col min="81" max="81" width="15.7109375" customWidth="1"/>
  </cols>
  <sheetData>
    <row r="1" spans="1:87" x14ac:dyDescent="0.25">
      <c r="A1" s="24" t="s">
        <v>46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8"/>
      <c r="X1" s="29"/>
      <c r="Y1" s="29"/>
      <c r="Z1" s="29"/>
      <c r="AA1" s="29"/>
      <c r="AB1" s="25"/>
      <c r="AC1" s="16"/>
      <c r="AD1" s="17"/>
      <c r="AE1" s="39" t="s">
        <v>47</v>
      </c>
      <c r="AF1" s="39"/>
      <c r="AG1" s="39"/>
      <c r="AH1" s="39"/>
      <c r="AI1" s="39"/>
      <c r="AJ1" s="39"/>
      <c r="AK1" s="39"/>
      <c r="AL1" s="39"/>
      <c r="AM1" s="39"/>
      <c r="AN1" s="39"/>
      <c r="AO1" s="39"/>
      <c r="AP1" s="39"/>
      <c r="AQ1" s="39"/>
      <c r="AR1" s="39"/>
      <c r="AS1" s="27"/>
      <c r="AT1" s="27"/>
      <c r="AU1" s="27"/>
      <c r="AV1" s="27"/>
      <c r="AW1" s="27"/>
      <c r="AX1" s="27"/>
    </row>
    <row r="2" spans="1:87" x14ac:dyDescent="0.25">
      <c r="A2" s="24"/>
      <c r="B2" s="24"/>
      <c r="C2" s="40" t="s">
        <v>87</v>
      </c>
      <c r="D2" s="34"/>
      <c r="E2" s="34"/>
      <c r="F2" s="34"/>
      <c r="G2" s="34"/>
      <c r="H2" s="34"/>
      <c r="I2" s="34"/>
      <c r="J2" s="35"/>
      <c r="K2" s="40" t="s">
        <v>183</v>
      </c>
      <c r="L2" s="41"/>
      <c r="M2" s="41"/>
      <c r="N2" s="41"/>
      <c r="O2" s="41"/>
      <c r="P2" s="35"/>
      <c r="Q2" s="40" t="s">
        <v>182</v>
      </c>
      <c r="R2" s="41"/>
      <c r="S2" s="41"/>
      <c r="T2" s="41"/>
      <c r="U2" s="41"/>
      <c r="V2" s="35"/>
      <c r="W2" s="28" t="s">
        <v>141</v>
      </c>
      <c r="X2" s="29"/>
      <c r="Y2" s="29"/>
      <c r="Z2" s="29"/>
      <c r="AA2" s="29"/>
      <c r="AB2" s="25"/>
      <c r="AC2" s="25"/>
      <c r="AE2" s="26"/>
      <c r="AF2" s="34" t="s">
        <v>87</v>
      </c>
      <c r="AG2" s="34"/>
      <c r="AH2" s="34"/>
      <c r="AI2" s="34"/>
      <c r="AJ2" s="34"/>
      <c r="AK2" s="34"/>
      <c r="AL2" s="24"/>
      <c r="AM2" s="42" t="s">
        <v>180</v>
      </c>
      <c r="AN2" s="37"/>
      <c r="AO2" s="37"/>
      <c r="AP2" s="37"/>
      <c r="AQ2" s="37"/>
      <c r="AR2" s="38"/>
      <c r="AS2" s="42" t="s">
        <v>181</v>
      </c>
      <c r="AT2" s="37"/>
      <c r="AU2" s="37"/>
      <c r="AV2" s="37"/>
      <c r="AW2" s="37"/>
      <c r="AX2" s="38"/>
      <c r="AY2" s="40" t="s">
        <v>141</v>
      </c>
      <c r="AZ2" s="41"/>
      <c r="BA2" s="41"/>
      <c r="BB2" s="41"/>
      <c r="BC2" s="41"/>
      <c r="BD2" s="35"/>
    </row>
    <row r="3" spans="1:87" x14ac:dyDescent="0.25">
      <c r="A3" t="s">
        <v>0</v>
      </c>
      <c r="B3" t="s">
        <v>86</v>
      </c>
      <c r="C3" s="13" t="s">
        <v>40</v>
      </c>
      <c r="D3">
        <v>1</v>
      </c>
      <c r="E3">
        <v>2</v>
      </c>
      <c r="F3">
        <v>3</v>
      </c>
      <c r="G3">
        <v>4</v>
      </c>
      <c r="H3">
        <v>5</v>
      </c>
      <c r="I3">
        <v>6</v>
      </c>
      <c r="J3">
        <v>7</v>
      </c>
      <c r="K3" s="13" t="s">
        <v>39</v>
      </c>
      <c r="L3" t="s">
        <v>41</v>
      </c>
      <c r="M3" t="s">
        <v>42</v>
      </c>
      <c r="N3" t="s">
        <v>43</v>
      </c>
      <c r="O3" t="s">
        <v>44</v>
      </c>
      <c r="P3" t="s">
        <v>88</v>
      </c>
      <c r="Q3" s="13" t="s">
        <v>39</v>
      </c>
      <c r="R3" t="s">
        <v>41</v>
      </c>
      <c r="S3" t="s">
        <v>42</v>
      </c>
      <c r="T3" t="s">
        <v>43</v>
      </c>
      <c r="U3" t="s">
        <v>44</v>
      </c>
      <c r="V3" t="s">
        <v>88</v>
      </c>
      <c r="W3" s="13" t="s">
        <v>174</v>
      </c>
      <c r="X3" s="6" t="s">
        <v>175</v>
      </c>
      <c r="Y3" s="6" t="s">
        <v>146</v>
      </c>
      <c r="Z3" s="6" t="s">
        <v>176</v>
      </c>
      <c r="AA3" s="6" t="s">
        <v>177</v>
      </c>
      <c r="AB3" s="2" t="s">
        <v>178</v>
      </c>
      <c r="AC3" s="2" t="s">
        <v>89</v>
      </c>
      <c r="AE3" s="13" t="s">
        <v>40</v>
      </c>
      <c r="AF3">
        <v>1</v>
      </c>
      <c r="AG3">
        <v>2</v>
      </c>
      <c r="AH3">
        <v>3</v>
      </c>
      <c r="AI3">
        <v>4</v>
      </c>
      <c r="AJ3">
        <v>5</v>
      </c>
      <c r="AK3">
        <v>6</v>
      </c>
      <c r="AL3">
        <v>7</v>
      </c>
      <c r="AM3" s="13" t="s">
        <v>39</v>
      </c>
      <c r="AN3" t="s">
        <v>41</v>
      </c>
      <c r="AO3" t="s">
        <v>42</v>
      </c>
      <c r="AP3" t="s">
        <v>43</v>
      </c>
      <c r="AQ3" t="s">
        <v>44</v>
      </c>
      <c r="AR3" t="s">
        <v>45</v>
      </c>
      <c r="AS3" s="13" t="s">
        <v>39</v>
      </c>
      <c r="AT3" t="s">
        <v>41</v>
      </c>
      <c r="AU3" t="s">
        <v>42</v>
      </c>
      <c r="AV3" t="s">
        <v>43</v>
      </c>
      <c r="AW3" t="s">
        <v>44</v>
      </c>
      <c r="AX3" t="s">
        <v>45</v>
      </c>
      <c r="AY3" s="13" t="s">
        <v>174</v>
      </c>
      <c r="AZ3" s="3" t="s">
        <v>179</v>
      </c>
      <c r="BA3" s="6" t="s">
        <v>146</v>
      </c>
      <c r="BB3" s="6" t="s">
        <v>176</v>
      </c>
      <c r="BC3" s="6" t="s">
        <v>177</v>
      </c>
      <c r="BD3" s="2" t="s">
        <v>178</v>
      </c>
    </row>
    <row r="4" spans="1:87" s="10" customFormat="1" x14ac:dyDescent="0.25">
      <c r="A4" s="10" t="s">
        <v>85</v>
      </c>
      <c r="C4" s="14"/>
      <c r="D4" s="10">
        <v>1</v>
      </c>
      <c r="E4" s="10">
        <v>2</v>
      </c>
      <c r="F4" s="10">
        <v>3</v>
      </c>
      <c r="G4" s="10">
        <v>4</v>
      </c>
      <c r="H4" s="10">
        <v>5</v>
      </c>
      <c r="I4" s="10">
        <v>6</v>
      </c>
      <c r="J4" s="10">
        <v>7</v>
      </c>
      <c r="K4" s="14"/>
      <c r="Q4" s="14">
        <f>AVERAGE(AM5:AM30)</f>
        <v>5.01</v>
      </c>
      <c r="R4" s="10">
        <f t="shared" ref="R4:V4" si="0">AVERAGE(AN5:AN30)</f>
        <v>3.3043333333333336</v>
      </c>
      <c r="S4" s="10">
        <f t="shared" si="0"/>
        <v>4.0238888888888891</v>
      </c>
      <c r="T4" s="10">
        <f t="shared" si="0"/>
        <v>3.5799999999999996</v>
      </c>
      <c r="U4" s="10">
        <f t="shared" si="0"/>
        <v>1.3319999999999999</v>
      </c>
      <c r="V4" s="10">
        <f t="shared" si="0"/>
        <v>0.83060606060606057</v>
      </c>
      <c r="W4" s="14">
        <v>0.80720556691185752</v>
      </c>
      <c r="X4" s="10">
        <v>0.86848721387043248</v>
      </c>
      <c r="Y4" s="10">
        <v>0.77258238966325965</v>
      </c>
      <c r="Z4" s="10">
        <v>0.79950743874061159</v>
      </c>
      <c r="AA4" s="10">
        <v>0.76970278274318982</v>
      </c>
      <c r="AB4" s="15">
        <v>0.83700714303787438</v>
      </c>
      <c r="AC4" s="15"/>
      <c r="AE4" s="14">
        <f ca="1">SQRT(SUMSQ(AE5:AE1001)/COUNT(AE5:AE1001))</f>
        <v>7.919841181302246</v>
      </c>
      <c r="AF4" s="10">
        <f t="shared" ref="AF4:BD4" ca="1" si="1">SQRT(SUMSQ(AF5:AF1001)/COUNT(AF5:AF1001))</f>
        <v>7.6591126553058766</v>
      </c>
      <c r="AG4" s="10">
        <f t="shared" ca="1" si="1"/>
        <v>7.5603041164581004</v>
      </c>
      <c r="AH4" s="10">
        <f t="shared" ca="1" si="1"/>
        <v>7.2255966304981811</v>
      </c>
      <c r="AI4" s="10">
        <f t="shared" ca="1" si="1"/>
        <v>7.1019339502232306</v>
      </c>
      <c r="AJ4" s="10">
        <f t="shared" ca="1" si="1"/>
        <v>6.9817804605988592</v>
      </c>
      <c r="AK4" s="10">
        <f t="shared" ca="1" si="1"/>
        <v>6.7698840189200906</v>
      </c>
      <c r="AL4" s="10">
        <f t="shared" ca="1" si="1"/>
        <v>6.5455446757348499</v>
      </c>
      <c r="AM4" s="14">
        <f t="shared" si="1"/>
        <v>5.0183861947841368</v>
      </c>
      <c r="AN4" s="10">
        <f t="shared" si="1"/>
        <v>4.6683895034107383</v>
      </c>
      <c r="AO4" s="10">
        <f t="shared" si="1"/>
        <v>4.39875129587511</v>
      </c>
      <c r="AP4" s="10">
        <f t="shared" si="1"/>
        <v>4.536827085089314</v>
      </c>
      <c r="AQ4" s="10">
        <f t="shared" si="1"/>
        <v>4.5489815710039236</v>
      </c>
      <c r="AR4" s="10">
        <f t="shared" si="1"/>
        <v>2.5988830156998084</v>
      </c>
      <c r="AS4" s="14">
        <f t="shared" si="1"/>
        <v>0.5800000000000014</v>
      </c>
      <c r="AT4" s="10">
        <f t="shared" si="1"/>
        <v>4.1222039345206802</v>
      </c>
      <c r="AU4" s="10">
        <f t="shared" si="1"/>
        <v>2.1322656703349341</v>
      </c>
      <c r="AV4" s="10">
        <f t="shared" si="1"/>
        <v>3.2512971770254002</v>
      </c>
      <c r="AW4" s="10">
        <f t="shared" si="1"/>
        <v>4.8328875060454832</v>
      </c>
      <c r="AX4" s="10">
        <f t="shared" si="1"/>
        <v>2.7088349279102752</v>
      </c>
      <c r="AY4" s="14">
        <f t="shared" ca="1" si="1"/>
        <v>1.1034581680037188</v>
      </c>
      <c r="AZ4" s="10">
        <f t="shared" ca="1" si="1"/>
        <v>3.9764110732909996</v>
      </c>
      <c r="BA4" s="10">
        <f t="shared" ca="1" si="1"/>
        <v>1.8023042360133403</v>
      </c>
      <c r="BB4" s="10">
        <f t="shared" ca="1" si="1"/>
        <v>2.567077287593245</v>
      </c>
      <c r="BC4" s="10">
        <f t="shared" ca="1" si="1"/>
        <v>4.0701758785771567</v>
      </c>
      <c r="BD4" s="15">
        <f t="shared" ca="1" si="1"/>
        <v>2.4982067566259607</v>
      </c>
    </row>
    <row r="5" spans="1:87" x14ac:dyDescent="0.25">
      <c r="A5" t="s">
        <v>196</v>
      </c>
      <c r="B5">
        <v>0</v>
      </c>
      <c r="C5" s="13">
        <f ca="1">'Historical Trends'!N5</f>
        <v>10.807999999999993</v>
      </c>
      <c r="D5">
        <f ca="1">AVERAGE(OFFSET('Historical Trends'!$D$6,$B5,0,'Polling Correlations - Misc'!D$4,1))</f>
        <v>11.709999999999994</v>
      </c>
      <c r="E5">
        <f ca="1">AVERAGE(OFFSET('Historical Trends'!$D$6,$B5,0,'Polling Correlations - Misc'!E$4,1))</f>
        <v>9.3199999999999896</v>
      </c>
      <c r="F5">
        <f ca="1">AVERAGE(OFFSET('Historical Trends'!$D$6,$B5,0,'Polling Correlations - Misc'!F$4,1))</f>
        <v>8.3366666666666571</v>
      </c>
      <c r="G5">
        <f ca="1">AVERAGE(OFFSET('Historical Trends'!$D$6,$B5,0,'Polling Correlations - Misc'!G$4,1))</f>
        <v>7.6924999999999901</v>
      </c>
      <c r="H5">
        <f ca="1">AVERAGE(OFFSET('Historical Trends'!$D$6,$B5,0,'Polling Correlations - Misc'!H$4,1))</f>
        <v>7.361999999999993</v>
      </c>
      <c r="I5">
        <f ca="1">AVERAGE(OFFSET('Historical Trends'!$D$6,$B5,0,'Polling Correlations - Misc'!I$4,1))</f>
        <v>6.8899999999999944</v>
      </c>
      <c r="J5">
        <f ca="1">AVERAGE(OFFSET('Historical Trends'!$D$6,$B5,0,'Polling Correlations - Misc'!J$4,1))</f>
        <v>6.3642857142857112</v>
      </c>
      <c r="K5" s="13">
        <f>(9+11+2+7+10)/5</f>
        <v>7.8</v>
      </c>
      <c r="L5">
        <f>(7+6+5+6+6)/5</f>
        <v>6</v>
      </c>
      <c r="M5">
        <f>(7+5+6+6+6)/5</f>
        <v>6</v>
      </c>
      <c r="N5">
        <f>(5+7+5+7+6)/5</f>
        <v>6</v>
      </c>
      <c r="O5">
        <f>(4+5+6+5+8)/5</f>
        <v>5.6</v>
      </c>
      <c r="P5">
        <f>(3+3+4+6.6+4)/5</f>
        <v>4.12</v>
      </c>
      <c r="Q5" s="30">
        <f>K5-AVERAGE(AM6:AM$30)</f>
        <v>2.4999999999999991</v>
      </c>
      <c r="R5" s="31">
        <f>L5-AVERAGE(AN6:AN$30)</f>
        <v>2.5995833333333325</v>
      </c>
      <c r="S5" s="31">
        <f>M5-AVERAGE(AO6:AO$30)</f>
        <v>1.7553333333333336</v>
      </c>
      <c r="T5" s="31">
        <f>N5-AVERAGE(AP6:AP$30)</f>
        <v>2.31</v>
      </c>
      <c r="U5" s="31">
        <f>O5-AVERAGE(AQ6:AQ$30)</f>
        <v>4.3999999999999995</v>
      </c>
      <c r="V5" s="31">
        <f>P5-AVERAGE(AR6:AR$30)</f>
        <v>3.3103333333333333</v>
      </c>
      <c r="W5" s="13">
        <f ca="1">Q5*W$4+$D5*(1-W$4)</f>
        <v>4.2756367287417909</v>
      </c>
      <c r="X5" s="6">
        <f t="shared" ref="X5:AB19" ca="1" si="2">R5*X$4+$D5*(1-X$4)</f>
        <v>3.7977196119679126</v>
      </c>
      <c r="Y5" s="6">
        <f t="shared" ca="1" si="2"/>
        <v>4.0191998383654699</v>
      </c>
      <c r="Z5" s="6">
        <f t="shared" ca="1" si="2"/>
        <v>4.1946300758382495</v>
      </c>
      <c r="AA5" s="6">
        <f t="shared" ca="1" si="2"/>
        <v>6.0834726581472811</v>
      </c>
      <c r="AB5" s="2">
        <f t="shared" ca="1" si="2"/>
        <v>4.6794190008628664</v>
      </c>
      <c r="AC5" s="2">
        <f>'Historical Trends'!H5</f>
        <v>3.08</v>
      </c>
      <c r="AE5" s="13">
        <f t="shared" ref="AE5:AS5" ca="1" si="3">C5-$AC5</f>
        <v>7.7279999999999927</v>
      </c>
      <c r="AF5">
        <f t="shared" ca="1" si="3"/>
        <v>8.6299999999999937</v>
      </c>
      <c r="AG5">
        <f t="shared" ca="1" si="3"/>
        <v>6.2399999999999896</v>
      </c>
      <c r="AH5">
        <f t="shared" ca="1" si="3"/>
        <v>5.2566666666666571</v>
      </c>
      <c r="AI5">
        <f t="shared" ca="1" si="3"/>
        <v>4.6124999999999901</v>
      </c>
      <c r="AJ5">
        <f t="shared" ca="1" si="3"/>
        <v>4.2819999999999929</v>
      </c>
      <c r="AK5">
        <f t="shared" ca="1" si="3"/>
        <v>3.8099999999999943</v>
      </c>
      <c r="AL5">
        <f t="shared" ca="1" si="3"/>
        <v>3.2842857142857111</v>
      </c>
      <c r="AM5" s="13">
        <f t="shared" si="3"/>
        <v>4.72</v>
      </c>
      <c r="AN5">
        <f t="shared" si="3"/>
        <v>2.92</v>
      </c>
      <c r="AO5">
        <f t="shared" si="3"/>
        <v>2.92</v>
      </c>
      <c r="AP5">
        <f t="shared" si="3"/>
        <v>2.92</v>
      </c>
      <c r="AQ5">
        <f t="shared" si="3"/>
        <v>2.5199999999999996</v>
      </c>
      <c r="AR5">
        <f t="shared" si="3"/>
        <v>1.04</v>
      </c>
      <c r="AS5" s="30">
        <f t="shared" si="3"/>
        <v>-0.58000000000000096</v>
      </c>
      <c r="AT5">
        <f t="shared" ref="AT5:AX14" si="4">R5-$AC5</f>
        <v>-0.4804166666666676</v>
      </c>
      <c r="AU5">
        <f t="shared" si="4"/>
        <v>-1.3246666666666664</v>
      </c>
      <c r="AV5">
        <f t="shared" si="4"/>
        <v>-0.77</v>
      </c>
      <c r="AW5">
        <f t="shared" si="4"/>
        <v>1.3199999999999994</v>
      </c>
      <c r="AX5">
        <f t="shared" si="4"/>
        <v>0.23033333333333328</v>
      </c>
      <c r="AY5" s="13">
        <f t="shared" ref="AY5:BD5" ca="1" si="5">W5-$AC5</f>
        <v>1.1956367287417908</v>
      </c>
      <c r="AZ5" s="6">
        <f t="shared" ca="1" si="5"/>
        <v>0.71771961196791256</v>
      </c>
      <c r="BA5" s="6">
        <f t="shared" ca="1" si="5"/>
        <v>0.93919983836546983</v>
      </c>
      <c r="BB5" s="6">
        <f t="shared" ca="1" si="5"/>
        <v>1.1146300758382495</v>
      </c>
      <c r="BC5" s="6">
        <f t="shared" ca="1" si="5"/>
        <v>3.003472658147281</v>
      </c>
      <c r="BD5" s="2">
        <f t="shared" ca="1" si="5"/>
        <v>1.5994190008628664</v>
      </c>
      <c r="BG5" t="str">
        <f>AS3</f>
        <v>2 years</v>
      </c>
      <c r="BH5" t="str">
        <f t="shared" ref="BH5:BK5" si="6">AT3</f>
        <v>1 year</v>
      </c>
      <c r="BI5" t="str">
        <f t="shared" si="6"/>
        <v>6 months</v>
      </c>
      <c r="BJ5" t="str">
        <f t="shared" si="6"/>
        <v>3 months</v>
      </c>
      <c r="BK5" t="str">
        <f t="shared" si="6"/>
        <v>1 month</v>
      </c>
      <c r="BL5" s="33" t="s">
        <v>187</v>
      </c>
      <c r="BM5" s="33" t="str">
        <f>AX3</f>
        <v>Pre-election</v>
      </c>
      <c r="BY5" s="43" t="s">
        <v>211</v>
      </c>
      <c r="BZ5" s="43"/>
      <c r="CA5">
        <v>26</v>
      </c>
      <c r="CD5" s="13" t="s">
        <v>39</v>
      </c>
      <c r="CE5" t="s">
        <v>41</v>
      </c>
      <c r="CF5" t="s">
        <v>42</v>
      </c>
      <c r="CG5" t="s">
        <v>43</v>
      </c>
      <c r="CH5" t="s">
        <v>44</v>
      </c>
      <c r="CI5" t="s">
        <v>88</v>
      </c>
    </row>
    <row r="6" spans="1:87" x14ac:dyDescent="0.25">
      <c r="A6" t="s">
        <v>197</v>
      </c>
      <c r="B6">
        <f>B5+1</f>
        <v>1</v>
      </c>
      <c r="C6" s="13">
        <f ca="1">'Historical Trends'!N6</f>
        <v>7.8573333333333721</v>
      </c>
      <c r="D6">
        <f ca="1">AVERAGE(OFFSET('Historical Trends'!$D$6,$B6,0,'Polling Correlations - Misc'!D$4,1))</f>
        <v>6.9299999999999873</v>
      </c>
      <c r="E6">
        <f ca="1">AVERAGE(OFFSET('Historical Trends'!$D$6,$B6,0,'Polling Correlations - Misc'!E$4,1))</f>
        <v>6.6499999999999888</v>
      </c>
      <c r="F6">
        <f ca="1">AVERAGE(OFFSET('Historical Trends'!$D$6,$B6,0,'Polling Correlations - Misc'!F$4,1))</f>
        <v>6.353333333333322</v>
      </c>
      <c r="G6">
        <f ca="1">AVERAGE(OFFSET('Historical Trends'!$D$6,$B6,0,'Polling Correlations - Misc'!G$4,1))</f>
        <v>6.2749999999999932</v>
      </c>
      <c r="H6">
        <f ca="1">AVERAGE(OFFSET('Historical Trends'!$D$6,$B6,0,'Polling Correlations - Misc'!H$4,1))</f>
        <v>5.9259999999999948</v>
      </c>
      <c r="I6">
        <f ca="1">AVERAGE(OFFSET('Historical Trends'!$D$6,$B6,0,'Polling Correlations - Misc'!I$4,1))</f>
        <v>5.4733333333333301</v>
      </c>
      <c r="J6">
        <f ca="1">AVERAGE(OFFSET('Historical Trends'!$D$6,$B6,0,'Polling Correlations - Misc'!J$4,1))</f>
        <v>5.3085714285714252</v>
      </c>
      <c r="P6">
        <f>(5+3+3+4+4)/5</f>
        <v>3.8</v>
      </c>
      <c r="Q6" s="30"/>
      <c r="R6" s="31"/>
      <c r="S6" s="31"/>
      <c r="T6" s="31"/>
      <c r="U6" s="31"/>
      <c r="V6" s="31">
        <f>P6-AVERAGE(AR5:AR$5,AR7:AR$30)</f>
        <v>2.9233333333333333</v>
      </c>
      <c r="W6" s="13">
        <f t="shared" ref="W6:W19" ca="1" si="7">Q6*W$4+$D6*(1-W$4)</f>
        <v>1.336065421300825</v>
      </c>
      <c r="X6" s="6">
        <f t="shared" ca="1" si="2"/>
        <v>0.91138360787790118</v>
      </c>
      <c r="Y6" s="6">
        <f t="shared" ca="1" si="2"/>
        <v>1.5760040396336077</v>
      </c>
      <c r="Z6" s="6">
        <f t="shared" ca="1" si="2"/>
        <v>1.3894134495275592</v>
      </c>
      <c r="AA6" s="6">
        <f t="shared" ca="1" si="2"/>
        <v>1.5959597155896916</v>
      </c>
      <c r="AB6" s="2">
        <f t="shared" ca="1" si="2"/>
        <v>3.5763913802282481</v>
      </c>
      <c r="AC6" s="2">
        <f>'Historical Trends'!I5</f>
        <v>3.43</v>
      </c>
      <c r="AE6" s="13">
        <f t="shared" ref="AE6:AE19" ca="1" si="8">C6-$AC6</f>
        <v>4.4273333333333724</v>
      </c>
      <c r="AF6">
        <f t="shared" ref="AF6:AF19" ca="1" si="9">D6-$AC6</f>
        <v>3.4999999999999871</v>
      </c>
      <c r="AG6">
        <f t="shared" ref="AG6:AG19" ca="1" si="10">E6-$AC6</f>
        <v>3.2199999999999886</v>
      </c>
      <c r="AH6">
        <f t="shared" ref="AH6:AH19" ca="1" si="11">F6-$AC6</f>
        <v>2.9233333333333218</v>
      </c>
      <c r="AI6">
        <f t="shared" ref="AI6:AI19" ca="1" si="12">G6-$AC6</f>
        <v>2.8449999999999931</v>
      </c>
      <c r="AJ6">
        <f t="shared" ref="AJ6:AJ19" ca="1" si="13">H6-$AC6</f>
        <v>2.4959999999999947</v>
      </c>
      <c r="AK6">
        <f t="shared" ref="AK6:AK19" ca="1" si="14">I6-$AC6</f>
        <v>2.0433333333333299</v>
      </c>
      <c r="AL6">
        <f t="shared" ref="AL6:AL19" ca="1" si="15">J6-$AC6</f>
        <v>1.878571428571425</v>
      </c>
      <c r="AR6">
        <f t="shared" ref="AR6:AR15" si="16">P6-$AC6</f>
        <v>0.36999999999999966</v>
      </c>
      <c r="AS6" s="30"/>
      <c r="AX6">
        <f t="shared" si="4"/>
        <v>-0.50666666666666682</v>
      </c>
      <c r="BD6" s="2">
        <f t="shared" ref="BD6:BD15" ca="1" si="17">AB6-$AC6</f>
        <v>0.14639138022824794</v>
      </c>
      <c r="BE6" t="s">
        <v>150</v>
      </c>
      <c r="BG6">
        <f>LN(730)</f>
        <v>6.5930445341424369</v>
      </c>
      <c r="BH6">
        <f>LN(365)</f>
        <v>5.8998973535824915</v>
      </c>
      <c r="BI6">
        <f>LN(182)</f>
        <v>5.2040066870767951</v>
      </c>
      <c r="BJ6">
        <f>LN(90)</f>
        <v>4.499809670330265</v>
      </c>
      <c r="BK6">
        <f>LN(30)</f>
        <v>3.4011973816621555</v>
      </c>
      <c r="BL6">
        <f t="shared" ref="BL6:BL11" si="18">AVERAGE(BK6,BM6)</f>
        <v>2.0471722811110502</v>
      </c>
      <c r="BM6">
        <f>LN(2)</f>
        <v>0.69314718055994529</v>
      </c>
      <c r="BY6" s="34" t="s">
        <v>212</v>
      </c>
      <c r="BZ6" s="34"/>
      <c r="CA6">
        <v>10</v>
      </c>
      <c r="CC6" t="s">
        <v>214</v>
      </c>
      <c r="CD6">
        <f t="shared" ref="CD6:CH6" si="19">COUNTIFS(K5:K19,"&gt;3",$AC5:$AC19,"&gt;1")/COUNTIF(K5:K19,"&gt;3")</f>
        <v>0.75</v>
      </c>
      <c r="CE6">
        <f t="shared" si="19"/>
        <v>1</v>
      </c>
      <c r="CF6">
        <f t="shared" si="19"/>
        <v>0.8571428571428571</v>
      </c>
      <c r="CG6">
        <f t="shared" si="19"/>
        <v>0.875</v>
      </c>
      <c r="CH6">
        <f t="shared" si="19"/>
        <v>1</v>
      </c>
      <c r="CI6">
        <f>COUNTIFS(P5:P19,"&gt;3",$AC5:$AC19,"&gt;1")/COUNTIF(P5:P19,"&gt;3")</f>
        <v>1</v>
      </c>
    </row>
    <row r="7" spans="1:87" x14ac:dyDescent="0.25">
      <c r="A7" t="s">
        <v>198</v>
      </c>
      <c r="B7">
        <f>B6+1</f>
        <v>2</v>
      </c>
      <c r="C7" s="13">
        <f ca="1">'Historical Trends'!N7</f>
        <v>7.0855348837209249</v>
      </c>
      <c r="D7">
        <f ca="1">AVERAGE(OFFSET('Historical Trends'!$D$6,$B7,0,'Polling Correlations - Misc'!D$4,1))</f>
        <v>6.3699999999999903</v>
      </c>
      <c r="E7">
        <f ca="1">AVERAGE(OFFSET('Historical Trends'!$D$6,$B7,0,'Polling Correlations - Misc'!E$4,1))</f>
        <v>6.0649999999999906</v>
      </c>
      <c r="F7">
        <f ca="1">AVERAGE(OFFSET('Historical Trends'!$D$6,$B7,0,'Polling Correlations - Misc'!F$4,1))</f>
        <v>6.0566666666666622</v>
      </c>
      <c r="G7">
        <f ca="1">AVERAGE(OFFSET('Historical Trends'!$D$6,$B7,0,'Polling Correlations - Misc'!G$4,1))</f>
        <v>5.6749999999999972</v>
      </c>
      <c r="H7">
        <f ca="1">AVERAGE(OFFSET('Historical Trends'!$D$6,$B7,0,'Polling Correlations - Misc'!H$4,1))</f>
        <v>5.1819999999999995</v>
      </c>
      <c r="I7">
        <f ca="1">AVERAGE(OFFSET('Historical Trends'!$D$6,$B7,0,'Polling Correlations - Misc'!I$4,1))</f>
        <v>5.0383333333333313</v>
      </c>
      <c r="J7">
        <f ca="1">AVERAGE(OFFSET('Historical Trends'!$D$6,$B7,0,'Polling Correlations - Misc'!J$4,1))</f>
        <v>5.0657142857142849</v>
      </c>
      <c r="O7">
        <f>(1.8+1.7+2)/3</f>
        <v>1.8333333333333333</v>
      </c>
      <c r="P7">
        <f>(7+6.1+5+4.4+2.4)/5</f>
        <v>4.9799999999999995</v>
      </c>
      <c r="Q7" s="30"/>
      <c r="R7" s="31"/>
      <c r="S7" s="31"/>
      <c r="T7" s="31"/>
      <c r="U7" s="31">
        <f>O7-AVERAGE(AQ$5:AQ6,AQ8:AQ$30)</f>
        <v>-5.2962962962962656E-2</v>
      </c>
      <c r="V7" s="31">
        <f>P7-AVERAGE(AR$5:AR6,AR8:AR$30)</f>
        <v>4.0153333333333325</v>
      </c>
      <c r="W7" s="13">
        <f t="shared" ca="1" si="7"/>
        <v>1.2281005387714656</v>
      </c>
      <c r="X7" s="6">
        <f t="shared" ca="1" si="2"/>
        <v>0.83773644764534383</v>
      </c>
      <c r="Y7" s="6">
        <f t="shared" ca="1" si="2"/>
        <v>1.4486501778450338</v>
      </c>
      <c r="Z7" s="6">
        <f t="shared" ca="1" si="2"/>
        <v>1.2771376152223022</v>
      </c>
      <c r="AA7" s="6">
        <f t="shared" ca="1" si="2"/>
        <v>1.4262275339509618</v>
      </c>
      <c r="AB7" s="2">
        <f t="shared" ca="1" si="2"/>
        <v>4.3991271805268166</v>
      </c>
      <c r="AC7" s="2">
        <f>'Historical Trends'!I7</f>
        <v>5.49</v>
      </c>
      <c r="AE7" s="13">
        <f t="shared" ca="1" si="8"/>
        <v>1.5955348837209247</v>
      </c>
      <c r="AF7">
        <f t="shared" ca="1" si="9"/>
        <v>0.87999999999999012</v>
      </c>
      <c r="AG7">
        <f t="shared" ca="1" si="10"/>
        <v>0.57499999999999041</v>
      </c>
      <c r="AH7">
        <f t="shared" ca="1" si="11"/>
        <v>0.56666666666666199</v>
      </c>
      <c r="AI7">
        <f t="shared" ca="1" si="12"/>
        <v>0.18499999999999694</v>
      </c>
      <c r="AJ7">
        <f t="shared" ca="1" si="13"/>
        <v>-0.30800000000000072</v>
      </c>
      <c r="AK7">
        <f t="shared" ca="1" si="14"/>
        <v>-0.45166666666666888</v>
      </c>
      <c r="AL7">
        <f t="shared" ca="1" si="15"/>
        <v>-0.42428571428571527</v>
      </c>
      <c r="AQ7">
        <f>O7-$AC7</f>
        <v>-3.6566666666666672</v>
      </c>
      <c r="AR7">
        <f t="shared" si="16"/>
        <v>-0.51000000000000068</v>
      </c>
      <c r="AS7" s="30"/>
      <c r="AW7">
        <f t="shared" si="4"/>
        <v>-5.5429629629629629</v>
      </c>
      <c r="AX7">
        <f t="shared" si="4"/>
        <v>-1.4746666666666677</v>
      </c>
      <c r="BC7" s="6">
        <f t="shared" ref="BC7:BC15" ca="1" si="20">AA7-$AC7</f>
        <v>-4.0637724660490386</v>
      </c>
      <c r="BD7" s="2">
        <f t="shared" ca="1" si="17"/>
        <v>-1.0908728194731836</v>
      </c>
      <c r="BE7" t="s">
        <v>180</v>
      </c>
      <c r="BG7">
        <f>AM4</f>
        <v>5.0183861947841368</v>
      </c>
      <c r="BH7">
        <f>AN4</f>
        <v>4.6683895034107383</v>
      </c>
      <c r="BI7">
        <f>AO4</f>
        <v>4.39875129587511</v>
      </c>
      <c r="BJ7">
        <f>AP4</f>
        <v>4.536827085089314</v>
      </c>
      <c r="BK7">
        <f>AQ4</f>
        <v>4.5489815710039236</v>
      </c>
      <c r="BL7">
        <f t="shared" si="18"/>
        <v>3.573932293351866</v>
      </c>
      <c r="BM7">
        <f>AR4</f>
        <v>2.5988830156998084</v>
      </c>
      <c r="BY7" s="34" t="s">
        <v>213</v>
      </c>
      <c r="BZ7" s="34"/>
      <c r="CC7" t="s">
        <v>215</v>
      </c>
      <c r="CD7">
        <f>(COUNTIFS(K5:K19,"",$AC5:$AC19,"&gt;3"))/($CA$5-COUNTA(K5:K19))</f>
        <v>0.31818181818181818</v>
      </c>
      <c r="CE7">
        <f t="shared" ref="CE7:CI7" si="21">(COUNTIFS(L5:L19,"",$AC5:$AC19,"&gt;3"))/($CA$5-COUNTA(L5:L19))</f>
        <v>0.26315789473684209</v>
      </c>
      <c r="CF7">
        <f t="shared" si="21"/>
        <v>0.23529411764705882</v>
      </c>
      <c r="CG7">
        <f t="shared" si="21"/>
        <v>0.1875</v>
      </c>
      <c r="CH7">
        <f t="shared" si="21"/>
        <v>7.1428571428571425E-2</v>
      </c>
      <c r="CI7">
        <f t="shared" si="21"/>
        <v>0</v>
      </c>
    </row>
    <row r="8" spans="1:87" x14ac:dyDescent="0.25">
      <c r="A8" t="s">
        <v>199</v>
      </c>
      <c r="B8">
        <f>B7+1</f>
        <v>3</v>
      </c>
      <c r="C8" s="13">
        <f ca="1">'Historical Trends'!N8</f>
        <v>5.8699011124845413</v>
      </c>
      <c r="D8">
        <f ca="1">AVERAGE(OFFSET('Historical Trends'!$D$6,$B8,0,'Polling Correlations - Misc'!D$4,1))</f>
        <v>5.7599999999999909</v>
      </c>
      <c r="E8">
        <f ca="1">AVERAGE(OFFSET('Historical Trends'!$D$6,$B8,0,'Polling Correlations - Misc'!E$4,1))</f>
        <v>5.8999999999999986</v>
      </c>
      <c r="F8">
        <f ca="1">AVERAGE(OFFSET('Historical Trends'!$D$6,$B8,0,'Polling Correlations - Misc'!F$4,1))</f>
        <v>5.4433333333333325</v>
      </c>
      <c r="G8">
        <f ca="1">AVERAGE(OFFSET('Historical Trends'!$D$6,$B8,0,'Polling Correlations - Misc'!G$4,1))</f>
        <v>4.8850000000000016</v>
      </c>
      <c r="H8">
        <f ca="1">AVERAGE(OFFSET('Historical Trends'!$D$6,$B8,0,'Polling Correlations - Misc'!H$4,1))</f>
        <v>4.7720000000000002</v>
      </c>
      <c r="I8">
        <f ca="1">AVERAGE(OFFSET('Historical Trends'!$D$6,$B8,0,'Polling Correlations - Misc'!I$4,1))</f>
        <v>4.8483333333333336</v>
      </c>
      <c r="J8">
        <f ca="1">AVERAGE(OFFSET('Historical Trends'!$D$6,$B8,0,'Polling Correlations - Misc'!J$4,1))</f>
        <v>4.7942857142857127</v>
      </c>
      <c r="L8">
        <f>(12+16+10+10+16)/5</f>
        <v>12.8</v>
      </c>
      <c r="M8">
        <f>(12+17+15+22.3+23)/5</f>
        <v>17.86</v>
      </c>
      <c r="N8">
        <f>(14+15+15+12+17)/5</f>
        <v>14.6</v>
      </c>
      <c r="O8">
        <f>(13+16+19.6+13+14)/5</f>
        <v>15.12</v>
      </c>
      <c r="P8">
        <f>(12+13+17+17+15)/5</f>
        <v>14.8</v>
      </c>
      <c r="Q8" s="30"/>
      <c r="R8" s="31">
        <f>L8-AVERAGE(AN$5:AN7,AN9:AN$30)</f>
        <v>8.4370833333333337</v>
      </c>
      <c r="S8" s="31">
        <f>M8-AVERAGE(AO$5:AO7,AO9:AO$30)</f>
        <v>13.857333333333333</v>
      </c>
      <c r="T8" s="31">
        <f>N8-AVERAGE(AP$5:AP7,AP9:AP$30)</f>
        <v>10.568333333333332</v>
      </c>
      <c r="U8" s="31">
        <f>O8-AVERAGE(AQ$5:AQ7,AQ9:AQ$30)</f>
        <v>13.794444444444444</v>
      </c>
      <c r="V8" s="31">
        <f>P8-AVERAGE(AR$5:AR7,AR9:AR$30)</f>
        <v>13.993333333333334</v>
      </c>
      <c r="W8" s="13">
        <f t="shared" ca="1" si="7"/>
        <v>1.110495934587699</v>
      </c>
      <c r="X8" s="6">
        <f t="shared" ca="1" si="2"/>
        <v>8.0850126454656372</v>
      </c>
      <c r="Y8" s="6">
        <f t="shared" ca="1" si="2"/>
        <v>12.015857136566632</v>
      </c>
      <c r="Z8" s="6">
        <f t="shared" ca="1" si="2"/>
        <v>9.6042982679444364</v>
      </c>
      <c r="AA8" s="6">
        <f t="shared" ca="1" si="2"/>
        <v>11.944134246684449</v>
      </c>
      <c r="AB8" s="2">
        <f t="shared" ca="1" si="2"/>
        <v>12.651358811011832</v>
      </c>
      <c r="AC8" s="2">
        <f>'Historical Trends'!H27</f>
        <v>13.73</v>
      </c>
      <c r="AE8" s="13">
        <f t="shared" ca="1" si="8"/>
        <v>-7.8600988875154592</v>
      </c>
      <c r="AF8">
        <f t="shared" ca="1" si="9"/>
        <v>-7.9700000000000095</v>
      </c>
      <c r="AG8">
        <f t="shared" ca="1" si="10"/>
        <v>-7.8300000000000018</v>
      </c>
      <c r="AH8">
        <f t="shared" ca="1" si="11"/>
        <v>-8.2866666666666688</v>
      </c>
      <c r="AI8">
        <f t="shared" ca="1" si="12"/>
        <v>-8.8449999999999989</v>
      </c>
      <c r="AJ8">
        <f t="shared" ca="1" si="13"/>
        <v>-8.9580000000000002</v>
      </c>
      <c r="AK8">
        <f t="shared" ca="1" si="14"/>
        <v>-8.8816666666666677</v>
      </c>
      <c r="AL8">
        <f t="shared" ca="1" si="15"/>
        <v>-8.9357142857142868</v>
      </c>
      <c r="AN8">
        <f t="shared" ref="AN8:AQ8" si="22">L8-$AC8</f>
        <v>-0.92999999999999972</v>
      </c>
      <c r="AO8">
        <f t="shared" si="22"/>
        <v>4.129999999999999</v>
      </c>
      <c r="AP8">
        <f t="shared" si="22"/>
        <v>0.86999999999999922</v>
      </c>
      <c r="AQ8">
        <f t="shared" si="22"/>
        <v>1.3899999999999988</v>
      </c>
      <c r="AR8">
        <f t="shared" si="16"/>
        <v>1.0700000000000003</v>
      </c>
      <c r="AS8" s="30"/>
      <c r="AT8">
        <f t="shared" si="4"/>
        <v>-5.2929166666666667</v>
      </c>
      <c r="AU8">
        <f t="shared" si="4"/>
        <v>0.12733333333333263</v>
      </c>
      <c r="AV8">
        <f t="shared" si="4"/>
        <v>-3.1616666666666688</v>
      </c>
      <c r="AW8">
        <f t="shared" si="4"/>
        <v>6.444444444444386E-2</v>
      </c>
      <c r="AX8">
        <f t="shared" si="4"/>
        <v>0.26333333333333364</v>
      </c>
      <c r="AZ8" s="6">
        <f t="shared" ref="AZ8:BB9" ca="1" si="23">X8-$AC8</f>
        <v>-5.6449873545343632</v>
      </c>
      <c r="BA8" s="6">
        <f t="shared" ca="1" si="23"/>
        <v>-1.7141428634333682</v>
      </c>
      <c r="BB8" s="6">
        <f t="shared" ca="1" si="23"/>
        <v>-4.125701732055564</v>
      </c>
      <c r="BC8" s="6">
        <f t="shared" ca="1" si="20"/>
        <v>-1.7858657533155515</v>
      </c>
      <c r="BD8" s="2">
        <f t="shared" ca="1" si="17"/>
        <v>-1.0786411889881684</v>
      </c>
      <c r="BE8" t="s">
        <v>184</v>
      </c>
      <c r="BG8">
        <f ca="1">AY4</f>
        <v>1.1034581680037188</v>
      </c>
      <c r="BH8">
        <f ca="1">AZ4</f>
        <v>3.9764110732909996</v>
      </c>
      <c r="BI8">
        <f ca="1">BA4</f>
        <v>1.8023042360133403</v>
      </c>
      <c r="BJ8">
        <f ca="1">BB4</f>
        <v>2.567077287593245</v>
      </c>
      <c r="BK8">
        <f ca="1">BC4</f>
        <v>4.0701758785771567</v>
      </c>
      <c r="BL8">
        <f t="shared" ca="1" si="18"/>
        <v>3.2841913176015587</v>
      </c>
      <c r="BM8">
        <f ca="1">BD4</f>
        <v>2.4982067566259607</v>
      </c>
      <c r="CC8" t="s">
        <v>216</v>
      </c>
      <c r="CD8">
        <f>(COUNTIFS(K5:K19,"&gt;3",$AC5:$AC19,"&lt;1"))/COUNTIF(K5:K19,"&gt;3")</f>
        <v>0.25</v>
      </c>
      <c r="CE8">
        <f t="shared" ref="CE8:CI8" si="24">(COUNTIFS(L5:L19,"&gt;3",$AC5:$AC19,"&lt;1"))/COUNTIF(L5:L19,"&gt;3")</f>
        <v>0</v>
      </c>
      <c r="CF8">
        <f t="shared" si="24"/>
        <v>0.14285714285714285</v>
      </c>
      <c r="CG8">
        <f t="shared" si="24"/>
        <v>0.125</v>
      </c>
      <c r="CH8">
        <f t="shared" si="24"/>
        <v>0</v>
      </c>
      <c r="CI8">
        <f t="shared" si="24"/>
        <v>0</v>
      </c>
    </row>
    <row r="9" spans="1:87" x14ac:dyDescent="0.25">
      <c r="A9" t="s">
        <v>200</v>
      </c>
      <c r="B9">
        <f>B8+1</f>
        <v>4</v>
      </c>
      <c r="C9" s="13">
        <f ca="1">'Historical Trends'!N9</f>
        <v>5.1696969696969717</v>
      </c>
      <c r="D9">
        <f ca="1">AVERAGE(OFFSET('Historical Trends'!$D$6,$B9,0,'Polling Correlations - Misc'!D$4,1))</f>
        <v>6.0400000000000063</v>
      </c>
      <c r="E9">
        <f ca="1">AVERAGE(OFFSET('Historical Trends'!$D$6,$B9,0,'Polling Correlations - Misc'!E$4,1))</f>
        <v>5.2850000000000037</v>
      </c>
      <c r="F9">
        <f ca="1">AVERAGE(OFFSET('Historical Trends'!$D$6,$B9,0,'Polling Correlations - Misc'!F$4,1))</f>
        <v>4.5933333333333382</v>
      </c>
      <c r="G9">
        <f ca="1">AVERAGE(OFFSET('Historical Trends'!$D$6,$B9,0,'Polling Correlations - Misc'!G$4,1))</f>
        <v>4.5250000000000021</v>
      </c>
      <c r="H9">
        <f ca="1">AVERAGE(OFFSET('Historical Trends'!$D$6,$B9,0,'Polling Correlations - Misc'!H$4,1))</f>
        <v>4.6660000000000021</v>
      </c>
      <c r="I9">
        <f ca="1">AVERAGE(OFFSET('Historical Trends'!$D$6,$B9,0,'Polling Correlations - Misc'!I$4,1))</f>
        <v>4.6333333333333329</v>
      </c>
      <c r="J9">
        <f ca="1">AVERAGE(OFFSET('Historical Trends'!$D$6,$B9,0,'Polling Correlations - Misc'!J$4,1))</f>
        <v>4.2857142857142856</v>
      </c>
      <c r="L9">
        <f>(6+9+6+4.5)/4</f>
        <v>6.375</v>
      </c>
      <c r="M9">
        <f>(13.4+15.4+13.6+5+12)/5</f>
        <v>11.879999999999999</v>
      </c>
      <c r="N9">
        <f>(7.2+9.5+12+12.6+13.4)/5</f>
        <v>10.94</v>
      </c>
      <c r="O9">
        <f>(5+6.5+7+7.2+9.5)/5</f>
        <v>7.0400000000000009</v>
      </c>
      <c r="P9">
        <f>(4.4+4+5.9+5+6.3)/5</f>
        <v>5.12</v>
      </c>
      <c r="Q9" s="30"/>
      <c r="R9" s="31">
        <f>L9-AVERAGE(AN$5:AN8,AN10:AN$30)</f>
        <v>2.5608333333333326</v>
      </c>
      <c r="S9" s="31">
        <f>M9-AVERAGE(AO$5:AO8,AO10:AO$30)</f>
        <v>8.4053333333333313</v>
      </c>
      <c r="T9" s="31">
        <f>N9-AVERAGE(AP$5:AP8,AP10:AP$30)</f>
        <v>7.7349999999999994</v>
      </c>
      <c r="U9" s="31">
        <f>O9-AVERAGE(AQ$5:AQ8,AQ10:AQ$30)</f>
        <v>5.7744444444444456</v>
      </c>
      <c r="V9" s="31">
        <f>P9-AVERAGE(AR$5:AR8,AR10:AR$30)</f>
        <v>4.2073333333333336</v>
      </c>
      <c r="W9" s="13">
        <f t="shared" ca="1" si="7"/>
        <v>1.1644783758523818</v>
      </c>
      <c r="X9" s="6">
        <f t="shared" ca="1" si="2"/>
        <v>3.0183882350757871</v>
      </c>
      <c r="Y9" s="6">
        <f t="shared" ca="1" si="2"/>
        <v>7.8674148790168301</v>
      </c>
      <c r="Z9" s="6">
        <f t="shared" ca="1" si="2"/>
        <v>7.3951651086653376</v>
      </c>
      <c r="AA9" s="6">
        <f t="shared" ca="1" si="2"/>
        <v>5.8356011499159779</v>
      </c>
      <c r="AB9" s="2">
        <f t="shared" ca="1" si="2"/>
        <v>4.5060449091925898</v>
      </c>
      <c r="AC9" s="2">
        <f>'Historical Trends'!I28</f>
        <v>5.1100000000000003</v>
      </c>
      <c r="AE9" s="13">
        <f t="shared" ca="1" si="8"/>
        <v>5.9696969696971358E-2</v>
      </c>
      <c r="AF9">
        <f t="shared" ca="1" si="9"/>
        <v>0.93000000000000593</v>
      </c>
      <c r="AG9">
        <f t="shared" ca="1" si="10"/>
        <v>0.17500000000000338</v>
      </c>
      <c r="AH9">
        <f t="shared" ca="1" si="11"/>
        <v>-0.51666666666666217</v>
      </c>
      <c r="AI9">
        <f t="shared" ca="1" si="12"/>
        <v>-0.58499999999999819</v>
      </c>
      <c r="AJ9">
        <f t="shared" ca="1" si="13"/>
        <v>-0.44399999999999817</v>
      </c>
      <c r="AK9">
        <f t="shared" ca="1" si="14"/>
        <v>-0.47666666666666746</v>
      </c>
      <c r="AL9">
        <f t="shared" ca="1" si="15"/>
        <v>-0.82428571428571473</v>
      </c>
      <c r="AN9">
        <f t="shared" ref="AN9" si="25">L9-$AC9</f>
        <v>1.2649999999999997</v>
      </c>
      <c r="AO9">
        <f t="shared" ref="AO9" si="26">M9-$AC9</f>
        <v>6.7699999999999987</v>
      </c>
      <c r="AP9">
        <f t="shared" ref="AP9" si="27">N9-$AC9</f>
        <v>5.8299999999999992</v>
      </c>
      <c r="AQ9">
        <f t="shared" ref="AQ9" si="28">O9-$AC9</f>
        <v>1.9300000000000006</v>
      </c>
      <c r="AR9">
        <f t="shared" si="16"/>
        <v>9.9999999999997868E-3</v>
      </c>
      <c r="AS9" s="30"/>
      <c r="AT9">
        <f t="shared" si="4"/>
        <v>-2.5491666666666677</v>
      </c>
      <c r="AU9">
        <f t="shared" si="4"/>
        <v>3.295333333333331</v>
      </c>
      <c r="AV9">
        <f t="shared" si="4"/>
        <v>2.6249999999999991</v>
      </c>
      <c r="AW9">
        <f t="shared" si="4"/>
        <v>0.66444444444444528</v>
      </c>
      <c r="AX9">
        <f t="shared" si="4"/>
        <v>-0.90266666666666673</v>
      </c>
      <c r="AZ9" s="6">
        <f t="shared" ca="1" si="23"/>
        <v>-2.0916117649242132</v>
      </c>
      <c r="BA9" s="6">
        <f t="shared" ca="1" si="23"/>
        <v>2.7574148790168298</v>
      </c>
      <c r="BB9" s="6">
        <f t="shared" ca="1" si="23"/>
        <v>2.2851651086653373</v>
      </c>
      <c r="BC9" s="6">
        <f t="shared" ca="1" si="20"/>
        <v>0.72560114991597757</v>
      </c>
      <c r="BD9" s="2">
        <f t="shared" ca="1" si="17"/>
        <v>-0.6039550908074105</v>
      </c>
      <c r="BE9" t="s">
        <v>185</v>
      </c>
      <c r="BG9">
        <f t="shared" ref="BG9:BM9" ca="1" si="29">$AK$4</f>
        <v>6.7698840189200906</v>
      </c>
      <c r="BH9">
        <f t="shared" ca="1" si="29"/>
        <v>6.7698840189200906</v>
      </c>
      <c r="BI9">
        <f t="shared" ca="1" si="29"/>
        <v>6.7698840189200906</v>
      </c>
      <c r="BJ9">
        <f t="shared" ca="1" si="29"/>
        <v>6.7698840189200906</v>
      </c>
      <c r="BK9">
        <f t="shared" ca="1" si="29"/>
        <v>6.7698840189200906</v>
      </c>
      <c r="BL9">
        <f t="shared" ca="1" si="18"/>
        <v>6.7698840189200906</v>
      </c>
      <c r="BM9">
        <f t="shared" ca="1" si="29"/>
        <v>6.7698840189200906</v>
      </c>
    </row>
    <row r="10" spans="1:87" x14ac:dyDescent="0.25">
      <c r="A10" t="s">
        <v>201</v>
      </c>
      <c r="B10">
        <f>B9+1</f>
        <v>5</v>
      </c>
      <c r="C10" s="13">
        <f ca="1">'Historical Trends'!N10</f>
        <v>4.7727070457354728</v>
      </c>
      <c r="D10">
        <f ca="1">AVERAGE(OFFSET('Historical Trends'!$D$6,$B10,0,'Polling Correlations - Misc'!D$4,1))</f>
        <v>4.5300000000000011</v>
      </c>
      <c r="E10">
        <f ca="1">AVERAGE(OFFSET('Historical Trends'!$D$6,$B10,0,'Polling Correlations - Misc'!E$4,1))</f>
        <v>3.8700000000000045</v>
      </c>
      <c r="F10">
        <f ca="1">AVERAGE(OFFSET('Historical Trends'!$D$6,$B10,0,'Polling Correlations - Misc'!F$4,1))</f>
        <v>4.0200000000000005</v>
      </c>
      <c r="G10">
        <f ca="1">AVERAGE(OFFSET('Historical Trends'!$D$6,$B10,0,'Polling Correlations - Misc'!G$4,1))</f>
        <v>4.3225000000000016</v>
      </c>
      <c r="H10">
        <f ca="1">AVERAGE(OFFSET('Historical Trends'!$D$6,$B10,0,'Polling Correlations - Misc'!H$4,1))</f>
        <v>4.3519999999999985</v>
      </c>
      <c r="I10">
        <f ca="1">AVERAGE(OFFSET('Historical Trends'!$D$6,$B10,0,'Polling Correlations - Misc'!I$4,1))</f>
        <v>3.9933333333333323</v>
      </c>
      <c r="J10">
        <f ca="1">AVERAGE(OFFSET('Historical Trends'!$D$6,$B10,0,'Polling Correlations - Misc'!J$4,1))</f>
        <v>3.7071428571428555</v>
      </c>
      <c r="O10">
        <f>(5+4+4)/3</f>
        <v>4.333333333333333</v>
      </c>
      <c r="P10">
        <f>(9+8+5)/3</f>
        <v>7.333333333333333</v>
      </c>
      <c r="Q10" s="30"/>
      <c r="R10" s="31"/>
      <c r="S10" s="31">
        <f>M10-AVERAGE(AO$5:AO9,AO11:AO$30)</f>
        <v>-4.0238888888888891</v>
      </c>
      <c r="T10" s="31">
        <f>N10-AVERAGE(AP$5:AP9,AP11:AP$30)</f>
        <v>-3.5799999999999996</v>
      </c>
      <c r="U10" s="31">
        <f>O10-AVERAGE(AQ$5:AQ9,AQ11:AQ$30)</f>
        <v>2.0537037037037038</v>
      </c>
      <c r="V10" s="31">
        <f>P10-AVERAGE(AR$5:AR9,AR11:AR$30)</f>
        <v>6</v>
      </c>
      <c r="W10" s="13">
        <f t="shared" ca="1" si="7"/>
        <v>0.87335878188928562</v>
      </c>
      <c r="X10" s="6">
        <f t="shared" ca="1" si="2"/>
        <v>0.59575292116694101</v>
      </c>
      <c r="Y10" s="6">
        <f t="shared" ca="1" si="2"/>
        <v>-2.0785839186917827</v>
      </c>
      <c r="Z10" s="6">
        <f t="shared" ca="1" si="2"/>
        <v>-1.9540053281863594</v>
      </c>
      <c r="AA10" s="6">
        <f t="shared" ca="1" si="2"/>
        <v>2.6239878498440863</v>
      </c>
      <c r="AB10" s="2">
        <f t="shared" ca="1" si="2"/>
        <v>5.7604005002656757</v>
      </c>
      <c r="AC10" s="2">
        <f>'Historical Trends'!K29</f>
        <v>11.53</v>
      </c>
      <c r="AE10" s="13">
        <f t="shared" ca="1" si="8"/>
        <v>-6.7572929542645266</v>
      </c>
      <c r="AF10">
        <f t="shared" ca="1" si="9"/>
        <v>-6.9999999999999982</v>
      </c>
      <c r="AG10">
        <f t="shared" ca="1" si="10"/>
        <v>-7.6599999999999948</v>
      </c>
      <c r="AH10">
        <f t="shared" ca="1" si="11"/>
        <v>-7.5099999999999989</v>
      </c>
      <c r="AI10">
        <f t="shared" ca="1" si="12"/>
        <v>-7.2074999999999978</v>
      </c>
      <c r="AJ10">
        <f t="shared" ca="1" si="13"/>
        <v>-7.1780000000000008</v>
      </c>
      <c r="AK10">
        <f t="shared" ca="1" si="14"/>
        <v>-7.5366666666666671</v>
      </c>
      <c r="AL10">
        <f t="shared" ca="1" si="15"/>
        <v>-7.8228571428571438</v>
      </c>
      <c r="AQ10">
        <f t="shared" ref="AQ10" si="30">O10-$AC10</f>
        <v>-7.1966666666666663</v>
      </c>
      <c r="AR10">
        <f t="shared" si="16"/>
        <v>-4.1966666666666663</v>
      </c>
      <c r="AS10" s="30"/>
      <c r="AW10">
        <f t="shared" si="4"/>
        <v>-9.4762962962962956</v>
      </c>
      <c r="AX10">
        <f t="shared" si="4"/>
        <v>-5.5299999999999994</v>
      </c>
      <c r="BC10" s="6">
        <f t="shared" ca="1" si="20"/>
        <v>-8.9060121501559131</v>
      </c>
      <c r="BD10" s="2">
        <f t="shared" ca="1" si="17"/>
        <v>-5.7695994997343236</v>
      </c>
      <c r="BE10" t="s">
        <v>153</v>
      </c>
      <c r="BG10">
        <f>W4</f>
        <v>0.80720556691185752</v>
      </c>
      <c r="BH10">
        <f>X4</f>
        <v>0.86848721387043248</v>
      </c>
      <c r="BI10">
        <f>Y4</f>
        <v>0.77258238966325965</v>
      </c>
      <c r="BJ10">
        <f>Z4</f>
        <v>0.79950743874061159</v>
      </c>
      <c r="BK10">
        <f>AA4</f>
        <v>0.76970278274318982</v>
      </c>
      <c r="BL10">
        <f t="shared" si="18"/>
        <v>0.8033549628905321</v>
      </c>
      <c r="BM10">
        <f>AB4</f>
        <v>0.83700714303787438</v>
      </c>
    </row>
    <row r="11" spans="1:87" x14ac:dyDescent="0.25">
      <c r="A11" t="s">
        <v>208</v>
      </c>
      <c r="B11">
        <v>0</v>
      </c>
      <c r="C11" s="13">
        <f ca="1">'Historical Trends'!N27</f>
        <v>5.3640173053151443</v>
      </c>
      <c r="D11">
        <f ca="1">AVERAGE(OFFSET('Historical Trends'!$D$28,$B5,0,'Polling Correlations - Misc'!D$4,1))</f>
        <v>7.6700000000000017</v>
      </c>
      <c r="E11">
        <f ca="1">AVERAGE(OFFSET('Historical Trends'!$D$28,$B5,0,'Polling Correlations - Misc'!E$4,1))</f>
        <v>6.1450000000000031</v>
      </c>
      <c r="F11">
        <f ca="1">AVERAGE(OFFSET('Historical Trends'!$D$28,$B5,0,'Polling Correlations - Misc'!F$4,1))</f>
        <v>6.563333333333337</v>
      </c>
      <c r="G11">
        <f ca="1">AVERAGE(OFFSET('Historical Trends'!$D$28,$B5,0,'Polling Correlations - Misc'!G$4,1))</f>
        <v>6.5650000000000048</v>
      </c>
      <c r="H11">
        <f ca="1">AVERAGE(OFFSET('Historical Trends'!$D$28,$B5,0,'Polling Correlations - Misc'!H$4,1))</f>
        <v>6.4220000000000024</v>
      </c>
      <c r="I11">
        <f ca="1">AVERAGE(OFFSET('Historical Trends'!$D$28,$B5,0,'Polling Correlations - Misc'!I$4,1))</f>
        <v>7.1850000000000023</v>
      </c>
      <c r="J11">
        <f ca="1">AVERAGE(OFFSET('Historical Trends'!$D$28,$B5,0,'Polling Correlations - Misc'!J$4,1))</f>
        <v>6.6200000000000028</v>
      </c>
      <c r="M11">
        <f>(6.5+2.4)/2</f>
        <v>4.45</v>
      </c>
      <c r="N11">
        <f>(6.5+2.4)/2</f>
        <v>4.45</v>
      </c>
      <c r="O11">
        <f>(3.4+6.5+2.4)/3</f>
        <v>4.1000000000000005</v>
      </c>
      <c r="P11">
        <f>(3+4.8+3.4)/3</f>
        <v>3.7333333333333329</v>
      </c>
      <c r="Q11" s="30"/>
      <c r="R11" s="31"/>
      <c r="S11" s="31">
        <f>M11-AVERAGE(AO$5:AO10,AO12:AO$30)</f>
        <v>-0.18066666666666631</v>
      </c>
      <c r="T11" s="31">
        <f>N11-AVERAGE(AP$5:AP10,AP12:AP$30)</f>
        <v>0.43833333333333346</v>
      </c>
      <c r="U11" s="31">
        <f>O11-AVERAGE(AQ$5:AQ10,AQ12:AQ$30)</f>
        <v>2.6911111111111117</v>
      </c>
      <c r="V11" s="31">
        <f>P11-AVERAGE(AR$5:AR10,AR12:AR$30)</f>
        <v>2.8469999999999995</v>
      </c>
      <c r="W11" s="13">
        <f t="shared" ca="1" si="7"/>
        <v>1.4787333017860531</v>
      </c>
      <c r="X11" s="6">
        <f t="shared" ca="1" si="2"/>
        <v>1.0087030696137831</v>
      </c>
      <c r="Y11" s="6">
        <f t="shared" ca="1" si="2"/>
        <v>1.6047131862169701</v>
      </c>
      <c r="Z11" s="6">
        <f t="shared" ca="1" si="2"/>
        <v>1.8882287055074776</v>
      </c>
      <c r="AA11" s="6">
        <f t="shared" ca="1" si="2"/>
        <v>3.8377353672530745</v>
      </c>
      <c r="AB11" s="2">
        <f t="shared" ca="1" si="2"/>
        <v>3.6331145491283316</v>
      </c>
      <c r="AC11" s="2">
        <f>'Historical Trends'!K47</f>
        <v>3.46</v>
      </c>
      <c r="AE11" s="13">
        <f t="shared" ca="1" si="8"/>
        <v>1.9040173053151443</v>
      </c>
      <c r="AF11">
        <f t="shared" ca="1" si="9"/>
        <v>4.2100000000000017</v>
      </c>
      <c r="AG11">
        <f t="shared" ca="1" si="10"/>
        <v>2.6850000000000032</v>
      </c>
      <c r="AH11">
        <f t="shared" ca="1" si="11"/>
        <v>3.1033333333333371</v>
      </c>
      <c r="AI11">
        <f t="shared" ca="1" si="12"/>
        <v>3.1050000000000049</v>
      </c>
      <c r="AJ11">
        <f t="shared" ca="1" si="13"/>
        <v>2.9620000000000024</v>
      </c>
      <c r="AK11">
        <f t="shared" ca="1" si="14"/>
        <v>3.7250000000000023</v>
      </c>
      <c r="AL11">
        <f t="shared" ca="1" si="15"/>
        <v>3.1600000000000028</v>
      </c>
      <c r="AO11">
        <f t="shared" ref="AO11:AP12" si="31">M11-$AC11</f>
        <v>0.99000000000000021</v>
      </c>
      <c r="AP11">
        <f t="shared" si="31"/>
        <v>0.99000000000000021</v>
      </c>
      <c r="AQ11">
        <f t="shared" ref="AQ11:AQ12" si="32">O11-$AC11</f>
        <v>0.64000000000000057</v>
      </c>
      <c r="AR11">
        <f t="shared" si="16"/>
        <v>0.27333333333333298</v>
      </c>
      <c r="AS11" s="30"/>
      <c r="AU11">
        <f t="shared" si="4"/>
        <v>-3.6406666666666663</v>
      </c>
      <c r="AV11">
        <f t="shared" si="4"/>
        <v>-3.0216666666666665</v>
      </c>
      <c r="AW11">
        <f t="shared" si="4"/>
        <v>-0.76888888888888829</v>
      </c>
      <c r="AX11">
        <f t="shared" si="4"/>
        <v>-0.61300000000000043</v>
      </c>
      <c r="BA11" s="6">
        <f ca="1">Y11-$AC11</f>
        <v>-1.8552868137830298</v>
      </c>
      <c r="BB11" s="6">
        <f ca="1">Z11-$AC11</f>
        <v>-1.5717712944925224</v>
      </c>
      <c r="BC11" s="6">
        <f t="shared" ca="1" si="20"/>
        <v>0.37773536725307455</v>
      </c>
      <c r="BD11" s="2">
        <f t="shared" ca="1" si="17"/>
        <v>0.17311454912833169</v>
      </c>
      <c r="BE11" t="s">
        <v>186</v>
      </c>
      <c r="BG11">
        <f>BG10</f>
        <v>0.80720556691185752</v>
      </c>
      <c r="BH11">
        <f>AVERAGE(BG10:BI10)</f>
        <v>0.81609172348185</v>
      </c>
      <c r="BI11">
        <f>AVERAGE(BH10:BJ10)</f>
        <v>0.81352568075810128</v>
      </c>
      <c r="BJ11">
        <f>AVERAGE(BI10:BK10)</f>
        <v>0.78059753704902046</v>
      </c>
      <c r="BK11">
        <f>AVERAGE(BJ10:BM10)</f>
        <v>0.80239308185305191</v>
      </c>
      <c r="BL11">
        <f t="shared" si="18"/>
        <v>0.81970011244546315</v>
      </c>
      <c r="BM11">
        <f>BM10</f>
        <v>0.83700714303787438</v>
      </c>
    </row>
    <row r="12" spans="1:87" x14ac:dyDescent="0.25">
      <c r="A12" t="s">
        <v>202</v>
      </c>
      <c r="B12">
        <f>B11+1</f>
        <v>1</v>
      </c>
      <c r="C12" s="13">
        <f ca="1">'Historical Trends'!N28</f>
        <v>6.1457575757575782</v>
      </c>
      <c r="D12">
        <f ca="1">AVERAGE(OFFSET('Historical Trends'!$D$28,$B6,0,'Polling Correlations - Misc'!D$4,1))</f>
        <v>4.6200000000000045</v>
      </c>
      <c r="E12">
        <f ca="1">AVERAGE(OFFSET('Historical Trends'!$D$28,$B6,0,'Polling Correlations - Misc'!E$4,1))</f>
        <v>6.0100000000000051</v>
      </c>
      <c r="F12">
        <f ca="1">AVERAGE(OFFSET('Historical Trends'!$D$28,$B6,0,'Polling Correlations - Misc'!F$4,1))</f>
        <v>6.1966666666666725</v>
      </c>
      <c r="G12">
        <f ca="1">AVERAGE(OFFSET('Historical Trends'!$D$28,$B6,0,'Polling Correlations - Misc'!G$4,1))</f>
        <v>6.110000000000003</v>
      </c>
      <c r="H12">
        <f ca="1">AVERAGE(OFFSET('Historical Trends'!$D$28,$B6,0,'Polling Correlations - Misc'!H$4,1))</f>
        <v>7.0880000000000027</v>
      </c>
      <c r="I12">
        <f ca="1">AVERAGE(OFFSET('Historical Trends'!$D$28,$B6,0,'Polling Correlations - Misc'!I$4,1))</f>
        <v>6.4450000000000029</v>
      </c>
      <c r="J12">
        <f ca="1">AVERAGE(OFFSET('Historical Trends'!$D$28,$B6,0,'Polling Correlations - Misc'!J$4,1))</f>
        <v>6.0957142857142879</v>
      </c>
      <c r="L12">
        <f>(5.4+8.2+16.3)/3</f>
        <v>9.9666666666666668</v>
      </c>
      <c r="M12">
        <f>(4.5+5.4+8.2)/3</f>
        <v>6.0333333333333341</v>
      </c>
      <c r="N12">
        <f>(7.8+8+4.5+5.4+8.2)/5</f>
        <v>6.7800000000000011</v>
      </c>
      <c r="O12">
        <f>(8+6+7.8+8+4.5)/5</f>
        <v>6.8599999999999994</v>
      </c>
      <c r="P12">
        <f>(1+5+5.9+8+6)/5</f>
        <v>5.18</v>
      </c>
      <c r="Q12" s="30"/>
      <c r="R12" s="31">
        <f>L12-AVERAGE(AN$5:AN11,AN13:AN$30)</f>
        <v>8.0529166666666665</v>
      </c>
      <c r="S12" s="31">
        <f>M12-AVERAGE(AO$5:AO11,AO13:AO$30)</f>
        <v>2.191333333333334</v>
      </c>
      <c r="T12" s="31">
        <f>N12-AVERAGE(AP$5:AP11,AP13:AP$30)</f>
        <v>3.550000000000002</v>
      </c>
      <c r="U12" s="31">
        <f>O12-AVERAGE(AQ$5:AQ11,AQ13:AQ$30)</f>
        <v>6.02</v>
      </c>
      <c r="V12" s="31">
        <f>P12-AVERAGE(AR$5:AR11,AR13:AR$30)</f>
        <v>4.6743333333333332</v>
      </c>
      <c r="W12" s="13">
        <f t="shared" ca="1" si="7"/>
        <v>0.89071028086721915</v>
      </c>
      <c r="X12" s="6">
        <f t="shared" ca="1" si="2"/>
        <v>7.6014442312827057</v>
      </c>
      <c r="Y12" s="6">
        <f t="shared" ca="1" si="2"/>
        <v>2.7436549029711648</v>
      </c>
      <c r="Z12" s="6">
        <f t="shared" ca="1" si="2"/>
        <v>3.7645270405475482</v>
      </c>
      <c r="AA12" s="6">
        <f t="shared" ca="1" si="2"/>
        <v>5.6975838958404665</v>
      </c>
      <c r="AB12" s="2">
        <f t="shared" ca="1" si="2"/>
        <v>4.6654773881050584</v>
      </c>
      <c r="AC12" s="2">
        <f>'Historical Trends'!H47</f>
        <v>1.1000000000000001</v>
      </c>
      <c r="AE12" s="13">
        <f t="shared" ca="1" si="8"/>
        <v>5.0457575757575786</v>
      </c>
      <c r="AF12">
        <f t="shared" ca="1" si="9"/>
        <v>3.5200000000000045</v>
      </c>
      <c r="AG12">
        <f t="shared" ca="1" si="10"/>
        <v>4.9100000000000055</v>
      </c>
      <c r="AH12">
        <f t="shared" ca="1" si="11"/>
        <v>5.0966666666666729</v>
      </c>
      <c r="AI12" s="6">
        <f t="shared" ca="1" si="12"/>
        <v>5.0100000000000033</v>
      </c>
      <c r="AJ12">
        <f t="shared" ca="1" si="13"/>
        <v>5.9880000000000031</v>
      </c>
      <c r="AK12">
        <f t="shared" ca="1" si="14"/>
        <v>5.3450000000000024</v>
      </c>
      <c r="AL12">
        <f t="shared" ca="1" si="15"/>
        <v>4.9957142857142873</v>
      </c>
      <c r="AN12">
        <f t="shared" ref="AN12" si="33">L12-$AC12</f>
        <v>8.8666666666666671</v>
      </c>
      <c r="AO12">
        <f t="shared" si="31"/>
        <v>4.9333333333333336</v>
      </c>
      <c r="AP12">
        <f t="shared" si="31"/>
        <v>5.6800000000000015</v>
      </c>
      <c r="AQ12">
        <f t="shared" si="32"/>
        <v>5.76</v>
      </c>
      <c r="AR12">
        <f t="shared" si="16"/>
        <v>4.08</v>
      </c>
      <c r="AS12" s="30"/>
      <c r="AT12">
        <f t="shared" si="4"/>
        <v>6.9529166666666669</v>
      </c>
      <c r="AU12">
        <f t="shared" si="4"/>
        <v>1.0913333333333339</v>
      </c>
      <c r="AV12">
        <f t="shared" si="4"/>
        <v>2.450000000000002</v>
      </c>
      <c r="AW12">
        <f t="shared" si="4"/>
        <v>4.92</v>
      </c>
      <c r="AX12">
        <f t="shared" si="4"/>
        <v>3.5743333333333331</v>
      </c>
      <c r="AZ12" s="6">
        <f ca="1">X12-$AC12</f>
        <v>6.5014442312827061</v>
      </c>
      <c r="BA12" s="6">
        <f ca="1">Y12-$AC12</f>
        <v>1.6436549029711647</v>
      </c>
      <c r="BB12" s="6">
        <f ca="1">Z12-$AC12</f>
        <v>2.6645270405475481</v>
      </c>
      <c r="BC12" s="6">
        <f t="shared" ca="1" si="20"/>
        <v>4.5975838958404669</v>
      </c>
      <c r="BD12" s="2">
        <f t="shared" ca="1" si="17"/>
        <v>3.5654773881050583</v>
      </c>
      <c r="BE12" t="s">
        <v>193</v>
      </c>
      <c r="BG12">
        <f>MAX(0,($BG$16+1/($BG$17*$BG$18))-1/((10-BG6) * $BG$18))</f>
        <v>0.80827163905483046</v>
      </c>
      <c r="BH12">
        <f t="shared" ref="BH12:BM12" si="34">MAX(0,($BG$16+1/($BG$17*$BG$18))-1/((10-BH6) * $BG$18))</f>
        <v>0.80827180993810421</v>
      </c>
      <c r="BI12">
        <f t="shared" si="34"/>
        <v>0.80827193180983925</v>
      </c>
      <c r="BJ12">
        <f t="shared" si="34"/>
        <v>0.80827202374320806</v>
      </c>
      <c r="BK12">
        <f t="shared" si="34"/>
        <v>0.80827212798380199</v>
      </c>
      <c r="BL12">
        <f t="shared" si="34"/>
        <v>0.8082722168374542</v>
      </c>
      <c r="BM12">
        <f t="shared" si="34"/>
        <v>0.80827227983702277</v>
      </c>
    </row>
    <row r="13" spans="1:87" x14ac:dyDescent="0.25">
      <c r="A13" t="s">
        <v>203</v>
      </c>
      <c r="B13">
        <f>B12+1</f>
        <v>2</v>
      </c>
      <c r="C13" s="13">
        <f ca="1">'Historical Trends'!N29</f>
        <v>8.6402843016069255</v>
      </c>
      <c r="D13">
        <f ca="1">AVERAGE(OFFSET('Historical Trends'!$D$28,$B7,0,'Polling Correlations - Misc'!D$4,1))</f>
        <v>7.4000000000000057</v>
      </c>
      <c r="E13">
        <f ca="1">AVERAGE(OFFSET('Historical Trends'!$D$28,$B7,0,'Polling Correlations - Misc'!E$4,1))</f>
        <v>6.9850000000000065</v>
      </c>
      <c r="F13">
        <f ca="1">AVERAGE(OFFSET('Historical Trends'!$D$28,$B7,0,'Polling Correlations - Misc'!F$4,1))</f>
        <v>6.6066666666666691</v>
      </c>
      <c r="G13">
        <f ca="1">AVERAGE(OFFSET('Historical Trends'!$D$28,$B7,0,'Polling Correlations - Misc'!G$4,1))</f>
        <v>7.7050000000000018</v>
      </c>
      <c r="H13">
        <f ca="1">AVERAGE(OFFSET('Historical Trends'!$D$28,$B7,0,'Polling Correlations - Misc'!H$4,1))</f>
        <v>6.8100000000000023</v>
      </c>
      <c r="I13">
        <f ca="1">AVERAGE(OFFSET('Historical Trends'!$D$28,$B7,0,'Polling Correlations - Misc'!I$4,1))</f>
        <v>6.3416666666666686</v>
      </c>
      <c r="J13">
        <f ca="1">AVERAGE(OFFSET('Historical Trends'!$D$28,$B7,0,'Polling Correlations - Misc'!J$4,1))</f>
        <v>6.3114285714285741</v>
      </c>
      <c r="N13">
        <f>(6+5)/2</f>
        <v>5.5</v>
      </c>
      <c r="O13">
        <f>(11.7+11+13+10.8+6)/5</f>
        <v>10.5</v>
      </c>
      <c r="P13">
        <f>(6.8+8+9+8.5+11.7)/5</f>
        <v>8.8000000000000007</v>
      </c>
      <c r="Q13" s="30"/>
      <c r="R13" s="31"/>
      <c r="S13" s="31"/>
      <c r="T13" s="31">
        <f>N13-AVERAGE(AP$5:AP12,AP14:AP$30)</f>
        <v>1.4183333333333339</v>
      </c>
      <c r="U13" s="31">
        <f>O13-AVERAGE(AQ$5:AQ12,AQ14:AQ$30)</f>
        <v>9.6388888888888893</v>
      </c>
      <c r="V13" s="31">
        <f>P13-AVERAGE(AR$5:AR12,AR14:AR$30)</f>
        <v>8.2733333333333334</v>
      </c>
      <c r="W13" s="13">
        <f t="shared" ca="1" si="7"/>
        <v>1.4266788048522554</v>
      </c>
      <c r="X13" s="6">
        <f t="shared" ca="1" si="2"/>
        <v>0.97319461735880042</v>
      </c>
      <c r="Y13" s="6">
        <f t="shared" ca="1" si="2"/>
        <v>1.6828903164918798</v>
      </c>
      <c r="Z13" s="6">
        <f t="shared" ca="1" si="2"/>
        <v>2.6176130039332435</v>
      </c>
      <c r="AA13" s="6">
        <f t="shared" ca="1" si="2"/>
        <v>9.1232790080305879</v>
      </c>
      <c r="AB13" s="2">
        <f t="shared" ca="1" si="2"/>
        <v>8.1309862382530778</v>
      </c>
      <c r="AC13" s="2">
        <f>'Historical Trends'!H83</f>
        <v>4.93</v>
      </c>
      <c r="AE13" s="13">
        <f t="shared" ca="1" si="8"/>
        <v>3.7102843016069258</v>
      </c>
      <c r="AF13">
        <f t="shared" ca="1" si="9"/>
        <v>2.470000000000006</v>
      </c>
      <c r="AG13">
        <f t="shared" ca="1" si="10"/>
        <v>2.0550000000000068</v>
      </c>
      <c r="AH13">
        <f t="shared" ca="1" si="11"/>
        <v>1.6766666666666694</v>
      </c>
      <c r="AI13">
        <f t="shared" ca="1" si="12"/>
        <v>2.7750000000000021</v>
      </c>
      <c r="AJ13">
        <f t="shared" ca="1" si="13"/>
        <v>1.8800000000000026</v>
      </c>
      <c r="AK13">
        <f t="shared" ca="1" si="14"/>
        <v>1.4116666666666688</v>
      </c>
      <c r="AL13">
        <f t="shared" ca="1" si="15"/>
        <v>1.3814285714285743</v>
      </c>
      <c r="AP13">
        <f t="shared" ref="AP13" si="35">N13-$AC13</f>
        <v>0.57000000000000028</v>
      </c>
      <c r="AQ13">
        <f t="shared" ref="AQ13" si="36">O13-$AC13</f>
        <v>5.57</v>
      </c>
      <c r="AR13">
        <f t="shared" si="16"/>
        <v>3.870000000000001</v>
      </c>
      <c r="AS13" s="30"/>
      <c r="AV13">
        <f t="shared" si="4"/>
        <v>-3.5116666666666658</v>
      </c>
      <c r="AW13">
        <f t="shared" si="4"/>
        <v>4.7088888888888896</v>
      </c>
      <c r="AX13">
        <f t="shared" si="4"/>
        <v>3.3433333333333337</v>
      </c>
      <c r="BB13" s="6">
        <f ca="1">Z13-$AC13</f>
        <v>-2.3123869960667562</v>
      </c>
      <c r="BC13" s="6">
        <f t="shared" ca="1" si="20"/>
        <v>4.1932790080305882</v>
      </c>
      <c r="BD13" s="2">
        <f t="shared" ca="1" si="17"/>
        <v>3.200986238253078</v>
      </c>
      <c r="BE13" t="s">
        <v>192</v>
      </c>
      <c r="BG13">
        <f>(BG12-BG10)^2</f>
        <v>1.1365098140229172E-6</v>
      </c>
      <c r="BH13">
        <f t="shared" ref="BH13:BM13" si="37">(BH12-BH10)^2</f>
        <v>3.6258948707334551E-3</v>
      </c>
      <c r="BI13">
        <f t="shared" si="37"/>
        <v>1.2737434186324817E-3</v>
      </c>
      <c r="BJ13">
        <f t="shared" si="37"/>
        <v>7.6817950267738961E-5</v>
      </c>
      <c r="BK13">
        <f t="shared" si="37"/>
        <v>1.487594392289533E-3</v>
      </c>
      <c r="BL13">
        <f t="shared" si="37"/>
        <v>2.4179386378521036E-5</v>
      </c>
      <c r="BM13">
        <f t="shared" si="37"/>
        <v>8.2569236317165621E-4</v>
      </c>
      <c r="BN13">
        <f>SQRT(SUM(BG13:BM13))</f>
        <v>8.5528117547900059E-2</v>
      </c>
    </row>
    <row r="14" spans="1:87" x14ac:dyDescent="0.25">
      <c r="A14" t="s">
        <v>204</v>
      </c>
      <c r="B14">
        <f>B13+1</f>
        <v>3</v>
      </c>
      <c r="C14" s="13">
        <f ca="1">'Historical Trends'!N30</f>
        <v>7.670372093023218</v>
      </c>
      <c r="D14">
        <f ca="1">AVERAGE(OFFSET('Historical Trends'!$D$28,$B8,0,'Polling Correlations - Misc'!D$4,1))</f>
        <v>6.5700000000000074</v>
      </c>
      <c r="E14">
        <f ca="1">AVERAGE(OFFSET('Historical Trends'!$D$28,$B8,0,'Polling Correlations - Misc'!E$4,1))</f>
        <v>6.2100000000000009</v>
      </c>
      <c r="F14">
        <f ca="1">AVERAGE(OFFSET('Historical Trends'!$D$28,$B8,0,'Polling Correlations - Misc'!F$4,1))</f>
        <v>7.8066666666666675</v>
      </c>
      <c r="G14">
        <f ca="1">AVERAGE(OFFSET('Historical Trends'!$D$28,$B8,0,'Polling Correlations - Misc'!G$4,1))</f>
        <v>6.6625000000000014</v>
      </c>
      <c r="H14">
        <f ca="1">AVERAGE(OFFSET('Historical Trends'!$D$28,$B8,0,'Polling Correlations - Misc'!H$4,1))</f>
        <v>6.1300000000000008</v>
      </c>
      <c r="I14">
        <f ca="1">AVERAGE(OFFSET('Historical Trends'!$D$28,$B8,0,'Polling Correlations - Misc'!I$4,1))</f>
        <v>6.1300000000000026</v>
      </c>
      <c r="J14">
        <f ca="1">AVERAGE(OFFSET('Historical Trends'!$D$28,$B8,0,'Polling Correlations - Misc'!J$4,1))</f>
        <v>5.7957142857142872</v>
      </c>
      <c r="K14" s="13">
        <f>(15+24)/2</f>
        <v>19.5</v>
      </c>
      <c r="L14">
        <f>(18+17+22+16+20)/5</f>
        <v>18.600000000000001</v>
      </c>
      <c r="M14">
        <f>(18+21+19+18+17)/5</f>
        <v>18.600000000000001</v>
      </c>
      <c r="N14">
        <f>(22+32+18+21+19)/5</f>
        <v>22.4</v>
      </c>
      <c r="O14">
        <f>(17.6+22+32+18+21)/5</f>
        <v>22.119999999999997</v>
      </c>
      <c r="P14">
        <f>(16+17+21+17.6+22)/5</f>
        <v>18.72</v>
      </c>
      <c r="Q14" s="30">
        <f>K14-AVERAGE(AM$5:AM13,AM15:AM$30)</f>
        <v>14.780000000000001</v>
      </c>
      <c r="R14" s="31">
        <f>L14-AVERAGE(AN$5:AN13,AN15:AN$30)</f>
        <v>15.569583333333334</v>
      </c>
      <c r="S14" s="31">
        <f>M14-AVERAGE(AO$5:AO13,AO15:AO$30)</f>
        <v>14.651333333333335</v>
      </c>
      <c r="T14" s="31">
        <f>N14-AVERAGE(AP$5:AP13,AP15:AP$30)</f>
        <v>19.59</v>
      </c>
      <c r="U14" s="31">
        <f>O14-AVERAGE(AQ$5:AQ13,AQ15:AQ$30)</f>
        <v>21.519999999999996</v>
      </c>
      <c r="V14" s="31">
        <f>P14-AVERAGE(AR$5:AR13,AR15:AR$30)</f>
        <v>18.258333333333333</v>
      </c>
      <c r="W14" s="13">
        <f t="shared" ca="1" si="7"/>
        <v>13.197157704346353</v>
      </c>
      <c r="X14" s="6">
        <f t="shared" ca="1" si="2"/>
        <v>14.386023055161447</v>
      </c>
      <c r="Y14" s="6">
        <f t="shared" ca="1" si="2"/>
        <v>12.813495818332026</v>
      </c>
      <c r="Z14" s="6">
        <f t="shared" ca="1" si="2"/>
        <v>16.979586852402765</v>
      </c>
      <c r="AA14" s="6">
        <f t="shared" ca="1" si="2"/>
        <v>18.077056602010689</v>
      </c>
      <c r="AB14" s="2">
        <f t="shared" ca="1" si="2"/>
        <v>16.353218490207688</v>
      </c>
      <c r="AC14" s="2">
        <f>'Historical Trends'!K100</f>
        <v>14.2</v>
      </c>
      <c r="AE14" s="13">
        <f t="shared" ca="1" si="8"/>
        <v>-6.5296279069767813</v>
      </c>
      <c r="AF14">
        <f t="shared" ca="1" si="9"/>
        <v>-7.6299999999999919</v>
      </c>
      <c r="AG14">
        <f t="shared" ca="1" si="10"/>
        <v>-7.9899999999999984</v>
      </c>
      <c r="AH14">
        <f t="shared" ca="1" si="11"/>
        <v>-6.3933333333333318</v>
      </c>
      <c r="AI14">
        <f t="shared" ca="1" si="12"/>
        <v>-7.5374999999999979</v>
      </c>
      <c r="AJ14">
        <f t="shared" ca="1" si="13"/>
        <v>-8.0699999999999985</v>
      </c>
      <c r="AK14">
        <f t="shared" ca="1" si="14"/>
        <v>-8.0699999999999967</v>
      </c>
      <c r="AL14">
        <f t="shared" ca="1" si="15"/>
        <v>-8.404285714285713</v>
      </c>
      <c r="AM14" s="13">
        <f>K14-$AC14</f>
        <v>5.3000000000000007</v>
      </c>
      <c r="AN14">
        <f>L14-$AC14</f>
        <v>4.4000000000000021</v>
      </c>
      <c r="AO14">
        <f>M14-$AC14</f>
        <v>4.4000000000000021</v>
      </c>
      <c r="AP14">
        <f>N14-$AC14</f>
        <v>8.1999999999999993</v>
      </c>
      <c r="AQ14">
        <f>O14-$AC14</f>
        <v>7.9199999999999982</v>
      </c>
      <c r="AR14">
        <f t="shared" si="16"/>
        <v>4.5199999999999996</v>
      </c>
      <c r="AS14" s="30">
        <f t="shared" ref="AS14" si="38">Q14-$AC14</f>
        <v>0.58000000000000185</v>
      </c>
      <c r="AT14">
        <f t="shared" si="4"/>
        <v>1.3695833333333347</v>
      </c>
      <c r="AU14">
        <f t="shared" si="4"/>
        <v>0.45133333333333603</v>
      </c>
      <c r="AV14">
        <f t="shared" si="4"/>
        <v>5.3900000000000006</v>
      </c>
      <c r="AW14">
        <f t="shared" si="4"/>
        <v>7.3199999999999967</v>
      </c>
      <c r="AX14">
        <f t="shared" si="4"/>
        <v>4.0583333333333336</v>
      </c>
      <c r="AY14" s="13">
        <f ca="1">W14-$AC14</f>
        <v>-1.0028422956536467</v>
      </c>
      <c r="AZ14" s="6">
        <f ca="1">X14-$AC14</f>
        <v>0.18602305516144746</v>
      </c>
      <c r="BA14" s="6">
        <f ca="1">Y14-$AC14</f>
        <v>-1.3865041816679735</v>
      </c>
      <c r="BB14" s="6">
        <f ca="1">Z14-$AC14</f>
        <v>2.7795868524027654</v>
      </c>
      <c r="BC14" s="6">
        <f t="shared" ca="1" si="20"/>
        <v>3.8770566020106898</v>
      </c>
      <c r="BD14" s="2">
        <f t="shared" ca="1" si="17"/>
        <v>2.1532184902076885</v>
      </c>
    </row>
    <row r="15" spans="1:87" x14ac:dyDescent="0.25">
      <c r="A15" t="s">
        <v>205</v>
      </c>
      <c r="B15">
        <f>B14+1</f>
        <v>4</v>
      </c>
      <c r="C15" s="13">
        <f ca="1">'Historical Trends'!N31</f>
        <v>7.8507619047618959</v>
      </c>
      <c r="D15">
        <f ca="1">AVERAGE(OFFSET('Historical Trends'!$D$28,$B9,0,'Polling Correlations - Misc'!D$4,1))</f>
        <v>5.8499999999999943</v>
      </c>
      <c r="E15">
        <f ca="1">AVERAGE(OFFSET('Historical Trends'!$D$28,$B9,0,'Polling Correlations - Misc'!E$4,1))</f>
        <v>8.4249999999999972</v>
      </c>
      <c r="F15">
        <f ca="1">AVERAGE(OFFSET('Historical Trends'!$D$28,$B9,0,'Polling Correlations - Misc'!F$4,1))</f>
        <v>6.6933333333333325</v>
      </c>
      <c r="G15">
        <f ca="1">AVERAGE(OFFSET('Historical Trends'!$D$28,$B9,0,'Polling Correlations - Misc'!G$4,1))</f>
        <v>6.02</v>
      </c>
      <c r="H15">
        <f ca="1">AVERAGE(OFFSET('Historical Trends'!$D$28,$B9,0,'Polling Correlations - Misc'!H$4,1))</f>
        <v>6.0420000000000016</v>
      </c>
      <c r="I15">
        <f ca="1">AVERAGE(OFFSET('Historical Trends'!$D$28,$B9,0,'Polling Correlations - Misc'!I$4,1))</f>
        <v>5.666666666666667</v>
      </c>
      <c r="J15">
        <f ca="1">AVERAGE(OFFSET('Historical Trends'!$D$28,$B9,0,'Polling Correlations - Misc'!J$4,1))</f>
        <v>5.13</v>
      </c>
      <c r="O15">
        <f>(2+1+1)/3</f>
        <v>1.3333333333333333</v>
      </c>
      <c r="P15">
        <f>(1.5+2+1)/3</f>
        <v>1.5</v>
      </c>
      <c r="Q15" s="30"/>
      <c r="R15" s="31"/>
      <c r="S15" s="31"/>
      <c r="T15" s="31"/>
      <c r="U15" s="31">
        <f>O15-AVERAGE(AQ$5:AQ14,AQ16:AQ$30)</f>
        <v>-0.31962962962962949</v>
      </c>
      <c r="V15" s="31">
        <f>P15-AVERAGE(AR$5:AR14,AR16:AR$30)</f>
        <v>0.44733333333333336</v>
      </c>
      <c r="W15" s="13">
        <f t="shared" ca="1" si="7"/>
        <v>1.1278474335656323</v>
      </c>
      <c r="X15" s="6">
        <f t="shared" ca="1" si="2"/>
        <v>0.76934979885796917</v>
      </c>
      <c r="Y15" s="6">
        <f t="shared" ca="1" si="2"/>
        <v>1.3303930204699297</v>
      </c>
      <c r="Z15" s="6">
        <f t="shared" ca="1" si="2"/>
        <v>1.172881483367421</v>
      </c>
      <c r="AA15" s="6">
        <f t="shared" ca="1" si="2"/>
        <v>1.1012189055792372</v>
      </c>
      <c r="AB15" s="2">
        <f t="shared" ca="1" si="2"/>
        <v>1.3279294085473765</v>
      </c>
      <c r="AC15" s="2">
        <f>'Historical Trends'!J103</f>
        <v>2.89</v>
      </c>
      <c r="AE15" s="13">
        <f t="shared" ca="1" si="8"/>
        <v>4.9607619047618954</v>
      </c>
      <c r="AF15">
        <f t="shared" ca="1" si="9"/>
        <v>2.9599999999999942</v>
      </c>
      <c r="AG15">
        <f t="shared" ca="1" si="10"/>
        <v>5.5349999999999966</v>
      </c>
      <c r="AH15">
        <f t="shared" ca="1" si="11"/>
        <v>3.8033333333333323</v>
      </c>
      <c r="AI15">
        <f t="shared" ca="1" si="12"/>
        <v>3.1299999999999994</v>
      </c>
      <c r="AJ15">
        <f t="shared" ca="1" si="13"/>
        <v>3.1520000000000015</v>
      </c>
      <c r="AK15">
        <f t="shared" ca="1" si="14"/>
        <v>2.7766666666666668</v>
      </c>
      <c r="AL15">
        <f t="shared" ca="1" si="15"/>
        <v>2.2399999999999998</v>
      </c>
      <c r="AQ15">
        <f>O15-$AC15</f>
        <v>-1.5566666666666669</v>
      </c>
      <c r="AR15">
        <f t="shared" si="16"/>
        <v>-1.3900000000000001</v>
      </c>
      <c r="AS15" s="30"/>
      <c r="AW15">
        <f t="shared" ref="AW15" si="39">U15-$AC15</f>
        <v>-3.2096296296296298</v>
      </c>
      <c r="AX15">
        <f t="shared" ref="AX15" si="40">V15-$AC15</f>
        <v>-2.4426666666666668</v>
      </c>
      <c r="BC15" s="6">
        <f t="shared" ca="1" si="20"/>
        <v>-1.7887810944207629</v>
      </c>
      <c r="BD15" s="2">
        <f t="shared" ca="1" si="17"/>
        <v>-1.5620705914526236</v>
      </c>
      <c r="BE15" t="s">
        <v>188</v>
      </c>
    </row>
    <row r="16" spans="1:87" x14ac:dyDescent="0.25">
      <c r="A16" t="s">
        <v>206</v>
      </c>
      <c r="B16">
        <v>0</v>
      </c>
      <c r="C16" s="13">
        <f ca="1">'Historical Trends'!N46</f>
        <v>11.552</v>
      </c>
      <c r="D16">
        <f ca="1">AVERAGE(OFFSET('Historical Trends'!$D$48,$B5,0,'Polling Correlations - Misc'!D$4,1))</f>
        <v>10</v>
      </c>
      <c r="E16">
        <f ca="1">AVERAGE(OFFSET('Historical Trends'!$D$48,$B5,0,'Polling Correlations - Misc'!E$4,1))</f>
        <v>11.515000000000001</v>
      </c>
      <c r="F16">
        <f ca="1">AVERAGE(OFFSET('Historical Trends'!$D$48,$B5,0,'Polling Correlations - Misc'!F$4,1))</f>
        <v>12.523333333333332</v>
      </c>
      <c r="G16">
        <f ca="1">AVERAGE(OFFSET('Historical Trends'!$D$48,$B5,0,'Polling Correlations - Misc'!G$4,1))</f>
        <v>12.752499999999998</v>
      </c>
      <c r="H16">
        <f ca="1">AVERAGE(OFFSET('Historical Trends'!$D$48,$B5,0,'Polling Correlations - Misc'!H$4,1))</f>
        <v>12.053999999999998</v>
      </c>
      <c r="I16">
        <f ca="1">AVERAGE(OFFSET('Historical Trends'!$D$48,$B5,0,'Polling Correlations - Misc'!I$4,1))</f>
        <v>11.66666666666667</v>
      </c>
      <c r="J16">
        <f ca="1">AVERAGE(OFFSET('Historical Trends'!$D$48,$B5,0,'Polling Correlations - Misc'!J$4,1))</f>
        <v>11.481428571428575</v>
      </c>
      <c r="O16">
        <f>(4.3+2.7+4.2+3.8+0.5)/5</f>
        <v>3.1</v>
      </c>
      <c r="P16">
        <f>(1.5+1.4+4.2+2.5+3)/5</f>
        <v>2.52</v>
      </c>
      <c r="Q16" s="30"/>
      <c r="R16" s="31"/>
      <c r="S16" s="31"/>
      <c r="T16" s="31"/>
      <c r="U16" s="31">
        <f>O16-AVERAGE(AQ$5:AQ15,AQ17:AQ$30)</f>
        <v>1.7680000000000002</v>
      </c>
      <c r="V16" s="31">
        <f>P16-AVERAGE(AR$5:AR15,AR17:AR$30)</f>
        <v>1.6893939393939394</v>
      </c>
      <c r="W16" s="13">
        <f t="shared" ca="1" si="7"/>
        <v>1.9279443308814248</v>
      </c>
      <c r="X16" s="6">
        <f t="shared" ca="1" si="2"/>
        <v>1.3151278612956752</v>
      </c>
      <c r="Y16" s="6">
        <f t="shared" ca="1" si="2"/>
        <v>2.2741761033674033</v>
      </c>
      <c r="Z16" s="6">
        <f t="shared" ca="1" si="2"/>
        <v>2.0049256125938841</v>
      </c>
      <c r="AA16" s="6">
        <f t="shared" ca="1" si="2"/>
        <v>3.6638066924580617</v>
      </c>
      <c r="AB16" s="2">
        <f t="shared" ca="1" si="2"/>
        <v>3.043963364298877</v>
      </c>
      <c r="AC16" s="2">
        <v>1.85</v>
      </c>
      <c r="AE16" s="13">
        <f t="shared" ca="1" si="8"/>
        <v>9.702</v>
      </c>
      <c r="AF16">
        <f t="shared" ca="1" si="9"/>
        <v>8.15</v>
      </c>
      <c r="AG16">
        <f t="shared" ca="1" si="10"/>
        <v>9.6650000000000009</v>
      </c>
      <c r="AH16">
        <f t="shared" ca="1" si="11"/>
        <v>10.673333333333332</v>
      </c>
      <c r="AI16">
        <f t="shared" ca="1" si="12"/>
        <v>10.902499999999998</v>
      </c>
      <c r="AJ16">
        <f t="shared" ca="1" si="13"/>
        <v>10.203999999999999</v>
      </c>
      <c r="AK16">
        <f t="shared" ca="1" si="14"/>
        <v>9.81666666666667</v>
      </c>
      <c r="AL16">
        <f t="shared" ca="1" si="15"/>
        <v>9.6314285714285752</v>
      </c>
      <c r="AS16" s="30"/>
      <c r="BE16" t="s">
        <v>189</v>
      </c>
      <c r="BG16">
        <v>0.80827264868333881</v>
      </c>
    </row>
    <row r="17" spans="1:74" x14ac:dyDescent="0.25">
      <c r="A17" t="s">
        <v>207</v>
      </c>
      <c r="B17">
        <f>B16+1</f>
        <v>1</v>
      </c>
      <c r="C17" s="13">
        <f ca="1">'Historical Trends'!N47</f>
        <v>13.042666666666662</v>
      </c>
      <c r="D17">
        <f ca="1">AVERAGE(OFFSET('Historical Trends'!$D$48,$B6,0,'Polling Correlations - Misc'!D$4,1))</f>
        <v>13.030000000000001</v>
      </c>
      <c r="E17">
        <f ca="1">AVERAGE(OFFSET('Historical Trends'!$D$48,$B6,0,'Polling Correlations - Misc'!E$4,1))</f>
        <v>13.784999999999997</v>
      </c>
      <c r="F17">
        <f ca="1">AVERAGE(OFFSET('Historical Trends'!$D$48,$B6,0,'Polling Correlations - Misc'!F$4,1))</f>
        <v>13.669999999999996</v>
      </c>
      <c r="G17">
        <f ca="1">AVERAGE(OFFSET('Historical Trends'!$D$48,$B6,0,'Polling Correlations - Misc'!G$4,1))</f>
        <v>12.567499999999999</v>
      </c>
      <c r="H17">
        <f ca="1">AVERAGE(OFFSET('Historical Trends'!$D$48,$B6,0,'Polling Correlations - Misc'!H$4,1))</f>
        <v>12.000000000000004</v>
      </c>
      <c r="I17">
        <f ca="1">AVERAGE(OFFSET('Historical Trends'!$D$48,$B6,0,'Polling Correlations - Misc'!I$4,1))</f>
        <v>11.728333333333337</v>
      </c>
      <c r="J17">
        <f ca="1">AVERAGE(OFFSET('Historical Trends'!$D$48,$B6,0,'Polling Correlations - Misc'!J$4,1))</f>
        <v>11.505714285714289</v>
      </c>
      <c r="K17" s="13">
        <f>(6.8+8+7+6+4)/5</f>
        <v>6.36</v>
      </c>
      <c r="L17">
        <f>(1.3+1+2+2.2+2.2)/5</f>
        <v>1.7399999999999998</v>
      </c>
      <c r="M17">
        <f>(1+0.9+2)/3</f>
        <v>1.3</v>
      </c>
      <c r="N17">
        <f>(0.7+0.8+1)/3</f>
        <v>0.83333333333333337</v>
      </c>
      <c r="Q17" s="30">
        <f>K17-AVERAGE(AM$5:AM16,AM18:AM$30)</f>
        <v>1.3500000000000005</v>
      </c>
      <c r="R17" s="31">
        <f>L17-AVERAGE(AN$5:AN16,AN18:AN$30)</f>
        <v>-1.5643333333333338</v>
      </c>
      <c r="S17" s="31">
        <f>M17-AVERAGE(AO$5:AO16,AO18:AO$30)</f>
        <v>-2.7238888888888892</v>
      </c>
      <c r="T17" s="31">
        <f>N17-AVERAGE(AP$5:AP16,AP18:AP$30)</f>
        <v>-2.7466666666666661</v>
      </c>
      <c r="U17" s="31"/>
      <c r="V17" s="31"/>
      <c r="W17" s="13">
        <f t="shared" ca="1" si="7"/>
        <v>3.6018389784695048</v>
      </c>
      <c r="X17" s="6">
        <f t="shared" ca="1" si="2"/>
        <v>0.35500810503695135</v>
      </c>
      <c r="Y17" s="6">
        <f t="shared" ca="1" si="2"/>
        <v>0.85882287573274763</v>
      </c>
      <c r="Z17" s="6">
        <f t="shared" ca="1" si="2"/>
        <v>0.4164376414689519</v>
      </c>
      <c r="AA17" s="6">
        <f t="shared" ca="1" si="2"/>
        <v>3.0007727408562368</v>
      </c>
      <c r="AB17" s="2">
        <f t="shared" ca="1" si="2"/>
        <v>2.1237969262164968</v>
      </c>
      <c r="AC17" s="2">
        <v>0</v>
      </c>
      <c r="AE17" s="13">
        <f t="shared" ca="1" si="8"/>
        <v>13.042666666666662</v>
      </c>
      <c r="AF17">
        <f t="shared" ca="1" si="9"/>
        <v>13.030000000000001</v>
      </c>
      <c r="AG17">
        <f t="shared" ca="1" si="10"/>
        <v>13.784999999999997</v>
      </c>
      <c r="AH17">
        <f t="shared" ca="1" si="11"/>
        <v>13.669999999999996</v>
      </c>
      <c r="AI17">
        <f t="shared" ca="1" si="12"/>
        <v>12.567499999999999</v>
      </c>
      <c r="AJ17">
        <f t="shared" ca="1" si="13"/>
        <v>12.000000000000004</v>
      </c>
      <c r="AK17">
        <f t="shared" ca="1" si="14"/>
        <v>11.728333333333337</v>
      </c>
      <c r="AL17">
        <f t="shared" ca="1" si="15"/>
        <v>11.505714285714289</v>
      </c>
      <c r="AS17" s="30"/>
      <c r="BE17" t="s">
        <v>190</v>
      </c>
      <c r="BG17">
        <v>2918.8300165762648</v>
      </c>
    </row>
    <row r="18" spans="1:74" x14ac:dyDescent="0.25">
      <c r="A18" t="s">
        <v>209</v>
      </c>
      <c r="B18">
        <f>B17+1</f>
        <v>2</v>
      </c>
      <c r="C18" s="13">
        <f ca="1">'Historical Trends'!N48</f>
        <v>14.919333333333384</v>
      </c>
      <c r="D18">
        <f ca="1">AVERAGE(OFFSET('Historical Trends'!$D$48,$B7,0,'Polling Correlations - Misc'!D$4,1))</f>
        <v>14.539999999999992</v>
      </c>
      <c r="E18">
        <f ca="1">AVERAGE(OFFSET('Historical Trends'!$D$48,$B7,0,'Polling Correlations - Misc'!E$4,1))</f>
        <v>13.989999999999995</v>
      </c>
      <c r="F18">
        <f ca="1">AVERAGE(OFFSET('Historical Trends'!$D$48,$B7,0,'Polling Correlations - Misc'!F$4,1))</f>
        <v>12.413333333333332</v>
      </c>
      <c r="G18">
        <f ca="1">AVERAGE(OFFSET('Historical Trends'!$D$48,$B7,0,'Polling Correlations - Misc'!G$4,1))</f>
        <v>11.742500000000003</v>
      </c>
      <c r="H18">
        <f ca="1">AVERAGE(OFFSET('Historical Trends'!$D$48,$B7,0,'Polling Correlations - Misc'!H$4,1))</f>
        <v>11.468000000000004</v>
      </c>
      <c r="I18">
        <f ca="1">AVERAGE(OFFSET('Historical Trends'!$D$48,$B7,0,'Polling Correlations - Misc'!I$4,1))</f>
        <v>11.25166666666667</v>
      </c>
      <c r="J18">
        <f ca="1">AVERAGE(OFFSET('Historical Trends'!$D$48,$B7,0,'Polling Correlations - Misc'!J$4,1))</f>
        <v>10.412857142857145</v>
      </c>
      <c r="K18" s="13">
        <f>(10.5+12.1+7+8.9+4)/5</f>
        <v>8.5</v>
      </c>
      <c r="L18">
        <f>(3+3+3+5+6)/5</f>
        <v>4</v>
      </c>
      <c r="M18">
        <f>(3.4+2+3)/3</f>
        <v>2.8000000000000003</v>
      </c>
      <c r="N18">
        <f>(3+3.4+2)/3</f>
        <v>2.8000000000000003</v>
      </c>
      <c r="O18">
        <f>(3+3+3.4)/3</f>
        <v>3.1333333333333333</v>
      </c>
      <c r="P18">
        <f>(2+2+3)/3</f>
        <v>2.3333333333333335</v>
      </c>
      <c r="Q18" s="30"/>
      <c r="R18" s="31"/>
      <c r="S18" s="31"/>
      <c r="T18" s="31"/>
      <c r="U18" s="31"/>
      <c r="V18" s="31"/>
      <c r="W18" s="13">
        <f t="shared" ca="1" si="7"/>
        <v>2.8032310571015899</v>
      </c>
      <c r="X18" s="6">
        <f t="shared" ca="1" si="2"/>
        <v>1.9121959103239106</v>
      </c>
      <c r="Y18" s="6">
        <f t="shared" ca="1" si="2"/>
        <v>3.3066520542962028</v>
      </c>
      <c r="Z18" s="6">
        <f t="shared" ca="1" si="2"/>
        <v>2.9151618407115061</v>
      </c>
      <c r="AA18" s="6">
        <f t="shared" ca="1" si="2"/>
        <v>3.3485215389140182</v>
      </c>
      <c r="AB18" s="2">
        <f t="shared" ca="1" si="2"/>
        <v>2.3699161402293054</v>
      </c>
      <c r="AC18" s="2">
        <v>1.93</v>
      </c>
      <c r="AE18" s="13">
        <f t="shared" ca="1" si="8"/>
        <v>12.989333333333384</v>
      </c>
      <c r="AF18">
        <f t="shared" ca="1" si="9"/>
        <v>12.609999999999992</v>
      </c>
      <c r="AG18">
        <f t="shared" ca="1" si="10"/>
        <v>12.059999999999995</v>
      </c>
      <c r="AH18">
        <f t="shared" ca="1" si="11"/>
        <v>10.483333333333333</v>
      </c>
      <c r="AI18">
        <f t="shared" ca="1" si="12"/>
        <v>9.8125000000000036</v>
      </c>
      <c r="AJ18">
        <f t="shared" ca="1" si="13"/>
        <v>9.5380000000000038</v>
      </c>
      <c r="AK18">
        <f t="shared" ca="1" si="14"/>
        <v>9.3216666666666708</v>
      </c>
      <c r="AL18">
        <f t="shared" ca="1" si="15"/>
        <v>8.4828571428571458</v>
      </c>
      <c r="AS18" s="30"/>
      <c r="BE18" t="s">
        <v>191</v>
      </c>
      <c r="BG18">
        <v>290378.67500433931</v>
      </c>
    </row>
    <row r="19" spans="1:74" x14ac:dyDescent="0.25">
      <c r="A19" t="s">
        <v>210</v>
      </c>
      <c r="B19">
        <f>B18+1</f>
        <v>3</v>
      </c>
      <c r="C19" s="13">
        <f ca="1">'Historical Trends'!N49</f>
        <v>14.438990415335411</v>
      </c>
      <c r="D19">
        <f ca="1">AVERAGE(OFFSET('Historical Trends'!$D$48,$B8,0,'Polling Correlations - Misc'!D$4,1))</f>
        <v>13.439999999999998</v>
      </c>
      <c r="E19">
        <f ca="1">AVERAGE(OFFSET('Historical Trends'!$D$48,$B8,0,'Polling Correlations - Misc'!E$4,1))</f>
        <v>11.350000000000001</v>
      </c>
      <c r="F19">
        <f ca="1">AVERAGE(OFFSET('Historical Trends'!$D$48,$B8,0,'Polling Correlations - Misc'!F$4,1))</f>
        <v>10.810000000000008</v>
      </c>
      <c r="G19">
        <f ca="1">AVERAGE(OFFSET('Historical Trends'!$D$48,$B8,0,'Polling Correlations - Misc'!G$4,1))</f>
        <v>10.700000000000006</v>
      </c>
      <c r="H19">
        <f ca="1">AVERAGE(OFFSET('Historical Trends'!$D$48,$B8,0,'Polling Correlations - Misc'!H$4,1))</f>
        <v>10.594000000000005</v>
      </c>
      <c r="I19">
        <f ca="1">AVERAGE(OFFSET('Historical Trends'!$D$48,$B8,0,'Polling Correlations - Misc'!I$4,1))</f>
        <v>9.7250000000000032</v>
      </c>
      <c r="J19">
        <f ca="1">AVERAGE(OFFSET('Historical Trends'!$D$48,$B8,0,'Polling Correlations - Misc'!J$4,1))</f>
        <v>8.7657142857142869</v>
      </c>
      <c r="M19">
        <f>(5+6+6)/3</f>
        <v>5.666666666666667</v>
      </c>
      <c r="N19">
        <f>(5+3.5+5)/3</f>
        <v>4.5</v>
      </c>
      <c r="Q19" s="30"/>
      <c r="R19" s="31"/>
      <c r="S19" s="31"/>
      <c r="T19" s="31"/>
      <c r="U19" s="31"/>
      <c r="V19" s="31"/>
      <c r="W19" s="13">
        <f t="shared" ca="1" si="7"/>
        <v>2.5911571807046343</v>
      </c>
      <c r="X19" s="6">
        <f t="shared" ca="1" si="2"/>
        <v>1.7675318455813871</v>
      </c>
      <c r="Y19" s="6">
        <f t="shared" ca="1" si="2"/>
        <v>3.0564926829257897</v>
      </c>
      <c r="Z19" s="6">
        <f t="shared" ca="1" si="2"/>
        <v>2.6946200233261797</v>
      </c>
      <c r="AA19" s="6">
        <f t="shared" ca="1" si="2"/>
        <v>3.0951945999315282</v>
      </c>
      <c r="AB19" s="2">
        <f t="shared" ca="1" si="2"/>
        <v>2.190623997570968</v>
      </c>
      <c r="AC19" s="2">
        <v>0</v>
      </c>
      <c r="AE19" s="13">
        <f t="shared" ca="1" si="8"/>
        <v>14.438990415335411</v>
      </c>
      <c r="AF19">
        <f t="shared" ca="1" si="9"/>
        <v>13.439999999999998</v>
      </c>
      <c r="AG19">
        <f t="shared" ca="1" si="10"/>
        <v>11.350000000000001</v>
      </c>
      <c r="AH19">
        <f t="shared" ca="1" si="11"/>
        <v>10.810000000000008</v>
      </c>
      <c r="AI19">
        <f t="shared" ca="1" si="12"/>
        <v>10.700000000000006</v>
      </c>
      <c r="AJ19">
        <f t="shared" ca="1" si="13"/>
        <v>10.594000000000005</v>
      </c>
      <c r="AK19">
        <f t="shared" ca="1" si="14"/>
        <v>9.7250000000000032</v>
      </c>
      <c r="AL19">
        <f t="shared" ca="1" si="15"/>
        <v>8.7657142857142869</v>
      </c>
      <c r="AS19" s="30"/>
    </row>
    <row r="20" spans="1:74" x14ac:dyDescent="0.25">
      <c r="Q20" s="30"/>
      <c r="R20" s="31"/>
      <c r="S20" s="31"/>
      <c r="T20" s="31"/>
      <c r="U20" s="31"/>
      <c r="V20" s="31"/>
      <c r="AS20" s="30"/>
      <c r="BE20" t="s">
        <v>194</v>
      </c>
      <c r="BG20">
        <f ca="1">SLOPE(BG8:BM8,BG6:BM6)</f>
        <v>-0.1539424632527773</v>
      </c>
    </row>
    <row r="21" spans="1:74" x14ac:dyDescent="0.25">
      <c r="Q21" s="30"/>
      <c r="R21" s="31"/>
      <c r="S21" s="31"/>
      <c r="T21" s="31"/>
      <c r="U21" s="31"/>
      <c r="V21" s="31"/>
      <c r="AS21" s="30"/>
      <c r="BE21" t="s">
        <v>195</v>
      </c>
      <c r="BG21">
        <f ca="1">INTERCEPT(BG8:BM8,BG6:BM6)</f>
        <v>3.38061265559416</v>
      </c>
      <c r="BP21" t="s">
        <v>152</v>
      </c>
      <c r="BQ21" t="s">
        <v>154</v>
      </c>
      <c r="BR21" t="s">
        <v>153</v>
      </c>
      <c r="BS21" t="s">
        <v>156</v>
      </c>
      <c r="BU21" t="s">
        <v>154</v>
      </c>
      <c r="BV21" t="s">
        <v>155</v>
      </c>
    </row>
    <row r="22" spans="1:74" x14ac:dyDescent="0.25">
      <c r="Q22" s="30"/>
      <c r="R22" s="31"/>
      <c r="S22" s="31"/>
      <c r="T22" s="31"/>
      <c r="U22" s="31"/>
      <c r="V22" s="31"/>
      <c r="AS22" s="30"/>
      <c r="BP22">
        <v>1</v>
      </c>
      <c r="BQ22">
        <f>LN(BP22)</f>
        <v>0</v>
      </c>
      <c r="BR22">
        <f>MAX(0,(0.94+1/(8.3*0.97))-1/((8.3-MIN(8.2,BQ22)) * 0.97))</f>
        <v>0.94</v>
      </c>
      <c r="BS22">
        <f>1-(BR22/0.94)^10</f>
        <v>0</v>
      </c>
      <c r="BU22">
        <f>0</f>
        <v>0</v>
      </c>
      <c r="BV22">
        <f t="shared" ref="BV22:BV53" si="41">MAX(0,($BG$16+1/($BG$17*$BG$18))-1/((10-BU22) * $BG$18))</f>
        <v>0.80827230548528206</v>
      </c>
    </row>
    <row r="23" spans="1:74" x14ac:dyDescent="0.25">
      <c r="Q23" s="30"/>
      <c r="R23" s="31"/>
      <c r="S23" s="31"/>
      <c r="T23" s="31"/>
      <c r="U23" s="31"/>
      <c r="V23" s="31"/>
      <c r="AS23" s="30"/>
      <c r="BP23">
        <f>BP22+1</f>
        <v>2</v>
      </c>
      <c r="BQ23">
        <f t="shared" ref="BQ23:BQ86" si="42">LN(BP23)</f>
        <v>0.69314718055994529</v>
      </c>
      <c r="BR23">
        <f t="shared" ref="BR23:BR86" si="43">MAX(0,(0.94+1/(8.3*0.97))-1/((8.3-MIN(8.2,BQ23)) * 0.97))</f>
        <v>0.92868197572765254</v>
      </c>
      <c r="BS23">
        <f t="shared" ref="BS23:BS86" si="44">1-(BR23/0.94)^10</f>
        <v>0.1140858660754307</v>
      </c>
      <c r="BU23">
        <f>BU22+0.1</f>
        <v>0.1</v>
      </c>
      <c r="BV23">
        <f t="shared" si="41"/>
        <v>0.8082723020067174</v>
      </c>
    </row>
    <row r="24" spans="1:74" x14ac:dyDescent="0.25">
      <c r="Q24" s="30"/>
      <c r="R24" s="31"/>
      <c r="S24" s="31"/>
      <c r="T24" s="31"/>
      <c r="U24" s="31"/>
      <c r="V24" s="31"/>
      <c r="AS24" s="30"/>
      <c r="BP24">
        <f t="shared" ref="BP24:BP31" si="45">BP23+1</f>
        <v>3</v>
      </c>
      <c r="BQ24">
        <f t="shared" si="42"/>
        <v>1.0986122886681098</v>
      </c>
      <c r="BR24">
        <f t="shared" si="43"/>
        <v>0.92105134307880865</v>
      </c>
      <c r="BS24">
        <f t="shared" si="44"/>
        <v>0.18424477193938826</v>
      </c>
      <c r="BU24">
        <f t="shared" ref="BU24:BU87" si="46">BU23+0.1</f>
        <v>0.2</v>
      </c>
      <c r="BV24">
        <f t="shared" si="41"/>
        <v>0.80827229845716153</v>
      </c>
    </row>
    <row r="25" spans="1:74" x14ac:dyDescent="0.25">
      <c r="Q25" s="30"/>
      <c r="R25" s="31"/>
      <c r="S25" s="31"/>
      <c r="T25" s="31"/>
      <c r="U25" s="31"/>
      <c r="V25" s="31"/>
      <c r="AS25" s="30"/>
      <c r="BP25">
        <f t="shared" si="45"/>
        <v>4</v>
      </c>
      <c r="BQ25">
        <f t="shared" si="42"/>
        <v>1.3862943611198906</v>
      </c>
      <c r="BR25">
        <f t="shared" si="43"/>
        <v>0.91509452980976436</v>
      </c>
      <c r="BS25">
        <f t="shared" si="44"/>
        <v>0.23549372110487321</v>
      </c>
      <c r="BU25">
        <f t="shared" si="46"/>
        <v>0.30000000000000004</v>
      </c>
      <c r="BV25">
        <f t="shared" si="41"/>
        <v>0.80827229483441898</v>
      </c>
    </row>
    <row r="26" spans="1:74" x14ac:dyDescent="0.25">
      <c r="Q26" s="30"/>
      <c r="R26" s="31"/>
      <c r="S26" s="31"/>
      <c r="T26" s="31"/>
      <c r="U26" s="31"/>
      <c r="V26" s="31"/>
      <c r="AS26" s="30"/>
      <c r="BP26">
        <f t="shared" si="45"/>
        <v>5</v>
      </c>
      <c r="BQ26">
        <f t="shared" si="42"/>
        <v>1.6094379124341003</v>
      </c>
      <c r="BR26">
        <f t="shared" si="43"/>
        <v>0.91012129326662006</v>
      </c>
      <c r="BS26">
        <f t="shared" si="44"/>
        <v>0.27604059116565138</v>
      </c>
      <c r="BU26">
        <f t="shared" si="46"/>
        <v>0.4</v>
      </c>
      <c r="BV26">
        <f t="shared" si="41"/>
        <v>0.80827229113620269</v>
      </c>
    </row>
    <row r="27" spans="1:74" x14ac:dyDescent="0.25">
      <c r="B27" s="2"/>
      <c r="Q27" s="30"/>
      <c r="R27" s="31"/>
      <c r="S27" s="31"/>
      <c r="T27" s="31"/>
      <c r="U27" s="31"/>
      <c r="V27" s="31"/>
      <c r="AS27" s="30"/>
      <c r="BP27">
        <f t="shared" si="45"/>
        <v>6</v>
      </c>
      <c r="BQ27">
        <f t="shared" si="42"/>
        <v>1.791759469228055</v>
      </c>
      <c r="BR27">
        <f t="shared" si="43"/>
        <v>0.90580471036790178</v>
      </c>
      <c r="BS27">
        <f t="shared" si="44"/>
        <v>0.30965336588943237</v>
      </c>
      <c r="BU27">
        <f t="shared" si="46"/>
        <v>0.5</v>
      </c>
      <c r="BV27">
        <f t="shared" si="41"/>
        <v>0.80827228736012913</v>
      </c>
    </row>
    <row r="28" spans="1:74" x14ac:dyDescent="0.25">
      <c r="B28" s="2"/>
      <c r="Q28" s="30"/>
      <c r="R28" s="31"/>
      <c r="S28" s="31"/>
      <c r="T28" s="31"/>
      <c r="U28" s="31"/>
      <c r="V28" s="31"/>
      <c r="AS28" s="30"/>
      <c r="BP28">
        <f t="shared" si="45"/>
        <v>7</v>
      </c>
      <c r="BQ28">
        <f t="shared" si="42"/>
        <v>1.9459101490553132</v>
      </c>
      <c r="BR28">
        <f t="shared" si="43"/>
        <v>0.90196183089833593</v>
      </c>
      <c r="BS28">
        <f t="shared" si="44"/>
        <v>0.33838847910654657</v>
      </c>
      <c r="BU28">
        <f t="shared" si="46"/>
        <v>0.6</v>
      </c>
      <c r="BV28">
        <f t="shared" si="41"/>
        <v>0.80827228350371361</v>
      </c>
    </row>
    <row r="29" spans="1:74" x14ac:dyDescent="0.25">
      <c r="B29" s="2"/>
      <c r="Q29" s="30"/>
      <c r="R29" s="31"/>
      <c r="S29" s="31"/>
      <c r="T29" s="31"/>
      <c r="U29" s="31"/>
      <c r="V29" s="31"/>
      <c r="AS29" s="30"/>
      <c r="BP29">
        <f t="shared" si="45"/>
        <v>8</v>
      </c>
      <c r="BQ29">
        <f t="shared" si="42"/>
        <v>2.0794415416798357</v>
      </c>
      <c r="BR29">
        <f t="shared" si="43"/>
        <v>0.89847902784446509</v>
      </c>
      <c r="BS29">
        <f t="shared" si="44"/>
        <v>0.36349633700567485</v>
      </c>
      <c r="BU29">
        <f t="shared" si="46"/>
        <v>0.7</v>
      </c>
      <c r="BV29">
        <f t="shared" si="41"/>
        <v>0.80827227956436443</v>
      </c>
    </row>
    <row r="30" spans="1:74" x14ac:dyDescent="0.25">
      <c r="B30" s="2"/>
      <c r="Q30" s="30"/>
      <c r="R30" s="31"/>
      <c r="S30" s="31"/>
      <c r="T30" s="31"/>
      <c r="U30" s="31"/>
      <c r="V30" s="31"/>
      <c r="AS30" s="30"/>
      <c r="BP30">
        <f t="shared" si="45"/>
        <v>9</v>
      </c>
      <c r="BQ30">
        <f t="shared" si="42"/>
        <v>2.1972245773362196</v>
      </c>
      <c r="BR30">
        <f t="shared" si="43"/>
        <v>0.89528046973783304</v>
      </c>
      <c r="BS30">
        <f t="shared" si="44"/>
        <v>0.38579609965964168</v>
      </c>
      <c r="BU30">
        <f t="shared" si="46"/>
        <v>0.79999999999999993</v>
      </c>
      <c r="BV30">
        <f t="shared" si="41"/>
        <v>0.80827227553937719</v>
      </c>
    </row>
    <row r="31" spans="1:74" x14ac:dyDescent="0.25">
      <c r="BP31">
        <f t="shared" si="45"/>
        <v>10</v>
      </c>
      <c r="BQ31">
        <f t="shared" si="42"/>
        <v>2.3025850929940459</v>
      </c>
      <c r="BR31">
        <f t="shared" si="43"/>
        <v>0.89231280613779884</v>
      </c>
      <c r="BS31">
        <f t="shared" si="44"/>
        <v>0.4058546225073032</v>
      </c>
      <c r="BU31">
        <f t="shared" si="46"/>
        <v>0.89999999999999991</v>
      </c>
      <c r="BV31">
        <f t="shared" si="41"/>
        <v>0.80827227142592872</v>
      </c>
    </row>
    <row r="32" spans="1:74" x14ac:dyDescent="0.25">
      <c r="Q32" s="32"/>
      <c r="BP32">
        <f>BP31+5</f>
        <v>15</v>
      </c>
      <c r="BQ32">
        <f t="shared" si="42"/>
        <v>2.7080502011022101</v>
      </c>
      <c r="BR32">
        <f t="shared" si="43"/>
        <v>0.879848893553969</v>
      </c>
      <c r="BS32">
        <f t="shared" si="44"/>
        <v>0.4838185582782154</v>
      </c>
      <c r="BU32">
        <f t="shared" si="46"/>
        <v>0.99999999999999989</v>
      </c>
      <c r="BV32">
        <f t="shared" si="41"/>
        <v>0.80827226722107026</v>
      </c>
    </row>
    <row r="33" spans="57:74" x14ac:dyDescent="0.25">
      <c r="BP33">
        <f t="shared" ref="BP33:BP39" si="47">BP32+5</f>
        <v>20</v>
      </c>
      <c r="BQ33">
        <f t="shared" si="42"/>
        <v>2.9957322735539909</v>
      </c>
      <c r="BR33">
        <f t="shared" si="43"/>
        <v>0.86984999035138133</v>
      </c>
      <c r="BS33">
        <f t="shared" si="44"/>
        <v>0.53956842999097721</v>
      </c>
      <c r="BU33">
        <f t="shared" si="46"/>
        <v>1.0999999999999999</v>
      </c>
      <c r="BV33">
        <f t="shared" si="41"/>
        <v>0.80827226292172072</v>
      </c>
    </row>
    <row r="34" spans="57:74" x14ac:dyDescent="0.25">
      <c r="BP34">
        <f t="shared" si="47"/>
        <v>25</v>
      </c>
      <c r="BQ34">
        <f t="shared" si="42"/>
        <v>3.2188758248682006</v>
      </c>
      <c r="BR34">
        <f t="shared" si="43"/>
        <v>0.86131452190275737</v>
      </c>
      <c r="BS34">
        <f t="shared" si="44"/>
        <v>0.5828049378614828</v>
      </c>
      <c r="BU34">
        <f t="shared" si="46"/>
        <v>1.2</v>
      </c>
      <c r="BV34">
        <f t="shared" si="41"/>
        <v>0.80827225852465856</v>
      </c>
    </row>
    <row r="35" spans="57:74" x14ac:dyDescent="0.25">
      <c r="BP35">
        <f t="shared" si="47"/>
        <v>30</v>
      </c>
      <c r="BQ35">
        <f t="shared" si="42"/>
        <v>3.4011973816621555</v>
      </c>
      <c r="BR35">
        <f t="shared" si="43"/>
        <v>0.85376331210823564</v>
      </c>
      <c r="BS35">
        <f t="shared" si="44"/>
        <v>0.61797098580623311</v>
      </c>
      <c r="BU35">
        <f t="shared" si="46"/>
        <v>1.3</v>
      </c>
      <c r="BV35">
        <f t="shared" si="41"/>
        <v>0.80827225402651448</v>
      </c>
    </row>
    <row r="36" spans="57:74" x14ac:dyDescent="0.25">
      <c r="BP36">
        <f t="shared" si="47"/>
        <v>35</v>
      </c>
      <c r="BQ36">
        <f t="shared" si="42"/>
        <v>3.5553480614894135</v>
      </c>
      <c r="BR36">
        <f t="shared" si="43"/>
        <v>0.84692609437819422</v>
      </c>
      <c r="BS36">
        <f t="shared" si="44"/>
        <v>0.64748580981932835</v>
      </c>
      <c r="BU36">
        <f t="shared" si="46"/>
        <v>1.4000000000000001</v>
      </c>
      <c r="BV36">
        <f t="shared" si="41"/>
        <v>0.80827224942376252</v>
      </c>
    </row>
    <row r="37" spans="57:74" x14ac:dyDescent="0.25">
      <c r="BP37">
        <f t="shared" si="47"/>
        <v>40</v>
      </c>
      <c r="BQ37">
        <f t="shared" si="42"/>
        <v>3.6888794541139363</v>
      </c>
      <c r="BR37">
        <f t="shared" si="43"/>
        <v>0.84063391913611418</v>
      </c>
      <c r="BS37">
        <f t="shared" si="44"/>
        <v>0.67281712840632812</v>
      </c>
      <c r="BU37">
        <f t="shared" si="46"/>
        <v>1.5000000000000002</v>
      </c>
      <c r="BV37">
        <f t="shared" si="41"/>
        <v>0.80827224471271042</v>
      </c>
    </row>
    <row r="38" spans="57:74" x14ac:dyDescent="0.25">
      <c r="BE38" t="s">
        <v>217</v>
      </c>
      <c r="BG38">
        <f>Q4</f>
        <v>5.01</v>
      </c>
      <c r="BH38">
        <f t="shared" ref="BH38:BK38" si="48">R4</f>
        <v>3.3043333333333336</v>
      </c>
      <c r="BI38">
        <f t="shared" si="48"/>
        <v>4.0238888888888891</v>
      </c>
      <c r="BJ38">
        <f t="shared" si="48"/>
        <v>3.5799999999999996</v>
      </c>
      <c r="BK38">
        <f t="shared" si="48"/>
        <v>1.3319999999999999</v>
      </c>
      <c r="BL38">
        <f t="shared" ref="BL38" si="49">AVERAGE(BK38,BM38)</f>
        <v>1.0813030303030302</v>
      </c>
      <c r="BM38">
        <f>V4</f>
        <v>0.83060606060606057</v>
      </c>
      <c r="BP38">
        <f t="shared" si="47"/>
        <v>45</v>
      </c>
      <c r="BQ38">
        <f t="shared" si="42"/>
        <v>3.8066624897703196</v>
      </c>
      <c r="BR38">
        <f t="shared" si="43"/>
        <v>0.8347734080477065</v>
      </c>
      <c r="BS38">
        <f t="shared" si="44"/>
        <v>0.6949243646841885</v>
      </c>
      <c r="BU38">
        <f t="shared" si="46"/>
        <v>1.6000000000000003</v>
      </c>
      <c r="BV38">
        <f t="shared" si="41"/>
        <v>0.80827223988949048</v>
      </c>
    </row>
    <row r="39" spans="57:74" x14ac:dyDescent="0.25">
      <c r="BP39">
        <f t="shared" si="47"/>
        <v>50</v>
      </c>
      <c r="BQ39">
        <f t="shared" si="42"/>
        <v>3.912023005428146</v>
      </c>
      <c r="BR39">
        <f t="shared" si="43"/>
        <v>0.82926440807702773</v>
      </c>
      <c r="BS39">
        <f t="shared" si="44"/>
        <v>0.71447001455916515</v>
      </c>
      <c r="BU39">
        <f t="shared" si="46"/>
        <v>1.7000000000000004</v>
      </c>
      <c r="BV39">
        <f t="shared" si="41"/>
        <v>0.8082722349500483</v>
      </c>
    </row>
    <row r="40" spans="57:74" x14ac:dyDescent="0.25">
      <c r="BP40">
        <f>BP39+10</f>
        <v>60</v>
      </c>
      <c r="BQ40">
        <f t="shared" si="42"/>
        <v>4.0943445622221004</v>
      </c>
      <c r="BR40">
        <f t="shared" si="43"/>
        <v>0.81907923870333688</v>
      </c>
      <c r="BS40">
        <f t="shared" si="44"/>
        <v>0.74766316959566648</v>
      </c>
      <c r="BU40">
        <f t="shared" si="46"/>
        <v>1.8000000000000005</v>
      </c>
      <c r="BV40">
        <f t="shared" si="41"/>
        <v>0.80827222989013203</v>
      </c>
    </row>
    <row r="41" spans="57:74" x14ac:dyDescent="0.25">
      <c r="BP41">
        <f t="shared" ref="BP41:BP54" si="50">BP40+10</f>
        <v>70</v>
      </c>
      <c r="BQ41">
        <f t="shared" si="42"/>
        <v>4.2484952420493594</v>
      </c>
      <c r="BR41">
        <f t="shared" si="43"/>
        <v>0.80975263189700109</v>
      </c>
      <c r="BS41">
        <f t="shared" si="44"/>
        <v>0.77496755104351545</v>
      </c>
      <c r="BU41">
        <f t="shared" si="46"/>
        <v>1.9000000000000006</v>
      </c>
      <c r="BV41">
        <f t="shared" si="41"/>
        <v>0.80827222470527949</v>
      </c>
    </row>
    <row r="42" spans="57:74" x14ac:dyDescent="0.25">
      <c r="BP42">
        <f t="shared" si="50"/>
        <v>80</v>
      </c>
      <c r="BQ42">
        <f t="shared" si="42"/>
        <v>4.3820266346738812</v>
      </c>
      <c r="BR42">
        <f t="shared" si="43"/>
        <v>0.80108034151045548</v>
      </c>
      <c r="BS42">
        <f t="shared" si="44"/>
        <v>0.79793913541597239</v>
      </c>
      <c r="BU42">
        <f t="shared" si="46"/>
        <v>2.0000000000000004</v>
      </c>
      <c r="BV42">
        <f t="shared" si="41"/>
        <v>0.80827221939080562</v>
      </c>
    </row>
    <row r="43" spans="57:74" x14ac:dyDescent="0.25">
      <c r="BP43">
        <f t="shared" si="50"/>
        <v>90</v>
      </c>
      <c r="BQ43">
        <f t="shared" si="42"/>
        <v>4.499809670330265</v>
      </c>
      <c r="BR43">
        <f t="shared" si="43"/>
        <v>0.79292496189577877</v>
      </c>
      <c r="BS43">
        <f t="shared" si="44"/>
        <v>0.81759263741514543</v>
      </c>
      <c r="BU43">
        <f t="shared" si="46"/>
        <v>2.1000000000000005</v>
      </c>
      <c r="BV43">
        <f t="shared" si="41"/>
        <v>0.80827221394178816</v>
      </c>
    </row>
    <row r="44" spans="57:74" x14ac:dyDescent="0.25">
      <c r="BP44">
        <f t="shared" si="50"/>
        <v>100</v>
      </c>
      <c r="BQ44">
        <f t="shared" si="42"/>
        <v>4.6051701859880918</v>
      </c>
      <c r="BR44">
        <f t="shared" si="43"/>
        <v>0.78518914172563514</v>
      </c>
      <c r="BS44">
        <f t="shared" si="44"/>
        <v>0.83462711013196844</v>
      </c>
      <c r="BU44">
        <f t="shared" si="46"/>
        <v>2.2000000000000006</v>
      </c>
      <c r="BV44">
        <f t="shared" si="41"/>
        <v>0.80827220835305225</v>
      </c>
    </row>
    <row r="45" spans="57:74" x14ac:dyDescent="0.25">
      <c r="BP45">
        <f t="shared" si="50"/>
        <v>110</v>
      </c>
      <c r="BQ45">
        <f t="shared" si="42"/>
        <v>4.7004803657924166</v>
      </c>
      <c r="BR45">
        <f t="shared" si="43"/>
        <v>0.77780111311839573</v>
      </c>
      <c r="BS45">
        <f t="shared" si="44"/>
        <v>0.84954484676076014</v>
      </c>
      <c r="BU45">
        <f t="shared" si="46"/>
        <v>2.3000000000000007</v>
      </c>
      <c r="BV45">
        <f t="shared" si="41"/>
        <v>0.80827220261915433</v>
      </c>
    </row>
    <row r="46" spans="57:74" x14ac:dyDescent="0.25">
      <c r="BP46">
        <f t="shared" si="50"/>
        <v>120</v>
      </c>
      <c r="BQ46">
        <f t="shared" si="42"/>
        <v>4.7874917427820458</v>
      </c>
      <c r="BR46">
        <f t="shared" si="43"/>
        <v>0.77070627637324507</v>
      </c>
      <c r="BS46">
        <f t="shared" si="44"/>
        <v>0.86271900397276902</v>
      </c>
      <c r="BU46">
        <f t="shared" si="46"/>
        <v>2.4000000000000008</v>
      </c>
      <c r="BV46">
        <f t="shared" si="41"/>
        <v>0.80827219673436446</v>
      </c>
    </row>
    <row r="47" spans="57:74" x14ac:dyDescent="0.25">
      <c r="BP47">
        <f t="shared" si="50"/>
        <v>130</v>
      </c>
      <c r="BQ47">
        <f t="shared" si="42"/>
        <v>4.8675344504555822</v>
      </c>
      <c r="BR47">
        <f t="shared" si="43"/>
        <v>0.76386201641897999</v>
      </c>
      <c r="BS47">
        <f t="shared" si="44"/>
        <v>0.87443441809294398</v>
      </c>
      <c r="BU47">
        <f t="shared" si="46"/>
        <v>2.5000000000000009</v>
      </c>
      <c r="BV47">
        <f t="shared" si="41"/>
        <v>0.80827219069264677</v>
      </c>
    </row>
    <row r="48" spans="57:74" x14ac:dyDescent="0.25">
      <c r="BP48">
        <f t="shared" si="50"/>
        <v>140</v>
      </c>
      <c r="BQ48">
        <f t="shared" si="42"/>
        <v>4.9416424226093039</v>
      </c>
      <c r="BR48">
        <f t="shared" si="43"/>
        <v>0.7572343586762027</v>
      </c>
      <c r="BS48">
        <f t="shared" si="44"/>
        <v>0.88491344827388807</v>
      </c>
      <c r="BU48">
        <f t="shared" si="46"/>
        <v>2.600000000000001</v>
      </c>
      <c r="BV48">
        <f t="shared" si="41"/>
        <v>0.80827218448763949</v>
      </c>
    </row>
    <row r="49" spans="68:74" x14ac:dyDescent="0.25">
      <c r="BP49">
        <f t="shared" si="50"/>
        <v>150</v>
      </c>
      <c r="BQ49">
        <f t="shared" si="42"/>
        <v>5.0106352940962555</v>
      </c>
      <c r="BR49">
        <f t="shared" si="43"/>
        <v>0.75079572787420124</v>
      </c>
      <c r="BS49">
        <f t="shared" si="44"/>
        <v>0.89433299656138121</v>
      </c>
      <c r="BU49">
        <f t="shared" si="46"/>
        <v>2.7000000000000011</v>
      </c>
      <c r="BV49">
        <f t="shared" si="41"/>
        <v>0.80827217811263197</v>
      </c>
    </row>
    <row r="50" spans="68:74" x14ac:dyDescent="0.25">
      <c r="BP50">
        <f t="shared" si="50"/>
        <v>160</v>
      </c>
      <c r="BQ50">
        <f t="shared" si="42"/>
        <v>5.0751738152338266</v>
      </c>
      <c r="BR50">
        <f t="shared" si="43"/>
        <v>0.74452339735186701</v>
      </c>
      <c r="BS50">
        <f t="shared" si="44"/>
        <v>0.90283609332738779</v>
      </c>
      <c r="BU50">
        <f t="shared" si="46"/>
        <v>2.8000000000000012</v>
      </c>
      <c r="BV50">
        <f t="shared" si="41"/>
        <v>0.80827217156054088</v>
      </c>
    </row>
    <row r="51" spans="68:74" x14ac:dyDescent="0.25">
      <c r="BP51">
        <f t="shared" si="50"/>
        <v>170</v>
      </c>
      <c r="BQ51">
        <f t="shared" si="42"/>
        <v>5.1357984370502621</v>
      </c>
      <c r="BR51">
        <f t="shared" si="43"/>
        <v>0.73839838659247792</v>
      </c>
      <c r="BS51">
        <f t="shared" si="44"/>
        <v>0.91054000803782009</v>
      </c>
      <c r="BU51">
        <f t="shared" si="46"/>
        <v>2.9000000000000012</v>
      </c>
      <c r="BV51">
        <f t="shared" si="41"/>
        <v>0.80827216482388387</v>
      </c>
    </row>
    <row r="52" spans="68:74" x14ac:dyDescent="0.25">
      <c r="BP52">
        <f t="shared" si="50"/>
        <v>180</v>
      </c>
      <c r="BQ52">
        <f t="shared" si="42"/>
        <v>5.1929568508902104</v>
      </c>
      <c r="BR52">
        <f t="shared" si="43"/>
        <v>0.73240465888899264</v>
      </c>
      <c r="BS52">
        <f t="shared" si="44"/>
        <v>0.91754206657603909</v>
      </c>
      <c r="BU52">
        <f t="shared" si="46"/>
        <v>3.0000000000000013</v>
      </c>
      <c r="BV52">
        <f t="shared" si="41"/>
        <v>0.80827215789475104</v>
      </c>
    </row>
    <row r="53" spans="68:74" x14ac:dyDescent="0.25">
      <c r="BP53">
        <f t="shared" si="50"/>
        <v>190</v>
      </c>
      <c r="BQ53">
        <f t="shared" si="42"/>
        <v>5.2470240721604862</v>
      </c>
      <c r="BR53">
        <f t="shared" si="43"/>
        <v>0.72652852542636714</v>
      </c>
      <c r="BS53">
        <f t="shared" si="44"/>
        <v>0.92392391251925343</v>
      </c>
      <c r="BU53">
        <f t="shared" si="46"/>
        <v>3.1000000000000014</v>
      </c>
      <c r="BV53">
        <f t="shared" si="41"/>
        <v>0.80827215076477366</v>
      </c>
    </row>
    <row r="54" spans="68:74" x14ac:dyDescent="0.25">
      <c r="BP54">
        <f t="shared" si="50"/>
        <v>200</v>
      </c>
      <c r="BQ54">
        <f t="shared" si="42"/>
        <v>5.2983173665480363</v>
      </c>
      <c r="BR54">
        <f t="shared" si="43"/>
        <v>0.72075819468806512</v>
      </c>
      <c r="BS54">
        <f t="shared" si="44"/>
        <v>0.92975468696968566</v>
      </c>
      <c r="BU54">
        <f t="shared" si="46"/>
        <v>3.2000000000000015</v>
      </c>
      <c r="BV54">
        <f t="shared" ref="BV54:BV85" si="51">MAX(0,($BG$16+1/($BG$17*$BG$18))-1/((10-BU54) * $BG$18))</f>
        <v>0.80827214342509113</v>
      </c>
    </row>
    <row r="55" spans="68:74" x14ac:dyDescent="0.25">
      <c r="BP55">
        <f>BP54+50</f>
        <v>250</v>
      </c>
      <c r="BQ55">
        <f t="shared" si="42"/>
        <v>5.521460917862246</v>
      </c>
      <c r="BR55">
        <f t="shared" si="43"/>
        <v>0.69317584095074125</v>
      </c>
      <c r="BS55">
        <f t="shared" si="44"/>
        <v>0.95244943915188174</v>
      </c>
      <c r="BU55">
        <f t="shared" si="46"/>
        <v>3.3000000000000016</v>
      </c>
      <c r="BV55">
        <f t="shared" si="51"/>
        <v>0.80827213586631352</v>
      </c>
    </row>
    <row r="56" spans="68:74" x14ac:dyDescent="0.25">
      <c r="BP56">
        <f t="shared" ref="BP56:BP70" si="52">BP55+50</f>
        <v>300</v>
      </c>
      <c r="BQ56">
        <f t="shared" si="42"/>
        <v>5.7037824746562009</v>
      </c>
      <c r="BR56">
        <f t="shared" si="43"/>
        <v>0.66711978373630698</v>
      </c>
      <c r="BS56">
        <f t="shared" si="44"/>
        <v>0.96758398203144513</v>
      </c>
      <c r="BU56">
        <f t="shared" si="46"/>
        <v>3.4000000000000017</v>
      </c>
      <c r="BV56">
        <f t="shared" si="51"/>
        <v>0.80827212807848214</v>
      </c>
    </row>
    <row r="57" spans="68:74" x14ac:dyDescent="0.25">
      <c r="BP57">
        <f t="shared" si="52"/>
        <v>350</v>
      </c>
      <c r="BQ57">
        <f t="shared" si="42"/>
        <v>5.857933154483459</v>
      </c>
      <c r="BR57">
        <f t="shared" si="43"/>
        <v>0.64205435800763322</v>
      </c>
      <c r="BS57">
        <f t="shared" si="44"/>
        <v>0.97789759943806631</v>
      </c>
      <c r="BU57">
        <f t="shared" si="46"/>
        <v>3.5000000000000018</v>
      </c>
      <c r="BV57">
        <f t="shared" si="51"/>
        <v>0.80827212005102511</v>
      </c>
    </row>
    <row r="58" spans="68:74" x14ac:dyDescent="0.25">
      <c r="BP58">
        <f t="shared" si="52"/>
        <v>400</v>
      </c>
      <c r="BQ58">
        <f t="shared" si="42"/>
        <v>5.9914645471079817</v>
      </c>
      <c r="BR58">
        <f t="shared" si="43"/>
        <v>0.61763593864421518</v>
      </c>
      <c r="BS58">
        <f t="shared" si="44"/>
        <v>0.9850015268695701</v>
      </c>
      <c r="BU58">
        <f t="shared" si="46"/>
        <v>3.6000000000000019</v>
      </c>
      <c r="BV58">
        <f t="shared" si="51"/>
        <v>0.80827211177271008</v>
      </c>
    </row>
    <row r="59" spans="68:74" x14ac:dyDescent="0.25">
      <c r="BP59">
        <f t="shared" si="52"/>
        <v>450</v>
      </c>
      <c r="BQ59">
        <f t="shared" si="42"/>
        <v>6.1092475827643655</v>
      </c>
      <c r="BR59">
        <f t="shared" si="43"/>
        <v>0.59362654672186865</v>
      </c>
      <c r="BS59">
        <f t="shared" si="44"/>
        <v>0.9899108493790626</v>
      </c>
      <c r="BU59">
        <f t="shared" si="46"/>
        <v>3.700000000000002</v>
      </c>
      <c r="BV59">
        <f t="shared" si="51"/>
        <v>0.80827210323159138</v>
      </c>
    </row>
    <row r="60" spans="68:74" x14ac:dyDescent="0.25">
      <c r="BP60">
        <f t="shared" si="52"/>
        <v>500</v>
      </c>
      <c r="BQ60">
        <f t="shared" si="42"/>
        <v>6.2146080984221914</v>
      </c>
      <c r="BR60">
        <f t="shared" si="43"/>
        <v>0.569851292413324</v>
      </c>
      <c r="BS60">
        <f t="shared" si="44"/>
        <v>0.99329595624928546</v>
      </c>
      <c r="BU60">
        <f t="shared" si="46"/>
        <v>3.800000000000002</v>
      </c>
      <c r="BV60">
        <f t="shared" si="51"/>
        <v>0.80827209441495274</v>
      </c>
    </row>
    <row r="61" spans="68:74" x14ac:dyDescent="0.25">
      <c r="BP61">
        <f t="shared" si="52"/>
        <v>550</v>
      </c>
      <c r="BQ61">
        <f t="shared" si="42"/>
        <v>6.3099182782265162</v>
      </c>
      <c r="BR61">
        <f t="shared" si="43"/>
        <v>0.54617525808218648</v>
      </c>
      <c r="BS61">
        <f t="shared" si="44"/>
        <v>0.99561427203877517</v>
      </c>
      <c r="BU61">
        <f t="shared" si="46"/>
        <v>3.9000000000000021</v>
      </c>
      <c r="BV61">
        <f t="shared" si="51"/>
        <v>0.80827208530924388</v>
      </c>
    </row>
    <row r="62" spans="68:74" x14ac:dyDescent="0.25">
      <c r="BP62">
        <f t="shared" si="52"/>
        <v>600</v>
      </c>
      <c r="BQ62">
        <f t="shared" si="42"/>
        <v>6.3969296552161463</v>
      </c>
      <c r="BR62">
        <f t="shared" si="43"/>
        <v>0.52248997636488048</v>
      </c>
      <c r="BS62">
        <f t="shared" si="44"/>
        <v>0.99718485288033465</v>
      </c>
      <c r="BU62">
        <f t="shared" si="46"/>
        <v>4.0000000000000018</v>
      </c>
      <c r="BV62">
        <f t="shared" si="51"/>
        <v>0.80827207590001149</v>
      </c>
    </row>
    <row r="63" spans="68:74" x14ac:dyDescent="0.25">
      <c r="BP63">
        <f t="shared" si="52"/>
        <v>650</v>
      </c>
      <c r="BQ63">
        <f t="shared" si="42"/>
        <v>6.4769723628896827</v>
      </c>
      <c r="BR63">
        <f t="shared" si="43"/>
        <v>0.49870504279401651</v>
      </c>
      <c r="BS63">
        <f t="shared" si="44"/>
        <v>0.99823331524566505</v>
      </c>
      <c r="BU63">
        <f t="shared" si="46"/>
        <v>4.1000000000000014</v>
      </c>
      <c r="BV63">
        <f t="shared" si="51"/>
        <v>0.80827206617182212</v>
      </c>
    </row>
    <row r="64" spans="68:74" x14ac:dyDescent="0.25">
      <c r="BP64">
        <f t="shared" si="52"/>
        <v>700</v>
      </c>
      <c r="BQ64">
        <f t="shared" si="42"/>
        <v>6.5510803350434044</v>
      </c>
      <c r="BR64">
        <f t="shared" si="43"/>
        <v>0.4747426555796147</v>
      </c>
      <c r="BS64">
        <f t="shared" si="44"/>
        <v>0.99892029773640656</v>
      </c>
      <c r="BU64">
        <f t="shared" si="46"/>
        <v>4.2000000000000011</v>
      </c>
      <c r="BV64">
        <f t="shared" si="51"/>
        <v>0.80827205610817787</v>
      </c>
    </row>
    <row r="65" spans="68:74" x14ac:dyDescent="0.25">
      <c r="BP65">
        <f t="shared" si="52"/>
        <v>750</v>
      </c>
      <c r="BQ65">
        <f t="shared" si="42"/>
        <v>6.620073206530356</v>
      </c>
      <c r="BR65">
        <f t="shared" si="43"/>
        <v>0.45053391098406859</v>
      </c>
      <c r="BS65">
        <f t="shared" si="44"/>
        <v>0.99936027059099286</v>
      </c>
      <c r="BU65">
        <f t="shared" si="46"/>
        <v>4.3000000000000007</v>
      </c>
      <c r="BV65">
        <f t="shared" si="51"/>
        <v>0.8082720456914233</v>
      </c>
    </row>
    <row r="66" spans="68:74" x14ac:dyDescent="0.25">
      <c r="BP66">
        <f t="shared" si="52"/>
        <v>800</v>
      </c>
      <c r="BQ66">
        <f t="shared" si="42"/>
        <v>6.6846117276679271</v>
      </c>
      <c r="BR66">
        <f t="shared" si="43"/>
        <v>0.42601619595390805</v>
      </c>
      <c r="BS66">
        <f t="shared" si="44"/>
        <v>0.99963441988520285</v>
      </c>
      <c r="BU66">
        <f t="shared" si="46"/>
        <v>4.4000000000000004</v>
      </c>
      <c r="BV66">
        <f t="shared" si="51"/>
        <v>0.80827203490264177</v>
      </c>
    </row>
    <row r="67" spans="68:74" x14ac:dyDescent="0.25">
      <c r="BP67">
        <f t="shared" si="52"/>
        <v>850</v>
      </c>
      <c r="BQ67">
        <f t="shared" si="42"/>
        <v>6.7452363494843626</v>
      </c>
      <c r="BR67">
        <f t="shared" si="43"/>
        <v>0.4011312899840046</v>
      </c>
      <c r="BS67">
        <f t="shared" si="44"/>
        <v>0.99979974338743116</v>
      </c>
      <c r="BU67">
        <f t="shared" si="46"/>
        <v>4.5</v>
      </c>
      <c r="BV67">
        <f t="shared" si="51"/>
        <v>0.80827202372154094</v>
      </c>
    </row>
    <row r="68" spans="68:74" x14ac:dyDescent="0.25">
      <c r="BP68">
        <f t="shared" si="52"/>
        <v>900</v>
      </c>
      <c r="BQ68">
        <f t="shared" si="42"/>
        <v>6.8023947633243109</v>
      </c>
      <c r="BR68">
        <f t="shared" si="43"/>
        <v>0.37582393798420943</v>
      </c>
      <c r="BS68">
        <f t="shared" si="44"/>
        <v>0.99989563236245727</v>
      </c>
      <c r="BU68">
        <f t="shared" si="46"/>
        <v>4.5999999999999996</v>
      </c>
      <c r="BV68">
        <f t="shared" si="51"/>
        <v>0.80827201212632527</v>
      </c>
    </row>
    <row r="69" spans="68:74" x14ac:dyDescent="0.25">
      <c r="BP69">
        <f t="shared" si="52"/>
        <v>950</v>
      </c>
      <c r="BQ69">
        <f t="shared" si="42"/>
        <v>6.8564619845945867</v>
      </c>
      <c r="BR69">
        <f t="shared" si="43"/>
        <v>0.35004074256376294</v>
      </c>
      <c r="BS69">
        <f t="shared" si="44"/>
        <v>0.9999487247922485</v>
      </c>
      <c r="BU69">
        <f t="shared" si="46"/>
        <v>4.6999999999999993</v>
      </c>
      <c r="BV69">
        <f t="shared" si="51"/>
        <v>0.80827200009355427</v>
      </c>
    </row>
    <row r="70" spans="68:74" x14ac:dyDescent="0.25">
      <c r="BP70">
        <f t="shared" si="52"/>
        <v>1000</v>
      </c>
      <c r="BQ70">
        <f t="shared" si="42"/>
        <v>6.9077552789821368</v>
      </c>
      <c r="BR70">
        <f t="shared" si="43"/>
        <v>0.32372927612893865</v>
      </c>
      <c r="BS70">
        <f t="shared" si="44"/>
        <v>0.99997652847943408</v>
      </c>
      <c r="BU70">
        <f t="shared" si="46"/>
        <v>4.7999999999999989</v>
      </c>
      <c r="BV70">
        <f t="shared" si="51"/>
        <v>0.80827198759798435</v>
      </c>
    </row>
    <row r="71" spans="68:74" x14ac:dyDescent="0.25">
      <c r="BP71">
        <f>BP70+100</f>
        <v>1100</v>
      </c>
      <c r="BQ71">
        <f t="shared" si="42"/>
        <v>7.0030654587864616</v>
      </c>
      <c r="BR71">
        <f t="shared" si="43"/>
        <v>0.26931236104985612</v>
      </c>
      <c r="BS71">
        <f t="shared" si="44"/>
        <v>0.99999627364404764</v>
      </c>
      <c r="BU71">
        <f t="shared" si="46"/>
        <v>4.8999999999999986</v>
      </c>
      <c r="BV71">
        <f t="shared" si="51"/>
        <v>0.8082719746123922</v>
      </c>
    </row>
    <row r="72" spans="68:74" x14ac:dyDescent="0.25">
      <c r="BP72">
        <f t="shared" ref="BP72:BP121" si="53">BP71+100</f>
        <v>1200</v>
      </c>
      <c r="BQ72">
        <f t="shared" si="42"/>
        <v>7.0900768357760917</v>
      </c>
      <c r="BR72">
        <f t="shared" si="43"/>
        <v>0.21214759125512084</v>
      </c>
      <c r="BS72">
        <f t="shared" si="44"/>
        <v>0.99999965715129369</v>
      </c>
      <c r="BU72">
        <f t="shared" si="46"/>
        <v>4.9999999999999982</v>
      </c>
      <c r="BV72">
        <f t="shared" si="51"/>
        <v>0.8082719611073762</v>
      </c>
    </row>
    <row r="73" spans="68:74" x14ac:dyDescent="0.25">
      <c r="BP73">
        <f t="shared" si="53"/>
        <v>1300</v>
      </c>
      <c r="BQ73">
        <f t="shared" si="42"/>
        <v>7.1701195434496281</v>
      </c>
      <c r="BR73">
        <f t="shared" si="43"/>
        <v>0.15178612941977676</v>
      </c>
      <c r="BS73">
        <f t="shared" si="44"/>
        <v>0.99999998794846601</v>
      </c>
      <c r="BU73">
        <f t="shared" si="46"/>
        <v>5.0999999999999979</v>
      </c>
      <c r="BV73">
        <f t="shared" si="51"/>
        <v>0.80827194705113514</v>
      </c>
    </row>
    <row r="74" spans="68:74" x14ac:dyDescent="0.25">
      <c r="BP74">
        <f t="shared" si="53"/>
        <v>1400</v>
      </c>
      <c r="BQ74">
        <f t="shared" si="42"/>
        <v>7.2442275156033498</v>
      </c>
      <c r="BR74">
        <f t="shared" si="43"/>
        <v>8.7740372980924741E-2</v>
      </c>
      <c r="BS74">
        <f t="shared" si="44"/>
        <v>0.9999999999497986</v>
      </c>
      <c r="BU74">
        <f t="shared" si="46"/>
        <v>5.1999999999999975</v>
      </c>
      <c r="BV74">
        <f t="shared" si="51"/>
        <v>0.80827193240921746</v>
      </c>
    </row>
    <row r="75" spans="68:74" x14ac:dyDescent="0.25">
      <c r="BP75">
        <f t="shared" si="53"/>
        <v>1500</v>
      </c>
      <c r="BQ75">
        <f t="shared" si="42"/>
        <v>7.3132203870903014</v>
      </c>
      <c r="BR75">
        <f t="shared" si="43"/>
        <v>1.9468474626479715E-2</v>
      </c>
      <c r="BS75">
        <f t="shared" si="44"/>
        <v>1</v>
      </c>
      <c r="BU75">
        <f t="shared" si="46"/>
        <v>5.2999999999999972</v>
      </c>
      <c r="BV75">
        <f t="shared" si="51"/>
        <v>0.80827191714423929</v>
      </c>
    </row>
    <row r="76" spans="68:74" x14ac:dyDescent="0.25">
      <c r="BP76">
        <f t="shared" si="53"/>
        <v>1600</v>
      </c>
      <c r="BQ76">
        <f t="shared" si="42"/>
        <v>7.3777589082278725</v>
      </c>
      <c r="BR76">
        <f t="shared" si="43"/>
        <v>0</v>
      </c>
      <c r="BS76">
        <f t="shared" si="44"/>
        <v>1</v>
      </c>
      <c r="BU76">
        <f t="shared" si="46"/>
        <v>5.3999999999999968</v>
      </c>
      <c r="BV76">
        <f t="shared" si="51"/>
        <v>0.80827190121556647</v>
      </c>
    </row>
    <row r="77" spans="68:74" x14ac:dyDescent="0.25">
      <c r="BP77">
        <f t="shared" si="53"/>
        <v>1700</v>
      </c>
      <c r="BQ77">
        <f t="shared" si="42"/>
        <v>7.4383835300443071</v>
      </c>
      <c r="BR77">
        <f t="shared" si="43"/>
        <v>0</v>
      </c>
      <c r="BS77">
        <f t="shared" si="44"/>
        <v>1</v>
      </c>
      <c r="BU77">
        <f t="shared" si="46"/>
        <v>5.4999999999999964</v>
      </c>
      <c r="BV77">
        <f t="shared" si="51"/>
        <v>0.80827188457895272</v>
      </c>
    </row>
    <row r="78" spans="68:74" x14ac:dyDescent="0.25">
      <c r="BP78">
        <f t="shared" si="53"/>
        <v>1800</v>
      </c>
      <c r="BQ78">
        <f t="shared" si="42"/>
        <v>7.4955419438842563</v>
      </c>
      <c r="BR78">
        <f t="shared" si="43"/>
        <v>0</v>
      </c>
      <c r="BS78">
        <f t="shared" si="44"/>
        <v>1</v>
      </c>
      <c r="BU78">
        <f t="shared" si="46"/>
        <v>5.5999999999999961</v>
      </c>
      <c r="BV78">
        <f t="shared" si="51"/>
        <v>0.8082718671861292</v>
      </c>
    </row>
    <row r="79" spans="68:74" x14ac:dyDescent="0.25">
      <c r="BP79">
        <f t="shared" si="53"/>
        <v>1900</v>
      </c>
      <c r="BQ79">
        <f t="shared" si="42"/>
        <v>7.5496091651545321</v>
      </c>
      <c r="BR79">
        <f t="shared" si="43"/>
        <v>0</v>
      </c>
      <c r="BS79">
        <f t="shared" si="44"/>
        <v>1</v>
      </c>
      <c r="BU79">
        <f t="shared" si="46"/>
        <v>5.6999999999999957</v>
      </c>
      <c r="BV79">
        <f t="shared" si="51"/>
        <v>0.80827184898433713</v>
      </c>
    </row>
    <row r="80" spans="68:74" x14ac:dyDescent="0.25">
      <c r="BP80">
        <f t="shared" si="53"/>
        <v>2000</v>
      </c>
      <c r="BQ80">
        <f t="shared" si="42"/>
        <v>7.6009024595420822</v>
      </c>
      <c r="BR80">
        <f t="shared" si="43"/>
        <v>0</v>
      </c>
      <c r="BS80">
        <f t="shared" si="44"/>
        <v>1</v>
      </c>
      <c r="BU80">
        <f t="shared" si="46"/>
        <v>5.7999999999999954</v>
      </c>
      <c r="BV80">
        <f t="shared" si="51"/>
        <v>0.80827182991579305</v>
      </c>
    </row>
    <row r="81" spans="68:74" x14ac:dyDescent="0.25">
      <c r="BP81">
        <f t="shared" si="53"/>
        <v>2100</v>
      </c>
      <c r="BQ81">
        <f t="shared" si="42"/>
        <v>7.6496926237115144</v>
      </c>
      <c r="BR81">
        <f t="shared" si="43"/>
        <v>0</v>
      </c>
      <c r="BS81">
        <f t="shared" si="44"/>
        <v>1</v>
      </c>
      <c r="BU81">
        <f t="shared" si="46"/>
        <v>5.899999999999995</v>
      </c>
      <c r="BV81">
        <f t="shared" si="51"/>
        <v>0.80827180991707614</v>
      </c>
    </row>
    <row r="82" spans="68:74" x14ac:dyDescent="0.25">
      <c r="BP82">
        <f t="shared" si="53"/>
        <v>2200</v>
      </c>
      <c r="BQ82">
        <f t="shared" si="42"/>
        <v>7.696212639346407</v>
      </c>
      <c r="BR82">
        <f t="shared" si="43"/>
        <v>0</v>
      </c>
      <c r="BS82">
        <f t="shared" si="44"/>
        <v>1</v>
      </c>
      <c r="BU82">
        <f t="shared" si="46"/>
        <v>5.9999999999999947</v>
      </c>
      <c r="BV82">
        <f t="shared" si="51"/>
        <v>0.80827178891842333</v>
      </c>
    </row>
    <row r="83" spans="68:74" x14ac:dyDescent="0.25">
      <c r="BP83">
        <f t="shared" si="53"/>
        <v>2300</v>
      </c>
      <c r="BQ83">
        <f t="shared" si="42"/>
        <v>7.7406644019172415</v>
      </c>
      <c r="BR83">
        <f t="shared" si="43"/>
        <v>0</v>
      </c>
      <c r="BS83">
        <f t="shared" si="44"/>
        <v>1</v>
      </c>
      <c r="BU83">
        <f t="shared" si="46"/>
        <v>6.0999999999999943</v>
      </c>
      <c r="BV83">
        <f t="shared" si="51"/>
        <v>0.80827176684291657</v>
      </c>
    </row>
    <row r="84" spans="68:74" x14ac:dyDescent="0.25">
      <c r="BP84">
        <f t="shared" si="53"/>
        <v>2400</v>
      </c>
      <c r="BQ84">
        <f t="shared" si="42"/>
        <v>7.7832240163360371</v>
      </c>
      <c r="BR84">
        <f t="shared" si="43"/>
        <v>0</v>
      </c>
      <c r="BS84">
        <f t="shared" si="44"/>
        <v>1</v>
      </c>
      <c r="BU84">
        <f t="shared" si="46"/>
        <v>6.199999999999994</v>
      </c>
      <c r="BV84">
        <f t="shared" si="51"/>
        <v>0.80827174360554099</v>
      </c>
    </row>
    <row r="85" spans="68:74" x14ac:dyDescent="0.25">
      <c r="BP85">
        <f t="shared" si="53"/>
        <v>2500</v>
      </c>
      <c r="BQ85">
        <f t="shared" si="42"/>
        <v>7.8240460108562919</v>
      </c>
      <c r="BR85">
        <f t="shared" si="43"/>
        <v>0</v>
      </c>
      <c r="BS85">
        <f t="shared" si="44"/>
        <v>1</v>
      </c>
      <c r="BU85">
        <f t="shared" si="46"/>
        <v>6.2999999999999936</v>
      </c>
      <c r="BV85">
        <f t="shared" si="51"/>
        <v>0.80827171911209106</v>
      </c>
    </row>
    <row r="86" spans="68:74" x14ac:dyDescent="0.25">
      <c r="BP86">
        <f t="shared" si="53"/>
        <v>2600</v>
      </c>
      <c r="BQ86">
        <f t="shared" si="42"/>
        <v>7.8632667240095735</v>
      </c>
      <c r="BR86">
        <f t="shared" si="43"/>
        <v>0</v>
      </c>
      <c r="BS86">
        <f t="shared" si="44"/>
        <v>1</v>
      </c>
      <c r="BU86">
        <f t="shared" si="46"/>
        <v>6.3999999999999932</v>
      </c>
      <c r="BV86">
        <f t="shared" ref="BV86:BV117" si="54">MAX(0,($BG$16+1/($BG$17*$BG$18))-1/((10-BU86) * $BG$18))</f>
        <v>0.80827169325789394</v>
      </c>
    </row>
    <row r="87" spans="68:74" x14ac:dyDescent="0.25">
      <c r="BP87">
        <f t="shared" si="53"/>
        <v>2700</v>
      </c>
      <c r="BQ87">
        <f t="shared" ref="BQ87:BQ121" si="55">LN(BP87)</f>
        <v>7.90100705199242</v>
      </c>
      <c r="BR87">
        <f t="shared" ref="BR87:BR121" si="56">MAX(0,(0.94+1/(8.3*0.97))-1/((8.3-MIN(8.2,BQ87)) * 0.97))</f>
        <v>0</v>
      </c>
      <c r="BS87">
        <f t="shared" ref="BS87:BS121" si="57">1-(BR87/0.94)^10</f>
        <v>1</v>
      </c>
      <c r="BU87">
        <f t="shared" si="46"/>
        <v>6.4999999999999929</v>
      </c>
      <c r="BV87">
        <f t="shared" si="54"/>
        <v>0.80827166592631405</v>
      </c>
    </row>
    <row r="88" spans="68:74" x14ac:dyDescent="0.25">
      <c r="BP88">
        <f t="shared" si="53"/>
        <v>2800</v>
      </c>
      <c r="BQ88">
        <f t="shared" si="55"/>
        <v>7.9373746961632952</v>
      </c>
      <c r="BR88">
        <f t="shared" si="56"/>
        <v>0</v>
      </c>
      <c r="BS88">
        <f t="shared" si="57"/>
        <v>1</v>
      </c>
      <c r="BU88">
        <f t="shared" ref="BU88:BU96" si="58">BU87+0.1</f>
        <v>6.5999999999999925</v>
      </c>
      <c r="BV88">
        <f t="shared" si="54"/>
        <v>0.80827163698699422</v>
      </c>
    </row>
    <row r="89" spans="68:74" x14ac:dyDescent="0.25">
      <c r="BP89">
        <f t="shared" si="53"/>
        <v>2900</v>
      </c>
      <c r="BQ89">
        <f t="shared" si="55"/>
        <v>7.9724660159745655</v>
      </c>
      <c r="BR89">
        <f t="shared" si="56"/>
        <v>0</v>
      </c>
      <c r="BS89">
        <f t="shared" si="57"/>
        <v>1</v>
      </c>
      <c r="BU89">
        <f t="shared" si="58"/>
        <v>6.6999999999999922</v>
      </c>
      <c r="BV89">
        <f t="shared" si="54"/>
        <v>0.80827160629377626</v>
      </c>
    </row>
    <row r="90" spans="68:74" x14ac:dyDescent="0.25">
      <c r="BP90">
        <f t="shared" si="53"/>
        <v>3000</v>
      </c>
      <c r="BQ90">
        <f t="shared" si="55"/>
        <v>8.0063675676502459</v>
      </c>
      <c r="BR90">
        <f t="shared" si="56"/>
        <v>0</v>
      </c>
      <c r="BS90">
        <f t="shared" si="57"/>
        <v>1</v>
      </c>
      <c r="BU90">
        <f t="shared" si="58"/>
        <v>6.7999999999999918</v>
      </c>
      <c r="BV90">
        <f t="shared" si="54"/>
        <v>0.80827157368223213</v>
      </c>
    </row>
    <row r="91" spans="68:74" x14ac:dyDescent="0.25">
      <c r="BP91">
        <f t="shared" si="53"/>
        <v>3100</v>
      </c>
      <c r="BQ91">
        <f t="shared" si="55"/>
        <v>8.0391573904732372</v>
      </c>
      <c r="BR91">
        <f t="shared" si="56"/>
        <v>0</v>
      </c>
      <c r="BS91">
        <f t="shared" si="57"/>
        <v>1</v>
      </c>
      <c r="BU91">
        <f t="shared" si="58"/>
        <v>6.8999999999999915</v>
      </c>
      <c r="BV91">
        <f t="shared" si="54"/>
        <v>0.80827153896671744</v>
      </c>
    </row>
    <row r="92" spans="68:74" x14ac:dyDescent="0.25">
      <c r="BP92">
        <f t="shared" si="53"/>
        <v>3200</v>
      </c>
      <c r="BQ92">
        <f t="shared" si="55"/>
        <v>8.0709060887878188</v>
      </c>
      <c r="BR92">
        <f t="shared" si="56"/>
        <v>0</v>
      </c>
      <c r="BS92">
        <f t="shared" si="57"/>
        <v>1</v>
      </c>
      <c r="BU92">
        <f t="shared" si="58"/>
        <v>6.9999999999999911</v>
      </c>
      <c r="BV92">
        <f t="shared" si="54"/>
        <v>0.80827150193683506</v>
      </c>
    </row>
    <row r="93" spans="68:74" x14ac:dyDescent="0.25">
      <c r="BP93">
        <f t="shared" si="53"/>
        <v>3300</v>
      </c>
      <c r="BQ93">
        <f t="shared" si="55"/>
        <v>8.1016777474545716</v>
      </c>
      <c r="BR93">
        <f t="shared" si="56"/>
        <v>0</v>
      </c>
      <c r="BS93">
        <f t="shared" si="57"/>
        <v>1</v>
      </c>
      <c r="BU93">
        <f t="shared" si="58"/>
        <v>7.0999999999999908</v>
      </c>
      <c r="BV93">
        <f t="shared" si="54"/>
        <v>0.80827146235316771</v>
      </c>
    </row>
    <row r="94" spans="68:74" x14ac:dyDescent="0.25">
      <c r="BP94">
        <f t="shared" si="53"/>
        <v>3400</v>
      </c>
      <c r="BQ94">
        <f t="shared" si="55"/>
        <v>8.1315307106042525</v>
      </c>
      <c r="BR94">
        <f t="shared" si="56"/>
        <v>0</v>
      </c>
      <c r="BS94">
        <f t="shared" si="57"/>
        <v>1</v>
      </c>
      <c r="BU94">
        <f t="shared" si="58"/>
        <v>7.1999999999999904</v>
      </c>
      <c r="BV94">
        <f t="shared" si="54"/>
        <v>0.80827141994209561</v>
      </c>
    </row>
    <row r="95" spans="68:74" x14ac:dyDescent="0.25">
      <c r="BP95">
        <f t="shared" si="53"/>
        <v>3500</v>
      </c>
      <c r="BQ95">
        <f t="shared" si="55"/>
        <v>8.1605182474775049</v>
      </c>
      <c r="BR95">
        <f t="shared" si="56"/>
        <v>0</v>
      </c>
      <c r="BS95">
        <f t="shared" si="57"/>
        <v>1</v>
      </c>
      <c r="BU95">
        <f t="shared" si="58"/>
        <v>7.2999999999999901</v>
      </c>
      <c r="BV95">
        <f t="shared" si="54"/>
        <v>0.80827137438946262</v>
      </c>
    </row>
    <row r="96" spans="68:74" x14ac:dyDescent="0.25">
      <c r="BP96">
        <f t="shared" si="53"/>
        <v>3600</v>
      </c>
      <c r="BQ96">
        <f t="shared" si="55"/>
        <v>8.1886891244442008</v>
      </c>
      <c r="BR96">
        <f t="shared" si="56"/>
        <v>0</v>
      </c>
      <c r="BS96">
        <f t="shared" si="57"/>
        <v>1</v>
      </c>
      <c r="BU96">
        <f t="shared" si="58"/>
        <v>7.3999999999999897</v>
      </c>
      <c r="BV96">
        <f t="shared" si="54"/>
        <v>0.80827132533278079</v>
      </c>
    </row>
    <row r="97" spans="68:74" x14ac:dyDescent="0.25">
      <c r="BP97">
        <f t="shared" si="53"/>
        <v>3700</v>
      </c>
      <c r="BQ97">
        <f t="shared" si="55"/>
        <v>8.2160880986323157</v>
      </c>
      <c r="BR97">
        <f t="shared" si="56"/>
        <v>0</v>
      </c>
      <c r="BS97">
        <f t="shared" si="57"/>
        <v>1</v>
      </c>
      <c r="BU97">
        <v>7.49</v>
      </c>
      <c r="BV97">
        <f t="shared" si="54"/>
        <v>0.80827127783965869</v>
      </c>
    </row>
    <row r="98" spans="68:74" x14ac:dyDescent="0.25">
      <c r="BP98">
        <f t="shared" si="53"/>
        <v>3800</v>
      </c>
      <c r="BQ98">
        <f t="shared" si="55"/>
        <v>8.2427563457144775</v>
      </c>
      <c r="BR98">
        <f t="shared" si="56"/>
        <v>0</v>
      </c>
      <c r="BS98">
        <f t="shared" si="57"/>
        <v>1</v>
      </c>
    </row>
    <row r="99" spans="68:74" x14ac:dyDescent="0.25">
      <c r="BP99">
        <f t="shared" si="53"/>
        <v>3900</v>
      </c>
      <c r="BQ99">
        <f t="shared" si="55"/>
        <v>8.2687318321177372</v>
      </c>
      <c r="BR99">
        <f t="shared" si="56"/>
        <v>0</v>
      </c>
      <c r="BS99">
        <f t="shared" si="57"/>
        <v>1</v>
      </c>
    </row>
    <row r="100" spans="68:74" x14ac:dyDescent="0.25">
      <c r="BP100">
        <f t="shared" si="53"/>
        <v>4000</v>
      </c>
      <c r="BQ100">
        <f t="shared" si="55"/>
        <v>8.2940496401020276</v>
      </c>
      <c r="BR100">
        <f t="shared" si="56"/>
        <v>0</v>
      </c>
      <c r="BS100">
        <f t="shared" si="57"/>
        <v>1</v>
      </c>
    </row>
    <row r="101" spans="68:74" x14ac:dyDescent="0.25">
      <c r="BP101">
        <f t="shared" si="53"/>
        <v>4100</v>
      </c>
      <c r="BQ101">
        <f t="shared" si="55"/>
        <v>8.3187422526923989</v>
      </c>
      <c r="BR101">
        <f t="shared" si="56"/>
        <v>0</v>
      </c>
      <c r="BS101">
        <f t="shared" si="57"/>
        <v>1</v>
      </c>
    </row>
    <row r="102" spans="68:74" x14ac:dyDescent="0.25">
      <c r="BP102">
        <f t="shared" si="53"/>
        <v>4200</v>
      </c>
      <c r="BQ102">
        <f t="shared" si="55"/>
        <v>8.3428398042714598</v>
      </c>
      <c r="BR102">
        <f t="shared" si="56"/>
        <v>0</v>
      </c>
      <c r="BS102">
        <f t="shared" si="57"/>
        <v>1</v>
      </c>
    </row>
    <row r="103" spans="68:74" x14ac:dyDescent="0.25">
      <c r="BP103">
        <f t="shared" si="53"/>
        <v>4300</v>
      </c>
      <c r="BQ103">
        <f t="shared" si="55"/>
        <v>8.3663703016816537</v>
      </c>
      <c r="BR103">
        <f t="shared" si="56"/>
        <v>0</v>
      </c>
      <c r="BS103">
        <f t="shared" si="57"/>
        <v>1</v>
      </c>
    </row>
    <row r="104" spans="68:74" x14ac:dyDescent="0.25">
      <c r="BP104">
        <f t="shared" si="53"/>
        <v>4400</v>
      </c>
      <c r="BQ104">
        <f t="shared" si="55"/>
        <v>8.3893598199063533</v>
      </c>
      <c r="BR104">
        <f t="shared" si="56"/>
        <v>0</v>
      </c>
      <c r="BS104">
        <f t="shared" si="57"/>
        <v>1</v>
      </c>
    </row>
    <row r="105" spans="68:74" x14ac:dyDescent="0.25">
      <c r="BP105">
        <f t="shared" si="53"/>
        <v>4500</v>
      </c>
      <c r="BQ105">
        <f t="shared" si="55"/>
        <v>8.4118326757584114</v>
      </c>
      <c r="BR105">
        <f t="shared" si="56"/>
        <v>0</v>
      </c>
      <c r="BS105">
        <f t="shared" si="57"/>
        <v>1</v>
      </c>
    </row>
    <row r="106" spans="68:74" x14ac:dyDescent="0.25">
      <c r="BP106">
        <f t="shared" si="53"/>
        <v>4600</v>
      </c>
      <c r="BQ106">
        <f t="shared" si="55"/>
        <v>8.4338115824771869</v>
      </c>
      <c r="BR106">
        <f t="shared" si="56"/>
        <v>0</v>
      </c>
      <c r="BS106">
        <f t="shared" si="57"/>
        <v>1</v>
      </c>
    </row>
    <row r="107" spans="68:74" x14ac:dyDescent="0.25">
      <c r="BP107">
        <f t="shared" si="53"/>
        <v>4700</v>
      </c>
      <c r="BQ107">
        <f t="shared" si="55"/>
        <v>8.4553177876981493</v>
      </c>
      <c r="BR107">
        <f t="shared" si="56"/>
        <v>0</v>
      </c>
      <c r="BS107">
        <f t="shared" si="57"/>
        <v>1</v>
      </c>
    </row>
    <row r="108" spans="68:74" x14ac:dyDescent="0.25">
      <c r="BP108">
        <f t="shared" si="53"/>
        <v>4800</v>
      </c>
      <c r="BQ108">
        <f t="shared" si="55"/>
        <v>8.4763711968959825</v>
      </c>
      <c r="BR108">
        <f t="shared" si="56"/>
        <v>0</v>
      </c>
      <c r="BS108">
        <f t="shared" si="57"/>
        <v>1</v>
      </c>
    </row>
    <row r="109" spans="68:74" x14ac:dyDescent="0.25">
      <c r="BP109">
        <f t="shared" si="53"/>
        <v>4900</v>
      </c>
      <c r="BQ109">
        <f t="shared" si="55"/>
        <v>8.4969904840987187</v>
      </c>
      <c r="BR109">
        <f t="shared" si="56"/>
        <v>0</v>
      </c>
      <c r="BS109">
        <f t="shared" si="57"/>
        <v>1</v>
      </c>
    </row>
    <row r="110" spans="68:74" x14ac:dyDescent="0.25">
      <c r="BP110">
        <f t="shared" si="53"/>
        <v>5000</v>
      </c>
      <c r="BQ110">
        <f t="shared" si="55"/>
        <v>8.5171931914162382</v>
      </c>
      <c r="BR110">
        <f t="shared" si="56"/>
        <v>0</v>
      </c>
      <c r="BS110">
        <f t="shared" si="57"/>
        <v>1</v>
      </c>
    </row>
    <row r="111" spans="68:74" x14ac:dyDescent="0.25">
      <c r="BP111">
        <f t="shared" si="53"/>
        <v>5100</v>
      </c>
      <c r="BQ111">
        <f t="shared" si="55"/>
        <v>8.536995818712418</v>
      </c>
      <c r="BR111">
        <f t="shared" si="56"/>
        <v>0</v>
      </c>
      <c r="BS111">
        <f t="shared" si="57"/>
        <v>1</v>
      </c>
    </row>
    <row r="112" spans="68:74" x14ac:dyDescent="0.25">
      <c r="BP112">
        <f t="shared" si="53"/>
        <v>5200</v>
      </c>
      <c r="BQ112">
        <f t="shared" si="55"/>
        <v>8.5564139045695189</v>
      </c>
      <c r="BR112">
        <f t="shared" si="56"/>
        <v>0</v>
      </c>
      <c r="BS112">
        <f t="shared" si="57"/>
        <v>1</v>
      </c>
    </row>
    <row r="113" spans="68:71" x14ac:dyDescent="0.25">
      <c r="BP113">
        <f t="shared" si="53"/>
        <v>5300</v>
      </c>
      <c r="BQ113">
        <f t="shared" si="55"/>
        <v>8.5754620995402124</v>
      </c>
      <c r="BR113">
        <f t="shared" si="56"/>
        <v>0</v>
      </c>
      <c r="BS113">
        <f t="shared" si="57"/>
        <v>1</v>
      </c>
    </row>
    <row r="114" spans="68:71" x14ac:dyDescent="0.25">
      <c r="BP114">
        <f t="shared" si="53"/>
        <v>5400</v>
      </c>
      <c r="BQ114">
        <f t="shared" si="55"/>
        <v>8.5941542325523663</v>
      </c>
      <c r="BR114">
        <f t="shared" si="56"/>
        <v>0</v>
      </c>
      <c r="BS114">
        <f t="shared" si="57"/>
        <v>1</v>
      </c>
    </row>
    <row r="115" spans="68:71" x14ac:dyDescent="0.25">
      <c r="BP115">
        <f t="shared" si="53"/>
        <v>5500</v>
      </c>
      <c r="BQ115">
        <f t="shared" si="55"/>
        <v>8.6125033712205621</v>
      </c>
      <c r="BR115">
        <f t="shared" si="56"/>
        <v>0</v>
      </c>
      <c r="BS115">
        <f t="shared" si="57"/>
        <v>1</v>
      </c>
    </row>
    <row r="116" spans="68:71" x14ac:dyDescent="0.25">
      <c r="BP116">
        <f t="shared" si="53"/>
        <v>5600</v>
      </c>
      <c r="BQ116">
        <f t="shared" si="55"/>
        <v>8.6305218767232414</v>
      </c>
      <c r="BR116">
        <f t="shared" si="56"/>
        <v>0</v>
      </c>
      <c r="BS116">
        <f t="shared" si="57"/>
        <v>1</v>
      </c>
    </row>
    <row r="117" spans="68:71" x14ac:dyDescent="0.25">
      <c r="BP117">
        <f t="shared" si="53"/>
        <v>5700</v>
      </c>
      <c r="BQ117">
        <f t="shared" si="55"/>
        <v>8.6482214538226412</v>
      </c>
      <c r="BR117">
        <f t="shared" si="56"/>
        <v>0</v>
      </c>
      <c r="BS117">
        <f t="shared" si="57"/>
        <v>1</v>
      </c>
    </row>
    <row r="118" spans="68:71" x14ac:dyDescent="0.25">
      <c r="BP118">
        <f t="shared" si="53"/>
        <v>5800</v>
      </c>
      <c r="BQ118">
        <f t="shared" si="55"/>
        <v>8.66561319653451</v>
      </c>
      <c r="BR118">
        <f t="shared" si="56"/>
        <v>0</v>
      </c>
      <c r="BS118">
        <f t="shared" si="57"/>
        <v>1</v>
      </c>
    </row>
    <row r="119" spans="68:71" x14ac:dyDescent="0.25">
      <c r="BP119">
        <f t="shared" si="53"/>
        <v>5900</v>
      </c>
      <c r="BQ119">
        <f t="shared" si="55"/>
        <v>8.6827076298938106</v>
      </c>
      <c r="BR119">
        <f t="shared" si="56"/>
        <v>0</v>
      </c>
      <c r="BS119">
        <f t="shared" si="57"/>
        <v>1</v>
      </c>
    </row>
    <row r="120" spans="68:71" x14ac:dyDescent="0.25">
      <c r="BP120">
        <f t="shared" si="53"/>
        <v>6000</v>
      </c>
      <c r="BQ120">
        <f t="shared" si="55"/>
        <v>8.6995147482101913</v>
      </c>
      <c r="BR120">
        <f t="shared" si="56"/>
        <v>0</v>
      </c>
      <c r="BS120">
        <f t="shared" si="57"/>
        <v>1</v>
      </c>
    </row>
    <row r="121" spans="68:71" x14ac:dyDescent="0.25">
      <c r="BP121">
        <f t="shared" si="53"/>
        <v>6100</v>
      </c>
      <c r="BQ121">
        <f t="shared" si="55"/>
        <v>8.7160440501614023</v>
      </c>
      <c r="BR121">
        <f t="shared" si="56"/>
        <v>0</v>
      </c>
      <c r="BS121">
        <f t="shared" si="57"/>
        <v>1</v>
      </c>
    </row>
  </sheetData>
  <mergeCells count="11">
    <mergeCell ref="AE1:AR1"/>
    <mergeCell ref="C2:J2"/>
    <mergeCell ref="K2:P2"/>
    <mergeCell ref="Q2:V2"/>
    <mergeCell ref="AF2:AK2"/>
    <mergeCell ref="AM2:AR2"/>
    <mergeCell ref="AS2:AX2"/>
    <mergeCell ref="AY2:BD2"/>
    <mergeCell ref="BY5:BZ5"/>
    <mergeCell ref="BY6:BZ6"/>
    <mergeCell ref="BY7:BZ7"/>
  </mergeCells>
  <pageMargins left="0.7" right="0.7" top="0.75" bottom="0.75" header="0.3" footer="0.3"/>
  <pageSetup orientation="portrait" horizontalDpi="4294967293" verticalDpi="0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96DE0-1941-4556-8E10-8C9C97209368}">
  <dimension ref="A1:R5000"/>
  <sheetViews>
    <sheetView workbookViewId="0">
      <selection activeCell="G26" sqref="G26"/>
    </sheetView>
  </sheetViews>
  <sheetFormatPr defaultRowHeight="15" x14ac:dyDescent="0.25"/>
  <sheetData>
    <row r="1" spans="1:8" x14ac:dyDescent="0.25">
      <c r="B1" t="s">
        <v>165</v>
      </c>
      <c r="D1" t="s">
        <v>166</v>
      </c>
    </row>
    <row r="2" spans="1:8" x14ac:dyDescent="0.25">
      <c r="A2" t="s">
        <v>157</v>
      </c>
      <c r="B2">
        <v>48.47</v>
      </c>
      <c r="C2">
        <f ca="1">RAND()</f>
        <v>0.62824209567524214</v>
      </c>
      <c r="D2">
        <f ca="1">_xlfn.T.INV(RAND(),25)*$G$3+$F$3</f>
        <v>41.81999219695156</v>
      </c>
      <c r="F2" t="s">
        <v>159</v>
      </c>
      <c r="G2" t="s">
        <v>160</v>
      </c>
    </row>
    <row r="3" spans="1:8" x14ac:dyDescent="0.25">
      <c r="B3">
        <v>49.64</v>
      </c>
      <c r="C3">
        <f t="shared" ref="C3:C66" ca="1" si="0">RAND()</f>
        <v>0.42916759704528229</v>
      </c>
      <c r="D3">
        <f t="shared" ref="D3:D66" ca="1" si="1">_xlfn.T.INV(RAND(),25)*$G$3+$F$3</f>
        <v>61.834308447720531</v>
      </c>
      <c r="F3">
        <f>AVERAGE(B2:B1001)</f>
        <v>49.436697247706419</v>
      </c>
      <c r="G3">
        <f>_xlfn.STDEV.S(B2:B1001)</f>
        <v>4.5404056465551763</v>
      </c>
    </row>
    <row r="4" spans="1:8" x14ac:dyDescent="0.25">
      <c r="B4">
        <v>46.51</v>
      </c>
      <c r="C4">
        <f t="shared" ca="1" si="0"/>
        <v>0.83728286623207748</v>
      </c>
      <c r="D4">
        <f t="shared" ca="1" si="1"/>
        <v>58.490005555055632</v>
      </c>
    </row>
    <row r="5" spans="1:8" x14ac:dyDescent="0.25">
      <c r="B5">
        <v>50.12</v>
      </c>
      <c r="C5">
        <f t="shared" ca="1" si="0"/>
        <v>0.45956505677262149</v>
      </c>
      <c r="D5">
        <f t="shared" ca="1" si="1"/>
        <v>55.196056841921603</v>
      </c>
      <c r="F5">
        <v>15</v>
      </c>
      <c r="G5">
        <f>COUNTIFS(B$2:B$110,"&gt;"&amp;$F5,B$2:B$110,"&lt;="&amp;$F6)/COUNT(B$2:B$110)</f>
        <v>0</v>
      </c>
      <c r="H5">
        <f ca="1">COUNTIFS(D$2:D$5000,"&gt;"&amp;$F5,D$2:D$5000,"&lt;="&amp;$F6)/COUNT(D$2:D$5000)</f>
        <v>0</v>
      </c>
    </row>
    <row r="6" spans="1:8" x14ac:dyDescent="0.25">
      <c r="B6">
        <v>52.7</v>
      </c>
      <c r="C6">
        <f t="shared" ca="1" si="0"/>
        <v>0.64733361052737037</v>
      </c>
      <c r="D6">
        <f t="shared" ca="1" si="1"/>
        <v>45.262555232742201</v>
      </c>
      <c r="F6">
        <f>F5+1</f>
        <v>16</v>
      </c>
      <c r="G6">
        <f t="shared" ref="G6:G53" si="2">COUNTIFS(B$2:B$110,"&gt;"&amp;$F6,B$2:B$110,"&lt;="&amp;$F7)/COUNT(B$2:B$110)</f>
        <v>0</v>
      </c>
      <c r="H6">
        <f t="shared" ref="H6:H53" ca="1" si="3">COUNTIFS(D$2:D$5000,"&gt;"&amp;$F6,D$2:D$5000,"&lt;="&amp;$F7)/COUNT(D$2:D$5000)</f>
        <v>0</v>
      </c>
    </row>
    <row r="7" spans="1:8" x14ac:dyDescent="0.25">
      <c r="B7">
        <v>47.26</v>
      </c>
      <c r="C7">
        <f t="shared" ca="1" si="0"/>
        <v>0.46089032114482076</v>
      </c>
      <c r="D7">
        <f t="shared" ca="1" si="1"/>
        <v>46.41599848939665</v>
      </c>
      <c r="F7">
        <f t="shared" ref="F7:F37" si="4">F6+1</f>
        <v>17</v>
      </c>
      <c r="G7">
        <f t="shared" si="2"/>
        <v>0</v>
      </c>
      <c r="H7">
        <f t="shared" ca="1" si="3"/>
        <v>0</v>
      </c>
    </row>
    <row r="8" spans="1:8" x14ac:dyDescent="0.25">
      <c r="B8">
        <v>49.05</v>
      </c>
      <c r="C8">
        <f t="shared" ca="1" si="0"/>
        <v>0.38450267918910441</v>
      </c>
      <c r="D8">
        <f t="shared" ca="1" si="1"/>
        <v>49.474141240160414</v>
      </c>
      <c r="F8">
        <f t="shared" si="4"/>
        <v>18</v>
      </c>
      <c r="G8">
        <f t="shared" si="2"/>
        <v>0</v>
      </c>
      <c r="H8">
        <f t="shared" ca="1" si="3"/>
        <v>0</v>
      </c>
    </row>
    <row r="9" spans="1:8" x14ac:dyDescent="0.25">
      <c r="B9">
        <v>50.98</v>
      </c>
      <c r="C9">
        <f t="shared" ca="1" si="0"/>
        <v>0.24150415997808861</v>
      </c>
      <c r="D9">
        <f t="shared" ca="1" si="1"/>
        <v>46.693741475876806</v>
      </c>
      <c r="F9">
        <f t="shared" si="4"/>
        <v>19</v>
      </c>
      <c r="G9">
        <f t="shared" si="2"/>
        <v>0</v>
      </c>
      <c r="H9">
        <f t="shared" ca="1" si="3"/>
        <v>0</v>
      </c>
    </row>
    <row r="10" spans="1:8" x14ac:dyDescent="0.25">
      <c r="B10">
        <v>46.37</v>
      </c>
      <c r="C10">
        <f t="shared" ca="1" si="0"/>
        <v>0.72131624008413264</v>
      </c>
      <c r="D10">
        <f t="shared" ca="1" si="1"/>
        <v>54.703872960395067</v>
      </c>
      <c r="F10">
        <f t="shared" si="4"/>
        <v>20</v>
      </c>
      <c r="G10">
        <f t="shared" si="2"/>
        <v>0</v>
      </c>
      <c r="H10">
        <f t="shared" ca="1" si="3"/>
        <v>0</v>
      </c>
    </row>
    <row r="11" spans="1:8" x14ac:dyDescent="0.25">
      <c r="B11">
        <v>51.44</v>
      </c>
      <c r="C11">
        <f t="shared" ca="1" si="0"/>
        <v>0.11467803121202624</v>
      </c>
      <c r="D11">
        <f t="shared" ca="1" si="1"/>
        <v>39.791959846196619</v>
      </c>
      <c r="F11">
        <f t="shared" si="4"/>
        <v>21</v>
      </c>
      <c r="G11">
        <f t="shared" si="2"/>
        <v>0</v>
      </c>
      <c r="H11">
        <f t="shared" ca="1" si="3"/>
        <v>0</v>
      </c>
    </row>
    <row r="12" spans="1:8" x14ac:dyDescent="0.25">
      <c r="B12">
        <v>49.9</v>
      </c>
      <c r="C12">
        <f t="shared" ca="1" si="0"/>
        <v>0.80641268425839951</v>
      </c>
      <c r="D12">
        <f t="shared" ca="1" si="1"/>
        <v>50.485353889868016</v>
      </c>
      <c r="F12">
        <f t="shared" si="4"/>
        <v>22</v>
      </c>
      <c r="G12">
        <f t="shared" si="2"/>
        <v>0</v>
      </c>
      <c r="H12">
        <f t="shared" ca="1" si="3"/>
        <v>0</v>
      </c>
    </row>
    <row r="13" spans="1:8" x14ac:dyDescent="0.25">
      <c r="B13">
        <v>50.83</v>
      </c>
      <c r="C13">
        <f t="shared" ca="1" si="0"/>
        <v>0.89854502910347867</v>
      </c>
      <c r="D13">
        <f t="shared" ca="1" si="1"/>
        <v>50.398609352641181</v>
      </c>
      <c r="F13">
        <f t="shared" si="4"/>
        <v>23</v>
      </c>
      <c r="G13">
        <f t="shared" si="2"/>
        <v>0</v>
      </c>
      <c r="H13">
        <f t="shared" ca="1" si="3"/>
        <v>0</v>
      </c>
    </row>
    <row r="14" spans="1:8" x14ac:dyDescent="0.25">
      <c r="B14">
        <v>51.77</v>
      </c>
      <c r="C14">
        <f t="shared" ca="1" si="0"/>
        <v>0.46881345087245474</v>
      </c>
      <c r="D14">
        <f t="shared" ca="1" si="1"/>
        <v>52.995949564872127</v>
      </c>
      <c r="F14">
        <f t="shared" si="4"/>
        <v>24</v>
      </c>
      <c r="G14">
        <f t="shared" si="2"/>
        <v>0</v>
      </c>
      <c r="H14">
        <f t="shared" ca="1" si="3"/>
        <v>0</v>
      </c>
    </row>
    <row r="15" spans="1:8" x14ac:dyDescent="0.25">
      <c r="B15">
        <v>53.23</v>
      </c>
      <c r="C15">
        <f t="shared" ca="1" si="0"/>
        <v>0.79330789570932325</v>
      </c>
      <c r="D15">
        <f t="shared" ca="1" si="1"/>
        <v>51.723318621036682</v>
      </c>
      <c r="F15">
        <f t="shared" si="4"/>
        <v>25</v>
      </c>
      <c r="G15">
        <f t="shared" si="2"/>
        <v>0</v>
      </c>
      <c r="H15">
        <f t="shared" ca="1" si="3"/>
        <v>0</v>
      </c>
    </row>
    <row r="16" spans="1:8" x14ac:dyDescent="0.25">
      <c r="B16">
        <v>49.6</v>
      </c>
      <c r="C16">
        <f t="shared" ca="1" si="0"/>
        <v>8.4702994614433202E-2</v>
      </c>
      <c r="D16">
        <f t="shared" ca="1" si="1"/>
        <v>54.295837730288916</v>
      </c>
      <c r="F16">
        <f t="shared" si="4"/>
        <v>26</v>
      </c>
      <c r="G16">
        <f t="shared" si="2"/>
        <v>0</v>
      </c>
      <c r="H16">
        <f t="shared" ca="1" si="3"/>
        <v>0</v>
      </c>
    </row>
    <row r="17" spans="1:18" x14ac:dyDescent="0.25">
      <c r="B17">
        <v>45.4</v>
      </c>
      <c r="C17">
        <f t="shared" ca="1" si="0"/>
        <v>0.63990965047582227</v>
      </c>
      <c r="D17">
        <f t="shared" ca="1" si="1"/>
        <v>44.386059741021541</v>
      </c>
      <c r="F17">
        <f t="shared" si="4"/>
        <v>27</v>
      </c>
      <c r="G17">
        <f t="shared" si="2"/>
        <v>0</v>
      </c>
      <c r="H17">
        <f t="shared" ca="1" si="3"/>
        <v>0</v>
      </c>
    </row>
    <row r="18" spans="1:18" x14ac:dyDescent="0.25">
      <c r="B18">
        <v>44.3</v>
      </c>
      <c r="C18">
        <f t="shared" ca="1" si="0"/>
        <v>0.91026912665310589</v>
      </c>
      <c r="D18">
        <f t="shared" ca="1" si="1"/>
        <v>51.088879105078291</v>
      </c>
      <c r="F18">
        <f t="shared" si="4"/>
        <v>28</v>
      </c>
      <c r="G18">
        <f t="shared" si="2"/>
        <v>0</v>
      </c>
      <c r="H18">
        <f t="shared" ca="1" si="3"/>
        <v>0</v>
      </c>
      <c r="I18">
        <f ca="1">SUM(H5:H18)</f>
        <v>0</v>
      </c>
      <c r="J18">
        <f>MAX(B2:B110)-MIN(B2:B110)</f>
        <v>24.92</v>
      </c>
      <c r="K18">
        <f ca="1">MAX(D2:D110)-MIN(D2:D110)</f>
        <v>22.042348601523912</v>
      </c>
      <c r="L18">
        <f ca="1">J18-K18</f>
        <v>2.8776513984760896</v>
      </c>
      <c r="N18">
        <v>5.0999999999999996</v>
      </c>
      <c r="O18">
        <v>4.78</v>
      </c>
      <c r="P18">
        <f>AVERAGE(N18:O49)</f>
        <v>-0.56156249999999985</v>
      </c>
      <c r="Q18">
        <v>1.56</v>
      </c>
      <c r="R18" t="s">
        <v>166</v>
      </c>
    </row>
    <row r="19" spans="1:18" x14ac:dyDescent="0.25">
      <c r="B19">
        <v>51.7</v>
      </c>
      <c r="C19">
        <f t="shared" ca="1" si="0"/>
        <v>0.49731617958754037</v>
      </c>
      <c r="D19">
        <f t="shared" ca="1" si="1"/>
        <v>55.108989927887173</v>
      </c>
      <c r="F19">
        <f t="shared" si="4"/>
        <v>29</v>
      </c>
      <c r="G19">
        <f t="shared" si="2"/>
        <v>0</v>
      </c>
      <c r="H19">
        <f t="shared" ca="1" si="3"/>
        <v>2.0004000800160032E-4</v>
      </c>
      <c r="N19">
        <v>-1.54</v>
      </c>
      <c r="O19">
        <v>5.41</v>
      </c>
      <c r="Q19">
        <v>-3.48</v>
      </c>
      <c r="R19" t="s">
        <v>167</v>
      </c>
    </row>
    <row r="20" spans="1:18" x14ac:dyDescent="0.25">
      <c r="B20">
        <v>52.7</v>
      </c>
      <c r="C20">
        <f t="shared" ca="1" si="0"/>
        <v>0.63637188273521739</v>
      </c>
      <c r="D20">
        <f t="shared" ca="1" si="1"/>
        <v>47.916465851292337</v>
      </c>
      <c r="F20">
        <f t="shared" si="4"/>
        <v>30</v>
      </c>
      <c r="G20">
        <f t="shared" si="2"/>
        <v>0</v>
      </c>
      <c r="H20">
        <f t="shared" ca="1" si="3"/>
        <v>0</v>
      </c>
      <c r="N20">
        <v>-1.34</v>
      </c>
      <c r="O20">
        <v>4.1900000000000004</v>
      </c>
      <c r="Q20">
        <v>1.65</v>
      </c>
      <c r="R20" t="s">
        <v>168</v>
      </c>
    </row>
    <row r="21" spans="1:18" x14ac:dyDescent="0.25">
      <c r="B21">
        <v>50.2</v>
      </c>
      <c r="C21">
        <f t="shared" ca="1" si="0"/>
        <v>0.41249719615258651</v>
      </c>
      <c r="D21">
        <f t="shared" ca="1" si="1"/>
        <v>56.693605868642791</v>
      </c>
      <c r="F21">
        <f t="shared" si="4"/>
        <v>31</v>
      </c>
      <c r="G21">
        <f t="shared" si="2"/>
        <v>0</v>
      </c>
      <c r="H21">
        <f t="shared" ca="1" si="3"/>
        <v>4.0008001600320064E-4</v>
      </c>
      <c r="N21">
        <v>-3.64</v>
      </c>
      <c r="O21">
        <v>1.98</v>
      </c>
      <c r="Q21">
        <v>1.29</v>
      </c>
      <c r="R21" t="s">
        <v>169</v>
      </c>
    </row>
    <row r="22" spans="1:18" x14ac:dyDescent="0.25">
      <c r="B22">
        <v>43.1</v>
      </c>
      <c r="C22">
        <f t="shared" ca="1" si="0"/>
        <v>0.98180382910978836</v>
      </c>
      <c r="D22">
        <f t="shared" ca="1" si="1"/>
        <v>56.64032052973927</v>
      </c>
      <c r="F22">
        <f t="shared" si="4"/>
        <v>32</v>
      </c>
      <c r="G22">
        <f t="shared" si="2"/>
        <v>0</v>
      </c>
      <c r="H22">
        <f t="shared" ca="1" si="3"/>
        <v>2.0004000800160032E-4</v>
      </c>
      <c r="N22">
        <v>0.17</v>
      </c>
      <c r="O22">
        <v>-4.4000000000000004</v>
      </c>
      <c r="Q22">
        <v>-0.68</v>
      </c>
      <c r="R22" t="s">
        <v>170</v>
      </c>
    </row>
    <row r="23" spans="1:18" x14ac:dyDescent="0.25">
      <c r="B23">
        <v>47.4</v>
      </c>
      <c r="C23">
        <f t="shared" ca="1" si="0"/>
        <v>0.48243514428733214</v>
      </c>
      <c r="D23">
        <f t="shared" ca="1" si="1"/>
        <v>53.148353010736948</v>
      </c>
      <c r="F23">
        <f t="shared" si="4"/>
        <v>33</v>
      </c>
      <c r="G23">
        <f t="shared" si="2"/>
        <v>0</v>
      </c>
      <c r="H23">
        <f t="shared" ca="1" si="3"/>
        <v>0</v>
      </c>
      <c r="N23">
        <v>-3.57</v>
      </c>
      <c r="O23">
        <v>-1.03</v>
      </c>
      <c r="Q23">
        <v>-0.76</v>
      </c>
      <c r="R23" t="s">
        <v>171</v>
      </c>
    </row>
    <row r="24" spans="1:18" x14ac:dyDescent="0.25">
      <c r="B24">
        <v>50.5</v>
      </c>
      <c r="C24">
        <f t="shared" ca="1" si="0"/>
        <v>0.30454113831552942</v>
      </c>
      <c r="D24">
        <f t="shared" ca="1" si="1"/>
        <v>47.973779840753892</v>
      </c>
      <c r="F24">
        <f t="shared" si="4"/>
        <v>34</v>
      </c>
      <c r="G24">
        <f t="shared" si="2"/>
        <v>0</v>
      </c>
      <c r="H24">
        <f t="shared" ca="1" si="3"/>
        <v>1.0002000400080016E-3</v>
      </c>
      <c r="N24">
        <v>-5.7</v>
      </c>
      <c r="O24">
        <v>-6.03</v>
      </c>
      <c r="Q24">
        <v>-0.56000000000000005</v>
      </c>
      <c r="R24" t="s">
        <v>172</v>
      </c>
    </row>
    <row r="25" spans="1:18" x14ac:dyDescent="0.25">
      <c r="B25">
        <v>45.9</v>
      </c>
      <c r="C25">
        <f t="shared" ca="1" si="0"/>
        <v>0.5389676843066048</v>
      </c>
      <c r="D25">
        <f t="shared" ca="1" si="1"/>
        <v>50.041754356977833</v>
      </c>
      <c r="F25">
        <f t="shared" si="4"/>
        <v>35</v>
      </c>
      <c r="G25">
        <f t="shared" si="2"/>
        <v>9.1743119266055051E-3</v>
      </c>
      <c r="H25">
        <f t="shared" ca="1" si="3"/>
        <v>1.2002400480096019E-3</v>
      </c>
      <c r="I25">
        <f ca="1">SUM(H5:H25)</f>
        <v>3.0006001200240046E-3</v>
      </c>
      <c r="N25">
        <v>-2.8</v>
      </c>
      <c r="O25">
        <v>3.34</v>
      </c>
    </row>
    <row r="26" spans="1:18" x14ac:dyDescent="0.25">
      <c r="B26">
        <v>45.8</v>
      </c>
      <c r="C26">
        <f t="shared" ca="1" si="0"/>
        <v>0.38278352013611028</v>
      </c>
      <c r="D26">
        <f t="shared" ca="1" si="1"/>
        <v>42.3285429033279</v>
      </c>
      <c r="F26">
        <f t="shared" si="4"/>
        <v>36</v>
      </c>
      <c r="G26">
        <f t="shared" si="2"/>
        <v>0</v>
      </c>
      <c r="H26">
        <f t="shared" ca="1" si="3"/>
        <v>2.600520104020804E-3</v>
      </c>
      <c r="N26">
        <v>1.1599999999999999</v>
      </c>
      <c r="O26">
        <v>3.06</v>
      </c>
    </row>
    <row r="27" spans="1:18" x14ac:dyDescent="0.25">
      <c r="B27">
        <v>50.7</v>
      </c>
      <c r="C27">
        <f t="shared" ca="1" si="0"/>
        <v>0.93387757232054325</v>
      </c>
      <c r="D27">
        <f t="shared" ca="1" si="1"/>
        <v>45.948811202703986</v>
      </c>
      <c r="F27">
        <f t="shared" si="4"/>
        <v>37</v>
      </c>
      <c r="G27">
        <f t="shared" si="2"/>
        <v>9.1743119266055051E-3</v>
      </c>
      <c r="H27">
        <f t="shared" ca="1" si="3"/>
        <v>3.2006401280256051E-3</v>
      </c>
      <c r="N27">
        <v>-2.29</v>
      </c>
      <c r="O27">
        <v>3.53</v>
      </c>
    </row>
    <row r="28" spans="1:18" x14ac:dyDescent="0.25">
      <c r="B28">
        <v>49.3</v>
      </c>
      <c r="C28">
        <f t="shared" ca="1" si="0"/>
        <v>0.3579367615075425</v>
      </c>
      <c r="D28">
        <f t="shared" ca="1" si="1"/>
        <v>60.732258920910475</v>
      </c>
      <c r="F28">
        <f t="shared" si="4"/>
        <v>38</v>
      </c>
      <c r="G28">
        <f t="shared" si="2"/>
        <v>0</v>
      </c>
      <c r="H28">
        <f t="shared" ca="1" si="3"/>
        <v>4.8009601920384077E-3</v>
      </c>
      <c r="N28">
        <v>-1.18</v>
      </c>
      <c r="O28">
        <v>-8.9600000000000009</v>
      </c>
    </row>
    <row r="29" spans="1:18" x14ac:dyDescent="0.25">
      <c r="B29">
        <v>49</v>
      </c>
      <c r="C29">
        <f t="shared" ca="1" si="0"/>
        <v>0.34604971467935874</v>
      </c>
      <c r="D29">
        <f t="shared" ca="1" si="1"/>
        <v>48.688167041244519</v>
      </c>
      <c r="F29">
        <f t="shared" si="4"/>
        <v>39</v>
      </c>
      <c r="G29">
        <f t="shared" si="2"/>
        <v>9.1743119266055051E-3</v>
      </c>
      <c r="H29">
        <f t="shared" ca="1" si="3"/>
        <v>1.0602120424084817E-2</v>
      </c>
      <c r="N29">
        <v>0.54</v>
      </c>
      <c r="O29">
        <v>-3.45</v>
      </c>
    </row>
    <row r="30" spans="1:18" x14ac:dyDescent="0.25">
      <c r="B30">
        <v>54.1</v>
      </c>
      <c r="C30">
        <f t="shared" ca="1" si="0"/>
        <v>0.7599812097237777</v>
      </c>
      <c r="D30">
        <f t="shared" ca="1" si="1"/>
        <v>57.652168189926385</v>
      </c>
      <c r="F30">
        <f t="shared" si="4"/>
        <v>40</v>
      </c>
      <c r="G30">
        <f t="shared" si="2"/>
        <v>9.1743119266055051E-3</v>
      </c>
      <c r="H30">
        <f t="shared" ca="1" si="3"/>
        <v>1.3402680536107221E-2</v>
      </c>
      <c r="N30">
        <v>4.26</v>
      </c>
      <c r="O30">
        <v>-3.46</v>
      </c>
    </row>
    <row r="31" spans="1:18" x14ac:dyDescent="0.25">
      <c r="A31" t="s">
        <v>158</v>
      </c>
      <c r="B31">
        <v>47.98</v>
      </c>
      <c r="C31">
        <f t="shared" ca="1" si="0"/>
        <v>0.50932962376603241</v>
      </c>
      <c r="D31">
        <f t="shared" ca="1" si="1"/>
        <v>48.92594217630424</v>
      </c>
      <c r="F31">
        <f t="shared" si="4"/>
        <v>41</v>
      </c>
      <c r="G31">
        <f t="shared" si="2"/>
        <v>9.1743119266055051E-3</v>
      </c>
      <c r="H31">
        <f t="shared" ca="1" si="3"/>
        <v>1.7203440688137627E-2</v>
      </c>
      <c r="N31">
        <v>-3.18</v>
      </c>
      <c r="O31">
        <v>-0.11</v>
      </c>
    </row>
    <row r="32" spans="1:18" x14ac:dyDescent="0.25">
      <c r="B32">
        <v>45.68</v>
      </c>
      <c r="C32">
        <f t="shared" ca="1" si="0"/>
        <v>0.63177363943345843</v>
      </c>
      <c r="D32">
        <f t="shared" ca="1" si="1"/>
        <v>44.753704795654372</v>
      </c>
      <c r="F32">
        <f t="shared" si="4"/>
        <v>42</v>
      </c>
      <c r="G32">
        <f t="shared" si="2"/>
        <v>3.669724770642202E-2</v>
      </c>
      <c r="H32">
        <f t="shared" ca="1" si="3"/>
        <v>2.8205641128225645E-2</v>
      </c>
      <c r="N32">
        <v>0.89</v>
      </c>
      <c r="O32">
        <v>-1.04</v>
      </c>
    </row>
    <row r="33" spans="1:15" x14ac:dyDescent="0.25">
      <c r="B33">
        <v>35.78</v>
      </c>
      <c r="C33">
        <f t="shared" ca="1" si="0"/>
        <v>0.1206582813897763</v>
      </c>
      <c r="D33">
        <f t="shared" ca="1" si="1"/>
        <v>51.919501426661043</v>
      </c>
      <c r="F33">
        <f t="shared" si="4"/>
        <v>43</v>
      </c>
      <c r="G33">
        <f t="shared" si="2"/>
        <v>1.834862385321101E-2</v>
      </c>
      <c r="H33">
        <f t="shared" ca="1" si="3"/>
        <v>3.8607721544308859E-2</v>
      </c>
      <c r="N33">
        <v>2.11</v>
      </c>
      <c r="O33">
        <v>-0.25</v>
      </c>
    </row>
    <row r="34" spans="1:15" x14ac:dyDescent="0.25">
      <c r="B34">
        <v>52.26</v>
      </c>
      <c r="C34">
        <f t="shared" ca="1" si="0"/>
        <v>0.59874879826000449</v>
      </c>
      <c r="D34">
        <f t="shared" ca="1" si="1"/>
        <v>52.522150901125038</v>
      </c>
      <c r="F34">
        <f t="shared" si="4"/>
        <v>44</v>
      </c>
      <c r="G34">
        <f t="shared" si="2"/>
        <v>6.4220183486238536E-2</v>
      </c>
      <c r="H34">
        <f t="shared" ca="1" si="3"/>
        <v>4.2808561712342472E-2</v>
      </c>
      <c r="N34">
        <v>1.52</v>
      </c>
      <c r="O34">
        <v>-8.15</v>
      </c>
    </row>
    <row r="35" spans="1:15" x14ac:dyDescent="0.25">
      <c r="B35">
        <v>56.18</v>
      </c>
      <c r="C35">
        <f t="shared" ca="1" si="0"/>
        <v>0.27958698475388855</v>
      </c>
      <c r="D35">
        <f t="shared" ca="1" si="1"/>
        <v>51.198137724009015</v>
      </c>
      <c r="F35">
        <f t="shared" si="4"/>
        <v>45</v>
      </c>
      <c r="G35">
        <f t="shared" si="2"/>
        <v>6.4220183486238536E-2</v>
      </c>
      <c r="H35">
        <f t="shared" ca="1" si="3"/>
        <v>5.7411482296459294E-2</v>
      </c>
      <c r="N35">
        <v>-2.06</v>
      </c>
      <c r="O35">
        <v>-1.76</v>
      </c>
    </row>
    <row r="36" spans="1:15" x14ac:dyDescent="0.25">
      <c r="B36">
        <v>55.96</v>
      </c>
      <c r="C36">
        <f t="shared" ca="1" si="0"/>
        <v>0.97962660734853113</v>
      </c>
      <c r="D36">
        <f t="shared" ca="1" si="1"/>
        <v>42.704746345238959</v>
      </c>
      <c r="F36">
        <f t="shared" si="4"/>
        <v>46</v>
      </c>
      <c r="G36">
        <f t="shared" si="2"/>
        <v>5.5045871559633031E-2</v>
      </c>
      <c r="H36">
        <f t="shared" ca="1" si="3"/>
        <v>7.1814362872574519E-2</v>
      </c>
      <c r="N36">
        <v>4.04</v>
      </c>
      <c r="O36">
        <v>0.79</v>
      </c>
    </row>
    <row r="37" spans="1:15" x14ac:dyDescent="0.25">
      <c r="B37">
        <v>48.82</v>
      </c>
      <c r="C37">
        <f t="shared" ca="1" si="0"/>
        <v>0.53741790850902904</v>
      </c>
      <c r="D37">
        <f t="shared" ca="1" si="1"/>
        <v>40.891277867866464</v>
      </c>
      <c r="F37">
        <f t="shared" si="4"/>
        <v>47</v>
      </c>
      <c r="G37">
        <f t="shared" si="2"/>
        <v>6.4220183486238536E-2</v>
      </c>
      <c r="H37">
        <f t="shared" ca="1" si="3"/>
        <v>8.3216643328665726E-2</v>
      </c>
      <c r="N37">
        <v>3.8</v>
      </c>
      <c r="O37">
        <v>1.65</v>
      </c>
    </row>
    <row r="38" spans="1:15" x14ac:dyDescent="0.25">
      <c r="B38">
        <v>47.31</v>
      </c>
      <c r="C38">
        <f t="shared" ca="1" si="0"/>
        <v>0.72223974586880102</v>
      </c>
      <c r="D38">
        <f t="shared" ca="1" si="1"/>
        <v>59.641668183352422</v>
      </c>
      <c r="F38">
        <f t="shared" ref="F38:F45" si="5">F37+1</f>
        <v>48</v>
      </c>
      <c r="G38">
        <f t="shared" si="2"/>
        <v>9.1743119266055051E-2</v>
      </c>
      <c r="H38">
        <f t="shared" ca="1" si="3"/>
        <v>8.7017403480696143E-2</v>
      </c>
      <c r="N38">
        <v>3.02</v>
      </c>
      <c r="O38">
        <v>4.2</v>
      </c>
    </row>
    <row r="39" spans="1:15" x14ac:dyDescent="0.25">
      <c r="B39">
        <v>44.04</v>
      </c>
      <c r="C39">
        <f t="shared" ca="1" si="0"/>
        <v>0.33582269478895488</v>
      </c>
      <c r="D39">
        <f t="shared" ca="1" si="1"/>
        <v>48.368961814380448</v>
      </c>
      <c r="F39">
        <f t="shared" si="5"/>
        <v>49</v>
      </c>
      <c r="G39">
        <f t="shared" si="2"/>
        <v>0.11009174311926606</v>
      </c>
      <c r="H39">
        <f t="shared" ca="1" si="3"/>
        <v>9.1018203640728143E-2</v>
      </c>
      <c r="N39">
        <v>3.18</v>
      </c>
      <c r="O39">
        <v>-1.81</v>
      </c>
    </row>
    <row r="40" spans="1:15" x14ac:dyDescent="0.25">
      <c r="B40">
        <v>52.4</v>
      </c>
      <c r="C40">
        <f t="shared" ca="1" si="0"/>
        <v>0.42613811151510084</v>
      </c>
      <c r="D40">
        <f t="shared" ca="1" si="1"/>
        <v>53.035811561952755</v>
      </c>
      <c r="F40">
        <f t="shared" si="5"/>
        <v>50</v>
      </c>
      <c r="G40">
        <f t="shared" si="2"/>
        <v>9.1743119266055051E-2</v>
      </c>
      <c r="H40">
        <f t="shared" ca="1" si="3"/>
        <v>8.3616723344668936E-2</v>
      </c>
      <c r="N40">
        <v>3.76</v>
      </c>
      <c r="O40">
        <v>-0.73</v>
      </c>
    </row>
    <row r="41" spans="1:15" x14ac:dyDescent="0.25">
      <c r="B41">
        <v>58.7</v>
      </c>
      <c r="C41">
        <f t="shared" ca="1" si="0"/>
        <v>0.93513950373148791</v>
      </c>
      <c r="D41">
        <f t="shared" ca="1" si="1"/>
        <v>41.446367224828549</v>
      </c>
      <c r="F41">
        <f t="shared" si="5"/>
        <v>51</v>
      </c>
      <c r="G41">
        <f t="shared" si="2"/>
        <v>5.5045871559633031E-2</v>
      </c>
      <c r="H41">
        <f t="shared" ca="1" si="3"/>
        <v>7.8215643128625723E-2</v>
      </c>
      <c r="N41">
        <v>-0.22</v>
      </c>
      <c r="O41">
        <v>-2.44</v>
      </c>
    </row>
    <row r="42" spans="1:15" x14ac:dyDescent="0.25">
      <c r="B42">
        <v>60.7</v>
      </c>
      <c r="C42">
        <f t="shared" ca="1" si="0"/>
        <v>5.1350744720618069E-2</v>
      </c>
      <c r="D42">
        <f t="shared" ca="1" si="1"/>
        <v>43.214583696253683</v>
      </c>
      <c r="F42">
        <f t="shared" si="5"/>
        <v>52</v>
      </c>
      <c r="G42">
        <f t="shared" si="2"/>
        <v>6.4220183486238536E-2</v>
      </c>
      <c r="H42">
        <f t="shared" ca="1" si="3"/>
        <v>6.8613722744548911E-2</v>
      </c>
      <c r="N42">
        <v>3.57</v>
      </c>
      <c r="O42">
        <v>-8.07</v>
      </c>
    </row>
    <row r="43" spans="1:15" x14ac:dyDescent="0.25">
      <c r="A43" t="s">
        <v>161</v>
      </c>
      <c r="B43">
        <v>57.3</v>
      </c>
      <c r="C43">
        <f t="shared" ca="1" si="0"/>
        <v>0.71329791378173812</v>
      </c>
      <c r="D43">
        <f t="shared" ca="1" si="1"/>
        <v>44.734349254474637</v>
      </c>
      <c r="F43">
        <f t="shared" si="5"/>
        <v>53</v>
      </c>
      <c r="G43">
        <f t="shared" si="2"/>
        <v>9.1743119266055051E-2</v>
      </c>
      <c r="H43">
        <f t="shared" ca="1" si="3"/>
        <v>5.5411082216443287E-2</v>
      </c>
      <c r="N43">
        <v>1.1599999999999999</v>
      </c>
      <c r="O43">
        <v>-5.91</v>
      </c>
    </row>
    <row r="44" spans="1:15" x14ac:dyDescent="0.25">
      <c r="B44">
        <v>51.99</v>
      </c>
      <c r="C44">
        <f t="shared" ca="1" si="0"/>
        <v>0.23455318366884959</v>
      </c>
      <c r="D44">
        <f t="shared" ca="1" si="1"/>
        <v>48.836885015926768</v>
      </c>
      <c r="F44">
        <f t="shared" si="5"/>
        <v>54</v>
      </c>
      <c r="G44">
        <f t="shared" si="2"/>
        <v>6.4220183486238536E-2</v>
      </c>
      <c r="H44">
        <f t="shared" ca="1" si="3"/>
        <v>4.9209841968393682E-2</v>
      </c>
      <c r="N44">
        <v>-4.09</v>
      </c>
      <c r="O44">
        <v>-2.5099999999999998</v>
      </c>
    </row>
    <row r="45" spans="1:15" x14ac:dyDescent="0.25">
      <c r="B45">
        <v>48.42</v>
      </c>
      <c r="C45">
        <f t="shared" ca="1" si="0"/>
        <v>0.11260740680454207</v>
      </c>
      <c r="D45">
        <f t="shared" ca="1" si="1"/>
        <v>50.968830882428676</v>
      </c>
      <c r="F45">
        <f t="shared" si="5"/>
        <v>55</v>
      </c>
      <c r="G45">
        <f t="shared" si="2"/>
        <v>1.834862385321101E-2</v>
      </c>
      <c r="H45">
        <f t="shared" ca="1" si="3"/>
        <v>3.5807161432286461E-2</v>
      </c>
      <c r="N45">
        <v>-1.1499999999999999</v>
      </c>
      <c r="O45">
        <v>-2.81</v>
      </c>
    </row>
    <row r="46" spans="1:15" x14ac:dyDescent="0.25">
      <c r="B46">
        <v>54.39</v>
      </c>
      <c r="C46">
        <f t="shared" ca="1" si="0"/>
        <v>0.52406543827423779</v>
      </c>
      <c r="D46">
        <f t="shared" ca="1" si="1"/>
        <v>51.922182883587382</v>
      </c>
      <c r="F46">
        <f t="shared" ref="F46:F53" si="6">F45+1</f>
        <v>56</v>
      </c>
      <c r="G46">
        <f t="shared" si="2"/>
        <v>2.7522935779816515E-2</v>
      </c>
      <c r="H46">
        <f t="shared" ca="1" si="3"/>
        <v>2.3004600920184037E-2</v>
      </c>
      <c r="N46">
        <v>-0.9</v>
      </c>
      <c r="O46">
        <v>2.99</v>
      </c>
    </row>
    <row r="47" spans="1:15" x14ac:dyDescent="0.25">
      <c r="B47">
        <v>57.78</v>
      </c>
      <c r="C47">
        <f t="shared" ca="1" si="0"/>
        <v>0.40082190114463834</v>
      </c>
      <c r="D47">
        <f t="shared" ca="1" si="1"/>
        <v>54.368745826169231</v>
      </c>
      <c r="F47">
        <f t="shared" si="6"/>
        <v>57</v>
      </c>
      <c r="G47">
        <f t="shared" si="2"/>
        <v>1.834862385321101E-2</v>
      </c>
      <c r="H47">
        <f t="shared" ca="1" si="3"/>
        <v>1.7603520704140826E-2</v>
      </c>
      <c r="N47">
        <v>2.57</v>
      </c>
      <c r="O47">
        <v>0.12</v>
      </c>
    </row>
    <row r="48" spans="1:15" x14ac:dyDescent="0.25">
      <c r="B48">
        <v>50.2</v>
      </c>
      <c r="C48">
        <f t="shared" ca="1" si="0"/>
        <v>0.69630275927125518</v>
      </c>
      <c r="D48">
        <f t="shared" ca="1" si="1"/>
        <v>50.029739195894606</v>
      </c>
      <c r="F48">
        <f t="shared" si="6"/>
        <v>58</v>
      </c>
      <c r="G48">
        <f t="shared" si="2"/>
        <v>9.1743119266055051E-3</v>
      </c>
      <c r="H48">
        <f t="shared" ca="1" si="3"/>
        <v>1.1002200440088018E-2</v>
      </c>
      <c r="N48">
        <v>-1.42</v>
      </c>
      <c r="O48">
        <v>-10.09</v>
      </c>
    </row>
    <row r="49" spans="1:15" x14ac:dyDescent="0.25">
      <c r="B49">
        <v>46.53</v>
      </c>
      <c r="C49">
        <f t="shared" ca="1" si="0"/>
        <v>0.63736313841950454</v>
      </c>
      <c r="D49">
        <f t="shared" ca="1" si="1"/>
        <v>54.16463243243129</v>
      </c>
      <c r="F49">
        <f t="shared" si="6"/>
        <v>59</v>
      </c>
      <c r="G49">
        <f t="shared" si="2"/>
        <v>0</v>
      </c>
      <c r="H49">
        <f t="shared" ca="1" si="3"/>
        <v>9.0018003600720146E-3</v>
      </c>
      <c r="N49">
        <v>3.66</v>
      </c>
      <c r="O49">
        <v>-8.4</v>
      </c>
    </row>
    <row r="50" spans="1:15" x14ac:dyDescent="0.25">
      <c r="B50">
        <v>43.7</v>
      </c>
      <c r="C50">
        <f t="shared" ca="1" si="0"/>
        <v>0.77716851997174374</v>
      </c>
      <c r="D50">
        <f t="shared" ca="1" si="1"/>
        <v>50.987201920555187</v>
      </c>
      <c r="F50">
        <f t="shared" si="6"/>
        <v>60</v>
      </c>
      <c r="G50">
        <f t="shared" si="2"/>
        <v>9.1743119266055051E-3</v>
      </c>
      <c r="H50">
        <f t="shared" ca="1" si="3"/>
        <v>5.4010802160432084E-3</v>
      </c>
    </row>
    <row r="51" spans="1:15" x14ac:dyDescent="0.25">
      <c r="B51">
        <v>49.49</v>
      </c>
      <c r="C51">
        <f t="shared" ca="1" si="0"/>
        <v>0.60679511312882717</v>
      </c>
      <c r="D51">
        <f t="shared" ca="1" si="1"/>
        <v>50.7793361801439</v>
      </c>
      <c r="F51">
        <f t="shared" si="6"/>
        <v>61</v>
      </c>
      <c r="G51">
        <f t="shared" si="2"/>
        <v>0</v>
      </c>
      <c r="H51">
        <f t="shared" ca="1" si="3"/>
        <v>3.6007201440288058E-3</v>
      </c>
    </row>
    <row r="52" spans="1:15" x14ac:dyDescent="0.25">
      <c r="B52">
        <v>50.7</v>
      </c>
      <c r="C52">
        <f t="shared" ca="1" si="0"/>
        <v>0.90352116479421929</v>
      </c>
      <c r="D52">
        <f t="shared" ca="1" si="1"/>
        <v>42.44028723502268</v>
      </c>
      <c r="F52">
        <f t="shared" si="6"/>
        <v>62</v>
      </c>
      <c r="G52">
        <f t="shared" si="2"/>
        <v>0</v>
      </c>
      <c r="H52">
        <f t="shared" ca="1" si="3"/>
        <v>1.4002800560112022E-3</v>
      </c>
    </row>
    <row r="53" spans="1:15" x14ac:dyDescent="0.25">
      <c r="B53">
        <v>53.8</v>
      </c>
      <c r="C53">
        <f t="shared" ca="1" si="0"/>
        <v>0.31225739627622717</v>
      </c>
      <c r="D53">
        <f t="shared" ca="1" si="1"/>
        <v>44.071839291551619</v>
      </c>
      <c r="F53">
        <f t="shared" si="6"/>
        <v>63</v>
      </c>
      <c r="G53">
        <f t="shared" si="2"/>
        <v>0</v>
      </c>
      <c r="H53">
        <f t="shared" ca="1" si="3"/>
        <v>1.6003200640128026E-3</v>
      </c>
    </row>
    <row r="54" spans="1:15" x14ac:dyDescent="0.25">
      <c r="B54">
        <v>49.5</v>
      </c>
      <c r="C54">
        <f t="shared" ca="1" si="0"/>
        <v>0.87965688197801417</v>
      </c>
      <c r="D54">
        <f t="shared" ca="1" si="1"/>
        <v>42.835377863471557</v>
      </c>
      <c r="F54">
        <f t="shared" ref="F54:F68" si="7">F53+1</f>
        <v>64</v>
      </c>
      <c r="G54">
        <f t="shared" ref="G54:G68" si="8">COUNTIFS(B$2:B$110,"&gt;"&amp;$F54,B$2:B$110,"&lt;="&amp;$F55)/COUNT(B$2:B$110)</f>
        <v>0</v>
      </c>
      <c r="H54">
        <f t="shared" ref="H54:H68" ca="1" si="9">COUNTIFS(D$2:D$5000,"&gt;"&amp;$F54,D$2:D$5000,"&lt;="&amp;$F55)/COUNT(D$2:D$5000)</f>
        <v>6.0012002400480096E-4</v>
      </c>
    </row>
    <row r="55" spans="1:15" x14ac:dyDescent="0.25">
      <c r="B55">
        <v>44.2</v>
      </c>
      <c r="C55">
        <f t="shared" ca="1" si="0"/>
        <v>0.98498427140814604</v>
      </c>
      <c r="D55">
        <f t="shared" ca="1" si="1"/>
        <v>48.620693458538007</v>
      </c>
      <c r="F55">
        <f t="shared" si="7"/>
        <v>65</v>
      </c>
      <c r="G55">
        <f t="shared" si="8"/>
        <v>0</v>
      </c>
      <c r="H55">
        <f t="shared" ca="1" si="9"/>
        <v>4.0008001600320064E-4</v>
      </c>
    </row>
    <row r="56" spans="1:15" x14ac:dyDescent="0.25">
      <c r="B56">
        <v>44.8</v>
      </c>
      <c r="C56">
        <f t="shared" ca="1" si="0"/>
        <v>0.25440044810654228</v>
      </c>
      <c r="D56">
        <f t="shared" ca="1" si="1"/>
        <v>47.340229347138013</v>
      </c>
      <c r="F56">
        <f t="shared" si="7"/>
        <v>66</v>
      </c>
      <c r="G56">
        <f t="shared" si="8"/>
        <v>0</v>
      </c>
      <c r="H56">
        <f t="shared" ca="1" si="9"/>
        <v>4.0008001600320064E-4</v>
      </c>
    </row>
    <row r="57" spans="1:15" x14ac:dyDescent="0.25">
      <c r="B57">
        <v>45.8</v>
      </c>
      <c r="C57">
        <f t="shared" ca="1" si="0"/>
        <v>0.81918951074004553</v>
      </c>
      <c r="D57">
        <f t="shared" ca="1" si="1"/>
        <v>47.686402494893173</v>
      </c>
      <c r="F57">
        <f t="shared" si="7"/>
        <v>67</v>
      </c>
      <c r="G57">
        <f t="shared" si="8"/>
        <v>0</v>
      </c>
      <c r="H57">
        <f t="shared" ca="1" si="9"/>
        <v>0</v>
      </c>
    </row>
    <row r="58" spans="1:15" x14ac:dyDescent="0.25">
      <c r="B58">
        <v>41.6</v>
      </c>
      <c r="C58">
        <f t="shared" ca="1" si="0"/>
        <v>3.5023861516617405E-2</v>
      </c>
      <c r="D58">
        <f t="shared" ca="1" si="1"/>
        <v>43.915251114620226</v>
      </c>
      <c r="F58">
        <f t="shared" si="7"/>
        <v>68</v>
      </c>
      <c r="G58">
        <f t="shared" si="8"/>
        <v>0</v>
      </c>
      <c r="H58">
        <f t="shared" ca="1" si="9"/>
        <v>2.0004000800160032E-4</v>
      </c>
    </row>
    <row r="59" spans="1:15" x14ac:dyDescent="0.25">
      <c r="B59">
        <v>41</v>
      </c>
      <c r="C59">
        <f t="shared" ca="1" si="0"/>
        <v>0.32603263318197839</v>
      </c>
      <c r="D59">
        <f t="shared" ca="1" si="1"/>
        <v>52.669666155220384</v>
      </c>
      <c r="F59">
        <f t="shared" si="7"/>
        <v>69</v>
      </c>
      <c r="G59">
        <f t="shared" si="8"/>
        <v>0</v>
      </c>
      <c r="H59">
        <f t="shared" ca="1" si="9"/>
        <v>0</v>
      </c>
    </row>
    <row r="60" spans="1:15" x14ac:dyDescent="0.25">
      <c r="B60">
        <v>42.1</v>
      </c>
      <c r="C60">
        <f t="shared" ca="1" si="0"/>
        <v>0.75380746582960445</v>
      </c>
      <c r="D60">
        <f t="shared" ca="1" si="1"/>
        <v>49.913554791730007</v>
      </c>
      <c r="F60">
        <f t="shared" si="7"/>
        <v>70</v>
      </c>
      <c r="G60">
        <f t="shared" si="8"/>
        <v>0</v>
      </c>
      <c r="H60">
        <f t="shared" ca="1" si="9"/>
        <v>0</v>
      </c>
    </row>
    <row r="61" spans="1:15" x14ac:dyDescent="0.25">
      <c r="B61">
        <v>42.2</v>
      </c>
      <c r="C61">
        <f t="shared" ca="1" si="0"/>
        <v>0.86312883347765534</v>
      </c>
      <c r="D61">
        <f t="shared" ca="1" si="1"/>
        <v>46.409094944254967</v>
      </c>
      <c r="F61">
        <f t="shared" si="7"/>
        <v>71</v>
      </c>
      <c r="G61">
        <f t="shared" si="8"/>
        <v>0</v>
      </c>
      <c r="H61">
        <f t="shared" ca="1" si="9"/>
        <v>0</v>
      </c>
    </row>
    <row r="62" spans="1:15" x14ac:dyDescent="0.25">
      <c r="B62">
        <v>42.1</v>
      </c>
      <c r="C62">
        <f t="shared" ca="1" si="0"/>
        <v>0.20843106671224321</v>
      </c>
      <c r="D62">
        <f t="shared" ca="1" si="1"/>
        <v>44.827261421409645</v>
      </c>
      <c r="F62">
        <f t="shared" si="7"/>
        <v>72</v>
      </c>
      <c r="G62">
        <f t="shared" si="8"/>
        <v>0</v>
      </c>
      <c r="H62">
        <f t="shared" ca="1" si="9"/>
        <v>0</v>
      </c>
    </row>
    <row r="63" spans="1:15" x14ac:dyDescent="0.25">
      <c r="B63">
        <v>56.7</v>
      </c>
      <c r="C63">
        <f t="shared" ca="1" si="0"/>
        <v>0.79565984370444076</v>
      </c>
      <c r="D63">
        <f t="shared" ca="1" si="1"/>
        <v>45.908526950715725</v>
      </c>
      <c r="F63">
        <f t="shared" si="7"/>
        <v>73</v>
      </c>
      <c r="G63">
        <f t="shared" si="8"/>
        <v>0</v>
      </c>
      <c r="H63">
        <f t="shared" ca="1" si="9"/>
        <v>0</v>
      </c>
    </row>
    <row r="64" spans="1:15" x14ac:dyDescent="0.25">
      <c r="A64" t="s">
        <v>162</v>
      </c>
      <c r="B64">
        <v>51.3</v>
      </c>
      <c r="C64">
        <f t="shared" ca="1" si="0"/>
        <v>0.37622621145936674</v>
      </c>
      <c r="D64">
        <f t="shared" ca="1" si="1"/>
        <v>49.655988458621195</v>
      </c>
      <c r="F64">
        <f t="shared" si="7"/>
        <v>74</v>
      </c>
      <c r="G64">
        <f t="shared" si="8"/>
        <v>0</v>
      </c>
      <c r="H64">
        <f t="shared" ca="1" si="9"/>
        <v>0</v>
      </c>
    </row>
    <row r="65" spans="1:8" x14ac:dyDescent="0.25">
      <c r="B65">
        <v>51.1</v>
      </c>
      <c r="C65">
        <f t="shared" ca="1" si="0"/>
        <v>8.274610505259683E-2</v>
      </c>
      <c r="D65">
        <f t="shared" ca="1" si="1"/>
        <v>52.98815111042984</v>
      </c>
      <c r="F65">
        <f t="shared" si="7"/>
        <v>75</v>
      </c>
      <c r="G65">
        <f t="shared" si="8"/>
        <v>0</v>
      </c>
      <c r="H65">
        <f t="shared" ca="1" si="9"/>
        <v>0</v>
      </c>
    </row>
    <row r="66" spans="1:8" x14ac:dyDescent="0.25">
      <c r="B66">
        <v>37.200000000000003</v>
      </c>
      <c r="C66">
        <f t="shared" ca="1" si="0"/>
        <v>0.53800607698202563</v>
      </c>
      <c r="D66">
        <f t="shared" ca="1" si="1"/>
        <v>55.939554406117814</v>
      </c>
      <c r="F66">
        <f t="shared" si="7"/>
        <v>76</v>
      </c>
      <c r="G66">
        <f t="shared" si="8"/>
        <v>0</v>
      </c>
      <c r="H66">
        <f t="shared" ca="1" si="9"/>
        <v>0</v>
      </c>
    </row>
    <row r="67" spans="1:8" x14ac:dyDescent="0.25">
      <c r="B67">
        <v>50.9</v>
      </c>
      <c r="C67">
        <f t="shared" ref="C67:C110" ca="1" si="10">RAND()</f>
        <v>8.0434130286214267E-2</v>
      </c>
      <c r="D67">
        <f t="shared" ref="D67:D130" ca="1" si="11">_xlfn.T.INV(RAND(),25)*$G$3+$F$3</f>
        <v>55.695424281562701</v>
      </c>
      <c r="F67">
        <f t="shared" si="7"/>
        <v>77</v>
      </c>
      <c r="G67">
        <f t="shared" si="8"/>
        <v>0</v>
      </c>
      <c r="H67">
        <f t="shared" ca="1" si="9"/>
        <v>0</v>
      </c>
    </row>
    <row r="68" spans="1:8" x14ac:dyDescent="0.25">
      <c r="B68">
        <v>55</v>
      </c>
      <c r="C68">
        <f t="shared" ca="1" si="10"/>
        <v>0.57699909449012687</v>
      </c>
      <c r="D68">
        <f t="shared" ca="1" si="11"/>
        <v>51.152241927187411</v>
      </c>
      <c r="F68">
        <f t="shared" si="7"/>
        <v>78</v>
      </c>
      <c r="G68">
        <f t="shared" si="8"/>
        <v>0</v>
      </c>
      <c r="H68">
        <f t="shared" ca="1" si="9"/>
        <v>0</v>
      </c>
    </row>
    <row r="69" spans="1:8" x14ac:dyDescent="0.25">
      <c r="B69">
        <v>46.73</v>
      </c>
      <c r="C69">
        <f t="shared" ca="1" si="10"/>
        <v>3.3372845546862151E-2</v>
      </c>
      <c r="D69">
        <f t="shared" ca="1" si="11"/>
        <v>52.490056659084978</v>
      </c>
      <c r="F69">
        <f t="shared" ref="F69:F75" si="12">F68+1</f>
        <v>79</v>
      </c>
      <c r="G69">
        <f t="shared" ref="G69:G75" si="13">COUNTIFS(B$2:B$110,"&gt;"&amp;$F69,B$2:B$110,"&lt;="&amp;$F70)/COUNT(B$2:B$110)</f>
        <v>0</v>
      </c>
      <c r="H69">
        <f t="shared" ref="H69:H75" ca="1" si="14">COUNTIFS(D$2:D$5000,"&gt;"&amp;$F69,D$2:D$5000,"&lt;="&amp;$F70)/COUNT(D$2:D$5000)</f>
        <v>0</v>
      </c>
    </row>
    <row r="70" spans="1:8" x14ac:dyDescent="0.25">
      <c r="B70">
        <v>53.7</v>
      </c>
      <c r="C70">
        <f t="shared" ca="1" si="10"/>
        <v>0.92830779115685225</v>
      </c>
      <c r="D70">
        <f t="shared" ca="1" si="11"/>
        <v>44.838265425068087</v>
      </c>
      <c r="F70">
        <f t="shared" si="12"/>
        <v>80</v>
      </c>
      <c r="G70">
        <f t="shared" si="13"/>
        <v>0</v>
      </c>
      <c r="H70">
        <f t="shared" ca="1" si="14"/>
        <v>0</v>
      </c>
    </row>
    <row r="71" spans="1:8" x14ac:dyDescent="0.25">
      <c r="B71">
        <v>53.8</v>
      </c>
      <c r="C71">
        <f t="shared" ca="1" si="10"/>
        <v>0.58097313035460363</v>
      </c>
      <c r="D71">
        <f t="shared" ca="1" si="11"/>
        <v>53.640761196179355</v>
      </c>
      <c r="F71">
        <f t="shared" si="12"/>
        <v>81</v>
      </c>
      <c r="G71">
        <f t="shared" si="13"/>
        <v>0</v>
      </c>
      <c r="H71">
        <f t="shared" ca="1" si="14"/>
        <v>0</v>
      </c>
    </row>
    <row r="72" spans="1:8" x14ac:dyDescent="0.25">
      <c r="B72">
        <v>46</v>
      </c>
      <c r="C72">
        <f t="shared" ca="1" si="10"/>
        <v>0.44552921072826135</v>
      </c>
      <c r="D72">
        <f t="shared" ca="1" si="11"/>
        <v>46.117139870387525</v>
      </c>
      <c r="F72">
        <f t="shared" si="12"/>
        <v>82</v>
      </c>
      <c r="G72">
        <f t="shared" si="13"/>
        <v>0</v>
      </c>
      <c r="H72">
        <f t="shared" ca="1" si="14"/>
        <v>0</v>
      </c>
    </row>
    <row r="73" spans="1:8" x14ac:dyDescent="0.25">
      <c r="B73">
        <v>46.6</v>
      </c>
      <c r="C73">
        <f t="shared" ca="1" si="10"/>
        <v>0.34746914274793295</v>
      </c>
      <c r="D73">
        <f t="shared" ca="1" si="11"/>
        <v>53.729266939042162</v>
      </c>
      <c r="F73">
        <f t="shared" si="12"/>
        <v>83</v>
      </c>
      <c r="G73">
        <f t="shared" si="13"/>
        <v>0</v>
      </c>
      <c r="H73">
        <f t="shared" ca="1" si="14"/>
        <v>0</v>
      </c>
    </row>
    <row r="74" spans="1:8" x14ac:dyDescent="0.25">
      <c r="A74" t="s">
        <v>163</v>
      </c>
      <c r="B74">
        <v>55.5</v>
      </c>
      <c r="C74">
        <f t="shared" ca="1" si="10"/>
        <v>0.24561855410923972</v>
      </c>
      <c r="D74">
        <f t="shared" ca="1" si="11"/>
        <v>48.569947598904591</v>
      </c>
      <c r="F74">
        <f t="shared" si="12"/>
        <v>84</v>
      </c>
      <c r="G74">
        <f t="shared" si="13"/>
        <v>0</v>
      </c>
      <c r="H74">
        <f t="shared" ca="1" si="14"/>
        <v>0</v>
      </c>
    </row>
    <row r="75" spans="1:8" x14ac:dyDescent="0.25">
      <c r="B75">
        <v>42.7</v>
      </c>
      <c r="C75">
        <f t="shared" ca="1" si="10"/>
        <v>0.92067111979345762</v>
      </c>
      <c r="D75">
        <f t="shared" ca="1" si="11"/>
        <v>55.69992879329277</v>
      </c>
      <c r="F75">
        <f t="shared" si="12"/>
        <v>85</v>
      </c>
      <c r="G75">
        <f t="shared" si="13"/>
        <v>0</v>
      </c>
      <c r="H75">
        <f t="shared" ca="1" si="14"/>
        <v>0</v>
      </c>
    </row>
    <row r="76" spans="1:8" x14ac:dyDescent="0.25">
      <c r="B76">
        <v>48.15</v>
      </c>
      <c r="C76">
        <f t="shared" ca="1" si="10"/>
        <v>0.62925319671156976</v>
      </c>
      <c r="D76">
        <f t="shared" ca="1" si="11"/>
        <v>46.53934251590718</v>
      </c>
    </row>
    <row r="77" spans="1:8" x14ac:dyDescent="0.25">
      <c r="B77">
        <v>52.28</v>
      </c>
      <c r="C77">
        <f t="shared" ca="1" si="10"/>
        <v>8.1443809237413345E-2</v>
      </c>
      <c r="D77">
        <f t="shared" ca="1" si="11"/>
        <v>44.700130128826707</v>
      </c>
    </row>
    <row r="78" spans="1:8" x14ac:dyDescent="0.25">
      <c r="B78">
        <v>52.92</v>
      </c>
      <c r="C78">
        <f t="shared" ca="1" si="10"/>
        <v>0.7654710891371006</v>
      </c>
      <c r="D78">
        <f t="shared" ca="1" si="11"/>
        <v>43.119052331982587</v>
      </c>
    </row>
    <row r="79" spans="1:8" x14ac:dyDescent="0.25">
      <c r="B79">
        <v>44.84</v>
      </c>
      <c r="C79">
        <f t="shared" ca="1" si="10"/>
        <v>0.46684754908821924</v>
      </c>
      <c r="D79">
        <f t="shared" ca="1" si="11"/>
        <v>54.876387473984337</v>
      </c>
    </row>
    <row r="80" spans="1:8" x14ac:dyDescent="0.25">
      <c r="B80">
        <v>44.55</v>
      </c>
      <c r="C80">
        <f t="shared" ca="1" si="10"/>
        <v>7.26477499997219E-2</v>
      </c>
      <c r="D80">
        <f t="shared" ca="1" si="11"/>
        <v>58.622653235688297</v>
      </c>
    </row>
    <row r="81" spans="1:4" x14ac:dyDescent="0.25">
      <c r="B81">
        <v>47.62</v>
      </c>
      <c r="C81">
        <f t="shared" ca="1" si="10"/>
        <v>0.41531903602518772</v>
      </c>
      <c r="D81">
        <f t="shared" ca="1" si="11"/>
        <v>45.940880433883194</v>
      </c>
    </row>
    <row r="82" spans="1:4" x14ac:dyDescent="0.25">
      <c r="B82">
        <v>54.12</v>
      </c>
      <c r="C82">
        <f t="shared" ca="1" si="10"/>
        <v>0.75107194231907859</v>
      </c>
      <c r="D82">
        <f t="shared" ca="1" si="11"/>
        <v>55.994934835308776</v>
      </c>
    </row>
    <row r="83" spans="1:4" x14ac:dyDescent="0.25">
      <c r="B83">
        <v>53.74</v>
      </c>
      <c r="C83">
        <f t="shared" ca="1" si="10"/>
        <v>7.429044791696815E-3</v>
      </c>
      <c r="D83">
        <f t="shared" ca="1" si="11"/>
        <v>44.474709652404748</v>
      </c>
    </row>
    <row r="84" spans="1:4" x14ac:dyDescent="0.25">
      <c r="B84">
        <v>49.03</v>
      </c>
      <c r="C84">
        <f t="shared" ca="1" si="10"/>
        <v>0.39109747867848355</v>
      </c>
      <c r="D84">
        <f t="shared" ca="1" si="11"/>
        <v>41.63703789338674</v>
      </c>
    </row>
    <row r="85" spans="1:4" x14ac:dyDescent="0.25">
      <c r="B85">
        <v>45.3</v>
      </c>
      <c r="C85">
        <f t="shared" ca="1" si="10"/>
        <v>0.86883577785915822</v>
      </c>
      <c r="D85">
        <f t="shared" ca="1" si="11"/>
        <v>42.945075942319541</v>
      </c>
    </row>
    <row r="86" spans="1:4" x14ac:dyDescent="0.25">
      <c r="B86">
        <v>49.83</v>
      </c>
      <c r="C86">
        <f t="shared" ca="1" si="10"/>
        <v>0.7946029838900206</v>
      </c>
      <c r="D86">
        <f t="shared" ca="1" si="11"/>
        <v>43.380080714643434</v>
      </c>
    </row>
    <row r="87" spans="1:4" x14ac:dyDescent="0.25">
      <c r="A87" t="s">
        <v>164</v>
      </c>
      <c r="B87">
        <v>48.06</v>
      </c>
      <c r="C87">
        <f t="shared" ca="1" si="10"/>
        <v>0.17164076571538467</v>
      </c>
      <c r="D87">
        <f t="shared" ca="1" si="11"/>
        <v>51.814482798831641</v>
      </c>
    </row>
    <row r="88" spans="1:4" x14ac:dyDescent="0.25">
      <c r="B88">
        <v>47</v>
      </c>
      <c r="C88">
        <f t="shared" ca="1" si="10"/>
        <v>0.65438071099453465</v>
      </c>
      <c r="D88">
        <f t="shared" ca="1" si="11"/>
        <v>55.429388933301226</v>
      </c>
    </row>
    <row r="89" spans="1:4" x14ac:dyDescent="0.25">
      <c r="B89">
        <v>48.39</v>
      </c>
      <c r="C89">
        <f t="shared" ca="1" si="10"/>
        <v>0.24315987326646005</v>
      </c>
      <c r="D89">
        <f t="shared" ca="1" si="11"/>
        <v>54.631578294516018</v>
      </c>
    </row>
    <row r="90" spans="1:4" x14ac:dyDescent="0.25">
      <c r="B90">
        <v>56.8</v>
      </c>
      <c r="C90">
        <f t="shared" ca="1" si="10"/>
        <v>0.92216115043331359</v>
      </c>
      <c r="D90">
        <f t="shared" ca="1" si="11"/>
        <v>46.019711924404788</v>
      </c>
    </row>
    <row r="91" spans="1:4" x14ac:dyDescent="0.25">
      <c r="B91">
        <v>49.07</v>
      </c>
      <c r="C91">
        <f t="shared" ca="1" si="10"/>
        <v>0.48074176757162934</v>
      </c>
      <c r="D91">
        <f t="shared" ca="1" si="11"/>
        <v>45.165173410598662</v>
      </c>
    </row>
    <row r="92" spans="1:4" x14ac:dyDescent="0.25">
      <c r="B92">
        <v>48.49</v>
      </c>
      <c r="C92">
        <f t="shared" ca="1" si="10"/>
        <v>0.19306546679106684</v>
      </c>
      <c r="D92">
        <f t="shared" ca="1" si="11"/>
        <v>41.338247673995539</v>
      </c>
    </row>
    <row r="93" spans="1:4" x14ac:dyDescent="0.25">
      <c r="B93">
        <v>39.090000000000003</v>
      </c>
      <c r="C93">
        <f t="shared" ca="1" si="10"/>
        <v>0.32705804030184304</v>
      </c>
      <c r="D93">
        <f t="shared" ca="1" si="11"/>
        <v>43.438280859592524</v>
      </c>
    </row>
    <row r="94" spans="1:4" x14ac:dyDescent="0.25">
      <c r="B94">
        <v>48</v>
      </c>
      <c r="C94">
        <f t="shared" ca="1" si="10"/>
        <v>0.39288742046975167</v>
      </c>
      <c r="D94">
        <f t="shared" ca="1" si="11"/>
        <v>47.509053062268656</v>
      </c>
    </row>
    <row r="95" spans="1:4" x14ac:dyDescent="0.25">
      <c r="B95">
        <v>53.17</v>
      </c>
      <c r="C95">
        <f t="shared" ca="1" si="10"/>
        <v>0.84771891063675342</v>
      </c>
      <c r="D95">
        <f t="shared" ca="1" si="11"/>
        <v>47.22091955552041</v>
      </c>
    </row>
    <row r="96" spans="1:4" x14ac:dyDescent="0.25">
      <c r="B96">
        <v>50.94</v>
      </c>
      <c r="C96">
        <f t="shared" ca="1" si="10"/>
        <v>0.99355785120559126</v>
      </c>
      <c r="D96">
        <f t="shared" ca="1" si="11"/>
        <v>53.162168357477654</v>
      </c>
    </row>
    <row r="97" spans="2:4" x14ac:dyDescent="0.25">
      <c r="B97">
        <v>45</v>
      </c>
      <c r="C97">
        <f t="shared" ca="1" si="10"/>
        <v>0.67131385719523962</v>
      </c>
      <c r="D97">
        <f t="shared" ca="1" si="11"/>
        <v>50.271714718275533</v>
      </c>
    </row>
    <row r="98" spans="2:4" x14ac:dyDescent="0.25">
      <c r="B98">
        <v>53.4</v>
      </c>
      <c r="C98">
        <f t="shared" ca="1" si="10"/>
        <v>0.78253742534931714</v>
      </c>
      <c r="D98">
        <f t="shared" ca="1" si="11"/>
        <v>50.130590054055304</v>
      </c>
    </row>
    <row r="99" spans="2:4" x14ac:dyDescent="0.25">
      <c r="B99">
        <v>49.2</v>
      </c>
      <c r="C99">
        <f t="shared" ca="1" si="10"/>
        <v>0.90562716027273171</v>
      </c>
      <c r="D99">
        <f t="shared" ca="1" si="11"/>
        <v>53.160490611243119</v>
      </c>
    </row>
    <row r="100" spans="2:4" x14ac:dyDescent="0.25">
      <c r="B100">
        <v>54.5</v>
      </c>
      <c r="C100">
        <f t="shared" ca="1" si="10"/>
        <v>0.93386622614937498</v>
      </c>
      <c r="D100">
        <f t="shared" ca="1" si="11"/>
        <v>42.462729110556253</v>
      </c>
    </row>
    <row r="101" spans="2:4" x14ac:dyDescent="0.25">
      <c r="B101">
        <v>53.3</v>
      </c>
      <c r="C101">
        <f t="shared" ca="1" si="10"/>
        <v>4.8864378083818716E-2</v>
      </c>
      <c r="D101">
        <f t="shared" ca="1" si="11"/>
        <v>51.034698452816308</v>
      </c>
    </row>
    <row r="102" spans="2:4" x14ac:dyDescent="0.25">
      <c r="B102">
        <v>53.2</v>
      </c>
      <c r="C102">
        <f t="shared" ca="1" si="10"/>
        <v>0.66957819109056849</v>
      </c>
      <c r="D102">
        <f t="shared" ca="1" si="11"/>
        <v>51.664823693911956</v>
      </c>
    </row>
    <row r="103" spans="2:4" x14ac:dyDescent="0.25">
      <c r="B103">
        <v>54.3</v>
      </c>
      <c r="C103">
        <f t="shared" ca="1" si="10"/>
        <v>9.9044265751752736E-2</v>
      </c>
      <c r="D103">
        <f t="shared" ca="1" si="11"/>
        <v>56.570168195041418</v>
      </c>
    </row>
    <row r="104" spans="2:4" x14ac:dyDescent="0.25">
      <c r="B104">
        <v>54.3</v>
      </c>
      <c r="C104">
        <f t="shared" ca="1" si="10"/>
        <v>0.80898771446902784</v>
      </c>
      <c r="D104">
        <f t="shared" ca="1" si="11"/>
        <v>51.108414477531149</v>
      </c>
    </row>
    <row r="105" spans="2:4" x14ac:dyDescent="0.25">
      <c r="B105">
        <v>49.7</v>
      </c>
      <c r="C105">
        <f t="shared" ca="1" si="10"/>
        <v>0.31164493267800042</v>
      </c>
      <c r="D105">
        <f t="shared" ca="1" si="11"/>
        <v>52.638937270530761</v>
      </c>
    </row>
    <row r="106" spans="2:4" x14ac:dyDescent="0.25">
      <c r="B106">
        <v>48.7</v>
      </c>
      <c r="C106">
        <f t="shared" ca="1" si="10"/>
        <v>8.1895442591938261E-2</v>
      </c>
      <c r="D106">
        <f t="shared" ca="1" si="11"/>
        <v>54.804012719560362</v>
      </c>
    </row>
    <row r="107" spans="2:4" x14ac:dyDescent="0.25">
      <c r="B107">
        <v>53</v>
      </c>
      <c r="C107">
        <f t="shared" ca="1" si="10"/>
        <v>2.644241955084381E-2</v>
      </c>
      <c r="D107">
        <f t="shared" ca="1" si="11"/>
        <v>57.020801950495809</v>
      </c>
    </row>
    <row r="108" spans="2:4" x14ac:dyDescent="0.25">
      <c r="B108">
        <v>48.7</v>
      </c>
      <c r="C108">
        <f t="shared" ca="1" si="10"/>
        <v>0.43963243621884451</v>
      </c>
      <c r="D108">
        <f t="shared" ca="1" si="11"/>
        <v>46.335778767412087</v>
      </c>
    </row>
    <row r="109" spans="2:4" x14ac:dyDescent="0.25">
      <c r="B109">
        <v>48</v>
      </c>
      <c r="C109">
        <f t="shared" ca="1" si="10"/>
        <v>0.13324816098044601</v>
      </c>
      <c r="D109">
        <f t="shared" ca="1" si="11"/>
        <v>53.043298068886216</v>
      </c>
    </row>
    <row r="110" spans="2:4" x14ac:dyDescent="0.25">
      <c r="B110">
        <v>53.3</v>
      </c>
      <c r="C110">
        <f t="shared" ca="1" si="10"/>
        <v>0.71736588028934478</v>
      </c>
      <c r="D110">
        <f t="shared" ca="1" si="11"/>
        <v>54.588197261544217</v>
      </c>
    </row>
    <row r="111" spans="2:4" x14ac:dyDescent="0.25">
      <c r="D111">
        <f t="shared" ca="1" si="11"/>
        <v>49.190569947991158</v>
      </c>
    </row>
    <row r="112" spans="2:4" x14ac:dyDescent="0.25">
      <c r="D112">
        <f t="shared" ca="1" si="11"/>
        <v>55.350004715991297</v>
      </c>
    </row>
    <row r="113" spans="4:4" x14ac:dyDescent="0.25">
      <c r="D113">
        <f t="shared" ca="1" si="11"/>
        <v>51.333382928123143</v>
      </c>
    </row>
    <row r="114" spans="4:4" x14ac:dyDescent="0.25">
      <c r="D114">
        <f t="shared" ca="1" si="11"/>
        <v>50.667989953819287</v>
      </c>
    </row>
    <row r="115" spans="4:4" x14ac:dyDescent="0.25">
      <c r="D115">
        <f t="shared" ca="1" si="11"/>
        <v>59.134717123697065</v>
      </c>
    </row>
    <row r="116" spans="4:4" x14ac:dyDescent="0.25">
      <c r="D116">
        <f t="shared" ca="1" si="11"/>
        <v>44.923519257791298</v>
      </c>
    </row>
    <row r="117" spans="4:4" x14ac:dyDescent="0.25">
      <c r="D117">
        <f t="shared" ca="1" si="11"/>
        <v>50.59194382867306</v>
      </c>
    </row>
    <row r="118" spans="4:4" x14ac:dyDescent="0.25">
      <c r="D118">
        <f t="shared" ca="1" si="11"/>
        <v>50.953479617014828</v>
      </c>
    </row>
    <row r="119" spans="4:4" x14ac:dyDescent="0.25">
      <c r="D119">
        <f t="shared" ca="1" si="11"/>
        <v>48.995333895673426</v>
      </c>
    </row>
    <row r="120" spans="4:4" x14ac:dyDescent="0.25">
      <c r="D120">
        <f t="shared" ca="1" si="11"/>
        <v>44.950648003565952</v>
      </c>
    </row>
    <row r="121" spans="4:4" x14ac:dyDescent="0.25">
      <c r="D121">
        <f t="shared" ca="1" si="11"/>
        <v>45.685290536970953</v>
      </c>
    </row>
    <row r="122" spans="4:4" x14ac:dyDescent="0.25">
      <c r="D122">
        <f t="shared" ca="1" si="11"/>
        <v>48.935983096675074</v>
      </c>
    </row>
    <row r="123" spans="4:4" x14ac:dyDescent="0.25">
      <c r="D123">
        <f t="shared" ca="1" si="11"/>
        <v>49.279910898917095</v>
      </c>
    </row>
    <row r="124" spans="4:4" x14ac:dyDescent="0.25">
      <c r="D124">
        <f t="shared" ca="1" si="11"/>
        <v>44.314116487112742</v>
      </c>
    </row>
    <row r="125" spans="4:4" x14ac:dyDescent="0.25">
      <c r="D125">
        <f t="shared" ca="1" si="11"/>
        <v>45.217915954629092</v>
      </c>
    </row>
    <row r="126" spans="4:4" x14ac:dyDescent="0.25">
      <c r="D126">
        <f t="shared" ca="1" si="11"/>
        <v>54.193583530443746</v>
      </c>
    </row>
    <row r="127" spans="4:4" x14ac:dyDescent="0.25">
      <c r="D127">
        <f t="shared" ca="1" si="11"/>
        <v>50.323929108655626</v>
      </c>
    </row>
    <row r="128" spans="4:4" x14ac:dyDescent="0.25">
      <c r="D128">
        <f t="shared" ca="1" si="11"/>
        <v>47.957328986902553</v>
      </c>
    </row>
    <row r="129" spans="4:4" x14ac:dyDescent="0.25">
      <c r="D129">
        <f t="shared" ca="1" si="11"/>
        <v>56.590357562937122</v>
      </c>
    </row>
    <row r="130" spans="4:4" x14ac:dyDescent="0.25">
      <c r="D130">
        <f t="shared" ca="1" si="11"/>
        <v>50.097688031351723</v>
      </c>
    </row>
    <row r="131" spans="4:4" x14ac:dyDescent="0.25">
      <c r="D131">
        <f t="shared" ref="D131:D194" ca="1" si="15">_xlfn.T.INV(RAND(),25)*$G$3+$F$3</f>
        <v>52.678026989654164</v>
      </c>
    </row>
    <row r="132" spans="4:4" x14ac:dyDescent="0.25">
      <c r="D132">
        <f t="shared" ca="1" si="15"/>
        <v>51.334214401025669</v>
      </c>
    </row>
    <row r="133" spans="4:4" x14ac:dyDescent="0.25">
      <c r="D133">
        <f t="shared" ca="1" si="15"/>
        <v>49.774905237020256</v>
      </c>
    </row>
    <row r="134" spans="4:4" x14ac:dyDescent="0.25">
      <c r="D134">
        <f t="shared" ca="1" si="15"/>
        <v>56.642243880790751</v>
      </c>
    </row>
    <row r="135" spans="4:4" x14ac:dyDescent="0.25">
      <c r="D135">
        <f t="shared" ca="1" si="15"/>
        <v>53.006143003075941</v>
      </c>
    </row>
    <row r="136" spans="4:4" x14ac:dyDescent="0.25">
      <c r="D136">
        <f t="shared" ca="1" si="15"/>
        <v>51.83301240782535</v>
      </c>
    </row>
    <row r="137" spans="4:4" x14ac:dyDescent="0.25">
      <c r="D137">
        <f t="shared" ca="1" si="15"/>
        <v>39.058348976479081</v>
      </c>
    </row>
    <row r="138" spans="4:4" x14ac:dyDescent="0.25">
      <c r="D138">
        <f t="shared" ca="1" si="15"/>
        <v>48.491439706022099</v>
      </c>
    </row>
    <row r="139" spans="4:4" x14ac:dyDescent="0.25">
      <c r="D139">
        <f t="shared" ca="1" si="15"/>
        <v>57.152188847341485</v>
      </c>
    </row>
    <row r="140" spans="4:4" x14ac:dyDescent="0.25">
      <c r="D140">
        <f t="shared" ca="1" si="15"/>
        <v>38.731170094682589</v>
      </c>
    </row>
    <row r="141" spans="4:4" x14ac:dyDescent="0.25">
      <c r="D141">
        <f t="shared" ca="1" si="15"/>
        <v>52.358211573399799</v>
      </c>
    </row>
    <row r="142" spans="4:4" x14ac:dyDescent="0.25">
      <c r="D142">
        <f t="shared" ca="1" si="15"/>
        <v>55.584534066984979</v>
      </c>
    </row>
    <row r="143" spans="4:4" x14ac:dyDescent="0.25">
      <c r="D143">
        <f t="shared" ca="1" si="15"/>
        <v>40.010402167259997</v>
      </c>
    </row>
    <row r="144" spans="4:4" x14ac:dyDescent="0.25">
      <c r="D144">
        <f t="shared" ca="1" si="15"/>
        <v>43.880745640743953</v>
      </c>
    </row>
    <row r="145" spans="4:4" x14ac:dyDescent="0.25">
      <c r="D145">
        <f t="shared" ca="1" si="15"/>
        <v>47.806685409368846</v>
      </c>
    </row>
    <row r="146" spans="4:4" x14ac:dyDescent="0.25">
      <c r="D146">
        <f t="shared" ca="1" si="15"/>
        <v>58.562542392260909</v>
      </c>
    </row>
    <row r="147" spans="4:4" x14ac:dyDescent="0.25">
      <c r="D147">
        <f t="shared" ca="1" si="15"/>
        <v>44.383935414822446</v>
      </c>
    </row>
    <row r="148" spans="4:4" x14ac:dyDescent="0.25">
      <c r="D148">
        <f t="shared" ca="1" si="15"/>
        <v>51.371984938172837</v>
      </c>
    </row>
    <row r="149" spans="4:4" x14ac:dyDescent="0.25">
      <c r="D149">
        <f t="shared" ca="1" si="15"/>
        <v>47.455673820648528</v>
      </c>
    </row>
    <row r="150" spans="4:4" x14ac:dyDescent="0.25">
      <c r="D150">
        <f t="shared" ca="1" si="15"/>
        <v>39.72703127274039</v>
      </c>
    </row>
    <row r="151" spans="4:4" x14ac:dyDescent="0.25">
      <c r="D151">
        <f t="shared" ca="1" si="15"/>
        <v>47.763322957181536</v>
      </c>
    </row>
    <row r="152" spans="4:4" x14ac:dyDescent="0.25">
      <c r="D152">
        <f t="shared" ca="1" si="15"/>
        <v>51.083878826976786</v>
      </c>
    </row>
    <row r="153" spans="4:4" x14ac:dyDescent="0.25">
      <c r="D153">
        <f t="shared" ca="1" si="15"/>
        <v>50.012714264245005</v>
      </c>
    </row>
    <row r="154" spans="4:4" x14ac:dyDescent="0.25">
      <c r="D154">
        <f t="shared" ca="1" si="15"/>
        <v>47.734378389367983</v>
      </c>
    </row>
    <row r="155" spans="4:4" x14ac:dyDescent="0.25">
      <c r="D155">
        <f t="shared" ca="1" si="15"/>
        <v>47.800019391251602</v>
      </c>
    </row>
    <row r="156" spans="4:4" x14ac:dyDescent="0.25">
      <c r="D156">
        <f t="shared" ca="1" si="15"/>
        <v>51.64185160197448</v>
      </c>
    </row>
    <row r="157" spans="4:4" x14ac:dyDescent="0.25">
      <c r="D157">
        <f t="shared" ca="1" si="15"/>
        <v>44.594254226491103</v>
      </c>
    </row>
    <row r="158" spans="4:4" x14ac:dyDescent="0.25">
      <c r="D158">
        <f t="shared" ca="1" si="15"/>
        <v>40.175611631576729</v>
      </c>
    </row>
    <row r="159" spans="4:4" x14ac:dyDescent="0.25">
      <c r="D159">
        <f t="shared" ca="1" si="15"/>
        <v>47.294577383792124</v>
      </c>
    </row>
    <row r="160" spans="4:4" x14ac:dyDescent="0.25">
      <c r="D160">
        <f t="shared" ca="1" si="15"/>
        <v>50.863491821644629</v>
      </c>
    </row>
    <row r="161" spans="4:4" x14ac:dyDescent="0.25">
      <c r="D161">
        <f t="shared" ca="1" si="15"/>
        <v>52.968268522225024</v>
      </c>
    </row>
    <row r="162" spans="4:4" x14ac:dyDescent="0.25">
      <c r="D162">
        <f t="shared" ca="1" si="15"/>
        <v>48.324814710256881</v>
      </c>
    </row>
    <row r="163" spans="4:4" x14ac:dyDescent="0.25">
      <c r="D163">
        <f t="shared" ca="1" si="15"/>
        <v>55.335225242937646</v>
      </c>
    </row>
    <row r="164" spans="4:4" x14ac:dyDescent="0.25">
      <c r="D164">
        <f t="shared" ca="1" si="15"/>
        <v>46.372321928635181</v>
      </c>
    </row>
    <row r="165" spans="4:4" x14ac:dyDescent="0.25">
      <c r="D165">
        <f t="shared" ca="1" si="15"/>
        <v>49.724898197614706</v>
      </c>
    </row>
    <row r="166" spans="4:4" x14ac:dyDescent="0.25">
      <c r="D166">
        <f t="shared" ca="1" si="15"/>
        <v>47.574496799478361</v>
      </c>
    </row>
    <row r="167" spans="4:4" x14ac:dyDescent="0.25">
      <c r="D167">
        <f t="shared" ca="1" si="15"/>
        <v>46.827109934053325</v>
      </c>
    </row>
    <row r="168" spans="4:4" x14ac:dyDescent="0.25">
      <c r="D168">
        <f t="shared" ca="1" si="15"/>
        <v>49.685751835329768</v>
      </c>
    </row>
    <row r="169" spans="4:4" x14ac:dyDescent="0.25">
      <c r="D169">
        <f t="shared" ca="1" si="15"/>
        <v>50.62374517635795</v>
      </c>
    </row>
    <row r="170" spans="4:4" x14ac:dyDescent="0.25">
      <c r="D170">
        <f t="shared" ca="1" si="15"/>
        <v>46.234090661804196</v>
      </c>
    </row>
    <row r="171" spans="4:4" x14ac:dyDescent="0.25">
      <c r="D171">
        <f t="shared" ca="1" si="15"/>
        <v>46.048817667727029</v>
      </c>
    </row>
    <row r="172" spans="4:4" x14ac:dyDescent="0.25">
      <c r="D172">
        <f t="shared" ca="1" si="15"/>
        <v>49.789583012819783</v>
      </c>
    </row>
    <row r="173" spans="4:4" x14ac:dyDescent="0.25">
      <c r="D173">
        <f t="shared" ca="1" si="15"/>
        <v>49.592059488637339</v>
      </c>
    </row>
    <row r="174" spans="4:4" x14ac:dyDescent="0.25">
      <c r="D174">
        <f t="shared" ca="1" si="15"/>
        <v>48.960933952499495</v>
      </c>
    </row>
    <row r="175" spans="4:4" x14ac:dyDescent="0.25">
      <c r="D175">
        <f t="shared" ca="1" si="15"/>
        <v>46.607371595667644</v>
      </c>
    </row>
    <row r="176" spans="4:4" x14ac:dyDescent="0.25">
      <c r="D176">
        <f t="shared" ca="1" si="15"/>
        <v>52.27915225331337</v>
      </c>
    </row>
    <row r="177" spans="4:4" x14ac:dyDescent="0.25">
      <c r="D177">
        <f t="shared" ca="1" si="15"/>
        <v>52.854329454293513</v>
      </c>
    </row>
    <row r="178" spans="4:4" x14ac:dyDescent="0.25">
      <c r="D178">
        <f t="shared" ca="1" si="15"/>
        <v>43.487334869887135</v>
      </c>
    </row>
    <row r="179" spans="4:4" x14ac:dyDescent="0.25">
      <c r="D179">
        <f t="shared" ca="1" si="15"/>
        <v>50.978609115831844</v>
      </c>
    </row>
    <row r="180" spans="4:4" x14ac:dyDescent="0.25">
      <c r="D180">
        <f t="shared" ca="1" si="15"/>
        <v>52.022609620869709</v>
      </c>
    </row>
    <row r="181" spans="4:4" x14ac:dyDescent="0.25">
      <c r="D181">
        <f t="shared" ca="1" si="15"/>
        <v>39.251138545103501</v>
      </c>
    </row>
    <row r="182" spans="4:4" x14ac:dyDescent="0.25">
      <c r="D182">
        <f t="shared" ca="1" si="15"/>
        <v>49.466234921662632</v>
      </c>
    </row>
    <row r="183" spans="4:4" x14ac:dyDescent="0.25">
      <c r="D183">
        <f t="shared" ca="1" si="15"/>
        <v>44.920444724520145</v>
      </c>
    </row>
    <row r="184" spans="4:4" x14ac:dyDescent="0.25">
      <c r="D184">
        <f t="shared" ca="1" si="15"/>
        <v>51.186958283008508</v>
      </c>
    </row>
    <row r="185" spans="4:4" x14ac:dyDescent="0.25">
      <c r="D185">
        <f t="shared" ca="1" si="15"/>
        <v>43.408204555186884</v>
      </c>
    </row>
    <row r="186" spans="4:4" x14ac:dyDescent="0.25">
      <c r="D186">
        <f t="shared" ca="1" si="15"/>
        <v>47.570005771858511</v>
      </c>
    </row>
    <row r="187" spans="4:4" x14ac:dyDescent="0.25">
      <c r="D187">
        <f t="shared" ca="1" si="15"/>
        <v>47.72179679361863</v>
      </c>
    </row>
    <row r="188" spans="4:4" x14ac:dyDescent="0.25">
      <c r="D188">
        <f t="shared" ca="1" si="15"/>
        <v>45.267301057819914</v>
      </c>
    </row>
    <row r="189" spans="4:4" x14ac:dyDescent="0.25">
      <c r="D189">
        <f t="shared" ca="1" si="15"/>
        <v>45.366308708139357</v>
      </c>
    </row>
    <row r="190" spans="4:4" x14ac:dyDescent="0.25">
      <c r="D190">
        <f t="shared" ca="1" si="15"/>
        <v>50.301280527630922</v>
      </c>
    </row>
    <row r="191" spans="4:4" x14ac:dyDescent="0.25">
      <c r="D191">
        <f t="shared" ca="1" si="15"/>
        <v>44.356173477437771</v>
      </c>
    </row>
    <row r="192" spans="4:4" x14ac:dyDescent="0.25">
      <c r="D192">
        <f t="shared" ca="1" si="15"/>
        <v>48.593485558643842</v>
      </c>
    </row>
    <row r="193" spans="4:4" x14ac:dyDescent="0.25">
      <c r="D193">
        <f t="shared" ca="1" si="15"/>
        <v>49.175413212777947</v>
      </c>
    </row>
    <row r="194" spans="4:4" x14ac:dyDescent="0.25">
      <c r="D194">
        <f t="shared" ca="1" si="15"/>
        <v>40.860185803142087</v>
      </c>
    </row>
    <row r="195" spans="4:4" x14ac:dyDescent="0.25">
      <c r="D195">
        <f t="shared" ref="D195:D258" ca="1" si="16">_xlfn.T.INV(RAND(),25)*$G$3+$F$3</f>
        <v>43.436188478479274</v>
      </c>
    </row>
    <row r="196" spans="4:4" x14ac:dyDescent="0.25">
      <c r="D196">
        <f t="shared" ca="1" si="16"/>
        <v>49.201902289085211</v>
      </c>
    </row>
    <row r="197" spans="4:4" x14ac:dyDescent="0.25">
      <c r="D197">
        <f t="shared" ca="1" si="16"/>
        <v>51.871778884097466</v>
      </c>
    </row>
    <row r="198" spans="4:4" x14ac:dyDescent="0.25">
      <c r="D198">
        <f t="shared" ca="1" si="16"/>
        <v>48.512551488749367</v>
      </c>
    </row>
    <row r="199" spans="4:4" x14ac:dyDescent="0.25">
      <c r="D199">
        <f t="shared" ca="1" si="16"/>
        <v>47.179762285922024</v>
      </c>
    </row>
    <row r="200" spans="4:4" x14ac:dyDescent="0.25">
      <c r="D200">
        <f t="shared" ca="1" si="16"/>
        <v>44.54865052495979</v>
      </c>
    </row>
    <row r="201" spans="4:4" x14ac:dyDescent="0.25">
      <c r="D201">
        <f t="shared" ca="1" si="16"/>
        <v>44.994234798647987</v>
      </c>
    </row>
    <row r="202" spans="4:4" x14ac:dyDescent="0.25">
      <c r="D202">
        <f t="shared" ca="1" si="16"/>
        <v>50.374651608664458</v>
      </c>
    </row>
    <row r="203" spans="4:4" x14ac:dyDescent="0.25">
      <c r="D203">
        <f t="shared" ca="1" si="16"/>
        <v>44.699406191685462</v>
      </c>
    </row>
    <row r="204" spans="4:4" x14ac:dyDescent="0.25">
      <c r="D204">
        <f t="shared" ca="1" si="16"/>
        <v>51.924950324961465</v>
      </c>
    </row>
    <row r="205" spans="4:4" x14ac:dyDescent="0.25">
      <c r="D205">
        <f t="shared" ca="1" si="16"/>
        <v>60.039673747396741</v>
      </c>
    </row>
    <row r="206" spans="4:4" x14ac:dyDescent="0.25">
      <c r="D206">
        <f t="shared" ca="1" si="16"/>
        <v>50.996058298871397</v>
      </c>
    </row>
    <row r="207" spans="4:4" x14ac:dyDescent="0.25">
      <c r="D207">
        <f t="shared" ca="1" si="16"/>
        <v>56.848228941642084</v>
      </c>
    </row>
    <row r="208" spans="4:4" x14ac:dyDescent="0.25">
      <c r="D208">
        <f t="shared" ca="1" si="16"/>
        <v>50.274719322942182</v>
      </c>
    </row>
    <row r="209" spans="4:4" x14ac:dyDescent="0.25">
      <c r="D209">
        <f t="shared" ca="1" si="16"/>
        <v>47.813548392722865</v>
      </c>
    </row>
    <row r="210" spans="4:4" x14ac:dyDescent="0.25">
      <c r="D210">
        <f t="shared" ca="1" si="16"/>
        <v>57.176516001010704</v>
      </c>
    </row>
    <row r="211" spans="4:4" x14ac:dyDescent="0.25">
      <c r="D211">
        <f t="shared" ca="1" si="16"/>
        <v>46.604986069058583</v>
      </c>
    </row>
    <row r="212" spans="4:4" x14ac:dyDescent="0.25">
      <c r="D212">
        <f t="shared" ca="1" si="16"/>
        <v>38.246512630899012</v>
      </c>
    </row>
    <row r="213" spans="4:4" x14ac:dyDescent="0.25">
      <c r="D213">
        <f t="shared" ca="1" si="16"/>
        <v>48.543322824274732</v>
      </c>
    </row>
    <row r="214" spans="4:4" x14ac:dyDescent="0.25">
      <c r="D214">
        <f t="shared" ca="1" si="16"/>
        <v>48.111767887663675</v>
      </c>
    </row>
    <row r="215" spans="4:4" x14ac:dyDescent="0.25">
      <c r="D215">
        <f t="shared" ca="1" si="16"/>
        <v>55.738921595331618</v>
      </c>
    </row>
    <row r="216" spans="4:4" x14ac:dyDescent="0.25">
      <c r="D216">
        <f t="shared" ca="1" si="16"/>
        <v>44.759763646881602</v>
      </c>
    </row>
    <row r="217" spans="4:4" x14ac:dyDescent="0.25">
      <c r="D217">
        <f t="shared" ca="1" si="16"/>
        <v>48.095724119818485</v>
      </c>
    </row>
    <row r="218" spans="4:4" x14ac:dyDescent="0.25">
      <c r="D218">
        <f t="shared" ca="1" si="16"/>
        <v>56.465731775093417</v>
      </c>
    </row>
    <row r="219" spans="4:4" x14ac:dyDescent="0.25">
      <c r="D219">
        <f t="shared" ca="1" si="16"/>
        <v>43.276143057571488</v>
      </c>
    </row>
    <row r="220" spans="4:4" x14ac:dyDescent="0.25">
      <c r="D220">
        <f t="shared" ca="1" si="16"/>
        <v>37.780428913055289</v>
      </c>
    </row>
    <row r="221" spans="4:4" x14ac:dyDescent="0.25">
      <c r="D221">
        <f t="shared" ca="1" si="16"/>
        <v>49.782246777603596</v>
      </c>
    </row>
    <row r="222" spans="4:4" x14ac:dyDescent="0.25">
      <c r="D222">
        <f t="shared" ca="1" si="16"/>
        <v>55.38846061814894</v>
      </c>
    </row>
    <row r="223" spans="4:4" x14ac:dyDescent="0.25">
      <c r="D223">
        <f t="shared" ca="1" si="16"/>
        <v>52.17658471339503</v>
      </c>
    </row>
    <row r="224" spans="4:4" x14ac:dyDescent="0.25">
      <c r="D224">
        <f t="shared" ca="1" si="16"/>
        <v>45.627812036163817</v>
      </c>
    </row>
    <row r="225" spans="4:4" x14ac:dyDescent="0.25">
      <c r="D225">
        <f t="shared" ca="1" si="16"/>
        <v>47.012891218976712</v>
      </c>
    </row>
    <row r="226" spans="4:4" x14ac:dyDescent="0.25">
      <c r="D226">
        <f t="shared" ca="1" si="16"/>
        <v>55.078635091297713</v>
      </c>
    </row>
    <row r="227" spans="4:4" x14ac:dyDescent="0.25">
      <c r="D227">
        <f t="shared" ca="1" si="16"/>
        <v>53.169045026732967</v>
      </c>
    </row>
    <row r="228" spans="4:4" x14ac:dyDescent="0.25">
      <c r="D228">
        <f t="shared" ca="1" si="16"/>
        <v>51.458277758709599</v>
      </c>
    </row>
    <row r="229" spans="4:4" x14ac:dyDescent="0.25">
      <c r="D229">
        <f t="shared" ca="1" si="16"/>
        <v>51.1104665290732</v>
      </c>
    </row>
    <row r="230" spans="4:4" x14ac:dyDescent="0.25">
      <c r="D230">
        <f t="shared" ca="1" si="16"/>
        <v>48.996563482692316</v>
      </c>
    </row>
    <row r="231" spans="4:4" x14ac:dyDescent="0.25">
      <c r="D231">
        <f t="shared" ca="1" si="16"/>
        <v>46.588650436960236</v>
      </c>
    </row>
    <row r="232" spans="4:4" x14ac:dyDescent="0.25">
      <c r="D232">
        <f t="shared" ca="1" si="16"/>
        <v>51.443850554822454</v>
      </c>
    </row>
    <row r="233" spans="4:4" x14ac:dyDescent="0.25">
      <c r="D233">
        <f t="shared" ca="1" si="16"/>
        <v>42.555689324467963</v>
      </c>
    </row>
    <row r="234" spans="4:4" x14ac:dyDescent="0.25">
      <c r="D234">
        <f t="shared" ca="1" si="16"/>
        <v>37.081521830044238</v>
      </c>
    </row>
    <row r="235" spans="4:4" x14ac:dyDescent="0.25">
      <c r="D235">
        <f t="shared" ca="1" si="16"/>
        <v>58.784563763722304</v>
      </c>
    </row>
    <row r="236" spans="4:4" x14ac:dyDescent="0.25">
      <c r="D236">
        <f t="shared" ca="1" si="16"/>
        <v>53.173903037624626</v>
      </c>
    </row>
    <row r="237" spans="4:4" x14ac:dyDescent="0.25">
      <c r="D237">
        <f t="shared" ca="1" si="16"/>
        <v>42.856777337883727</v>
      </c>
    </row>
    <row r="238" spans="4:4" x14ac:dyDescent="0.25">
      <c r="D238">
        <f t="shared" ca="1" si="16"/>
        <v>48.747183561705583</v>
      </c>
    </row>
    <row r="239" spans="4:4" x14ac:dyDescent="0.25">
      <c r="D239">
        <f t="shared" ca="1" si="16"/>
        <v>50.512047161214333</v>
      </c>
    </row>
    <row r="240" spans="4:4" x14ac:dyDescent="0.25">
      <c r="D240">
        <f t="shared" ca="1" si="16"/>
        <v>47.254696385742648</v>
      </c>
    </row>
    <row r="241" spans="4:4" x14ac:dyDescent="0.25">
      <c r="D241">
        <f t="shared" ca="1" si="16"/>
        <v>53.471413467373829</v>
      </c>
    </row>
    <row r="242" spans="4:4" x14ac:dyDescent="0.25">
      <c r="D242">
        <f t="shared" ca="1" si="16"/>
        <v>54.405802931475279</v>
      </c>
    </row>
    <row r="243" spans="4:4" x14ac:dyDescent="0.25">
      <c r="D243">
        <f t="shared" ca="1" si="16"/>
        <v>46.33044089785605</v>
      </c>
    </row>
    <row r="244" spans="4:4" x14ac:dyDescent="0.25">
      <c r="D244">
        <f t="shared" ca="1" si="16"/>
        <v>52.29047132205087</v>
      </c>
    </row>
    <row r="245" spans="4:4" x14ac:dyDescent="0.25">
      <c r="D245">
        <f t="shared" ca="1" si="16"/>
        <v>54.441491731790094</v>
      </c>
    </row>
    <row r="246" spans="4:4" x14ac:dyDescent="0.25">
      <c r="D246">
        <f t="shared" ca="1" si="16"/>
        <v>51.54776565449378</v>
      </c>
    </row>
    <row r="247" spans="4:4" x14ac:dyDescent="0.25">
      <c r="D247">
        <f t="shared" ca="1" si="16"/>
        <v>42.587303034156989</v>
      </c>
    </row>
    <row r="248" spans="4:4" x14ac:dyDescent="0.25">
      <c r="D248">
        <f t="shared" ca="1" si="16"/>
        <v>47.288501382354852</v>
      </c>
    </row>
    <row r="249" spans="4:4" x14ac:dyDescent="0.25">
      <c r="D249">
        <f t="shared" ca="1" si="16"/>
        <v>49.275887392343449</v>
      </c>
    </row>
    <row r="250" spans="4:4" x14ac:dyDescent="0.25">
      <c r="D250">
        <f t="shared" ca="1" si="16"/>
        <v>52.052680374503481</v>
      </c>
    </row>
    <row r="251" spans="4:4" x14ac:dyDescent="0.25">
      <c r="D251">
        <f t="shared" ca="1" si="16"/>
        <v>54.775868665640843</v>
      </c>
    </row>
    <row r="252" spans="4:4" x14ac:dyDescent="0.25">
      <c r="D252">
        <f t="shared" ca="1" si="16"/>
        <v>47.715771258701864</v>
      </c>
    </row>
    <row r="253" spans="4:4" x14ac:dyDescent="0.25">
      <c r="D253">
        <f t="shared" ca="1" si="16"/>
        <v>50.127676992180511</v>
      </c>
    </row>
    <row r="254" spans="4:4" x14ac:dyDescent="0.25">
      <c r="D254">
        <f t="shared" ca="1" si="16"/>
        <v>47.500751542454019</v>
      </c>
    </row>
    <row r="255" spans="4:4" x14ac:dyDescent="0.25">
      <c r="D255">
        <f t="shared" ca="1" si="16"/>
        <v>42.599876467077586</v>
      </c>
    </row>
    <row r="256" spans="4:4" x14ac:dyDescent="0.25">
      <c r="D256">
        <f t="shared" ca="1" si="16"/>
        <v>50.93897256070106</v>
      </c>
    </row>
    <row r="257" spans="4:4" x14ac:dyDescent="0.25">
      <c r="D257">
        <f t="shared" ca="1" si="16"/>
        <v>54.253018697433802</v>
      </c>
    </row>
    <row r="258" spans="4:4" x14ac:dyDescent="0.25">
      <c r="D258">
        <f t="shared" ca="1" si="16"/>
        <v>55.481003885453767</v>
      </c>
    </row>
    <row r="259" spans="4:4" x14ac:dyDescent="0.25">
      <c r="D259">
        <f t="shared" ref="D259:D322" ca="1" si="17">_xlfn.T.INV(RAND(),25)*$G$3+$F$3</f>
        <v>58.498822516636075</v>
      </c>
    </row>
    <row r="260" spans="4:4" x14ac:dyDescent="0.25">
      <c r="D260">
        <f t="shared" ca="1" si="17"/>
        <v>54.405663424098542</v>
      </c>
    </row>
    <row r="261" spans="4:4" x14ac:dyDescent="0.25">
      <c r="D261">
        <f t="shared" ca="1" si="17"/>
        <v>60.776415310394249</v>
      </c>
    </row>
    <row r="262" spans="4:4" x14ac:dyDescent="0.25">
      <c r="D262">
        <f t="shared" ca="1" si="17"/>
        <v>53.308885287608824</v>
      </c>
    </row>
    <row r="263" spans="4:4" x14ac:dyDescent="0.25">
      <c r="D263">
        <f t="shared" ca="1" si="17"/>
        <v>45.110273850546903</v>
      </c>
    </row>
    <row r="264" spans="4:4" x14ac:dyDescent="0.25">
      <c r="D264">
        <f t="shared" ca="1" si="17"/>
        <v>58.678478980299815</v>
      </c>
    </row>
    <row r="265" spans="4:4" x14ac:dyDescent="0.25">
      <c r="D265">
        <f t="shared" ca="1" si="17"/>
        <v>42.945366896617656</v>
      </c>
    </row>
    <row r="266" spans="4:4" x14ac:dyDescent="0.25">
      <c r="D266">
        <f t="shared" ca="1" si="17"/>
        <v>40.995606379787986</v>
      </c>
    </row>
    <row r="267" spans="4:4" x14ac:dyDescent="0.25">
      <c r="D267">
        <f t="shared" ca="1" si="17"/>
        <v>48.765854860574692</v>
      </c>
    </row>
    <row r="268" spans="4:4" x14ac:dyDescent="0.25">
      <c r="D268">
        <f t="shared" ca="1" si="17"/>
        <v>57.959702710170454</v>
      </c>
    </row>
    <row r="269" spans="4:4" x14ac:dyDescent="0.25">
      <c r="D269">
        <f t="shared" ca="1" si="17"/>
        <v>55.214233468878312</v>
      </c>
    </row>
    <row r="270" spans="4:4" x14ac:dyDescent="0.25">
      <c r="D270">
        <f t="shared" ca="1" si="17"/>
        <v>49.685448609929935</v>
      </c>
    </row>
    <row r="271" spans="4:4" x14ac:dyDescent="0.25">
      <c r="D271">
        <f t="shared" ca="1" si="17"/>
        <v>49.168772893739202</v>
      </c>
    </row>
    <row r="272" spans="4:4" x14ac:dyDescent="0.25">
      <c r="D272">
        <f t="shared" ca="1" si="17"/>
        <v>59.79575632705518</v>
      </c>
    </row>
    <row r="273" spans="4:4" x14ac:dyDescent="0.25">
      <c r="D273">
        <f t="shared" ca="1" si="17"/>
        <v>51.599810885613557</v>
      </c>
    </row>
    <row r="274" spans="4:4" x14ac:dyDescent="0.25">
      <c r="D274">
        <f t="shared" ca="1" si="17"/>
        <v>41.203956899317411</v>
      </c>
    </row>
    <row r="275" spans="4:4" x14ac:dyDescent="0.25">
      <c r="D275">
        <f t="shared" ca="1" si="17"/>
        <v>37.083134143710723</v>
      </c>
    </row>
    <row r="276" spans="4:4" x14ac:dyDescent="0.25">
      <c r="D276">
        <f t="shared" ca="1" si="17"/>
        <v>47.229309736516981</v>
      </c>
    </row>
    <row r="277" spans="4:4" x14ac:dyDescent="0.25">
      <c r="D277">
        <f t="shared" ca="1" si="17"/>
        <v>52.183115475612354</v>
      </c>
    </row>
    <row r="278" spans="4:4" x14ac:dyDescent="0.25">
      <c r="D278">
        <f t="shared" ca="1" si="17"/>
        <v>55.0465368240909</v>
      </c>
    </row>
    <row r="279" spans="4:4" x14ac:dyDescent="0.25">
      <c r="D279">
        <f t="shared" ca="1" si="17"/>
        <v>44.713872777338679</v>
      </c>
    </row>
    <row r="280" spans="4:4" x14ac:dyDescent="0.25">
      <c r="D280">
        <f t="shared" ca="1" si="17"/>
        <v>47.309826441237732</v>
      </c>
    </row>
    <row r="281" spans="4:4" x14ac:dyDescent="0.25">
      <c r="D281">
        <f t="shared" ca="1" si="17"/>
        <v>45.200208386739995</v>
      </c>
    </row>
    <row r="282" spans="4:4" x14ac:dyDescent="0.25">
      <c r="D282">
        <f t="shared" ca="1" si="17"/>
        <v>53.667027981339714</v>
      </c>
    </row>
    <row r="283" spans="4:4" x14ac:dyDescent="0.25">
      <c r="D283">
        <f t="shared" ca="1" si="17"/>
        <v>44.250859451198636</v>
      </c>
    </row>
    <row r="284" spans="4:4" x14ac:dyDescent="0.25">
      <c r="D284">
        <f t="shared" ca="1" si="17"/>
        <v>52.101855523284634</v>
      </c>
    </row>
    <row r="285" spans="4:4" x14ac:dyDescent="0.25">
      <c r="D285">
        <f t="shared" ca="1" si="17"/>
        <v>46.168433878884777</v>
      </c>
    </row>
    <row r="286" spans="4:4" x14ac:dyDescent="0.25">
      <c r="D286">
        <f t="shared" ca="1" si="17"/>
        <v>52.677081208437436</v>
      </c>
    </row>
    <row r="287" spans="4:4" x14ac:dyDescent="0.25">
      <c r="D287">
        <f t="shared" ca="1" si="17"/>
        <v>48.017729091789171</v>
      </c>
    </row>
    <row r="288" spans="4:4" x14ac:dyDescent="0.25">
      <c r="D288">
        <f t="shared" ca="1" si="17"/>
        <v>53.351755913243466</v>
      </c>
    </row>
    <row r="289" spans="4:4" x14ac:dyDescent="0.25">
      <c r="D289">
        <f t="shared" ca="1" si="17"/>
        <v>56.588416556985344</v>
      </c>
    </row>
    <row r="290" spans="4:4" x14ac:dyDescent="0.25">
      <c r="D290">
        <f t="shared" ca="1" si="17"/>
        <v>43.257153431047968</v>
      </c>
    </row>
    <row r="291" spans="4:4" x14ac:dyDescent="0.25">
      <c r="D291">
        <f t="shared" ca="1" si="17"/>
        <v>55.820767659683852</v>
      </c>
    </row>
    <row r="292" spans="4:4" x14ac:dyDescent="0.25">
      <c r="D292">
        <f t="shared" ca="1" si="17"/>
        <v>39.449676025049747</v>
      </c>
    </row>
    <row r="293" spans="4:4" x14ac:dyDescent="0.25">
      <c r="D293">
        <f t="shared" ca="1" si="17"/>
        <v>40.459244639731878</v>
      </c>
    </row>
    <row r="294" spans="4:4" x14ac:dyDescent="0.25">
      <c r="D294">
        <f t="shared" ca="1" si="17"/>
        <v>53.738500579368079</v>
      </c>
    </row>
    <row r="295" spans="4:4" x14ac:dyDescent="0.25">
      <c r="D295">
        <f t="shared" ca="1" si="17"/>
        <v>52.871491052808771</v>
      </c>
    </row>
    <row r="296" spans="4:4" x14ac:dyDescent="0.25">
      <c r="D296">
        <f t="shared" ca="1" si="17"/>
        <v>51.084312777529036</v>
      </c>
    </row>
    <row r="297" spans="4:4" x14ac:dyDescent="0.25">
      <c r="D297">
        <f t="shared" ca="1" si="17"/>
        <v>54.507792451034497</v>
      </c>
    </row>
    <row r="298" spans="4:4" x14ac:dyDescent="0.25">
      <c r="D298">
        <f t="shared" ca="1" si="17"/>
        <v>52.31094560013257</v>
      </c>
    </row>
    <row r="299" spans="4:4" x14ac:dyDescent="0.25">
      <c r="D299">
        <f t="shared" ca="1" si="17"/>
        <v>46.93374649225737</v>
      </c>
    </row>
    <row r="300" spans="4:4" x14ac:dyDescent="0.25">
      <c r="D300">
        <f t="shared" ca="1" si="17"/>
        <v>58.551985499390959</v>
      </c>
    </row>
    <row r="301" spans="4:4" x14ac:dyDescent="0.25">
      <c r="D301">
        <f t="shared" ca="1" si="17"/>
        <v>40.643356581234514</v>
      </c>
    </row>
    <row r="302" spans="4:4" x14ac:dyDescent="0.25">
      <c r="D302">
        <f t="shared" ca="1" si="17"/>
        <v>50.878558508863982</v>
      </c>
    </row>
    <row r="303" spans="4:4" x14ac:dyDescent="0.25">
      <c r="D303">
        <f t="shared" ca="1" si="17"/>
        <v>47.708893821222262</v>
      </c>
    </row>
    <row r="304" spans="4:4" x14ac:dyDescent="0.25">
      <c r="D304">
        <f t="shared" ca="1" si="17"/>
        <v>43.487784943653963</v>
      </c>
    </row>
    <row r="305" spans="4:4" x14ac:dyDescent="0.25">
      <c r="D305">
        <f t="shared" ca="1" si="17"/>
        <v>45.799515952299913</v>
      </c>
    </row>
    <row r="306" spans="4:4" x14ac:dyDescent="0.25">
      <c r="D306">
        <f t="shared" ca="1" si="17"/>
        <v>42.992083722276341</v>
      </c>
    </row>
    <row r="307" spans="4:4" x14ac:dyDescent="0.25">
      <c r="D307">
        <f t="shared" ca="1" si="17"/>
        <v>43.236009893881601</v>
      </c>
    </row>
    <row r="308" spans="4:4" x14ac:dyDescent="0.25">
      <c r="D308">
        <f t="shared" ca="1" si="17"/>
        <v>55.193041318178189</v>
      </c>
    </row>
    <row r="309" spans="4:4" x14ac:dyDescent="0.25">
      <c r="D309">
        <f t="shared" ca="1" si="17"/>
        <v>48.354618371419178</v>
      </c>
    </row>
    <row r="310" spans="4:4" x14ac:dyDescent="0.25">
      <c r="D310">
        <f t="shared" ca="1" si="17"/>
        <v>41.084624818986946</v>
      </c>
    </row>
    <row r="311" spans="4:4" x14ac:dyDescent="0.25">
      <c r="D311">
        <f t="shared" ca="1" si="17"/>
        <v>41.487880805447666</v>
      </c>
    </row>
    <row r="312" spans="4:4" x14ac:dyDescent="0.25">
      <c r="D312">
        <f t="shared" ca="1" si="17"/>
        <v>55.42301700421757</v>
      </c>
    </row>
    <row r="313" spans="4:4" x14ac:dyDescent="0.25">
      <c r="D313">
        <f t="shared" ca="1" si="17"/>
        <v>52.188435747381064</v>
      </c>
    </row>
    <row r="314" spans="4:4" x14ac:dyDescent="0.25">
      <c r="D314">
        <f t="shared" ca="1" si="17"/>
        <v>43.707482299565989</v>
      </c>
    </row>
    <row r="315" spans="4:4" x14ac:dyDescent="0.25">
      <c r="D315">
        <f t="shared" ca="1" si="17"/>
        <v>60.383501600768959</v>
      </c>
    </row>
    <row r="316" spans="4:4" x14ac:dyDescent="0.25">
      <c r="D316">
        <f t="shared" ca="1" si="17"/>
        <v>44.998275418351398</v>
      </c>
    </row>
    <row r="317" spans="4:4" x14ac:dyDescent="0.25">
      <c r="D317">
        <f t="shared" ca="1" si="17"/>
        <v>51.60607574499366</v>
      </c>
    </row>
    <row r="318" spans="4:4" x14ac:dyDescent="0.25">
      <c r="D318">
        <f t="shared" ca="1" si="17"/>
        <v>47.87873612440692</v>
      </c>
    </row>
    <row r="319" spans="4:4" x14ac:dyDescent="0.25">
      <c r="D319">
        <f t="shared" ca="1" si="17"/>
        <v>51.726406768226447</v>
      </c>
    </row>
    <row r="320" spans="4:4" x14ac:dyDescent="0.25">
      <c r="D320">
        <f t="shared" ca="1" si="17"/>
        <v>53.042592300572018</v>
      </c>
    </row>
    <row r="321" spans="4:4" x14ac:dyDescent="0.25">
      <c r="D321">
        <f t="shared" ca="1" si="17"/>
        <v>58.22406155280283</v>
      </c>
    </row>
    <row r="322" spans="4:4" x14ac:dyDescent="0.25">
      <c r="D322">
        <f t="shared" ca="1" si="17"/>
        <v>54.629045005424082</v>
      </c>
    </row>
    <row r="323" spans="4:4" x14ac:dyDescent="0.25">
      <c r="D323">
        <f t="shared" ref="D323:D386" ca="1" si="18">_xlfn.T.INV(RAND(),25)*$G$3+$F$3</f>
        <v>51.227457200038018</v>
      </c>
    </row>
    <row r="324" spans="4:4" x14ac:dyDescent="0.25">
      <c r="D324">
        <f t="shared" ca="1" si="18"/>
        <v>54.199274609877982</v>
      </c>
    </row>
    <row r="325" spans="4:4" x14ac:dyDescent="0.25">
      <c r="D325">
        <f t="shared" ca="1" si="18"/>
        <v>46.577535565287</v>
      </c>
    </row>
    <row r="326" spans="4:4" x14ac:dyDescent="0.25">
      <c r="D326">
        <f t="shared" ca="1" si="18"/>
        <v>55.64056492071937</v>
      </c>
    </row>
    <row r="327" spans="4:4" x14ac:dyDescent="0.25">
      <c r="D327">
        <f t="shared" ca="1" si="18"/>
        <v>57.341556508732978</v>
      </c>
    </row>
    <row r="328" spans="4:4" x14ac:dyDescent="0.25">
      <c r="D328">
        <f t="shared" ca="1" si="18"/>
        <v>50.324446367305207</v>
      </c>
    </row>
    <row r="329" spans="4:4" x14ac:dyDescent="0.25">
      <c r="D329">
        <f t="shared" ca="1" si="18"/>
        <v>50.876545111791408</v>
      </c>
    </row>
    <row r="330" spans="4:4" x14ac:dyDescent="0.25">
      <c r="D330">
        <f t="shared" ca="1" si="18"/>
        <v>47.826281960679999</v>
      </c>
    </row>
    <row r="331" spans="4:4" x14ac:dyDescent="0.25">
      <c r="D331">
        <f t="shared" ca="1" si="18"/>
        <v>55.588552278095577</v>
      </c>
    </row>
    <row r="332" spans="4:4" x14ac:dyDescent="0.25">
      <c r="D332">
        <f t="shared" ca="1" si="18"/>
        <v>58.178660544539071</v>
      </c>
    </row>
    <row r="333" spans="4:4" x14ac:dyDescent="0.25">
      <c r="D333">
        <f t="shared" ca="1" si="18"/>
        <v>53.608030556563868</v>
      </c>
    </row>
    <row r="334" spans="4:4" x14ac:dyDescent="0.25">
      <c r="D334">
        <f t="shared" ca="1" si="18"/>
        <v>44.009179618146959</v>
      </c>
    </row>
    <row r="335" spans="4:4" x14ac:dyDescent="0.25">
      <c r="D335">
        <f t="shared" ca="1" si="18"/>
        <v>55.266256740909284</v>
      </c>
    </row>
    <row r="336" spans="4:4" x14ac:dyDescent="0.25">
      <c r="D336">
        <f t="shared" ca="1" si="18"/>
        <v>48.827833700548226</v>
      </c>
    </row>
    <row r="337" spans="4:4" x14ac:dyDescent="0.25">
      <c r="D337">
        <f t="shared" ca="1" si="18"/>
        <v>54.499744013069652</v>
      </c>
    </row>
    <row r="338" spans="4:4" x14ac:dyDescent="0.25">
      <c r="D338">
        <f t="shared" ca="1" si="18"/>
        <v>54.231530802347926</v>
      </c>
    </row>
    <row r="339" spans="4:4" x14ac:dyDescent="0.25">
      <c r="D339">
        <f t="shared" ca="1" si="18"/>
        <v>50.766769869049838</v>
      </c>
    </row>
    <row r="340" spans="4:4" x14ac:dyDescent="0.25">
      <c r="D340">
        <f t="shared" ca="1" si="18"/>
        <v>48.336092341945111</v>
      </c>
    </row>
    <row r="341" spans="4:4" x14ac:dyDescent="0.25">
      <c r="D341">
        <f t="shared" ca="1" si="18"/>
        <v>49.460441665687725</v>
      </c>
    </row>
    <row r="342" spans="4:4" x14ac:dyDescent="0.25">
      <c r="D342">
        <f t="shared" ca="1" si="18"/>
        <v>51.639388114906119</v>
      </c>
    </row>
    <row r="343" spans="4:4" x14ac:dyDescent="0.25">
      <c r="D343">
        <f t="shared" ca="1" si="18"/>
        <v>53.178106948217689</v>
      </c>
    </row>
    <row r="344" spans="4:4" x14ac:dyDescent="0.25">
      <c r="D344">
        <f t="shared" ca="1" si="18"/>
        <v>48.655034430661509</v>
      </c>
    </row>
    <row r="345" spans="4:4" x14ac:dyDescent="0.25">
      <c r="D345">
        <f t="shared" ca="1" si="18"/>
        <v>47.214964987097645</v>
      </c>
    </row>
    <row r="346" spans="4:4" x14ac:dyDescent="0.25">
      <c r="D346">
        <f t="shared" ca="1" si="18"/>
        <v>43.023830771883794</v>
      </c>
    </row>
    <row r="347" spans="4:4" x14ac:dyDescent="0.25">
      <c r="D347">
        <f t="shared" ca="1" si="18"/>
        <v>52.000400494220713</v>
      </c>
    </row>
    <row r="348" spans="4:4" x14ac:dyDescent="0.25">
      <c r="D348">
        <f t="shared" ca="1" si="18"/>
        <v>48.520154035180283</v>
      </c>
    </row>
    <row r="349" spans="4:4" x14ac:dyDescent="0.25">
      <c r="D349">
        <f t="shared" ca="1" si="18"/>
        <v>59.65324389717977</v>
      </c>
    </row>
    <row r="350" spans="4:4" x14ac:dyDescent="0.25">
      <c r="D350">
        <f t="shared" ca="1" si="18"/>
        <v>47.692305121953588</v>
      </c>
    </row>
    <row r="351" spans="4:4" x14ac:dyDescent="0.25">
      <c r="D351">
        <f t="shared" ca="1" si="18"/>
        <v>47.355495046174944</v>
      </c>
    </row>
    <row r="352" spans="4:4" x14ac:dyDescent="0.25">
      <c r="D352">
        <f t="shared" ca="1" si="18"/>
        <v>45.474835188950649</v>
      </c>
    </row>
    <row r="353" spans="4:4" x14ac:dyDescent="0.25">
      <c r="D353">
        <f t="shared" ca="1" si="18"/>
        <v>48.819200947087097</v>
      </c>
    </row>
    <row r="354" spans="4:4" x14ac:dyDescent="0.25">
      <c r="D354">
        <f t="shared" ca="1" si="18"/>
        <v>50.496167591407186</v>
      </c>
    </row>
    <row r="355" spans="4:4" x14ac:dyDescent="0.25">
      <c r="D355">
        <f t="shared" ca="1" si="18"/>
        <v>52.180396351333748</v>
      </c>
    </row>
    <row r="356" spans="4:4" x14ac:dyDescent="0.25">
      <c r="D356">
        <f t="shared" ca="1" si="18"/>
        <v>47.963386742078278</v>
      </c>
    </row>
    <row r="357" spans="4:4" x14ac:dyDescent="0.25">
      <c r="D357">
        <f t="shared" ca="1" si="18"/>
        <v>52.60044003044694</v>
      </c>
    </row>
    <row r="358" spans="4:4" x14ac:dyDescent="0.25">
      <c r="D358">
        <f t="shared" ca="1" si="18"/>
        <v>48.063752197457873</v>
      </c>
    </row>
    <row r="359" spans="4:4" x14ac:dyDescent="0.25">
      <c r="D359">
        <f t="shared" ca="1" si="18"/>
        <v>56.966078402045277</v>
      </c>
    </row>
    <row r="360" spans="4:4" x14ac:dyDescent="0.25">
      <c r="D360">
        <f t="shared" ca="1" si="18"/>
        <v>46.567038805696285</v>
      </c>
    </row>
    <row r="361" spans="4:4" x14ac:dyDescent="0.25">
      <c r="D361">
        <f t="shared" ca="1" si="18"/>
        <v>44.490577658652782</v>
      </c>
    </row>
    <row r="362" spans="4:4" x14ac:dyDescent="0.25">
      <c r="D362">
        <f t="shared" ca="1" si="18"/>
        <v>48.913449312982031</v>
      </c>
    </row>
    <row r="363" spans="4:4" x14ac:dyDescent="0.25">
      <c r="D363">
        <f t="shared" ca="1" si="18"/>
        <v>50.619875126461679</v>
      </c>
    </row>
    <row r="364" spans="4:4" x14ac:dyDescent="0.25">
      <c r="D364">
        <f t="shared" ca="1" si="18"/>
        <v>48.000030500769306</v>
      </c>
    </row>
    <row r="365" spans="4:4" x14ac:dyDescent="0.25">
      <c r="D365">
        <f t="shared" ca="1" si="18"/>
        <v>50.919560341510326</v>
      </c>
    </row>
    <row r="366" spans="4:4" x14ac:dyDescent="0.25">
      <c r="D366">
        <f t="shared" ca="1" si="18"/>
        <v>51.933482139208337</v>
      </c>
    </row>
    <row r="367" spans="4:4" x14ac:dyDescent="0.25">
      <c r="D367">
        <f t="shared" ca="1" si="18"/>
        <v>55.362341096362144</v>
      </c>
    </row>
    <row r="368" spans="4:4" x14ac:dyDescent="0.25">
      <c r="D368">
        <f t="shared" ca="1" si="18"/>
        <v>58.226960813646912</v>
      </c>
    </row>
    <row r="369" spans="4:4" x14ac:dyDescent="0.25">
      <c r="D369">
        <f t="shared" ca="1" si="18"/>
        <v>44.555890217254799</v>
      </c>
    </row>
    <row r="370" spans="4:4" x14ac:dyDescent="0.25">
      <c r="D370">
        <f t="shared" ca="1" si="18"/>
        <v>48.633232627188647</v>
      </c>
    </row>
    <row r="371" spans="4:4" x14ac:dyDescent="0.25">
      <c r="D371">
        <f t="shared" ca="1" si="18"/>
        <v>55.203833503340988</v>
      </c>
    </row>
    <row r="372" spans="4:4" x14ac:dyDescent="0.25">
      <c r="D372">
        <f t="shared" ca="1" si="18"/>
        <v>53.093432872203906</v>
      </c>
    </row>
    <row r="373" spans="4:4" x14ac:dyDescent="0.25">
      <c r="D373">
        <f t="shared" ca="1" si="18"/>
        <v>50.872997695465912</v>
      </c>
    </row>
    <row r="374" spans="4:4" x14ac:dyDescent="0.25">
      <c r="D374">
        <f t="shared" ca="1" si="18"/>
        <v>44.824216035363989</v>
      </c>
    </row>
    <row r="375" spans="4:4" x14ac:dyDescent="0.25">
      <c r="D375">
        <f t="shared" ca="1" si="18"/>
        <v>52.36538582729905</v>
      </c>
    </row>
    <row r="376" spans="4:4" x14ac:dyDescent="0.25">
      <c r="D376">
        <f t="shared" ca="1" si="18"/>
        <v>49.608613711253795</v>
      </c>
    </row>
    <row r="377" spans="4:4" x14ac:dyDescent="0.25">
      <c r="D377">
        <f t="shared" ca="1" si="18"/>
        <v>51.116455428606123</v>
      </c>
    </row>
    <row r="378" spans="4:4" x14ac:dyDescent="0.25">
      <c r="D378">
        <f t="shared" ca="1" si="18"/>
        <v>45.18130061231539</v>
      </c>
    </row>
    <row r="379" spans="4:4" x14ac:dyDescent="0.25">
      <c r="D379">
        <f t="shared" ca="1" si="18"/>
        <v>46.902894449960264</v>
      </c>
    </row>
    <row r="380" spans="4:4" x14ac:dyDescent="0.25">
      <c r="D380">
        <f t="shared" ca="1" si="18"/>
        <v>44.971340770438459</v>
      </c>
    </row>
    <row r="381" spans="4:4" x14ac:dyDescent="0.25">
      <c r="D381">
        <f t="shared" ca="1" si="18"/>
        <v>47.769872926807821</v>
      </c>
    </row>
    <row r="382" spans="4:4" x14ac:dyDescent="0.25">
      <c r="D382">
        <f t="shared" ca="1" si="18"/>
        <v>45.925675601554083</v>
      </c>
    </row>
    <row r="383" spans="4:4" x14ac:dyDescent="0.25">
      <c r="D383">
        <f t="shared" ca="1" si="18"/>
        <v>49.567691673371115</v>
      </c>
    </row>
    <row r="384" spans="4:4" x14ac:dyDescent="0.25">
      <c r="D384">
        <f t="shared" ca="1" si="18"/>
        <v>52.197840887672626</v>
      </c>
    </row>
    <row r="385" spans="4:4" x14ac:dyDescent="0.25">
      <c r="D385">
        <f t="shared" ca="1" si="18"/>
        <v>49.599254289068526</v>
      </c>
    </row>
    <row r="386" spans="4:4" x14ac:dyDescent="0.25">
      <c r="D386">
        <f t="shared" ca="1" si="18"/>
        <v>44.528995018766629</v>
      </c>
    </row>
    <row r="387" spans="4:4" x14ac:dyDescent="0.25">
      <c r="D387">
        <f t="shared" ref="D387:D450" ca="1" si="19">_xlfn.T.INV(RAND(),25)*$G$3+$F$3</f>
        <v>51.42946231259652</v>
      </c>
    </row>
    <row r="388" spans="4:4" x14ac:dyDescent="0.25">
      <c r="D388">
        <f t="shared" ca="1" si="19"/>
        <v>52.608292059669651</v>
      </c>
    </row>
    <row r="389" spans="4:4" x14ac:dyDescent="0.25">
      <c r="D389">
        <f t="shared" ca="1" si="19"/>
        <v>42.863627776296028</v>
      </c>
    </row>
    <row r="390" spans="4:4" x14ac:dyDescent="0.25">
      <c r="D390">
        <f t="shared" ca="1" si="19"/>
        <v>45.094329411489049</v>
      </c>
    </row>
    <row r="391" spans="4:4" x14ac:dyDescent="0.25">
      <c r="D391">
        <f t="shared" ca="1" si="19"/>
        <v>56.011185378574027</v>
      </c>
    </row>
    <row r="392" spans="4:4" x14ac:dyDescent="0.25">
      <c r="D392">
        <f t="shared" ca="1" si="19"/>
        <v>48.870370523742693</v>
      </c>
    </row>
    <row r="393" spans="4:4" x14ac:dyDescent="0.25">
      <c r="D393">
        <f t="shared" ca="1" si="19"/>
        <v>51.576323882245653</v>
      </c>
    </row>
    <row r="394" spans="4:4" x14ac:dyDescent="0.25">
      <c r="D394">
        <f t="shared" ca="1" si="19"/>
        <v>46.812421809374293</v>
      </c>
    </row>
    <row r="395" spans="4:4" x14ac:dyDescent="0.25">
      <c r="D395">
        <f t="shared" ca="1" si="19"/>
        <v>48.397037729899651</v>
      </c>
    </row>
    <row r="396" spans="4:4" x14ac:dyDescent="0.25">
      <c r="D396">
        <f t="shared" ca="1" si="19"/>
        <v>45.982502151443576</v>
      </c>
    </row>
    <row r="397" spans="4:4" x14ac:dyDescent="0.25">
      <c r="D397">
        <f t="shared" ca="1" si="19"/>
        <v>45.971640023508783</v>
      </c>
    </row>
    <row r="398" spans="4:4" x14ac:dyDescent="0.25">
      <c r="D398">
        <f t="shared" ca="1" si="19"/>
        <v>46.525434282895333</v>
      </c>
    </row>
    <row r="399" spans="4:4" x14ac:dyDescent="0.25">
      <c r="D399">
        <f t="shared" ca="1" si="19"/>
        <v>41.072052167133904</v>
      </c>
    </row>
    <row r="400" spans="4:4" x14ac:dyDescent="0.25">
      <c r="D400">
        <f t="shared" ca="1" si="19"/>
        <v>49.228675935143293</v>
      </c>
    </row>
    <row r="401" spans="4:4" x14ac:dyDescent="0.25">
      <c r="D401">
        <f t="shared" ca="1" si="19"/>
        <v>48.172587614422696</v>
      </c>
    </row>
    <row r="402" spans="4:4" x14ac:dyDescent="0.25">
      <c r="D402">
        <f t="shared" ca="1" si="19"/>
        <v>45.737063471529268</v>
      </c>
    </row>
    <row r="403" spans="4:4" x14ac:dyDescent="0.25">
      <c r="D403">
        <f t="shared" ca="1" si="19"/>
        <v>53.107192427124602</v>
      </c>
    </row>
    <row r="404" spans="4:4" x14ac:dyDescent="0.25">
      <c r="D404">
        <f t="shared" ca="1" si="19"/>
        <v>44.674465565866441</v>
      </c>
    </row>
    <row r="405" spans="4:4" x14ac:dyDescent="0.25">
      <c r="D405">
        <f t="shared" ca="1" si="19"/>
        <v>54.649702703512823</v>
      </c>
    </row>
    <row r="406" spans="4:4" x14ac:dyDescent="0.25">
      <c r="D406">
        <f t="shared" ca="1" si="19"/>
        <v>59.187239002558783</v>
      </c>
    </row>
    <row r="407" spans="4:4" x14ac:dyDescent="0.25">
      <c r="D407">
        <f t="shared" ca="1" si="19"/>
        <v>50.975830470919369</v>
      </c>
    </row>
    <row r="408" spans="4:4" x14ac:dyDescent="0.25">
      <c r="D408">
        <f t="shared" ca="1" si="19"/>
        <v>50.810783179755134</v>
      </c>
    </row>
    <row r="409" spans="4:4" x14ac:dyDescent="0.25">
      <c r="D409">
        <f t="shared" ca="1" si="19"/>
        <v>51.243411778441953</v>
      </c>
    </row>
    <row r="410" spans="4:4" x14ac:dyDescent="0.25">
      <c r="D410">
        <f t="shared" ca="1" si="19"/>
        <v>54.060569675080394</v>
      </c>
    </row>
    <row r="411" spans="4:4" x14ac:dyDescent="0.25">
      <c r="D411">
        <f t="shared" ca="1" si="19"/>
        <v>47.793433488611377</v>
      </c>
    </row>
    <row r="412" spans="4:4" x14ac:dyDescent="0.25">
      <c r="D412">
        <f t="shared" ca="1" si="19"/>
        <v>44.156831176188803</v>
      </c>
    </row>
    <row r="413" spans="4:4" x14ac:dyDescent="0.25">
      <c r="D413">
        <f t="shared" ca="1" si="19"/>
        <v>57.877122536435827</v>
      </c>
    </row>
    <row r="414" spans="4:4" x14ac:dyDescent="0.25">
      <c r="D414">
        <f t="shared" ca="1" si="19"/>
        <v>47.905833220968198</v>
      </c>
    </row>
    <row r="415" spans="4:4" x14ac:dyDescent="0.25">
      <c r="D415">
        <f t="shared" ca="1" si="19"/>
        <v>44.660573766562209</v>
      </c>
    </row>
    <row r="416" spans="4:4" x14ac:dyDescent="0.25">
      <c r="D416">
        <f t="shared" ca="1" si="19"/>
        <v>49.982587811145038</v>
      </c>
    </row>
    <row r="417" spans="4:4" x14ac:dyDescent="0.25">
      <c r="D417">
        <f t="shared" ca="1" si="19"/>
        <v>46.307842223897765</v>
      </c>
    </row>
    <row r="418" spans="4:4" x14ac:dyDescent="0.25">
      <c r="D418">
        <f t="shared" ca="1" si="19"/>
        <v>53.761876547913758</v>
      </c>
    </row>
    <row r="419" spans="4:4" x14ac:dyDescent="0.25">
      <c r="D419">
        <f t="shared" ca="1" si="19"/>
        <v>49.816268302479749</v>
      </c>
    </row>
    <row r="420" spans="4:4" x14ac:dyDescent="0.25">
      <c r="D420">
        <f t="shared" ca="1" si="19"/>
        <v>51.695468649476531</v>
      </c>
    </row>
    <row r="421" spans="4:4" x14ac:dyDescent="0.25">
      <c r="D421">
        <f t="shared" ca="1" si="19"/>
        <v>47.468206550741662</v>
      </c>
    </row>
    <row r="422" spans="4:4" x14ac:dyDescent="0.25">
      <c r="D422">
        <f t="shared" ca="1" si="19"/>
        <v>53.245187471863247</v>
      </c>
    </row>
    <row r="423" spans="4:4" x14ac:dyDescent="0.25">
      <c r="D423">
        <f t="shared" ca="1" si="19"/>
        <v>57.09325053025178</v>
      </c>
    </row>
    <row r="424" spans="4:4" x14ac:dyDescent="0.25">
      <c r="D424">
        <f t="shared" ca="1" si="19"/>
        <v>50.560822105792703</v>
      </c>
    </row>
    <row r="425" spans="4:4" x14ac:dyDescent="0.25">
      <c r="D425">
        <f t="shared" ca="1" si="19"/>
        <v>63.962336313713472</v>
      </c>
    </row>
    <row r="426" spans="4:4" x14ac:dyDescent="0.25">
      <c r="D426">
        <f t="shared" ca="1" si="19"/>
        <v>54.809126891726152</v>
      </c>
    </row>
    <row r="427" spans="4:4" x14ac:dyDescent="0.25">
      <c r="D427">
        <f t="shared" ca="1" si="19"/>
        <v>43.494126946475816</v>
      </c>
    </row>
    <row r="428" spans="4:4" x14ac:dyDescent="0.25">
      <c r="D428">
        <f t="shared" ca="1" si="19"/>
        <v>50.946438945469502</v>
      </c>
    </row>
    <row r="429" spans="4:4" x14ac:dyDescent="0.25">
      <c r="D429">
        <f t="shared" ca="1" si="19"/>
        <v>49.997407058548077</v>
      </c>
    </row>
    <row r="430" spans="4:4" x14ac:dyDescent="0.25">
      <c r="D430">
        <f t="shared" ca="1" si="19"/>
        <v>56.569656228955644</v>
      </c>
    </row>
    <row r="431" spans="4:4" x14ac:dyDescent="0.25">
      <c r="D431">
        <f t="shared" ca="1" si="19"/>
        <v>50.420636159405902</v>
      </c>
    </row>
    <row r="432" spans="4:4" x14ac:dyDescent="0.25">
      <c r="D432">
        <f t="shared" ca="1" si="19"/>
        <v>47.210100185937726</v>
      </c>
    </row>
    <row r="433" spans="4:4" x14ac:dyDescent="0.25">
      <c r="D433">
        <f t="shared" ca="1" si="19"/>
        <v>47.74891921060582</v>
      </c>
    </row>
    <row r="434" spans="4:4" x14ac:dyDescent="0.25">
      <c r="D434">
        <f t="shared" ca="1" si="19"/>
        <v>52.386370075057343</v>
      </c>
    </row>
    <row r="435" spans="4:4" x14ac:dyDescent="0.25">
      <c r="D435">
        <f t="shared" ca="1" si="19"/>
        <v>49.647881242679929</v>
      </c>
    </row>
    <row r="436" spans="4:4" x14ac:dyDescent="0.25">
      <c r="D436">
        <f t="shared" ca="1" si="19"/>
        <v>52.420447734865292</v>
      </c>
    </row>
    <row r="437" spans="4:4" x14ac:dyDescent="0.25">
      <c r="D437">
        <f t="shared" ca="1" si="19"/>
        <v>55.529672500034401</v>
      </c>
    </row>
    <row r="438" spans="4:4" x14ac:dyDescent="0.25">
      <c r="D438">
        <f t="shared" ca="1" si="19"/>
        <v>53.372437685673859</v>
      </c>
    </row>
    <row r="439" spans="4:4" x14ac:dyDescent="0.25">
      <c r="D439">
        <f t="shared" ca="1" si="19"/>
        <v>51.683153450116187</v>
      </c>
    </row>
    <row r="440" spans="4:4" x14ac:dyDescent="0.25">
      <c r="D440">
        <f t="shared" ca="1" si="19"/>
        <v>49.800754410978392</v>
      </c>
    </row>
    <row r="441" spans="4:4" x14ac:dyDescent="0.25">
      <c r="D441">
        <f t="shared" ca="1" si="19"/>
        <v>52.976946914401871</v>
      </c>
    </row>
    <row r="442" spans="4:4" x14ac:dyDescent="0.25">
      <c r="D442">
        <f t="shared" ca="1" si="19"/>
        <v>54.291512162825242</v>
      </c>
    </row>
    <row r="443" spans="4:4" x14ac:dyDescent="0.25">
      <c r="D443">
        <f t="shared" ca="1" si="19"/>
        <v>42.928676474584599</v>
      </c>
    </row>
    <row r="444" spans="4:4" x14ac:dyDescent="0.25">
      <c r="D444">
        <f t="shared" ca="1" si="19"/>
        <v>46.810836640801853</v>
      </c>
    </row>
    <row r="445" spans="4:4" x14ac:dyDescent="0.25">
      <c r="D445">
        <f t="shared" ca="1" si="19"/>
        <v>52.259303876197464</v>
      </c>
    </row>
    <row r="446" spans="4:4" x14ac:dyDescent="0.25">
      <c r="D446">
        <f t="shared" ca="1" si="19"/>
        <v>51.081715880064422</v>
      </c>
    </row>
    <row r="447" spans="4:4" x14ac:dyDescent="0.25">
      <c r="D447">
        <f t="shared" ca="1" si="19"/>
        <v>44.953072014149278</v>
      </c>
    </row>
    <row r="448" spans="4:4" x14ac:dyDescent="0.25">
      <c r="D448">
        <f t="shared" ca="1" si="19"/>
        <v>47.599034340899067</v>
      </c>
    </row>
    <row r="449" spans="4:4" x14ac:dyDescent="0.25">
      <c r="D449">
        <f t="shared" ca="1" si="19"/>
        <v>49.240395424365126</v>
      </c>
    </row>
    <row r="450" spans="4:4" x14ac:dyDescent="0.25">
      <c r="D450">
        <f t="shared" ca="1" si="19"/>
        <v>42.775709899000738</v>
      </c>
    </row>
    <row r="451" spans="4:4" x14ac:dyDescent="0.25">
      <c r="D451">
        <f t="shared" ref="D451:D514" ca="1" si="20">_xlfn.T.INV(RAND(),25)*$G$3+$F$3</f>
        <v>50.085528687228795</v>
      </c>
    </row>
    <row r="452" spans="4:4" x14ac:dyDescent="0.25">
      <c r="D452">
        <f t="shared" ca="1" si="20"/>
        <v>43.911910638511635</v>
      </c>
    </row>
    <row r="453" spans="4:4" x14ac:dyDescent="0.25">
      <c r="D453">
        <f t="shared" ca="1" si="20"/>
        <v>52.77461496901271</v>
      </c>
    </row>
    <row r="454" spans="4:4" x14ac:dyDescent="0.25">
      <c r="D454">
        <f t="shared" ca="1" si="20"/>
        <v>48.162226248508965</v>
      </c>
    </row>
    <row r="455" spans="4:4" x14ac:dyDescent="0.25">
      <c r="D455">
        <f t="shared" ca="1" si="20"/>
        <v>41.951522882486941</v>
      </c>
    </row>
    <row r="456" spans="4:4" x14ac:dyDescent="0.25">
      <c r="D456">
        <f t="shared" ca="1" si="20"/>
        <v>48.88913833731371</v>
      </c>
    </row>
    <row r="457" spans="4:4" x14ac:dyDescent="0.25">
      <c r="D457">
        <f t="shared" ca="1" si="20"/>
        <v>50.357788348688004</v>
      </c>
    </row>
    <row r="458" spans="4:4" x14ac:dyDescent="0.25">
      <c r="D458">
        <f t="shared" ca="1" si="20"/>
        <v>40.096909574246148</v>
      </c>
    </row>
    <row r="459" spans="4:4" x14ac:dyDescent="0.25">
      <c r="D459">
        <f t="shared" ca="1" si="20"/>
        <v>46.474027985972924</v>
      </c>
    </row>
    <row r="460" spans="4:4" x14ac:dyDescent="0.25">
      <c r="D460">
        <f t="shared" ca="1" si="20"/>
        <v>51.890245639391814</v>
      </c>
    </row>
    <row r="461" spans="4:4" x14ac:dyDescent="0.25">
      <c r="D461">
        <f t="shared" ca="1" si="20"/>
        <v>42.097198233971476</v>
      </c>
    </row>
    <row r="462" spans="4:4" x14ac:dyDescent="0.25">
      <c r="D462">
        <f t="shared" ca="1" si="20"/>
        <v>45.384493085759559</v>
      </c>
    </row>
    <row r="463" spans="4:4" x14ac:dyDescent="0.25">
      <c r="D463">
        <f t="shared" ca="1" si="20"/>
        <v>47.690818830761451</v>
      </c>
    </row>
    <row r="464" spans="4:4" x14ac:dyDescent="0.25">
      <c r="D464">
        <f t="shared" ca="1" si="20"/>
        <v>49.148160197828069</v>
      </c>
    </row>
    <row r="465" spans="4:4" x14ac:dyDescent="0.25">
      <c r="D465">
        <f t="shared" ca="1" si="20"/>
        <v>49.499613345451813</v>
      </c>
    </row>
    <row r="466" spans="4:4" x14ac:dyDescent="0.25">
      <c r="D466">
        <f t="shared" ca="1" si="20"/>
        <v>51.845004434657653</v>
      </c>
    </row>
    <row r="467" spans="4:4" x14ac:dyDescent="0.25">
      <c r="D467">
        <f t="shared" ca="1" si="20"/>
        <v>42.605720128994641</v>
      </c>
    </row>
    <row r="468" spans="4:4" x14ac:dyDescent="0.25">
      <c r="D468">
        <f t="shared" ca="1" si="20"/>
        <v>44.874558884304143</v>
      </c>
    </row>
    <row r="469" spans="4:4" x14ac:dyDescent="0.25">
      <c r="D469">
        <f t="shared" ca="1" si="20"/>
        <v>45.024288141179746</v>
      </c>
    </row>
    <row r="470" spans="4:4" x14ac:dyDescent="0.25">
      <c r="D470">
        <f t="shared" ca="1" si="20"/>
        <v>53.385371106771764</v>
      </c>
    </row>
    <row r="471" spans="4:4" x14ac:dyDescent="0.25">
      <c r="D471">
        <f t="shared" ca="1" si="20"/>
        <v>49.453764206834244</v>
      </c>
    </row>
    <row r="472" spans="4:4" x14ac:dyDescent="0.25">
      <c r="D472">
        <f t="shared" ca="1" si="20"/>
        <v>51.914910452181154</v>
      </c>
    </row>
    <row r="473" spans="4:4" x14ac:dyDescent="0.25">
      <c r="D473">
        <f t="shared" ca="1" si="20"/>
        <v>54.09650141642085</v>
      </c>
    </row>
    <row r="474" spans="4:4" x14ac:dyDescent="0.25">
      <c r="D474">
        <f t="shared" ca="1" si="20"/>
        <v>44.132177440155218</v>
      </c>
    </row>
    <row r="475" spans="4:4" x14ac:dyDescent="0.25">
      <c r="D475">
        <f t="shared" ca="1" si="20"/>
        <v>42.998074432437633</v>
      </c>
    </row>
    <row r="476" spans="4:4" x14ac:dyDescent="0.25">
      <c r="D476">
        <f t="shared" ca="1" si="20"/>
        <v>45.497048229283116</v>
      </c>
    </row>
    <row r="477" spans="4:4" x14ac:dyDescent="0.25">
      <c r="D477">
        <f t="shared" ca="1" si="20"/>
        <v>46.149390853635431</v>
      </c>
    </row>
    <row r="478" spans="4:4" x14ac:dyDescent="0.25">
      <c r="D478">
        <f t="shared" ca="1" si="20"/>
        <v>53.116474064433319</v>
      </c>
    </row>
    <row r="479" spans="4:4" x14ac:dyDescent="0.25">
      <c r="D479">
        <f t="shared" ca="1" si="20"/>
        <v>48.277764950295484</v>
      </c>
    </row>
    <row r="480" spans="4:4" x14ac:dyDescent="0.25">
      <c r="D480">
        <f t="shared" ca="1" si="20"/>
        <v>46.203705421219816</v>
      </c>
    </row>
    <row r="481" spans="4:4" x14ac:dyDescent="0.25">
      <c r="D481">
        <f t="shared" ca="1" si="20"/>
        <v>55.200388669516002</v>
      </c>
    </row>
    <row r="482" spans="4:4" x14ac:dyDescent="0.25">
      <c r="D482">
        <f t="shared" ca="1" si="20"/>
        <v>44.184273669009109</v>
      </c>
    </row>
    <row r="483" spans="4:4" x14ac:dyDescent="0.25">
      <c r="D483">
        <f t="shared" ca="1" si="20"/>
        <v>51.933349536729168</v>
      </c>
    </row>
    <row r="484" spans="4:4" x14ac:dyDescent="0.25">
      <c r="D484">
        <f t="shared" ca="1" si="20"/>
        <v>50.413132198787224</v>
      </c>
    </row>
    <row r="485" spans="4:4" x14ac:dyDescent="0.25">
      <c r="D485">
        <f t="shared" ca="1" si="20"/>
        <v>50.304022804489399</v>
      </c>
    </row>
    <row r="486" spans="4:4" x14ac:dyDescent="0.25">
      <c r="D486">
        <f t="shared" ca="1" si="20"/>
        <v>47.189679716650346</v>
      </c>
    </row>
    <row r="487" spans="4:4" x14ac:dyDescent="0.25">
      <c r="D487">
        <f t="shared" ca="1" si="20"/>
        <v>60.816456605554009</v>
      </c>
    </row>
    <row r="488" spans="4:4" x14ac:dyDescent="0.25">
      <c r="D488">
        <f t="shared" ca="1" si="20"/>
        <v>54.673910888844397</v>
      </c>
    </row>
    <row r="489" spans="4:4" x14ac:dyDescent="0.25">
      <c r="D489">
        <f t="shared" ca="1" si="20"/>
        <v>40.732283718470377</v>
      </c>
    </row>
    <row r="490" spans="4:4" x14ac:dyDescent="0.25">
      <c r="D490">
        <f t="shared" ca="1" si="20"/>
        <v>48.463293660885597</v>
      </c>
    </row>
    <row r="491" spans="4:4" x14ac:dyDescent="0.25">
      <c r="D491">
        <f t="shared" ca="1" si="20"/>
        <v>48.154145962955482</v>
      </c>
    </row>
    <row r="492" spans="4:4" x14ac:dyDescent="0.25">
      <c r="D492">
        <f t="shared" ca="1" si="20"/>
        <v>57.370629284380641</v>
      </c>
    </row>
    <row r="493" spans="4:4" x14ac:dyDescent="0.25">
      <c r="D493">
        <f t="shared" ca="1" si="20"/>
        <v>52.386627335209596</v>
      </c>
    </row>
    <row r="494" spans="4:4" x14ac:dyDescent="0.25">
      <c r="D494">
        <f t="shared" ca="1" si="20"/>
        <v>52.643286362397468</v>
      </c>
    </row>
    <row r="495" spans="4:4" x14ac:dyDescent="0.25">
      <c r="D495">
        <f t="shared" ca="1" si="20"/>
        <v>49.105955228069028</v>
      </c>
    </row>
    <row r="496" spans="4:4" x14ac:dyDescent="0.25">
      <c r="D496">
        <f t="shared" ca="1" si="20"/>
        <v>59.253975672538814</v>
      </c>
    </row>
    <row r="497" spans="4:4" x14ac:dyDescent="0.25">
      <c r="D497">
        <f t="shared" ca="1" si="20"/>
        <v>50.650460189938912</v>
      </c>
    </row>
    <row r="498" spans="4:4" x14ac:dyDescent="0.25">
      <c r="D498">
        <f t="shared" ca="1" si="20"/>
        <v>54.432321753679773</v>
      </c>
    </row>
    <row r="499" spans="4:4" x14ac:dyDescent="0.25">
      <c r="D499">
        <f t="shared" ca="1" si="20"/>
        <v>55.156987291266738</v>
      </c>
    </row>
    <row r="500" spans="4:4" x14ac:dyDescent="0.25">
      <c r="D500">
        <f t="shared" ca="1" si="20"/>
        <v>49.8535604063268</v>
      </c>
    </row>
    <row r="501" spans="4:4" x14ac:dyDescent="0.25">
      <c r="D501">
        <f t="shared" ca="1" si="20"/>
        <v>47.584837536719071</v>
      </c>
    </row>
    <row r="502" spans="4:4" x14ac:dyDescent="0.25">
      <c r="D502">
        <f t="shared" ca="1" si="20"/>
        <v>48.336169367006988</v>
      </c>
    </row>
    <row r="503" spans="4:4" x14ac:dyDescent="0.25">
      <c r="D503">
        <f t="shared" ca="1" si="20"/>
        <v>42.908973675817137</v>
      </c>
    </row>
    <row r="504" spans="4:4" x14ac:dyDescent="0.25">
      <c r="D504">
        <f t="shared" ca="1" si="20"/>
        <v>34.245634152255974</v>
      </c>
    </row>
    <row r="505" spans="4:4" x14ac:dyDescent="0.25">
      <c r="D505">
        <f t="shared" ca="1" si="20"/>
        <v>60.614170877356372</v>
      </c>
    </row>
    <row r="506" spans="4:4" x14ac:dyDescent="0.25">
      <c r="D506">
        <f t="shared" ca="1" si="20"/>
        <v>42.996655389058574</v>
      </c>
    </row>
    <row r="507" spans="4:4" x14ac:dyDescent="0.25">
      <c r="D507">
        <f t="shared" ca="1" si="20"/>
        <v>44.577644418666601</v>
      </c>
    </row>
    <row r="508" spans="4:4" x14ac:dyDescent="0.25">
      <c r="D508">
        <f t="shared" ca="1" si="20"/>
        <v>51.732824973025991</v>
      </c>
    </row>
    <row r="509" spans="4:4" x14ac:dyDescent="0.25">
      <c r="D509">
        <f t="shared" ca="1" si="20"/>
        <v>45.502857413039784</v>
      </c>
    </row>
    <row r="510" spans="4:4" x14ac:dyDescent="0.25">
      <c r="D510">
        <f t="shared" ca="1" si="20"/>
        <v>49.71695925536671</v>
      </c>
    </row>
    <row r="511" spans="4:4" x14ac:dyDescent="0.25">
      <c r="D511">
        <f t="shared" ca="1" si="20"/>
        <v>52.979934385748876</v>
      </c>
    </row>
    <row r="512" spans="4:4" x14ac:dyDescent="0.25">
      <c r="D512">
        <f t="shared" ca="1" si="20"/>
        <v>43.536378215169705</v>
      </c>
    </row>
    <row r="513" spans="4:4" x14ac:dyDescent="0.25">
      <c r="D513">
        <f t="shared" ca="1" si="20"/>
        <v>51.266654808194183</v>
      </c>
    </row>
    <row r="514" spans="4:4" x14ac:dyDescent="0.25">
      <c r="D514">
        <f t="shared" ca="1" si="20"/>
        <v>48.070343761490086</v>
      </c>
    </row>
    <row r="515" spans="4:4" x14ac:dyDescent="0.25">
      <c r="D515">
        <f t="shared" ref="D515:D578" ca="1" si="21">_xlfn.T.INV(RAND(),25)*$G$3+$F$3</f>
        <v>50.86130421041625</v>
      </c>
    </row>
    <row r="516" spans="4:4" x14ac:dyDescent="0.25">
      <c r="D516">
        <f t="shared" ca="1" si="21"/>
        <v>43.862536971785019</v>
      </c>
    </row>
    <row r="517" spans="4:4" x14ac:dyDescent="0.25">
      <c r="D517">
        <f t="shared" ca="1" si="21"/>
        <v>54.129323008597076</v>
      </c>
    </row>
    <row r="518" spans="4:4" x14ac:dyDescent="0.25">
      <c r="D518">
        <f t="shared" ca="1" si="21"/>
        <v>54.320245509091528</v>
      </c>
    </row>
    <row r="519" spans="4:4" x14ac:dyDescent="0.25">
      <c r="D519">
        <f t="shared" ca="1" si="21"/>
        <v>47.866451543217231</v>
      </c>
    </row>
    <row r="520" spans="4:4" x14ac:dyDescent="0.25">
      <c r="D520">
        <f t="shared" ca="1" si="21"/>
        <v>48.961512415293626</v>
      </c>
    </row>
    <row r="521" spans="4:4" x14ac:dyDescent="0.25">
      <c r="D521">
        <f t="shared" ca="1" si="21"/>
        <v>52.133768019630367</v>
      </c>
    </row>
    <row r="522" spans="4:4" x14ac:dyDescent="0.25">
      <c r="D522">
        <f t="shared" ca="1" si="21"/>
        <v>48.894688924660315</v>
      </c>
    </row>
    <row r="523" spans="4:4" x14ac:dyDescent="0.25">
      <c r="D523">
        <f t="shared" ca="1" si="21"/>
        <v>61.794606522929911</v>
      </c>
    </row>
    <row r="524" spans="4:4" x14ac:dyDescent="0.25">
      <c r="D524">
        <f t="shared" ca="1" si="21"/>
        <v>44.355558383035486</v>
      </c>
    </row>
    <row r="525" spans="4:4" x14ac:dyDescent="0.25">
      <c r="D525">
        <f t="shared" ca="1" si="21"/>
        <v>47.991242451547066</v>
      </c>
    </row>
    <row r="526" spans="4:4" x14ac:dyDescent="0.25">
      <c r="D526">
        <f t="shared" ca="1" si="21"/>
        <v>57.629054831977683</v>
      </c>
    </row>
    <row r="527" spans="4:4" x14ac:dyDescent="0.25">
      <c r="D527">
        <f t="shared" ca="1" si="21"/>
        <v>51.372446827137523</v>
      </c>
    </row>
    <row r="528" spans="4:4" x14ac:dyDescent="0.25">
      <c r="D528">
        <f t="shared" ca="1" si="21"/>
        <v>58.90074936203019</v>
      </c>
    </row>
    <row r="529" spans="4:4" x14ac:dyDescent="0.25">
      <c r="D529">
        <f t="shared" ca="1" si="21"/>
        <v>45.381794444680558</v>
      </c>
    </row>
    <row r="530" spans="4:4" x14ac:dyDescent="0.25">
      <c r="D530">
        <f t="shared" ca="1" si="21"/>
        <v>42.436941135338145</v>
      </c>
    </row>
    <row r="531" spans="4:4" x14ac:dyDescent="0.25">
      <c r="D531">
        <f t="shared" ca="1" si="21"/>
        <v>47.30993951817468</v>
      </c>
    </row>
    <row r="532" spans="4:4" x14ac:dyDescent="0.25">
      <c r="D532">
        <f t="shared" ca="1" si="21"/>
        <v>51.127609252955438</v>
      </c>
    </row>
    <row r="533" spans="4:4" x14ac:dyDescent="0.25">
      <c r="D533">
        <f t="shared" ca="1" si="21"/>
        <v>41.919189487819246</v>
      </c>
    </row>
    <row r="534" spans="4:4" x14ac:dyDescent="0.25">
      <c r="D534">
        <f t="shared" ca="1" si="21"/>
        <v>57.190831658134819</v>
      </c>
    </row>
    <row r="535" spans="4:4" x14ac:dyDescent="0.25">
      <c r="D535">
        <f t="shared" ca="1" si="21"/>
        <v>53.966187481513465</v>
      </c>
    </row>
    <row r="536" spans="4:4" x14ac:dyDescent="0.25">
      <c r="D536">
        <f t="shared" ca="1" si="21"/>
        <v>49.204281923210637</v>
      </c>
    </row>
    <row r="537" spans="4:4" x14ac:dyDescent="0.25">
      <c r="D537">
        <f t="shared" ca="1" si="21"/>
        <v>45.788606839855483</v>
      </c>
    </row>
    <row r="538" spans="4:4" x14ac:dyDescent="0.25">
      <c r="D538">
        <f t="shared" ca="1" si="21"/>
        <v>48.728211409166512</v>
      </c>
    </row>
    <row r="539" spans="4:4" x14ac:dyDescent="0.25">
      <c r="D539">
        <f t="shared" ca="1" si="21"/>
        <v>54.94753005510654</v>
      </c>
    </row>
    <row r="540" spans="4:4" x14ac:dyDescent="0.25">
      <c r="D540">
        <f t="shared" ca="1" si="21"/>
        <v>45.918497619298876</v>
      </c>
    </row>
    <row r="541" spans="4:4" x14ac:dyDescent="0.25">
      <c r="D541">
        <f t="shared" ca="1" si="21"/>
        <v>44.353756098536934</v>
      </c>
    </row>
    <row r="542" spans="4:4" x14ac:dyDescent="0.25">
      <c r="D542">
        <f t="shared" ca="1" si="21"/>
        <v>49.600433771227095</v>
      </c>
    </row>
    <row r="543" spans="4:4" x14ac:dyDescent="0.25">
      <c r="D543">
        <f t="shared" ca="1" si="21"/>
        <v>49.809719235279687</v>
      </c>
    </row>
    <row r="544" spans="4:4" x14ac:dyDescent="0.25">
      <c r="D544">
        <f t="shared" ca="1" si="21"/>
        <v>46.306292958536531</v>
      </c>
    </row>
    <row r="545" spans="4:4" x14ac:dyDescent="0.25">
      <c r="D545">
        <f t="shared" ca="1" si="21"/>
        <v>52.199856952473851</v>
      </c>
    </row>
    <row r="546" spans="4:4" x14ac:dyDescent="0.25">
      <c r="D546">
        <f t="shared" ca="1" si="21"/>
        <v>55.555263185787481</v>
      </c>
    </row>
    <row r="547" spans="4:4" x14ac:dyDescent="0.25">
      <c r="D547">
        <f t="shared" ca="1" si="21"/>
        <v>48.622812437253693</v>
      </c>
    </row>
    <row r="548" spans="4:4" x14ac:dyDescent="0.25">
      <c r="D548">
        <f t="shared" ca="1" si="21"/>
        <v>45.534885498160882</v>
      </c>
    </row>
    <row r="549" spans="4:4" x14ac:dyDescent="0.25">
      <c r="D549">
        <f t="shared" ca="1" si="21"/>
        <v>54.785315616414351</v>
      </c>
    </row>
    <row r="550" spans="4:4" x14ac:dyDescent="0.25">
      <c r="D550">
        <f t="shared" ca="1" si="21"/>
        <v>54.648367595975508</v>
      </c>
    </row>
    <row r="551" spans="4:4" x14ac:dyDescent="0.25">
      <c r="D551">
        <f t="shared" ca="1" si="21"/>
        <v>48.132090670532996</v>
      </c>
    </row>
    <row r="552" spans="4:4" x14ac:dyDescent="0.25">
      <c r="D552">
        <f t="shared" ca="1" si="21"/>
        <v>53.462222506313296</v>
      </c>
    </row>
    <row r="553" spans="4:4" x14ac:dyDescent="0.25">
      <c r="D553">
        <f t="shared" ca="1" si="21"/>
        <v>53.660483895474371</v>
      </c>
    </row>
    <row r="554" spans="4:4" x14ac:dyDescent="0.25">
      <c r="D554">
        <f t="shared" ca="1" si="21"/>
        <v>45.417838844439743</v>
      </c>
    </row>
    <row r="555" spans="4:4" x14ac:dyDescent="0.25">
      <c r="D555">
        <f t="shared" ca="1" si="21"/>
        <v>52.260057704069574</v>
      </c>
    </row>
    <row r="556" spans="4:4" x14ac:dyDescent="0.25">
      <c r="D556">
        <f t="shared" ca="1" si="21"/>
        <v>45.874812891386256</v>
      </c>
    </row>
    <row r="557" spans="4:4" x14ac:dyDescent="0.25">
      <c r="D557">
        <f t="shared" ca="1" si="21"/>
        <v>46.472248046394057</v>
      </c>
    </row>
    <row r="558" spans="4:4" x14ac:dyDescent="0.25">
      <c r="D558">
        <f t="shared" ca="1" si="21"/>
        <v>55.869746471415816</v>
      </c>
    </row>
    <row r="559" spans="4:4" x14ac:dyDescent="0.25">
      <c r="D559">
        <f t="shared" ca="1" si="21"/>
        <v>47.892928769735164</v>
      </c>
    </row>
    <row r="560" spans="4:4" x14ac:dyDescent="0.25">
      <c r="D560">
        <f t="shared" ca="1" si="21"/>
        <v>54.378227079162748</v>
      </c>
    </row>
    <row r="561" spans="4:4" x14ac:dyDescent="0.25">
      <c r="D561">
        <f t="shared" ca="1" si="21"/>
        <v>50.717119740251178</v>
      </c>
    </row>
    <row r="562" spans="4:4" x14ac:dyDescent="0.25">
      <c r="D562">
        <f t="shared" ca="1" si="21"/>
        <v>47.372598731873609</v>
      </c>
    </row>
    <row r="563" spans="4:4" x14ac:dyDescent="0.25">
      <c r="D563">
        <f t="shared" ca="1" si="21"/>
        <v>40.195272283439138</v>
      </c>
    </row>
    <row r="564" spans="4:4" x14ac:dyDescent="0.25">
      <c r="D564">
        <f t="shared" ca="1" si="21"/>
        <v>52.016137042836405</v>
      </c>
    </row>
    <row r="565" spans="4:4" x14ac:dyDescent="0.25">
      <c r="D565">
        <f t="shared" ca="1" si="21"/>
        <v>58.292409825333408</v>
      </c>
    </row>
    <row r="566" spans="4:4" x14ac:dyDescent="0.25">
      <c r="D566">
        <f t="shared" ca="1" si="21"/>
        <v>53.69839073626229</v>
      </c>
    </row>
    <row r="567" spans="4:4" x14ac:dyDescent="0.25">
      <c r="D567">
        <f t="shared" ca="1" si="21"/>
        <v>47.244328216763904</v>
      </c>
    </row>
    <row r="568" spans="4:4" x14ac:dyDescent="0.25">
      <c r="D568">
        <f t="shared" ca="1" si="21"/>
        <v>44.379335487572376</v>
      </c>
    </row>
    <row r="569" spans="4:4" x14ac:dyDescent="0.25">
      <c r="D569">
        <f t="shared" ca="1" si="21"/>
        <v>49.884379010240345</v>
      </c>
    </row>
    <row r="570" spans="4:4" x14ac:dyDescent="0.25">
      <c r="D570">
        <f t="shared" ca="1" si="21"/>
        <v>54.228196875311085</v>
      </c>
    </row>
    <row r="571" spans="4:4" x14ac:dyDescent="0.25">
      <c r="D571">
        <f t="shared" ca="1" si="21"/>
        <v>43.54605849912231</v>
      </c>
    </row>
    <row r="572" spans="4:4" x14ac:dyDescent="0.25">
      <c r="D572">
        <f t="shared" ca="1" si="21"/>
        <v>51.960241487057274</v>
      </c>
    </row>
    <row r="573" spans="4:4" x14ac:dyDescent="0.25">
      <c r="D573">
        <f t="shared" ca="1" si="21"/>
        <v>56.59475939878245</v>
      </c>
    </row>
    <row r="574" spans="4:4" x14ac:dyDescent="0.25">
      <c r="D574">
        <f t="shared" ca="1" si="21"/>
        <v>56.277250510229486</v>
      </c>
    </row>
    <row r="575" spans="4:4" x14ac:dyDescent="0.25">
      <c r="D575">
        <f t="shared" ca="1" si="21"/>
        <v>43.958805150104567</v>
      </c>
    </row>
    <row r="576" spans="4:4" x14ac:dyDescent="0.25">
      <c r="D576">
        <f t="shared" ca="1" si="21"/>
        <v>47.937653874317277</v>
      </c>
    </row>
    <row r="577" spans="4:4" x14ac:dyDescent="0.25">
      <c r="D577">
        <f t="shared" ca="1" si="21"/>
        <v>56.905115040627756</v>
      </c>
    </row>
    <row r="578" spans="4:4" x14ac:dyDescent="0.25">
      <c r="D578">
        <f t="shared" ca="1" si="21"/>
        <v>53.540019252531877</v>
      </c>
    </row>
    <row r="579" spans="4:4" x14ac:dyDescent="0.25">
      <c r="D579">
        <f t="shared" ref="D579:D642" ca="1" si="22">_xlfn.T.INV(RAND(),25)*$G$3+$F$3</f>
        <v>48.785704527676224</v>
      </c>
    </row>
    <row r="580" spans="4:4" x14ac:dyDescent="0.25">
      <c r="D580">
        <f t="shared" ca="1" si="22"/>
        <v>57.435858039004628</v>
      </c>
    </row>
    <row r="581" spans="4:4" x14ac:dyDescent="0.25">
      <c r="D581">
        <f t="shared" ca="1" si="22"/>
        <v>48.924228964039997</v>
      </c>
    </row>
    <row r="582" spans="4:4" x14ac:dyDescent="0.25">
      <c r="D582">
        <f t="shared" ca="1" si="22"/>
        <v>48.745128978821683</v>
      </c>
    </row>
    <row r="583" spans="4:4" x14ac:dyDescent="0.25">
      <c r="D583">
        <f t="shared" ca="1" si="22"/>
        <v>54.802490346959239</v>
      </c>
    </row>
    <row r="584" spans="4:4" x14ac:dyDescent="0.25">
      <c r="D584">
        <f t="shared" ca="1" si="22"/>
        <v>47.964424885251013</v>
      </c>
    </row>
    <row r="585" spans="4:4" x14ac:dyDescent="0.25">
      <c r="D585">
        <f t="shared" ca="1" si="22"/>
        <v>48.297901274100191</v>
      </c>
    </row>
    <row r="586" spans="4:4" x14ac:dyDescent="0.25">
      <c r="D586">
        <f t="shared" ca="1" si="22"/>
        <v>54.100448416581067</v>
      </c>
    </row>
    <row r="587" spans="4:4" x14ac:dyDescent="0.25">
      <c r="D587">
        <f t="shared" ca="1" si="22"/>
        <v>47.602140106453575</v>
      </c>
    </row>
    <row r="588" spans="4:4" x14ac:dyDescent="0.25">
      <c r="D588">
        <f t="shared" ca="1" si="22"/>
        <v>61.06412988203887</v>
      </c>
    </row>
    <row r="589" spans="4:4" x14ac:dyDescent="0.25">
      <c r="D589">
        <f t="shared" ca="1" si="22"/>
        <v>44.723002142387109</v>
      </c>
    </row>
    <row r="590" spans="4:4" x14ac:dyDescent="0.25">
      <c r="D590">
        <f t="shared" ca="1" si="22"/>
        <v>52.40077838842879</v>
      </c>
    </row>
    <row r="591" spans="4:4" x14ac:dyDescent="0.25">
      <c r="D591">
        <f t="shared" ca="1" si="22"/>
        <v>37.979063207928803</v>
      </c>
    </row>
    <row r="592" spans="4:4" x14ac:dyDescent="0.25">
      <c r="D592">
        <f t="shared" ca="1" si="22"/>
        <v>44.285243841149679</v>
      </c>
    </row>
    <row r="593" spans="4:4" x14ac:dyDescent="0.25">
      <c r="D593">
        <f t="shared" ca="1" si="22"/>
        <v>52.409116649282005</v>
      </c>
    </row>
    <row r="594" spans="4:4" x14ac:dyDescent="0.25">
      <c r="D594">
        <f t="shared" ca="1" si="22"/>
        <v>41.214695495996324</v>
      </c>
    </row>
    <row r="595" spans="4:4" x14ac:dyDescent="0.25">
      <c r="D595">
        <f t="shared" ca="1" si="22"/>
        <v>48.300682579455987</v>
      </c>
    </row>
    <row r="596" spans="4:4" x14ac:dyDescent="0.25">
      <c r="D596">
        <f t="shared" ca="1" si="22"/>
        <v>47.462832017582741</v>
      </c>
    </row>
    <row r="597" spans="4:4" x14ac:dyDescent="0.25">
      <c r="D597">
        <f t="shared" ca="1" si="22"/>
        <v>48.679768646502332</v>
      </c>
    </row>
    <row r="598" spans="4:4" x14ac:dyDescent="0.25">
      <c r="D598">
        <f t="shared" ca="1" si="22"/>
        <v>42.216280140811079</v>
      </c>
    </row>
    <row r="599" spans="4:4" x14ac:dyDescent="0.25">
      <c r="D599">
        <f t="shared" ca="1" si="22"/>
        <v>50.823856899534853</v>
      </c>
    </row>
    <row r="600" spans="4:4" x14ac:dyDescent="0.25">
      <c r="D600">
        <f t="shared" ca="1" si="22"/>
        <v>47.461531796016679</v>
      </c>
    </row>
    <row r="601" spans="4:4" x14ac:dyDescent="0.25">
      <c r="D601">
        <f t="shared" ca="1" si="22"/>
        <v>44.99167084327479</v>
      </c>
    </row>
    <row r="602" spans="4:4" x14ac:dyDescent="0.25">
      <c r="D602">
        <f t="shared" ca="1" si="22"/>
        <v>45.301378877941787</v>
      </c>
    </row>
    <row r="603" spans="4:4" x14ac:dyDescent="0.25">
      <c r="D603">
        <f t="shared" ca="1" si="22"/>
        <v>47.340606336292147</v>
      </c>
    </row>
    <row r="604" spans="4:4" x14ac:dyDescent="0.25">
      <c r="D604">
        <f t="shared" ca="1" si="22"/>
        <v>51.558290088855074</v>
      </c>
    </row>
    <row r="605" spans="4:4" x14ac:dyDescent="0.25">
      <c r="D605">
        <f t="shared" ca="1" si="22"/>
        <v>48.430978356460599</v>
      </c>
    </row>
    <row r="606" spans="4:4" x14ac:dyDescent="0.25">
      <c r="D606">
        <f t="shared" ca="1" si="22"/>
        <v>46.221306986615843</v>
      </c>
    </row>
    <row r="607" spans="4:4" x14ac:dyDescent="0.25">
      <c r="D607">
        <f t="shared" ca="1" si="22"/>
        <v>49.728706285021403</v>
      </c>
    </row>
    <row r="608" spans="4:4" x14ac:dyDescent="0.25">
      <c r="D608">
        <f t="shared" ca="1" si="22"/>
        <v>53.993285519785687</v>
      </c>
    </row>
    <row r="609" spans="4:4" x14ac:dyDescent="0.25">
      <c r="D609">
        <f t="shared" ca="1" si="22"/>
        <v>52.161010313021194</v>
      </c>
    </row>
    <row r="610" spans="4:4" x14ac:dyDescent="0.25">
      <c r="D610">
        <f t="shared" ca="1" si="22"/>
        <v>51.316153632716308</v>
      </c>
    </row>
    <row r="611" spans="4:4" x14ac:dyDescent="0.25">
      <c r="D611">
        <f t="shared" ca="1" si="22"/>
        <v>46.950058274753026</v>
      </c>
    </row>
    <row r="612" spans="4:4" x14ac:dyDescent="0.25">
      <c r="D612">
        <f t="shared" ca="1" si="22"/>
        <v>53.759399378629794</v>
      </c>
    </row>
    <row r="613" spans="4:4" x14ac:dyDescent="0.25">
      <c r="D613">
        <f t="shared" ca="1" si="22"/>
        <v>53.732097788454418</v>
      </c>
    </row>
    <row r="614" spans="4:4" x14ac:dyDescent="0.25">
      <c r="D614">
        <f t="shared" ca="1" si="22"/>
        <v>45.529479763982735</v>
      </c>
    </row>
    <row r="615" spans="4:4" x14ac:dyDescent="0.25">
      <c r="D615">
        <f t="shared" ca="1" si="22"/>
        <v>43.578354086962023</v>
      </c>
    </row>
    <row r="616" spans="4:4" x14ac:dyDescent="0.25">
      <c r="D616">
        <f t="shared" ca="1" si="22"/>
        <v>49.102958690568308</v>
      </c>
    </row>
    <row r="617" spans="4:4" x14ac:dyDescent="0.25">
      <c r="D617">
        <f t="shared" ca="1" si="22"/>
        <v>45.398329782942767</v>
      </c>
    </row>
    <row r="618" spans="4:4" x14ac:dyDescent="0.25">
      <c r="D618">
        <f t="shared" ca="1" si="22"/>
        <v>46.678920736855218</v>
      </c>
    </row>
    <row r="619" spans="4:4" x14ac:dyDescent="0.25">
      <c r="D619">
        <f t="shared" ca="1" si="22"/>
        <v>63.249419667526034</v>
      </c>
    </row>
    <row r="620" spans="4:4" x14ac:dyDescent="0.25">
      <c r="D620">
        <f t="shared" ca="1" si="22"/>
        <v>53.570162481229367</v>
      </c>
    </row>
    <row r="621" spans="4:4" x14ac:dyDescent="0.25">
      <c r="D621">
        <f t="shared" ca="1" si="22"/>
        <v>41.318521029903984</v>
      </c>
    </row>
    <row r="622" spans="4:4" x14ac:dyDescent="0.25">
      <c r="D622">
        <f t="shared" ca="1" si="22"/>
        <v>52.278682163706925</v>
      </c>
    </row>
    <row r="623" spans="4:4" x14ac:dyDescent="0.25">
      <c r="D623">
        <f t="shared" ca="1" si="22"/>
        <v>53.019371601595715</v>
      </c>
    </row>
    <row r="624" spans="4:4" x14ac:dyDescent="0.25">
      <c r="D624">
        <f t="shared" ca="1" si="22"/>
        <v>55.920765103159027</v>
      </c>
    </row>
    <row r="625" spans="4:4" x14ac:dyDescent="0.25">
      <c r="D625">
        <f t="shared" ca="1" si="22"/>
        <v>51.462756655929454</v>
      </c>
    </row>
    <row r="626" spans="4:4" x14ac:dyDescent="0.25">
      <c r="D626">
        <f t="shared" ca="1" si="22"/>
        <v>55.045036251416832</v>
      </c>
    </row>
    <row r="627" spans="4:4" x14ac:dyDescent="0.25">
      <c r="D627">
        <f t="shared" ca="1" si="22"/>
        <v>44.973364191822959</v>
      </c>
    </row>
    <row r="628" spans="4:4" x14ac:dyDescent="0.25">
      <c r="D628">
        <f t="shared" ca="1" si="22"/>
        <v>44.816079122634918</v>
      </c>
    </row>
    <row r="629" spans="4:4" x14ac:dyDescent="0.25">
      <c r="D629">
        <f t="shared" ca="1" si="22"/>
        <v>42.340826602477271</v>
      </c>
    </row>
    <row r="630" spans="4:4" x14ac:dyDescent="0.25">
      <c r="D630">
        <f t="shared" ca="1" si="22"/>
        <v>55.26252713665717</v>
      </c>
    </row>
    <row r="631" spans="4:4" x14ac:dyDescent="0.25">
      <c r="D631">
        <f t="shared" ca="1" si="22"/>
        <v>49.733025753114354</v>
      </c>
    </row>
    <row r="632" spans="4:4" x14ac:dyDescent="0.25">
      <c r="D632">
        <f t="shared" ca="1" si="22"/>
        <v>42.057673122822777</v>
      </c>
    </row>
    <row r="633" spans="4:4" x14ac:dyDescent="0.25">
      <c r="D633">
        <f t="shared" ca="1" si="22"/>
        <v>52.389235194971405</v>
      </c>
    </row>
    <row r="634" spans="4:4" x14ac:dyDescent="0.25">
      <c r="D634">
        <f t="shared" ca="1" si="22"/>
        <v>47.912178842055212</v>
      </c>
    </row>
    <row r="635" spans="4:4" x14ac:dyDescent="0.25">
      <c r="D635">
        <f t="shared" ca="1" si="22"/>
        <v>49.500927747987511</v>
      </c>
    </row>
    <row r="636" spans="4:4" x14ac:dyDescent="0.25">
      <c r="D636">
        <f t="shared" ca="1" si="22"/>
        <v>46.656423824469485</v>
      </c>
    </row>
    <row r="637" spans="4:4" x14ac:dyDescent="0.25">
      <c r="D637">
        <f t="shared" ca="1" si="22"/>
        <v>48.35539679234374</v>
      </c>
    </row>
    <row r="638" spans="4:4" x14ac:dyDescent="0.25">
      <c r="D638">
        <f t="shared" ca="1" si="22"/>
        <v>54.472390270088603</v>
      </c>
    </row>
    <row r="639" spans="4:4" x14ac:dyDescent="0.25">
      <c r="D639">
        <f t="shared" ca="1" si="22"/>
        <v>49.815382938219976</v>
      </c>
    </row>
    <row r="640" spans="4:4" x14ac:dyDescent="0.25">
      <c r="D640">
        <f t="shared" ca="1" si="22"/>
        <v>49.084580944774878</v>
      </c>
    </row>
    <row r="641" spans="4:4" x14ac:dyDescent="0.25">
      <c r="D641">
        <f t="shared" ca="1" si="22"/>
        <v>50.495620252801061</v>
      </c>
    </row>
    <row r="642" spans="4:4" x14ac:dyDescent="0.25">
      <c r="D642">
        <f t="shared" ca="1" si="22"/>
        <v>41.03960175660464</v>
      </c>
    </row>
    <row r="643" spans="4:4" x14ac:dyDescent="0.25">
      <c r="D643">
        <f t="shared" ref="D643:D706" ca="1" si="23">_xlfn.T.INV(RAND(),25)*$G$3+$F$3</f>
        <v>48.116343462574747</v>
      </c>
    </row>
    <row r="644" spans="4:4" x14ac:dyDescent="0.25">
      <c r="D644">
        <f t="shared" ca="1" si="23"/>
        <v>46.977475425869734</v>
      </c>
    </row>
    <row r="645" spans="4:4" x14ac:dyDescent="0.25">
      <c r="D645">
        <f t="shared" ca="1" si="23"/>
        <v>48.546561120709306</v>
      </c>
    </row>
    <row r="646" spans="4:4" x14ac:dyDescent="0.25">
      <c r="D646">
        <f t="shared" ca="1" si="23"/>
        <v>42.284702383636109</v>
      </c>
    </row>
    <row r="647" spans="4:4" x14ac:dyDescent="0.25">
      <c r="D647">
        <f t="shared" ca="1" si="23"/>
        <v>47.342720639676834</v>
      </c>
    </row>
    <row r="648" spans="4:4" x14ac:dyDescent="0.25">
      <c r="D648">
        <f t="shared" ca="1" si="23"/>
        <v>46.894515778545831</v>
      </c>
    </row>
    <row r="649" spans="4:4" x14ac:dyDescent="0.25">
      <c r="D649">
        <f t="shared" ca="1" si="23"/>
        <v>51.289837145986141</v>
      </c>
    </row>
    <row r="650" spans="4:4" x14ac:dyDescent="0.25">
      <c r="D650">
        <f t="shared" ca="1" si="23"/>
        <v>47.492113905968019</v>
      </c>
    </row>
    <row r="651" spans="4:4" x14ac:dyDescent="0.25">
      <c r="D651">
        <f t="shared" ca="1" si="23"/>
        <v>54.559700931495975</v>
      </c>
    </row>
    <row r="652" spans="4:4" x14ac:dyDescent="0.25">
      <c r="D652">
        <f t="shared" ca="1" si="23"/>
        <v>48.577456117707982</v>
      </c>
    </row>
    <row r="653" spans="4:4" x14ac:dyDescent="0.25">
      <c r="D653">
        <f t="shared" ca="1" si="23"/>
        <v>54.020499101761445</v>
      </c>
    </row>
    <row r="654" spans="4:4" x14ac:dyDescent="0.25">
      <c r="D654">
        <f t="shared" ca="1" si="23"/>
        <v>54.098778207093005</v>
      </c>
    </row>
    <row r="655" spans="4:4" x14ac:dyDescent="0.25">
      <c r="D655">
        <f t="shared" ca="1" si="23"/>
        <v>45.744842189214829</v>
      </c>
    </row>
    <row r="656" spans="4:4" x14ac:dyDescent="0.25">
      <c r="D656">
        <f t="shared" ca="1" si="23"/>
        <v>53.331941333841165</v>
      </c>
    </row>
    <row r="657" spans="4:4" x14ac:dyDescent="0.25">
      <c r="D657">
        <f t="shared" ca="1" si="23"/>
        <v>45.800008651034247</v>
      </c>
    </row>
    <row r="658" spans="4:4" x14ac:dyDescent="0.25">
      <c r="D658">
        <f t="shared" ca="1" si="23"/>
        <v>52.557284372562442</v>
      </c>
    </row>
    <row r="659" spans="4:4" x14ac:dyDescent="0.25">
      <c r="D659">
        <f t="shared" ca="1" si="23"/>
        <v>50.101995011317328</v>
      </c>
    </row>
    <row r="660" spans="4:4" x14ac:dyDescent="0.25">
      <c r="D660">
        <f t="shared" ca="1" si="23"/>
        <v>52.432058721394881</v>
      </c>
    </row>
    <row r="661" spans="4:4" x14ac:dyDescent="0.25">
      <c r="D661">
        <f t="shared" ca="1" si="23"/>
        <v>51.006628938239828</v>
      </c>
    </row>
    <row r="662" spans="4:4" x14ac:dyDescent="0.25">
      <c r="D662">
        <f t="shared" ca="1" si="23"/>
        <v>54.247827340181075</v>
      </c>
    </row>
    <row r="663" spans="4:4" x14ac:dyDescent="0.25">
      <c r="D663">
        <f t="shared" ca="1" si="23"/>
        <v>50.977625194746437</v>
      </c>
    </row>
    <row r="664" spans="4:4" x14ac:dyDescent="0.25">
      <c r="D664">
        <f t="shared" ca="1" si="23"/>
        <v>53.854218023938962</v>
      </c>
    </row>
    <row r="665" spans="4:4" x14ac:dyDescent="0.25">
      <c r="D665">
        <f t="shared" ca="1" si="23"/>
        <v>47.205834275603941</v>
      </c>
    </row>
    <row r="666" spans="4:4" x14ac:dyDescent="0.25">
      <c r="D666">
        <f t="shared" ca="1" si="23"/>
        <v>43.862243356726559</v>
      </c>
    </row>
    <row r="667" spans="4:4" x14ac:dyDescent="0.25">
      <c r="D667">
        <f t="shared" ca="1" si="23"/>
        <v>44.833500958144192</v>
      </c>
    </row>
    <row r="668" spans="4:4" x14ac:dyDescent="0.25">
      <c r="D668">
        <f t="shared" ca="1" si="23"/>
        <v>65.036480160036405</v>
      </c>
    </row>
    <row r="669" spans="4:4" x14ac:dyDescent="0.25">
      <c r="D669">
        <f t="shared" ca="1" si="23"/>
        <v>50.87598044439838</v>
      </c>
    </row>
    <row r="670" spans="4:4" x14ac:dyDescent="0.25">
      <c r="D670">
        <f t="shared" ca="1" si="23"/>
        <v>47.906757588274388</v>
      </c>
    </row>
    <row r="671" spans="4:4" x14ac:dyDescent="0.25">
      <c r="D671">
        <f t="shared" ca="1" si="23"/>
        <v>50.842612196516335</v>
      </c>
    </row>
    <row r="672" spans="4:4" x14ac:dyDescent="0.25">
      <c r="D672">
        <f t="shared" ca="1" si="23"/>
        <v>47.273431559201484</v>
      </c>
    </row>
    <row r="673" spans="4:4" x14ac:dyDescent="0.25">
      <c r="D673">
        <f t="shared" ca="1" si="23"/>
        <v>50.960567477805732</v>
      </c>
    </row>
    <row r="674" spans="4:4" x14ac:dyDescent="0.25">
      <c r="D674">
        <f t="shared" ca="1" si="23"/>
        <v>50.556848463325366</v>
      </c>
    </row>
    <row r="675" spans="4:4" x14ac:dyDescent="0.25">
      <c r="D675">
        <f t="shared" ca="1" si="23"/>
        <v>55.938985013310685</v>
      </c>
    </row>
    <row r="676" spans="4:4" x14ac:dyDescent="0.25">
      <c r="D676">
        <f t="shared" ca="1" si="23"/>
        <v>51.945903921075185</v>
      </c>
    </row>
    <row r="677" spans="4:4" x14ac:dyDescent="0.25">
      <c r="D677">
        <f t="shared" ca="1" si="23"/>
        <v>49.553550672030106</v>
      </c>
    </row>
    <row r="678" spans="4:4" x14ac:dyDescent="0.25">
      <c r="D678">
        <f t="shared" ca="1" si="23"/>
        <v>52.603548460318621</v>
      </c>
    </row>
    <row r="679" spans="4:4" x14ac:dyDescent="0.25">
      <c r="D679">
        <f t="shared" ca="1" si="23"/>
        <v>55.298284308735148</v>
      </c>
    </row>
    <row r="680" spans="4:4" x14ac:dyDescent="0.25">
      <c r="D680">
        <f t="shared" ca="1" si="23"/>
        <v>51.078966488119413</v>
      </c>
    </row>
    <row r="681" spans="4:4" x14ac:dyDescent="0.25">
      <c r="D681">
        <f t="shared" ca="1" si="23"/>
        <v>51.050596038385955</v>
      </c>
    </row>
    <row r="682" spans="4:4" x14ac:dyDescent="0.25">
      <c r="D682">
        <f t="shared" ca="1" si="23"/>
        <v>41.487852930397899</v>
      </c>
    </row>
    <row r="683" spans="4:4" x14ac:dyDescent="0.25">
      <c r="D683">
        <f t="shared" ca="1" si="23"/>
        <v>43.092996790973913</v>
      </c>
    </row>
    <row r="684" spans="4:4" x14ac:dyDescent="0.25">
      <c r="D684">
        <f t="shared" ca="1" si="23"/>
        <v>47.887520163761657</v>
      </c>
    </row>
    <row r="685" spans="4:4" x14ac:dyDescent="0.25">
      <c r="D685">
        <f t="shared" ca="1" si="23"/>
        <v>48.513802828431146</v>
      </c>
    </row>
    <row r="686" spans="4:4" x14ac:dyDescent="0.25">
      <c r="D686">
        <f t="shared" ca="1" si="23"/>
        <v>52.083041048538504</v>
      </c>
    </row>
    <row r="687" spans="4:4" x14ac:dyDescent="0.25">
      <c r="D687">
        <f t="shared" ca="1" si="23"/>
        <v>49.869850969757543</v>
      </c>
    </row>
    <row r="688" spans="4:4" x14ac:dyDescent="0.25">
      <c r="D688">
        <f t="shared" ca="1" si="23"/>
        <v>47.619056536131225</v>
      </c>
    </row>
    <row r="689" spans="4:4" x14ac:dyDescent="0.25">
      <c r="D689">
        <f t="shared" ca="1" si="23"/>
        <v>53.466140347364735</v>
      </c>
    </row>
    <row r="690" spans="4:4" x14ac:dyDescent="0.25">
      <c r="D690">
        <f t="shared" ca="1" si="23"/>
        <v>46.381927110165854</v>
      </c>
    </row>
    <row r="691" spans="4:4" x14ac:dyDescent="0.25">
      <c r="D691">
        <f t="shared" ca="1" si="23"/>
        <v>47.553083908799039</v>
      </c>
    </row>
    <row r="692" spans="4:4" x14ac:dyDescent="0.25">
      <c r="D692">
        <f t="shared" ca="1" si="23"/>
        <v>42.891587588893373</v>
      </c>
    </row>
    <row r="693" spans="4:4" x14ac:dyDescent="0.25">
      <c r="D693">
        <f t="shared" ca="1" si="23"/>
        <v>52.057612897733925</v>
      </c>
    </row>
    <row r="694" spans="4:4" x14ac:dyDescent="0.25">
      <c r="D694">
        <f t="shared" ca="1" si="23"/>
        <v>51.104583998999267</v>
      </c>
    </row>
    <row r="695" spans="4:4" x14ac:dyDescent="0.25">
      <c r="D695">
        <f t="shared" ca="1" si="23"/>
        <v>50.059652071528888</v>
      </c>
    </row>
    <row r="696" spans="4:4" x14ac:dyDescent="0.25">
      <c r="D696">
        <f t="shared" ca="1" si="23"/>
        <v>50.682538121368921</v>
      </c>
    </row>
    <row r="697" spans="4:4" x14ac:dyDescent="0.25">
      <c r="D697">
        <f t="shared" ca="1" si="23"/>
        <v>45.587617648643381</v>
      </c>
    </row>
    <row r="698" spans="4:4" x14ac:dyDescent="0.25">
      <c r="D698">
        <f t="shared" ca="1" si="23"/>
        <v>50.595291530175565</v>
      </c>
    </row>
    <row r="699" spans="4:4" x14ac:dyDescent="0.25">
      <c r="D699">
        <f t="shared" ca="1" si="23"/>
        <v>53.198892761516241</v>
      </c>
    </row>
    <row r="700" spans="4:4" x14ac:dyDescent="0.25">
      <c r="D700">
        <f t="shared" ca="1" si="23"/>
        <v>49.578133127137271</v>
      </c>
    </row>
    <row r="701" spans="4:4" x14ac:dyDescent="0.25">
      <c r="D701">
        <f t="shared" ca="1" si="23"/>
        <v>43.533990664838555</v>
      </c>
    </row>
    <row r="702" spans="4:4" x14ac:dyDescent="0.25">
      <c r="D702">
        <f t="shared" ca="1" si="23"/>
        <v>46.869715450456319</v>
      </c>
    </row>
    <row r="703" spans="4:4" x14ac:dyDescent="0.25">
      <c r="D703">
        <f t="shared" ca="1" si="23"/>
        <v>55.01469479025679</v>
      </c>
    </row>
    <row r="704" spans="4:4" x14ac:dyDescent="0.25">
      <c r="D704">
        <f t="shared" ca="1" si="23"/>
        <v>54.997467987759102</v>
      </c>
    </row>
    <row r="705" spans="4:4" x14ac:dyDescent="0.25">
      <c r="D705">
        <f t="shared" ca="1" si="23"/>
        <v>47.052984097058307</v>
      </c>
    </row>
    <row r="706" spans="4:4" x14ac:dyDescent="0.25">
      <c r="D706">
        <f t="shared" ca="1" si="23"/>
        <v>47.367785312328067</v>
      </c>
    </row>
    <row r="707" spans="4:4" x14ac:dyDescent="0.25">
      <c r="D707">
        <f t="shared" ref="D707:D770" ca="1" si="24">_xlfn.T.INV(RAND(),25)*$G$3+$F$3</f>
        <v>49.832302701892239</v>
      </c>
    </row>
    <row r="708" spans="4:4" x14ac:dyDescent="0.25">
      <c r="D708">
        <f t="shared" ca="1" si="24"/>
        <v>48.086608632279159</v>
      </c>
    </row>
    <row r="709" spans="4:4" x14ac:dyDescent="0.25">
      <c r="D709">
        <f t="shared" ca="1" si="24"/>
        <v>53.535391426761187</v>
      </c>
    </row>
    <row r="710" spans="4:4" x14ac:dyDescent="0.25">
      <c r="D710">
        <f t="shared" ca="1" si="24"/>
        <v>50.724454078511158</v>
      </c>
    </row>
    <row r="711" spans="4:4" x14ac:dyDescent="0.25">
      <c r="D711">
        <f t="shared" ca="1" si="24"/>
        <v>43.145855881793103</v>
      </c>
    </row>
    <row r="712" spans="4:4" x14ac:dyDescent="0.25">
      <c r="D712">
        <f t="shared" ca="1" si="24"/>
        <v>55.723439324008041</v>
      </c>
    </row>
    <row r="713" spans="4:4" x14ac:dyDescent="0.25">
      <c r="D713">
        <f t="shared" ca="1" si="24"/>
        <v>48.377651219177785</v>
      </c>
    </row>
    <row r="714" spans="4:4" x14ac:dyDescent="0.25">
      <c r="D714">
        <f t="shared" ca="1" si="24"/>
        <v>43.289256967159837</v>
      </c>
    </row>
    <row r="715" spans="4:4" x14ac:dyDescent="0.25">
      <c r="D715">
        <f t="shared" ca="1" si="24"/>
        <v>53.035095309214498</v>
      </c>
    </row>
    <row r="716" spans="4:4" x14ac:dyDescent="0.25">
      <c r="D716">
        <f t="shared" ca="1" si="24"/>
        <v>43.24677478103817</v>
      </c>
    </row>
    <row r="717" spans="4:4" x14ac:dyDescent="0.25">
      <c r="D717">
        <f t="shared" ca="1" si="24"/>
        <v>42.354026476344359</v>
      </c>
    </row>
    <row r="718" spans="4:4" x14ac:dyDescent="0.25">
      <c r="D718">
        <f t="shared" ca="1" si="24"/>
        <v>49.657653083831811</v>
      </c>
    </row>
    <row r="719" spans="4:4" x14ac:dyDescent="0.25">
      <c r="D719">
        <f t="shared" ca="1" si="24"/>
        <v>56.786265602444239</v>
      </c>
    </row>
    <row r="720" spans="4:4" x14ac:dyDescent="0.25">
      <c r="D720">
        <f t="shared" ca="1" si="24"/>
        <v>47.293338808064895</v>
      </c>
    </row>
    <row r="721" spans="4:4" x14ac:dyDescent="0.25">
      <c r="D721">
        <f t="shared" ca="1" si="24"/>
        <v>55.638754296191372</v>
      </c>
    </row>
    <row r="722" spans="4:4" x14ac:dyDescent="0.25">
      <c r="D722">
        <f t="shared" ca="1" si="24"/>
        <v>50.956926575809632</v>
      </c>
    </row>
    <row r="723" spans="4:4" x14ac:dyDescent="0.25">
      <c r="D723">
        <f t="shared" ca="1" si="24"/>
        <v>53.274230564717129</v>
      </c>
    </row>
    <row r="724" spans="4:4" x14ac:dyDescent="0.25">
      <c r="D724">
        <f t="shared" ca="1" si="24"/>
        <v>45.251355127339949</v>
      </c>
    </row>
    <row r="725" spans="4:4" x14ac:dyDescent="0.25">
      <c r="D725">
        <f t="shared" ca="1" si="24"/>
        <v>51.52936663090761</v>
      </c>
    </row>
    <row r="726" spans="4:4" x14ac:dyDescent="0.25">
      <c r="D726">
        <f t="shared" ca="1" si="24"/>
        <v>54.423499657159113</v>
      </c>
    </row>
    <row r="727" spans="4:4" x14ac:dyDescent="0.25">
      <c r="D727">
        <f t="shared" ca="1" si="24"/>
        <v>52.217090667966872</v>
      </c>
    </row>
    <row r="728" spans="4:4" x14ac:dyDescent="0.25">
      <c r="D728">
        <f t="shared" ca="1" si="24"/>
        <v>46.90818973543476</v>
      </c>
    </row>
    <row r="729" spans="4:4" x14ac:dyDescent="0.25">
      <c r="D729">
        <f t="shared" ca="1" si="24"/>
        <v>54.436968869174379</v>
      </c>
    </row>
    <row r="730" spans="4:4" x14ac:dyDescent="0.25">
      <c r="D730">
        <f t="shared" ca="1" si="24"/>
        <v>48.80755239052322</v>
      </c>
    </row>
    <row r="731" spans="4:4" x14ac:dyDescent="0.25">
      <c r="D731">
        <f t="shared" ca="1" si="24"/>
        <v>45.764333928372025</v>
      </c>
    </row>
    <row r="732" spans="4:4" x14ac:dyDescent="0.25">
      <c r="D732">
        <f t="shared" ca="1" si="24"/>
        <v>44.075271378076962</v>
      </c>
    </row>
    <row r="733" spans="4:4" x14ac:dyDescent="0.25">
      <c r="D733">
        <f t="shared" ca="1" si="24"/>
        <v>51.123908305227495</v>
      </c>
    </row>
    <row r="734" spans="4:4" x14ac:dyDescent="0.25">
      <c r="D734">
        <f t="shared" ca="1" si="24"/>
        <v>40.436558356132991</v>
      </c>
    </row>
    <row r="735" spans="4:4" x14ac:dyDescent="0.25">
      <c r="D735">
        <f t="shared" ca="1" si="24"/>
        <v>48.334869540286192</v>
      </c>
    </row>
    <row r="736" spans="4:4" x14ac:dyDescent="0.25">
      <c r="D736">
        <f t="shared" ca="1" si="24"/>
        <v>46.505809609047454</v>
      </c>
    </row>
    <row r="737" spans="4:4" x14ac:dyDescent="0.25">
      <c r="D737">
        <f t="shared" ca="1" si="24"/>
        <v>46.033822530062444</v>
      </c>
    </row>
    <row r="738" spans="4:4" x14ac:dyDescent="0.25">
      <c r="D738">
        <f t="shared" ca="1" si="24"/>
        <v>46.570688799146261</v>
      </c>
    </row>
    <row r="739" spans="4:4" x14ac:dyDescent="0.25">
      <c r="D739">
        <f t="shared" ca="1" si="24"/>
        <v>55.59436677950513</v>
      </c>
    </row>
    <row r="740" spans="4:4" x14ac:dyDescent="0.25">
      <c r="D740">
        <f t="shared" ca="1" si="24"/>
        <v>50.399134652034704</v>
      </c>
    </row>
    <row r="741" spans="4:4" x14ac:dyDescent="0.25">
      <c r="D741">
        <f t="shared" ca="1" si="24"/>
        <v>50.633869683911392</v>
      </c>
    </row>
    <row r="742" spans="4:4" x14ac:dyDescent="0.25">
      <c r="D742">
        <f t="shared" ca="1" si="24"/>
        <v>44.179696524214521</v>
      </c>
    </row>
    <row r="743" spans="4:4" x14ac:dyDescent="0.25">
      <c r="D743">
        <f t="shared" ca="1" si="24"/>
        <v>46.295143995348049</v>
      </c>
    </row>
    <row r="744" spans="4:4" x14ac:dyDescent="0.25">
      <c r="D744">
        <f t="shared" ca="1" si="24"/>
        <v>59.818863980188681</v>
      </c>
    </row>
    <row r="745" spans="4:4" x14ac:dyDescent="0.25">
      <c r="D745">
        <f t="shared" ca="1" si="24"/>
        <v>39.540587049764241</v>
      </c>
    </row>
    <row r="746" spans="4:4" x14ac:dyDescent="0.25">
      <c r="D746">
        <f t="shared" ca="1" si="24"/>
        <v>54.471931114900251</v>
      </c>
    </row>
    <row r="747" spans="4:4" x14ac:dyDescent="0.25">
      <c r="D747">
        <f t="shared" ca="1" si="24"/>
        <v>45.25057067362853</v>
      </c>
    </row>
    <row r="748" spans="4:4" x14ac:dyDescent="0.25">
      <c r="D748">
        <f t="shared" ca="1" si="24"/>
        <v>56.647238604455126</v>
      </c>
    </row>
    <row r="749" spans="4:4" x14ac:dyDescent="0.25">
      <c r="D749">
        <f t="shared" ca="1" si="24"/>
        <v>47.720432425944828</v>
      </c>
    </row>
    <row r="750" spans="4:4" x14ac:dyDescent="0.25">
      <c r="D750">
        <f t="shared" ca="1" si="24"/>
        <v>49.444508162098899</v>
      </c>
    </row>
    <row r="751" spans="4:4" x14ac:dyDescent="0.25">
      <c r="D751">
        <f t="shared" ca="1" si="24"/>
        <v>51.419947334288224</v>
      </c>
    </row>
    <row r="752" spans="4:4" x14ac:dyDescent="0.25">
      <c r="D752">
        <f t="shared" ca="1" si="24"/>
        <v>53.648851383857803</v>
      </c>
    </row>
    <row r="753" spans="4:4" x14ac:dyDescent="0.25">
      <c r="D753">
        <f t="shared" ca="1" si="24"/>
        <v>42.333486193518361</v>
      </c>
    </row>
    <row r="754" spans="4:4" x14ac:dyDescent="0.25">
      <c r="D754">
        <f t="shared" ca="1" si="24"/>
        <v>47.385975214686511</v>
      </c>
    </row>
    <row r="755" spans="4:4" x14ac:dyDescent="0.25">
      <c r="D755">
        <f t="shared" ca="1" si="24"/>
        <v>39.447956935630181</v>
      </c>
    </row>
    <row r="756" spans="4:4" x14ac:dyDescent="0.25">
      <c r="D756">
        <f t="shared" ca="1" si="24"/>
        <v>40.271880736295543</v>
      </c>
    </row>
    <row r="757" spans="4:4" x14ac:dyDescent="0.25">
      <c r="D757">
        <f t="shared" ca="1" si="24"/>
        <v>50.822691285747489</v>
      </c>
    </row>
    <row r="758" spans="4:4" x14ac:dyDescent="0.25">
      <c r="D758">
        <f t="shared" ca="1" si="24"/>
        <v>45.654392912895943</v>
      </c>
    </row>
    <row r="759" spans="4:4" x14ac:dyDescent="0.25">
      <c r="D759">
        <f t="shared" ca="1" si="24"/>
        <v>56.780053134305703</v>
      </c>
    </row>
    <row r="760" spans="4:4" x14ac:dyDescent="0.25">
      <c r="D760">
        <f t="shared" ca="1" si="24"/>
        <v>51.334409318173094</v>
      </c>
    </row>
    <row r="761" spans="4:4" x14ac:dyDescent="0.25">
      <c r="D761">
        <f t="shared" ca="1" si="24"/>
        <v>50.846416579959524</v>
      </c>
    </row>
    <row r="762" spans="4:4" x14ac:dyDescent="0.25">
      <c r="D762">
        <f t="shared" ca="1" si="24"/>
        <v>47.287268552729941</v>
      </c>
    </row>
    <row r="763" spans="4:4" x14ac:dyDescent="0.25">
      <c r="D763">
        <f t="shared" ca="1" si="24"/>
        <v>52.353033322244208</v>
      </c>
    </row>
    <row r="764" spans="4:4" x14ac:dyDescent="0.25">
      <c r="D764">
        <f t="shared" ca="1" si="24"/>
        <v>49.999052084301454</v>
      </c>
    </row>
    <row r="765" spans="4:4" x14ac:dyDescent="0.25">
      <c r="D765">
        <f t="shared" ca="1" si="24"/>
        <v>48.665881929524289</v>
      </c>
    </row>
    <row r="766" spans="4:4" x14ac:dyDescent="0.25">
      <c r="D766">
        <f t="shared" ca="1" si="24"/>
        <v>48.069299285245641</v>
      </c>
    </row>
    <row r="767" spans="4:4" x14ac:dyDescent="0.25">
      <c r="D767">
        <f t="shared" ca="1" si="24"/>
        <v>52.583779074130675</v>
      </c>
    </row>
    <row r="768" spans="4:4" x14ac:dyDescent="0.25">
      <c r="D768">
        <f t="shared" ca="1" si="24"/>
        <v>52.95988502379064</v>
      </c>
    </row>
    <row r="769" spans="4:4" x14ac:dyDescent="0.25">
      <c r="D769">
        <f t="shared" ca="1" si="24"/>
        <v>46.104804643232178</v>
      </c>
    </row>
    <row r="770" spans="4:4" x14ac:dyDescent="0.25">
      <c r="D770">
        <f t="shared" ca="1" si="24"/>
        <v>41.897889183431992</v>
      </c>
    </row>
    <row r="771" spans="4:4" x14ac:dyDescent="0.25">
      <c r="D771">
        <f t="shared" ref="D771:D834" ca="1" si="25">_xlfn.T.INV(RAND(),25)*$G$3+$F$3</f>
        <v>53.985636059982149</v>
      </c>
    </row>
    <row r="772" spans="4:4" x14ac:dyDescent="0.25">
      <c r="D772">
        <f t="shared" ca="1" si="25"/>
        <v>56.374327550040768</v>
      </c>
    </row>
    <row r="773" spans="4:4" x14ac:dyDescent="0.25">
      <c r="D773">
        <f t="shared" ca="1" si="25"/>
        <v>47.4230535699051</v>
      </c>
    </row>
    <row r="774" spans="4:4" x14ac:dyDescent="0.25">
      <c r="D774">
        <f t="shared" ca="1" si="25"/>
        <v>53.140288687274548</v>
      </c>
    </row>
    <row r="775" spans="4:4" x14ac:dyDescent="0.25">
      <c r="D775">
        <f t="shared" ca="1" si="25"/>
        <v>52.046439826871605</v>
      </c>
    </row>
    <row r="776" spans="4:4" x14ac:dyDescent="0.25">
      <c r="D776">
        <f t="shared" ca="1" si="25"/>
        <v>43.445816025419361</v>
      </c>
    </row>
    <row r="777" spans="4:4" x14ac:dyDescent="0.25">
      <c r="D777">
        <f t="shared" ca="1" si="25"/>
        <v>42.397513480942543</v>
      </c>
    </row>
    <row r="778" spans="4:4" x14ac:dyDescent="0.25">
      <c r="D778">
        <f t="shared" ca="1" si="25"/>
        <v>49.970287356182958</v>
      </c>
    </row>
    <row r="779" spans="4:4" x14ac:dyDescent="0.25">
      <c r="D779">
        <f t="shared" ca="1" si="25"/>
        <v>54.836157782241067</v>
      </c>
    </row>
    <row r="780" spans="4:4" x14ac:dyDescent="0.25">
      <c r="D780">
        <f t="shared" ca="1" si="25"/>
        <v>60.364507692072323</v>
      </c>
    </row>
    <row r="781" spans="4:4" x14ac:dyDescent="0.25">
      <c r="D781">
        <f t="shared" ca="1" si="25"/>
        <v>53.961445194132267</v>
      </c>
    </row>
    <row r="782" spans="4:4" x14ac:dyDescent="0.25">
      <c r="D782">
        <f t="shared" ca="1" si="25"/>
        <v>52.795870258537605</v>
      </c>
    </row>
    <row r="783" spans="4:4" x14ac:dyDescent="0.25">
      <c r="D783">
        <f t="shared" ca="1" si="25"/>
        <v>46.563542137491432</v>
      </c>
    </row>
    <row r="784" spans="4:4" x14ac:dyDescent="0.25">
      <c r="D784">
        <f t="shared" ca="1" si="25"/>
        <v>53.856150574654919</v>
      </c>
    </row>
    <row r="785" spans="4:4" x14ac:dyDescent="0.25">
      <c r="D785">
        <f t="shared" ca="1" si="25"/>
        <v>54.10719633971555</v>
      </c>
    </row>
    <row r="786" spans="4:4" x14ac:dyDescent="0.25">
      <c r="D786">
        <f t="shared" ca="1" si="25"/>
        <v>53.724752602026214</v>
      </c>
    </row>
    <row r="787" spans="4:4" x14ac:dyDescent="0.25">
      <c r="D787">
        <f t="shared" ca="1" si="25"/>
        <v>51.784621385272459</v>
      </c>
    </row>
    <row r="788" spans="4:4" x14ac:dyDescent="0.25">
      <c r="D788">
        <f t="shared" ca="1" si="25"/>
        <v>41.392684006607809</v>
      </c>
    </row>
    <row r="789" spans="4:4" x14ac:dyDescent="0.25">
      <c r="D789">
        <f t="shared" ca="1" si="25"/>
        <v>52.200265374318775</v>
      </c>
    </row>
    <row r="790" spans="4:4" x14ac:dyDescent="0.25">
      <c r="D790">
        <f t="shared" ca="1" si="25"/>
        <v>48.945851034845013</v>
      </c>
    </row>
    <row r="791" spans="4:4" x14ac:dyDescent="0.25">
      <c r="D791">
        <f t="shared" ca="1" si="25"/>
        <v>47.096906987514885</v>
      </c>
    </row>
    <row r="792" spans="4:4" x14ac:dyDescent="0.25">
      <c r="D792">
        <f t="shared" ca="1" si="25"/>
        <v>56.960802864171882</v>
      </c>
    </row>
    <row r="793" spans="4:4" x14ac:dyDescent="0.25">
      <c r="D793">
        <f t="shared" ca="1" si="25"/>
        <v>45.331272260201317</v>
      </c>
    </row>
    <row r="794" spans="4:4" x14ac:dyDescent="0.25">
      <c r="D794">
        <f t="shared" ca="1" si="25"/>
        <v>50.050616880544737</v>
      </c>
    </row>
    <row r="795" spans="4:4" x14ac:dyDescent="0.25">
      <c r="D795">
        <f t="shared" ca="1" si="25"/>
        <v>51.243704387711951</v>
      </c>
    </row>
    <row r="796" spans="4:4" x14ac:dyDescent="0.25">
      <c r="D796">
        <f t="shared" ca="1" si="25"/>
        <v>47.530349582415433</v>
      </c>
    </row>
    <row r="797" spans="4:4" x14ac:dyDescent="0.25">
      <c r="D797">
        <f t="shared" ca="1" si="25"/>
        <v>43.685369855972304</v>
      </c>
    </row>
    <row r="798" spans="4:4" x14ac:dyDescent="0.25">
      <c r="D798">
        <f t="shared" ca="1" si="25"/>
        <v>49.551195048992938</v>
      </c>
    </row>
    <row r="799" spans="4:4" x14ac:dyDescent="0.25">
      <c r="D799">
        <f t="shared" ca="1" si="25"/>
        <v>56.238568961147642</v>
      </c>
    </row>
    <row r="800" spans="4:4" x14ac:dyDescent="0.25">
      <c r="D800">
        <f t="shared" ca="1" si="25"/>
        <v>54.14431098971454</v>
      </c>
    </row>
    <row r="801" spans="4:4" x14ac:dyDescent="0.25">
      <c r="D801">
        <f t="shared" ca="1" si="25"/>
        <v>49.663504135947953</v>
      </c>
    </row>
    <row r="802" spans="4:4" x14ac:dyDescent="0.25">
      <c r="D802">
        <f t="shared" ca="1" si="25"/>
        <v>53.667713975835007</v>
      </c>
    </row>
    <row r="803" spans="4:4" x14ac:dyDescent="0.25">
      <c r="D803">
        <f t="shared" ca="1" si="25"/>
        <v>53.242816485514574</v>
      </c>
    </row>
    <row r="804" spans="4:4" x14ac:dyDescent="0.25">
      <c r="D804">
        <f t="shared" ca="1" si="25"/>
        <v>46.981300601563795</v>
      </c>
    </row>
    <row r="805" spans="4:4" x14ac:dyDescent="0.25">
      <c r="D805">
        <f t="shared" ca="1" si="25"/>
        <v>52.484513291771151</v>
      </c>
    </row>
    <row r="806" spans="4:4" x14ac:dyDescent="0.25">
      <c r="D806">
        <f t="shared" ca="1" si="25"/>
        <v>53.929392856157996</v>
      </c>
    </row>
    <row r="807" spans="4:4" x14ac:dyDescent="0.25">
      <c r="D807">
        <f t="shared" ca="1" si="25"/>
        <v>42.060838990085145</v>
      </c>
    </row>
    <row r="808" spans="4:4" x14ac:dyDescent="0.25">
      <c r="D808">
        <f t="shared" ca="1" si="25"/>
        <v>52.026832768381524</v>
      </c>
    </row>
    <row r="809" spans="4:4" x14ac:dyDescent="0.25">
      <c r="D809">
        <f t="shared" ca="1" si="25"/>
        <v>42.113195768471307</v>
      </c>
    </row>
    <row r="810" spans="4:4" x14ac:dyDescent="0.25">
      <c r="D810">
        <f t="shared" ca="1" si="25"/>
        <v>56.130437117635132</v>
      </c>
    </row>
    <row r="811" spans="4:4" x14ac:dyDescent="0.25">
      <c r="D811">
        <f t="shared" ca="1" si="25"/>
        <v>46.298584131793575</v>
      </c>
    </row>
    <row r="812" spans="4:4" x14ac:dyDescent="0.25">
      <c r="D812">
        <f t="shared" ca="1" si="25"/>
        <v>49.629120810370559</v>
      </c>
    </row>
    <row r="813" spans="4:4" x14ac:dyDescent="0.25">
      <c r="D813">
        <f t="shared" ca="1" si="25"/>
        <v>51.891490428794263</v>
      </c>
    </row>
    <row r="814" spans="4:4" x14ac:dyDescent="0.25">
      <c r="D814">
        <f t="shared" ca="1" si="25"/>
        <v>47.443582756820405</v>
      </c>
    </row>
    <row r="815" spans="4:4" x14ac:dyDescent="0.25">
      <c r="D815">
        <f t="shared" ca="1" si="25"/>
        <v>47.936569198350277</v>
      </c>
    </row>
    <row r="816" spans="4:4" x14ac:dyDescent="0.25">
      <c r="D816">
        <f t="shared" ca="1" si="25"/>
        <v>51.484522691358762</v>
      </c>
    </row>
    <row r="817" spans="4:4" x14ac:dyDescent="0.25">
      <c r="D817">
        <f t="shared" ca="1" si="25"/>
        <v>46.465884259603797</v>
      </c>
    </row>
    <row r="818" spans="4:4" x14ac:dyDescent="0.25">
      <c r="D818">
        <f t="shared" ca="1" si="25"/>
        <v>47.48810647266761</v>
      </c>
    </row>
    <row r="819" spans="4:4" x14ac:dyDescent="0.25">
      <c r="D819">
        <f t="shared" ca="1" si="25"/>
        <v>40.40041201528863</v>
      </c>
    </row>
    <row r="820" spans="4:4" x14ac:dyDescent="0.25">
      <c r="D820">
        <f t="shared" ca="1" si="25"/>
        <v>52.499768246897929</v>
      </c>
    </row>
    <row r="821" spans="4:4" x14ac:dyDescent="0.25">
      <c r="D821">
        <f t="shared" ca="1" si="25"/>
        <v>43.698133165600382</v>
      </c>
    </row>
    <row r="822" spans="4:4" x14ac:dyDescent="0.25">
      <c r="D822">
        <f t="shared" ca="1" si="25"/>
        <v>43.708679371975748</v>
      </c>
    </row>
    <row r="823" spans="4:4" x14ac:dyDescent="0.25">
      <c r="D823">
        <f t="shared" ca="1" si="25"/>
        <v>47.720009226156286</v>
      </c>
    </row>
    <row r="824" spans="4:4" x14ac:dyDescent="0.25">
      <c r="D824">
        <f t="shared" ca="1" si="25"/>
        <v>44.837696811752295</v>
      </c>
    </row>
    <row r="825" spans="4:4" x14ac:dyDescent="0.25">
      <c r="D825">
        <f t="shared" ca="1" si="25"/>
        <v>47.109384911155196</v>
      </c>
    </row>
    <row r="826" spans="4:4" x14ac:dyDescent="0.25">
      <c r="D826">
        <f t="shared" ca="1" si="25"/>
        <v>51.281853834698097</v>
      </c>
    </row>
    <row r="827" spans="4:4" x14ac:dyDescent="0.25">
      <c r="D827">
        <f t="shared" ca="1" si="25"/>
        <v>45.716704116282152</v>
      </c>
    </row>
    <row r="828" spans="4:4" x14ac:dyDescent="0.25">
      <c r="D828">
        <f t="shared" ca="1" si="25"/>
        <v>52.564460071990332</v>
      </c>
    </row>
    <row r="829" spans="4:4" x14ac:dyDescent="0.25">
      <c r="D829">
        <f t="shared" ca="1" si="25"/>
        <v>42.801316040308471</v>
      </c>
    </row>
    <row r="830" spans="4:4" x14ac:dyDescent="0.25">
      <c r="D830">
        <f t="shared" ca="1" si="25"/>
        <v>40.060846355283481</v>
      </c>
    </row>
    <row r="831" spans="4:4" x14ac:dyDescent="0.25">
      <c r="D831">
        <f t="shared" ca="1" si="25"/>
        <v>51.740179739683349</v>
      </c>
    </row>
    <row r="832" spans="4:4" x14ac:dyDescent="0.25">
      <c r="D832">
        <f t="shared" ca="1" si="25"/>
        <v>51.512903879023405</v>
      </c>
    </row>
    <row r="833" spans="4:4" x14ac:dyDescent="0.25">
      <c r="D833">
        <f t="shared" ca="1" si="25"/>
        <v>50.971827531054856</v>
      </c>
    </row>
    <row r="834" spans="4:4" x14ac:dyDescent="0.25">
      <c r="D834">
        <f t="shared" ca="1" si="25"/>
        <v>51.106221241195762</v>
      </c>
    </row>
    <row r="835" spans="4:4" x14ac:dyDescent="0.25">
      <c r="D835">
        <f t="shared" ref="D835:D898" ca="1" si="26">_xlfn.T.INV(RAND(),25)*$G$3+$F$3</f>
        <v>46.419771860115702</v>
      </c>
    </row>
    <row r="836" spans="4:4" x14ac:dyDescent="0.25">
      <c r="D836">
        <f t="shared" ca="1" si="26"/>
        <v>49.707101933940478</v>
      </c>
    </row>
    <row r="837" spans="4:4" x14ac:dyDescent="0.25">
      <c r="D837">
        <f t="shared" ca="1" si="26"/>
        <v>55.612372241816317</v>
      </c>
    </row>
    <row r="838" spans="4:4" x14ac:dyDescent="0.25">
      <c r="D838">
        <f t="shared" ca="1" si="26"/>
        <v>49.54826063877691</v>
      </c>
    </row>
    <row r="839" spans="4:4" x14ac:dyDescent="0.25">
      <c r="D839">
        <f t="shared" ca="1" si="26"/>
        <v>51.965753284340309</v>
      </c>
    </row>
    <row r="840" spans="4:4" x14ac:dyDescent="0.25">
      <c r="D840">
        <f t="shared" ca="1" si="26"/>
        <v>48.703007098109296</v>
      </c>
    </row>
    <row r="841" spans="4:4" x14ac:dyDescent="0.25">
      <c r="D841">
        <f t="shared" ca="1" si="26"/>
        <v>54.303552734061981</v>
      </c>
    </row>
    <row r="842" spans="4:4" x14ac:dyDescent="0.25">
      <c r="D842">
        <f t="shared" ca="1" si="26"/>
        <v>50.144995539198625</v>
      </c>
    </row>
    <row r="843" spans="4:4" x14ac:dyDescent="0.25">
      <c r="D843">
        <f t="shared" ca="1" si="26"/>
        <v>55.945934161873069</v>
      </c>
    </row>
    <row r="844" spans="4:4" x14ac:dyDescent="0.25">
      <c r="D844">
        <f t="shared" ca="1" si="26"/>
        <v>49.909810466295717</v>
      </c>
    </row>
    <row r="845" spans="4:4" x14ac:dyDescent="0.25">
      <c r="D845">
        <f t="shared" ca="1" si="26"/>
        <v>48.372477098454695</v>
      </c>
    </row>
    <row r="846" spans="4:4" x14ac:dyDescent="0.25">
      <c r="D846">
        <f t="shared" ca="1" si="26"/>
        <v>55.980794867880917</v>
      </c>
    </row>
    <row r="847" spans="4:4" x14ac:dyDescent="0.25">
      <c r="D847">
        <f t="shared" ca="1" si="26"/>
        <v>50.064019043316364</v>
      </c>
    </row>
    <row r="848" spans="4:4" x14ac:dyDescent="0.25">
      <c r="D848">
        <f t="shared" ca="1" si="26"/>
        <v>48.913617218160198</v>
      </c>
    </row>
    <row r="849" spans="4:4" x14ac:dyDescent="0.25">
      <c r="D849">
        <f t="shared" ca="1" si="26"/>
        <v>61.705944029467005</v>
      </c>
    </row>
    <row r="850" spans="4:4" x14ac:dyDescent="0.25">
      <c r="D850">
        <f t="shared" ca="1" si="26"/>
        <v>47.844634935851232</v>
      </c>
    </row>
    <row r="851" spans="4:4" x14ac:dyDescent="0.25">
      <c r="D851">
        <f t="shared" ca="1" si="26"/>
        <v>47.353599562336726</v>
      </c>
    </row>
    <row r="852" spans="4:4" x14ac:dyDescent="0.25">
      <c r="D852">
        <f t="shared" ca="1" si="26"/>
        <v>46.502207424809825</v>
      </c>
    </row>
    <row r="853" spans="4:4" x14ac:dyDescent="0.25">
      <c r="D853">
        <f t="shared" ca="1" si="26"/>
        <v>46.127801178060757</v>
      </c>
    </row>
    <row r="854" spans="4:4" x14ac:dyDescent="0.25">
      <c r="D854">
        <f t="shared" ca="1" si="26"/>
        <v>47.518979188973688</v>
      </c>
    </row>
    <row r="855" spans="4:4" x14ac:dyDescent="0.25">
      <c r="D855">
        <f t="shared" ca="1" si="26"/>
        <v>52.792554965893373</v>
      </c>
    </row>
    <row r="856" spans="4:4" x14ac:dyDescent="0.25">
      <c r="D856">
        <f t="shared" ca="1" si="26"/>
        <v>53.189801027180742</v>
      </c>
    </row>
    <row r="857" spans="4:4" x14ac:dyDescent="0.25">
      <c r="D857">
        <f t="shared" ca="1" si="26"/>
        <v>44.108385724853449</v>
      </c>
    </row>
    <row r="858" spans="4:4" x14ac:dyDescent="0.25">
      <c r="D858">
        <f t="shared" ca="1" si="26"/>
        <v>45.563847555910904</v>
      </c>
    </row>
    <row r="859" spans="4:4" x14ac:dyDescent="0.25">
      <c r="D859">
        <f t="shared" ca="1" si="26"/>
        <v>41.896565978792637</v>
      </c>
    </row>
    <row r="860" spans="4:4" x14ac:dyDescent="0.25">
      <c r="D860">
        <f t="shared" ca="1" si="26"/>
        <v>48.787231723715358</v>
      </c>
    </row>
    <row r="861" spans="4:4" x14ac:dyDescent="0.25">
      <c r="D861">
        <f t="shared" ca="1" si="26"/>
        <v>41.545763228625781</v>
      </c>
    </row>
    <row r="862" spans="4:4" x14ac:dyDescent="0.25">
      <c r="D862">
        <f t="shared" ca="1" si="26"/>
        <v>43.952219846241135</v>
      </c>
    </row>
    <row r="863" spans="4:4" x14ac:dyDescent="0.25">
      <c r="D863">
        <f t="shared" ca="1" si="26"/>
        <v>57.652360835025391</v>
      </c>
    </row>
    <row r="864" spans="4:4" x14ac:dyDescent="0.25">
      <c r="D864">
        <f t="shared" ca="1" si="26"/>
        <v>48.19585661854277</v>
      </c>
    </row>
    <row r="865" spans="4:4" x14ac:dyDescent="0.25">
      <c r="D865">
        <f t="shared" ca="1" si="26"/>
        <v>55.463776923768016</v>
      </c>
    </row>
    <row r="866" spans="4:4" x14ac:dyDescent="0.25">
      <c r="D866">
        <f t="shared" ca="1" si="26"/>
        <v>50.60241595082055</v>
      </c>
    </row>
    <row r="867" spans="4:4" x14ac:dyDescent="0.25">
      <c r="D867">
        <f t="shared" ca="1" si="26"/>
        <v>45.386039253844501</v>
      </c>
    </row>
    <row r="868" spans="4:4" x14ac:dyDescent="0.25">
      <c r="D868">
        <f t="shared" ca="1" si="26"/>
        <v>47.999729642497059</v>
      </c>
    </row>
    <row r="869" spans="4:4" x14ac:dyDescent="0.25">
      <c r="D869">
        <f t="shared" ca="1" si="26"/>
        <v>54.769800777955084</v>
      </c>
    </row>
    <row r="870" spans="4:4" x14ac:dyDescent="0.25">
      <c r="D870">
        <f t="shared" ca="1" si="26"/>
        <v>50.252983313549905</v>
      </c>
    </row>
    <row r="871" spans="4:4" x14ac:dyDescent="0.25">
      <c r="D871">
        <f t="shared" ca="1" si="26"/>
        <v>52.704121627506296</v>
      </c>
    </row>
    <row r="872" spans="4:4" x14ac:dyDescent="0.25">
      <c r="D872">
        <f t="shared" ca="1" si="26"/>
        <v>53.678827752273925</v>
      </c>
    </row>
    <row r="873" spans="4:4" x14ac:dyDescent="0.25">
      <c r="D873">
        <f t="shared" ca="1" si="26"/>
        <v>41.568397285276113</v>
      </c>
    </row>
    <row r="874" spans="4:4" x14ac:dyDescent="0.25">
      <c r="D874">
        <f t="shared" ca="1" si="26"/>
        <v>45.822463162351234</v>
      </c>
    </row>
    <row r="875" spans="4:4" x14ac:dyDescent="0.25">
      <c r="D875">
        <f t="shared" ca="1" si="26"/>
        <v>48.346860470117541</v>
      </c>
    </row>
    <row r="876" spans="4:4" x14ac:dyDescent="0.25">
      <c r="D876">
        <f t="shared" ca="1" si="26"/>
        <v>50.732360803299585</v>
      </c>
    </row>
    <row r="877" spans="4:4" x14ac:dyDescent="0.25">
      <c r="D877">
        <f t="shared" ca="1" si="26"/>
        <v>46.541058364290052</v>
      </c>
    </row>
    <row r="878" spans="4:4" x14ac:dyDescent="0.25">
      <c r="D878">
        <f t="shared" ca="1" si="26"/>
        <v>53.868440617514949</v>
      </c>
    </row>
    <row r="879" spans="4:4" x14ac:dyDescent="0.25">
      <c r="D879">
        <f t="shared" ca="1" si="26"/>
        <v>48.25199130842411</v>
      </c>
    </row>
    <row r="880" spans="4:4" x14ac:dyDescent="0.25">
      <c r="D880">
        <f t="shared" ca="1" si="26"/>
        <v>53.59144688210192</v>
      </c>
    </row>
    <row r="881" spans="4:4" x14ac:dyDescent="0.25">
      <c r="D881">
        <f t="shared" ca="1" si="26"/>
        <v>46.334783697060601</v>
      </c>
    </row>
    <row r="882" spans="4:4" x14ac:dyDescent="0.25">
      <c r="D882">
        <f t="shared" ca="1" si="26"/>
        <v>41.86526453060555</v>
      </c>
    </row>
    <row r="883" spans="4:4" x14ac:dyDescent="0.25">
      <c r="D883">
        <f t="shared" ca="1" si="26"/>
        <v>58.033813258851197</v>
      </c>
    </row>
    <row r="884" spans="4:4" x14ac:dyDescent="0.25">
      <c r="D884">
        <f t="shared" ca="1" si="26"/>
        <v>54.617600330836687</v>
      </c>
    </row>
    <row r="885" spans="4:4" x14ac:dyDescent="0.25">
      <c r="D885">
        <f t="shared" ca="1" si="26"/>
        <v>49.563066371183218</v>
      </c>
    </row>
    <row r="886" spans="4:4" x14ac:dyDescent="0.25">
      <c r="D886">
        <f t="shared" ca="1" si="26"/>
        <v>57.420346880994764</v>
      </c>
    </row>
    <row r="887" spans="4:4" x14ac:dyDescent="0.25">
      <c r="D887">
        <f t="shared" ca="1" si="26"/>
        <v>54.64625587108209</v>
      </c>
    </row>
    <row r="888" spans="4:4" x14ac:dyDescent="0.25">
      <c r="D888">
        <f t="shared" ca="1" si="26"/>
        <v>50.728055813692357</v>
      </c>
    </row>
    <row r="889" spans="4:4" x14ac:dyDescent="0.25">
      <c r="D889">
        <f t="shared" ca="1" si="26"/>
        <v>49.42702101800446</v>
      </c>
    </row>
    <row r="890" spans="4:4" x14ac:dyDescent="0.25">
      <c r="D890">
        <f t="shared" ca="1" si="26"/>
        <v>48.764629714420046</v>
      </c>
    </row>
    <row r="891" spans="4:4" x14ac:dyDescent="0.25">
      <c r="D891">
        <f t="shared" ca="1" si="26"/>
        <v>47.254931692989381</v>
      </c>
    </row>
    <row r="892" spans="4:4" x14ac:dyDescent="0.25">
      <c r="D892">
        <f t="shared" ca="1" si="26"/>
        <v>53.398925154268326</v>
      </c>
    </row>
    <row r="893" spans="4:4" x14ac:dyDescent="0.25">
      <c r="D893">
        <f t="shared" ca="1" si="26"/>
        <v>46.188159230630475</v>
      </c>
    </row>
    <row r="894" spans="4:4" x14ac:dyDescent="0.25">
      <c r="D894">
        <f t="shared" ca="1" si="26"/>
        <v>51.266010561846542</v>
      </c>
    </row>
    <row r="895" spans="4:4" x14ac:dyDescent="0.25">
      <c r="D895">
        <f t="shared" ca="1" si="26"/>
        <v>51.358190160829814</v>
      </c>
    </row>
    <row r="896" spans="4:4" x14ac:dyDescent="0.25">
      <c r="D896">
        <f t="shared" ca="1" si="26"/>
        <v>53.67390218035419</v>
      </c>
    </row>
    <row r="897" spans="4:4" x14ac:dyDescent="0.25">
      <c r="D897">
        <f t="shared" ca="1" si="26"/>
        <v>51.066662314904264</v>
      </c>
    </row>
    <row r="898" spans="4:4" x14ac:dyDescent="0.25">
      <c r="D898">
        <f t="shared" ca="1" si="26"/>
        <v>50.762103695444338</v>
      </c>
    </row>
    <row r="899" spans="4:4" x14ac:dyDescent="0.25">
      <c r="D899">
        <f t="shared" ref="D899:D962" ca="1" si="27">_xlfn.T.INV(RAND(),25)*$G$3+$F$3</f>
        <v>45.248719922449759</v>
      </c>
    </row>
    <row r="900" spans="4:4" x14ac:dyDescent="0.25">
      <c r="D900">
        <f t="shared" ca="1" si="27"/>
        <v>44.83949322146858</v>
      </c>
    </row>
    <row r="901" spans="4:4" x14ac:dyDescent="0.25">
      <c r="D901">
        <f t="shared" ca="1" si="27"/>
        <v>55.608745048837953</v>
      </c>
    </row>
    <row r="902" spans="4:4" x14ac:dyDescent="0.25">
      <c r="D902">
        <f t="shared" ca="1" si="27"/>
        <v>47.343058623033627</v>
      </c>
    </row>
    <row r="903" spans="4:4" x14ac:dyDescent="0.25">
      <c r="D903">
        <f t="shared" ca="1" si="27"/>
        <v>48.279125825373143</v>
      </c>
    </row>
    <row r="904" spans="4:4" x14ac:dyDescent="0.25">
      <c r="D904">
        <f t="shared" ca="1" si="27"/>
        <v>48.17280819909039</v>
      </c>
    </row>
    <row r="905" spans="4:4" x14ac:dyDescent="0.25">
      <c r="D905">
        <f t="shared" ca="1" si="27"/>
        <v>49.512766590470314</v>
      </c>
    </row>
    <row r="906" spans="4:4" x14ac:dyDescent="0.25">
      <c r="D906">
        <f t="shared" ca="1" si="27"/>
        <v>53.579465965633013</v>
      </c>
    </row>
    <row r="907" spans="4:4" x14ac:dyDescent="0.25">
      <c r="D907">
        <f t="shared" ca="1" si="27"/>
        <v>43.186831926416957</v>
      </c>
    </row>
    <row r="908" spans="4:4" x14ac:dyDescent="0.25">
      <c r="D908">
        <f t="shared" ca="1" si="27"/>
        <v>48.977208073420556</v>
      </c>
    </row>
    <row r="909" spans="4:4" x14ac:dyDescent="0.25">
      <c r="D909">
        <f t="shared" ca="1" si="27"/>
        <v>52.215310041384143</v>
      </c>
    </row>
    <row r="910" spans="4:4" x14ac:dyDescent="0.25">
      <c r="D910">
        <f t="shared" ca="1" si="27"/>
        <v>45.096802822016855</v>
      </c>
    </row>
    <row r="911" spans="4:4" x14ac:dyDescent="0.25">
      <c r="D911">
        <f t="shared" ca="1" si="27"/>
        <v>45.318282217427999</v>
      </c>
    </row>
    <row r="912" spans="4:4" x14ac:dyDescent="0.25">
      <c r="D912">
        <f t="shared" ca="1" si="27"/>
        <v>50.669324647424737</v>
      </c>
    </row>
    <row r="913" spans="4:4" x14ac:dyDescent="0.25">
      <c r="D913">
        <f t="shared" ca="1" si="27"/>
        <v>52.743310207304127</v>
      </c>
    </row>
    <row r="914" spans="4:4" x14ac:dyDescent="0.25">
      <c r="D914">
        <f t="shared" ca="1" si="27"/>
        <v>43.102801674578565</v>
      </c>
    </row>
    <row r="915" spans="4:4" x14ac:dyDescent="0.25">
      <c r="D915">
        <f t="shared" ca="1" si="27"/>
        <v>47.121678522865942</v>
      </c>
    </row>
    <row r="916" spans="4:4" x14ac:dyDescent="0.25">
      <c r="D916">
        <f t="shared" ca="1" si="27"/>
        <v>49.567841631929866</v>
      </c>
    </row>
    <row r="917" spans="4:4" x14ac:dyDescent="0.25">
      <c r="D917">
        <f t="shared" ca="1" si="27"/>
        <v>40.884951129481024</v>
      </c>
    </row>
    <row r="918" spans="4:4" x14ac:dyDescent="0.25">
      <c r="D918">
        <f t="shared" ca="1" si="27"/>
        <v>65.139281093740067</v>
      </c>
    </row>
    <row r="919" spans="4:4" x14ac:dyDescent="0.25">
      <c r="D919">
        <f t="shared" ca="1" si="27"/>
        <v>54.36805356412372</v>
      </c>
    </row>
    <row r="920" spans="4:4" x14ac:dyDescent="0.25">
      <c r="D920">
        <f t="shared" ca="1" si="27"/>
        <v>48.301516430388361</v>
      </c>
    </row>
    <row r="921" spans="4:4" x14ac:dyDescent="0.25">
      <c r="D921">
        <f t="shared" ca="1" si="27"/>
        <v>56.596980370791989</v>
      </c>
    </row>
    <row r="922" spans="4:4" x14ac:dyDescent="0.25">
      <c r="D922">
        <f t="shared" ca="1" si="27"/>
        <v>59.019223420988212</v>
      </c>
    </row>
    <row r="923" spans="4:4" x14ac:dyDescent="0.25">
      <c r="D923">
        <f t="shared" ca="1" si="27"/>
        <v>52.477925964401251</v>
      </c>
    </row>
    <row r="924" spans="4:4" x14ac:dyDescent="0.25">
      <c r="D924">
        <f t="shared" ca="1" si="27"/>
        <v>50.916370771190209</v>
      </c>
    </row>
    <row r="925" spans="4:4" x14ac:dyDescent="0.25">
      <c r="D925">
        <f t="shared" ca="1" si="27"/>
        <v>55.54588169605077</v>
      </c>
    </row>
    <row r="926" spans="4:4" x14ac:dyDescent="0.25">
      <c r="D926">
        <f t="shared" ca="1" si="27"/>
        <v>49.571447826091983</v>
      </c>
    </row>
    <row r="927" spans="4:4" x14ac:dyDescent="0.25">
      <c r="D927">
        <f t="shared" ca="1" si="27"/>
        <v>49.580742708439914</v>
      </c>
    </row>
    <row r="928" spans="4:4" x14ac:dyDescent="0.25">
      <c r="D928">
        <f t="shared" ca="1" si="27"/>
        <v>52.930336601737707</v>
      </c>
    </row>
    <row r="929" spans="4:4" x14ac:dyDescent="0.25">
      <c r="D929">
        <f t="shared" ca="1" si="27"/>
        <v>52.529672081007128</v>
      </c>
    </row>
    <row r="930" spans="4:4" x14ac:dyDescent="0.25">
      <c r="D930">
        <f t="shared" ca="1" si="27"/>
        <v>46.144682460983006</v>
      </c>
    </row>
    <row r="931" spans="4:4" x14ac:dyDescent="0.25">
      <c r="D931">
        <f t="shared" ca="1" si="27"/>
        <v>51.677611289169839</v>
      </c>
    </row>
    <row r="932" spans="4:4" x14ac:dyDescent="0.25">
      <c r="D932">
        <f t="shared" ca="1" si="27"/>
        <v>54.517701594061975</v>
      </c>
    </row>
    <row r="933" spans="4:4" x14ac:dyDescent="0.25">
      <c r="D933">
        <f t="shared" ca="1" si="27"/>
        <v>50.455000563111042</v>
      </c>
    </row>
    <row r="934" spans="4:4" x14ac:dyDescent="0.25">
      <c r="D934">
        <f t="shared" ca="1" si="27"/>
        <v>52.718197592320209</v>
      </c>
    </row>
    <row r="935" spans="4:4" x14ac:dyDescent="0.25">
      <c r="D935">
        <f t="shared" ca="1" si="27"/>
        <v>44.937124106061326</v>
      </c>
    </row>
    <row r="936" spans="4:4" x14ac:dyDescent="0.25">
      <c r="D936">
        <f t="shared" ca="1" si="27"/>
        <v>50.079024323946705</v>
      </c>
    </row>
    <row r="937" spans="4:4" x14ac:dyDescent="0.25">
      <c r="D937">
        <f t="shared" ca="1" si="27"/>
        <v>52.862636916559943</v>
      </c>
    </row>
    <row r="938" spans="4:4" x14ac:dyDescent="0.25">
      <c r="D938">
        <f t="shared" ca="1" si="27"/>
        <v>49.03537784143856</v>
      </c>
    </row>
    <row r="939" spans="4:4" x14ac:dyDescent="0.25">
      <c r="D939">
        <f t="shared" ca="1" si="27"/>
        <v>50.558046768399223</v>
      </c>
    </row>
    <row r="940" spans="4:4" x14ac:dyDescent="0.25">
      <c r="D940">
        <f t="shared" ca="1" si="27"/>
        <v>53.990603923565722</v>
      </c>
    </row>
    <row r="941" spans="4:4" x14ac:dyDescent="0.25">
      <c r="D941">
        <f t="shared" ca="1" si="27"/>
        <v>45.616010473366408</v>
      </c>
    </row>
    <row r="942" spans="4:4" x14ac:dyDescent="0.25">
      <c r="D942">
        <f t="shared" ca="1" si="27"/>
        <v>43.826013696462226</v>
      </c>
    </row>
    <row r="943" spans="4:4" x14ac:dyDescent="0.25">
      <c r="D943">
        <f t="shared" ca="1" si="27"/>
        <v>55.423392855184616</v>
      </c>
    </row>
    <row r="944" spans="4:4" x14ac:dyDescent="0.25">
      <c r="D944">
        <f t="shared" ca="1" si="27"/>
        <v>53.540814286547452</v>
      </c>
    </row>
    <row r="945" spans="4:4" x14ac:dyDescent="0.25">
      <c r="D945">
        <f t="shared" ca="1" si="27"/>
        <v>49.214184757901606</v>
      </c>
    </row>
    <row r="946" spans="4:4" x14ac:dyDescent="0.25">
      <c r="D946">
        <f t="shared" ca="1" si="27"/>
        <v>49.600294328319734</v>
      </c>
    </row>
    <row r="947" spans="4:4" x14ac:dyDescent="0.25">
      <c r="D947">
        <f t="shared" ca="1" si="27"/>
        <v>49.023885259915545</v>
      </c>
    </row>
    <row r="948" spans="4:4" x14ac:dyDescent="0.25">
      <c r="D948">
        <f t="shared" ca="1" si="27"/>
        <v>55.254886506204087</v>
      </c>
    </row>
    <row r="949" spans="4:4" x14ac:dyDescent="0.25">
      <c r="D949">
        <f t="shared" ca="1" si="27"/>
        <v>43.944994059368227</v>
      </c>
    </row>
    <row r="950" spans="4:4" x14ac:dyDescent="0.25">
      <c r="D950">
        <f t="shared" ca="1" si="27"/>
        <v>47.806619965071732</v>
      </c>
    </row>
    <row r="951" spans="4:4" x14ac:dyDescent="0.25">
      <c r="D951">
        <f t="shared" ca="1" si="27"/>
        <v>46.540209879545145</v>
      </c>
    </row>
    <row r="952" spans="4:4" x14ac:dyDescent="0.25">
      <c r="D952">
        <f t="shared" ca="1" si="27"/>
        <v>49.885401541507157</v>
      </c>
    </row>
    <row r="953" spans="4:4" x14ac:dyDescent="0.25">
      <c r="D953">
        <f t="shared" ca="1" si="27"/>
        <v>49.560867416882239</v>
      </c>
    </row>
    <row r="954" spans="4:4" x14ac:dyDescent="0.25">
      <c r="D954">
        <f t="shared" ca="1" si="27"/>
        <v>51.499472238594841</v>
      </c>
    </row>
    <row r="955" spans="4:4" x14ac:dyDescent="0.25">
      <c r="D955">
        <f t="shared" ca="1" si="27"/>
        <v>43.774197251670259</v>
      </c>
    </row>
    <row r="956" spans="4:4" x14ac:dyDescent="0.25">
      <c r="D956">
        <f t="shared" ca="1" si="27"/>
        <v>50.9911460577936</v>
      </c>
    </row>
    <row r="957" spans="4:4" x14ac:dyDescent="0.25">
      <c r="D957">
        <f t="shared" ca="1" si="27"/>
        <v>56.755588186136968</v>
      </c>
    </row>
    <row r="958" spans="4:4" x14ac:dyDescent="0.25">
      <c r="D958">
        <f t="shared" ca="1" si="27"/>
        <v>49.367586798269599</v>
      </c>
    </row>
    <row r="959" spans="4:4" x14ac:dyDescent="0.25">
      <c r="D959">
        <f t="shared" ca="1" si="27"/>
        <v>47.451592570068634</v>
      </c>
    </row>
    <row r="960" spans="4:4" x14ac:dyDescent="0.25">
      <c r="D960">
        <f t="shared" ca="1" si="27"/>
        <v>41.362928652887376</v>
      </c>
    </row>
    <row r="961" spans="4:4" x14ac:dyDescent="0.25">
      <c r="D961">
        <f t="shared" ca="1" si="27"/>
        <v>57.469603954759634</v>
      </c>
    </row>
    <row r="962" spans="4:4" x14ac:dyDescent="0.25">
      <c r="D962">
        <f t="shared" ca="1" si="27"/>
        <v>44.014313656419439</v>
      </c>
    </row>
    <row r="963" spans="4:4" x14ac:dyDescent="0.25">
      <c r="D963">
        <f t="shared" ref="D963:D1026" ca="1" si="28">_xlfn.T.INV(RAND(),25)*$G$3+$F$3</f>
        <v>53.67670175506214</v>
      </c>
    </row>
    <row r="964" spans="4:4" x14ac:dyDescent="0.25">
      <c r="D964">
        <f t="shared" ca="1" si="28"/>
        <v>46.380435039276037</v>
      </c>
    </row>
    <row r="965" spans="4:4" x14ac:dyDescent="0.25">
      <c r="D965">
        <f t="shared" ca="1" si="28"/>
        <v>50.446278903665757</v>
      </c>
    </row>
    <row r="966" spans="4:4" x14ac:dyDescent="0.25">
      <c r="D966">
        <f t="shared" ca="1" si="28"/>
        <v>41.438731881013489</v>
      </c>
    </row>
    <row r="967" spans="4:4" x14ac:dyDescent="0.25">
      <c r="D967">
        <f t="shared" ca="1" si="28"/>
        <v>55.390606565760912</v>
      </c>
    </row>
    <row r="968" spans="4:4" x14ac:dyDescent="0.25">
      <c r="D968">
        <f t="shared" ca="1" si="28"/>
        <v>45.024094041468629</v>
      </c>
    </row>
    <row r="969" spans="4:4" x14ac:dyDescent="0.25">
      <c r="D969">
        <f t="shared" ca="1" si="28"/>
        <v>47.43892651678955</v>
      </c>
    </row>
    <row r="970" spans="4:4" x14ac:dyDescent="0.25">
      <c r="D970">
        <f t="shared" ca="1" si="28"/>
        <v>51.72340089473466</v>
      </c>
    </row>
    <row r="971" spans="4:4" x14ac:dyDescent="0.25">
      <c r="D971">
        <f t="shared" ca="1" si="28"/>
        <v>46.045434093773693</v>
      </c>
    </row>
    <row r="972" spans="4:4" x14ac:dyDescent="0.25">
      <c r="D972">
        <f t="shared" ca="1" si="28"/>
        <v>57.374842304986011</v>
      </c>
    </row>
    <row r="973" spans="4:4" x14ac:dyDescent="0.25">
      <c r="D973">
        <f t="shared" ca="1" si="28"/>
        <v>47.544716042732233</v>
      </c>
    </row>
    <row r="974" spans="4:4" x14ac:dyDescent="0.25">
      <c r="D974">
        <f t="shared" ca="1" si="28"/>
        <v>57.006122400727001</v>
      </c>
    </row>
    <row r="975" spans="4:4" x14ac:dyDescent="0.25">
      <c r="D975">
        <f t="shared" ca="1" si="28"/>
        <v>50.843553981144872</v>
      </c>
    </row>
    <row r="976" spans="4:4" x14ac:dyDescent="0.25">
      <c r="D976">
        <f t="shared" ca="1" si="28"/>
        <v>51.188309581388964</v>
      </c>
    </row>
    <row r="977" spans="4:4" x14ac:dyDescent="0.25">
      <c r="D977">
        <f t="shared" ca="1" si="28"/>
        <v>48.64718312311372</v>
      </c>
    </row>
    <row r="978" spans="4:4" x14ac:dyDescent="0.25">
      <c r="D978">
        <f t="shared" ca="1" si="28"/>
        <v>55.501047168135415</v>
      </c>
    </row>
    <row r="979" spans="4:4" x14ac:dyDescent="0.25">
      <c r="D979">
        <f t="shared" ca="1" si="28"/>
        <v>54.335656167703917</v>
      </c>
    </row>
    <row r="980" spans="4:4" x14ac:dyDescent="0.25">
      <c r="D980">
        <f t="shared" ca="1" si="28"/>
        <v>52.466998512258918</v>
      </c>
    </row>
    <row r="981" spans="4:4" x14ac:dyDescent="0.25">
      <c r="D981">
        <f t="shared" ca="1" si="28"/>
        <v>48.486278688235757</v>
      </c>
    </row>
    <row r="982" spans="4:4" x14ac:dyDescent="0.25">
      <c r="D982">
        <f t="shared" ca="1" si="28"/>
        <v>48.423152408000519</v>
      </c>
    </row>
    <row r="983" spans="4:4" x14ac:dyDescent="0.25">
      <c r="D983">
        <f t="shared" ca="1" si="28"/>
        <v>47.996094155801522</v>
      </c>
    </row>
    <row r="984" spans="4:4" x14ac:dyDescent="0.25">
      <c r="D984">
        <f t="shared" ca="1" si="28"/>
        <v>55.397219194362286</v>
      </c>
    </row>
    <row r="985" spans="4:4" x14ac:dyDescent="0.25">
      <c r="D985">
        <f t="shared" ca="1" si="28"/>
        <v>55.476335549622583</v>
      </c>
    </row>
    <row r="986" spans="4:4" x14ac:dyDescent="0.25">
      <c r="D986">
        <f t="shared" ca="1" si="28"/>
        <v>49.311676151182986</v>
      </c>
    </row>
    <row r="987" spans="4:4" x14ac:dyDescent="0.25">
      <c r="D987">
        <f t="shared" ca="1" si="28"/>
        <v>50.461706296345305</v>
      </c>
    </row>
    <row r="988" spans="4:4" x14ac:dyDescent="0.25">
      <c r="D988">
        <f t="shared" ca="1" si="28"/>
        <v>48.371645347894813</v>
      </c>
    </row>
    <row r="989" spans="4:4" x14ac:dyDescent="0.25">
      <c r="D989">
        <f t="shared" ca="1" si="28"/>
        <v>54.217393330600473</v>
      </c>
    </row>
    <row r="990" spans="4:4" x14ac:dyDescent="0.25">
      <c r="D990">
        <f t="shared" ca="1" si="28"/>
        <v>49.064547388359486</v>
      </c>
    </row>
    <row r="991" spans="4:4" x14ac:dyDescent="0.25">
      <c r="D991">
        <f t="shared" ca="1" si="28"/>
        <v>51.619265327944348</v>
      </c>
    </row>
    <row r="992" spans="4:4" x14ac:dyDescent="0.25">
      <c r="D992">
        <f t="shared" ca="1" si="28"/>
        <v>51.312432172038896</v>
      </c>
    </row>
    <row r="993" spans="4:4" x14ac:dyDescent="0.25">
      <c r="D993">
        <f t="shared" ca="1" si="28"/>
        <v>48.077504110438007</v>
      </c>
    </row>
    <row r="994" spans="4:4" x14ac:dyDescent="0.25">
      <c r="D994">
        <f t="shared" ca="1" si="28"/>
        <v>52.036307754821777</v>
      </c>
    </row>
    <row r="995" spans="4:4" x14ac:dyDescent="0.25">
      <c r="D995">
        <f t="shared" ca="1" si="28"/>
        <v>54.240137223028704</v>
      </c>
    </row>
    <row r="996" spans="4:4" x14ac:dyDescent="0.25">
      <c r="D996">
        <f t="shared" ca="1" si="28"/>
        <v>42.922775997160073</v>
      </c>
    </row>
    <row r="997" spans="4:4" x14ac:dyDescent="0.25">
      <c r="D997">
        <f t="shared" ca="1" si="28"/>
        <v>49.468611992760067</v>
      </c>
    </row>
    <row r="998" spans="4:4" x14ac:dyDescent="0.25">
      <c r="D998">
        <f t="shared" ca="1" si="28"/>
        <v>53.32737490589367</v>
      </c>
    </row>
    <row r="999" spans="4:4" x14ac:dyDescent="0.25">
      <c r="D999">
        <f t="shared" ca="1" si="28"/>
        <v>52.051517087689035</v>
      </c>
    </row>
    <row r="1000" spans="4:4" x14ac:dyDescent="0.25">
      <c r="D1000">
        <f t="shared" ca="1" si="28"/>
        <v>48.189839414384807</v>
      </c>
    </row>
    <row r="1001" spans="4:4" x14ac:dyDescent="0.25">
      <c r="D1001">
        <f t="shared" ca="1" si="28"/>
        <v>48.821713775738388</v>
      </c>
    </row>
    <row r="1002" spans="4:4" x14ac:dyDescent="0.25">
      <c r="D1002">
        <f t="shared" ca="1" si="28"/>
        <v>40.750073285338118</v>
      </c>
    </row>
    <row r="1003" spans="4:4" x14ac:dyDescent="0.25">
      <c r="D1003">
        <f t="shared" ca="1" si="28"/>
        <v>44.98377579048659</v>
      </c>
    </row>
    <row r="1004" spans="4:4" x14ac:dyDescent="0.25">
      <c r="D1004">
        <f t="shared" ca="1" si="28"/>
        <v>45.256627546413775</v>
      </c>
    </row>
    <row r="1005" spans="4:4" x14ac:dyDescent="0.25">
      <c r="D1005">
        <f t="shared" ca="1" si="28"/>
        <v>52.285888688965763</v>
      </c>
    </row>
    <row r="1006" spans="4:4" x14ac:dyDescent="0.25">
      <c r="D1006">
        <f t="shared" ca="1" si="28"/>
        <v>57.066136247769357</v>
      </c>
    </row>
    <row r="1007" spans="4:4" x14ac:dyDescent="0.25">
      <c r="D1007">
        <f t="shared" ca="1" si="28"/>
        <v>48.59317919996041</v>
      </c>
    </row>
    <row r="1008" spans="4:4" x14ac:dyDescent="0.25">
      <c r="D1008">
        <f t="shared" ca="1" si="28"/>
        <v>57.967544499643324</v>
      </c>
    </row>
    <row r="1009" spans="4:4" x14ac:dyDescent="0.25">
      <c r="D1009">
        <f t="shared" ca="1" si="28"/>
        <v>44.891231470277233</v>
      </c>
    </row>
    <row r="1010" spans="4:4" x14ac:dyDescent="0.25">
      <c r="D1010">
        <f t="shared" ca="1" si="28"/>
        <v>45.803653799639129</v>
      </c>
    </row>
    <row r="1011" spans="4:4" x14ac:dyDescent="0.25">
      <c r="D1011">
        <f t="shared" ca="1" si="28"/>
        <v>49.483979853773207</v>
      </c>
    </row>
    <row r="1012" spans="4:4" x14ac:dyDescent="0.25">
      <c r="D1012">
        <f t="shared" ca="1" si="28"/>
        <v>54.86785454038683</v>
      </c>
    </row>
    <row r="1013" spans="4:4" x14ac:dyDescent="0.25">
      <c r="D1013">
        <f t="shared" ca="1" si="28"/>
        <v>52.680408339313601</v>
      </c>
    </row>
    <row r="1014" spans="4:4" x14ac:dyDescent="0.25">
      <c r="D1014">
        <f t="shared" ca="1" si="28"/>
        <v>46.545722714859721</v>
      </c>
    </row>
    <row r="1015" spans="4:4" x14ac:dyDescent="0.25">
      <c r="D1015">
        <f t="shared" ca="1" si="28"/>
        <v>39.55770059753408</v>
      </c>
    </row>
    <row r="1016" spans="4:4" x14ac:dyDescent="0.25">
      <c r="D1016">
        <f t="shared" ca="1" si="28"/>
        <v>44.126233584547457</v>
      </c>
    </row>
    <row r="1017" spans="4:4" x14ac:dyDescent="0.25">
      <c r="D1017">
        <f t="shared" ca="1" si="28"/>
        <v>50.196310865537463</v>
      </c>
    </row>
    <row r="1018" spans="4:4" x14ac:dyDescent="0.25">
      <c r="D1018">
        <f t="shared" ca="1" si="28"/>
        <v>52.294675885164558</v>
      </c>
    </row>
    <row r="1019" spans="4:4" x14ac:dyDescent="0.25">
      <c r="D1019">
        <f t="shared" ca="1" si="28"/>
        <v>43.89061804412912</v>
      </c>
    </row>
    <row r="1020" spans="4:4" x14ac:dyDescent="0.25">
      <c r="D1020">
        <f t="shared" ca="1" si="28"/>
        <v>53.940486194221101</v>
      </c>
    </row>
    <row r="1021" spans="4:4" x14ac:dyDescent="0.25">
      <c r="D1021">
        <f t="shared" ca="1" si="28"/>
        <v>47.394472133888783</v>
      </c>
    </row>
    <row r="1022" spans="4:4" x14ac:dyDescent="0.25">
      <c r="D1022">
        <f t="shared" ca="1" si="28"/>
        <v>40.927586871516638</v>
      </c>
    </row>
    <row r="1023" spans="4:4" x14ac:dyDescent="0.25">
      <c r="D1023">
        <f t="shared" ca="1" si="28"/>
        <v>51.182250107489054</v>
      </c>
    </row>
    <row r="1024" spans="4:4" x14ac:dyDescent="0.25">
      <c r="D1024">
        <f t="shared" ca="1" si="28"/>
        <v>56.338462898685265</v>
      </c>
    </row>
    <row r="1025" spans="4:4" x14ac:dyDescent="0.25">
      <c r="D1025">
        <f t="shared" ca="1" si="28"/>
        <v>49.935437809434781</v>
      </c>
    </row>
    <row r="1026" spans="4:4" x14ac:dyDescent="0.25">
      <c r="D1026">
        <f t="shared" ca="1" si="28"/>
        <v>45.889284037236415</v>
      </c>
    </row>
    <row r="1027" spans="4:4" x14ac:dyDescent="0.25">
      <c r="D1027">
        <f t="shared" ref="D1027:D1090" ca="1" si="29">_xlfn.T.INV(RAND(),25)*$G$3+$F$3</f>
        <v>50.78596771956493</v>
      </c>
    </row>
    <row r="1028" spans="4:4" x14ac:dyDescent="0.25">
      <c r="D1028">
        <f t="shared" ca="1" si="29"/>
        <v>41.134295111545448</v>
      </c>
    </row>
    <row r="1029" spans="4:4" x14ac:dyDescent="0.25">
      <c r="D1029">
        <f t="shared" ca="1" si="29"/>
        <v>49.684419186105778</v>
      </c>
    </row>
    <row r="1030" spans="4:4" x14ac:dyDescent="0.25">
      <c r="D1030">
        <f t="shared" ca="1" si="29"/>
        <v>45.653330221046929</v>
      </c>
    </row>
    <row r="1031" spans="4:4" x14ac:dyDescent="0.25">
      <c r="D1031">
        <f t="shared" ca="1" si="29"/>
        <v>64.218704856718972</v>
      </c>
    </row>
    <row r="1032" spans="4:4" x14ac:dyDescent="0.25">
      <c r="D1032">
        <f t="shared" ca="1" si="29"/>
        <v>57.347594782492614</v>
      </c>
    </row>
    <row r="1033" spans="4:4" x14ac:dyDescent="0.25">
      <c r="D1033">
        <f t="shared" ca="1" si="29"/>
        <v>48.68842632562977</v>
      </c>
    </row>
    <row r="1034" spans="4:4" x14ac:dyDescent="0.25">
      <c r="D1034">
        <f t="shared" ca="1" si="29"/>
        <v>46.434331076051492</v>
      </c>
    </row>
    <row r="1035" spans="4:4" x14ac:dyDescent="0.25">
      <c r="D1035">
        <f t="shared" ca="1" si="29"/>
        <v>55.727693081118993</v>
      </c>
    </row>
    <row r="1036" spans="4:4" x14ac:dyDescent="0.25">
      <c r="D1036">
        <f t="shared" ca="1" si="29"/>
        <v>53.878588150735951</v>
      </c>
    </row>
    <row r="1037" spans="4:4" x14ac:dyDescent="0.25">
      <c r="D1037">
        <f t="shared" ca="1" si="29"/>
        <v>37.271799093405242</v>
      </c>
    </row>
    <row r="1038" spans="4:4" x14ac:dyDescent="0.25">
      <c r="D1038">
        <f t="shared" ca="1" si="29"/>
        <v>51.431146588329256</v>
      </c>
    </row>
    <row r="1039" spans="4:4" x14ac:dyDescent="0.25">
      <c r="D1039">
        <f t="shared" ca="1" si="29"/>
        <v>49.088885361337823</v>
      </c>
    </row>
    <row r="1040" spans="4:4" x14ac:dyDescent="0.25">
      <c r="D1040">
        <f t="shared" ca="1" si="29"/>
        <v>44.195805161658008</v>
      </c>
    </row>
    <row r="1041" spans="4:4" x14ac:dyDescent="0.25">
      <c r="D1041">
        <f t="shared" ca="1" si="29"/>
        <v>45.16038778551026</v>
      </c>
    </row>
    <row r="1042" spans="4:4" x14ac:dyDescent="0.25">
      <c r="D1042">
        <f t="shared" ca="1" si="29"/>
        <v>54.612933160954391</v>
      </c>
    </row>
    <row r="1043" spans="4:4" x14ac:dyDescent="0.25">
      <c r="D1043">
        <f t="shared" ca="1" si="29"/>
        <v>52.114239340727458</v>
      </c>
    </row>
    <row r="1044" spans="4:4" x14ac:dyDescent="0.25">
      <c r="D1044">
        <f t="shared" ca="1" si="29"/>
        <v>46.465147505168012</v>
      </c>
    </row>
    <row r="1045" spans="4:4" x14ac:dyDescent="0.25">
      <c r="D1045">
        <f t="shared" ca="1" si="29"/>
        <v>48.974839780476231</v>
      </c>
    </row>
    <row r="1046" spans="4:4" x14ac:dyDescent="0.25">
      <c r="D1046">
        <f t="shared" ca="1" si="29"/>
        <v>44.524318699653243</v>
      </c>
    </row>
    <row r="1047" spans="4:4" x14ac:dyDescent="0.25">
      <c r="D1047">
        <f t="shared" ca="1" si="29"/>
        <v>52.726256008591633</v>
      </c>
    </row>
    <row r="1048" spans="4:4" x14ac:dyDescent="0.25">
      <c r="D1048">
        <f t="shared" ca="1" si="29"/>
        <v>49.084062766516496</v>
      </c>
    </row>
    <row r="1049" spans="4:4" x14ac:dyDescent="0.25">
      <c r="D1049">
        <f t="shared" ca="1" si="29"/>
        <v>51.344223545429692</v>
      </c>
    </row>
    <row r="1050" spans="4:4" x14ac:dyDescent="0.25">
      <c r="D1050">
        <f t="shared" ca="1" si="29"/>
        <v>39.535666728166206</v>
      </c>
    </row>
    <row r="1051" spans="4:4" x14ac:dyDescent="0.25">
      <c r="D1051">
        <f t="shared" ca="1" si="29"/>
        <v>42.564357774583392</v>
      </c>
    </row>
    <row r="1052" spans="4:4" x14ac:dyDescent="0.25">
      <c r="D1052">
        <f t="shared" ca="1" si="29"/>
        <v>49.926386802375625</v>
      </c>
    </row>
    <row r="1053" spans="4:4" x14ac:dyDescent="0.25">
      <c r="D1053">
        <f t="shared" ca="1" si="29"/>
        <v>47.607760906076784</v>
      </c>
    </row>
    <row r="1054" spans="4:4" x14ac:dyDescent="0.25">
      <c r="D1054">
        <f t="shared" ca="1" si="29"/>
        <v>47.493088052236828</v>
      </c>
    </row>
    <row r="1055" spans="4:4" x14ac:dyDescent="0.25">
      <c r="D1055">
        <f t="shared" ca="1" si="29"/>
        <v>60.504962206774806</v>
      </c>
    </row>
    <row r="1056" spans="4:4" x14ac:dyDescent="0.25">
      <c r="D1056">
        <f t="shared" ca="1" si="29"/>
        <v>47.105112819656966</v>
      </c>
    </row>
    <row r="1057" spans="4:4" x14ac:dyDescent="0.25">
      <c r="D1057">
        <f t="shared" ca="1" si="29"/>
        <v>53.233902393800207</v>
      </c>
    </row>
    <row r="1058" spans="4:4" x14ac:dyDescent="0.25">
      <c r="D1058">
        <f t="shared" ca="1" si="29"/>
        <v>40.118953804694428</v>
      </c>
    </row>
    <row r="1059" spans="4:4" x14ac:dyDescent="0.25">
      <c r="D1059">
        <f t="shared" ca="1" si="29"/>
        <v>49.67314236518822</v>
      </c>
    </row>
    <row r="1060" spans="4:4" x14ac:dyDescent="0.25">
      <c r="D1060">
        <f t="shared" ca="1" si="29"/>
        <v>42.949984413450615</v>
      </c>
    </row>
    <row r="1061" spans="4:4" x14ac:dyDescent="0.25">
      <c r="D1061">
        <f t="shared" ca="1" si="29"/>
        <v>53.211890624565058</v>
      </c>
    </row>
    <row r="1062" spans="4:4" x14ac:dyDescent="0.25">
      <c r="D1062">
        <f t="shared" ca="1" si="29"/>
        <v>36.240450121260679</v>
      </c>
    </row>
    <row r="1063" spans="4:4" x14ac:dyDescent="0.25">
      <c r="D1063">
        <f t="shared" ca="1" si="29"/>
        <v>52.194921433572098</v>
      </c>
    </row>
    <row r="1064" spans="4:4" x14ac:dyDescent="0.25">
      <c r="D1064">
        <f t="shared" ca="1" si="29"/>
        <v>45.194875066433561</v>
      </c>
    </row>
    <row r="1065" spans="4:4" x14ac:dyDescent="0.25">
      <c r="D1065">
        <f t="shared" ca="1" si="29"/>
        <v>46.142713814924988</v>
      </c>
    </row>
    <row r="1066" spans="4:4" x14ac:dyDescent="0.25">
      <c r="D1066">
        <f t="shared" ca="1" si="29"/>
        <v>43.492833236591579</v>
      </c>
    </row>
    <row r="1067" spans="4:4" x14ac:dyDescent="0.25">
      <c r="D1067">
        <f t="shared" ca="1" si="29"/>
        <v>46.329394991650773</v>
      </c>
    </row>
    <row r="1068" spans="4:4" x14ac:dyDescent="0.25">
      <c r="D1068">
        <f t="shared" ca="1" si="29"/>
        <v>53.120625546047386</v>
      </c>
    </row>
    <row r="1069" spans="4:4" x14ac:dyDescent="0.25">
      <c r="D1069">
        <f t="shared" ca="1" si="29"/>
        <v>52.457984503412455</v>
      </c>
    </row>
    <row r="1070" spans="4:4" x14ac:dyDescent="0.25">
      <c r="D1070">
        <f t="shared" ca="1" si="29"/>
        <v>47.196245483913344</v>
      </c>
    </row>
    <row r="1071" spans="4:4" x14ac:dyDescent="0.25">
      <c r="D1071">
        <f t="shared" ca="1" si="29"/>
        <v>40.416477943036732</v>
      </c>
    </row>
    <row r="1072" spans="4:4" x14ac:dyDescent="0.25">
      <c r="D1072">
        <f t="shared" ca="1" si="29"/>
        <v>59.671093253736117</v>
      </c>
    </row>
    <row r="1073" spans="4:4" x14ac:dyDescent="0.25">
      <c r="D1073">
        <f t="shared" ca="1" si="29"/>
        <v>45.878723993188132</v>
      </c>
    </row>
    <row r="1074" spans="4:4" x14ac:dyDescent="0.25">
      <c r="D1074">
        <f t="shared" ca="1" si="29"/>
        <v>52.425626696369527</v>
      </c>
    </row>
    <row r="1075" spans="4:4" x14ac:dyDescent="0.25">
      <c r="D1075">
        <f t="shared" ca="1" si="29"/>
        <v>48.534066565828844</v>
      </c>
    </row>
    <row r="1076" spans="4:4" x14ac:dyDescent="0.25">
      <c r="D1076">
        <f t="shared" ca="1" si="29"/>
        <v>47.385741093574943</v>
      </c>
    </row>
    <row r="1077" spans="4:4" x14ac:dyDescent="0.25">
      <c r="D1077">
        <f t="shared" ca="1" si="29"/>
        <v>46.735856989064501</v>
      </c>
    </row>
    <row r="1078" spans="4:4" x14ac:dyDescent="0.25">
      <c r="D1078">
        <f t="shared" ca="1" si="29"/>
        <v>55.770059028069937</v>
      </c>
    </row>
    <row r="1079" spans="4:4" x14ac:dyDescent="0.25">
      <c r="D1079">
        <f t="shared" ca="1" si="29"/>
        <v>43.211270074572589</v>
      </c>
    </row>
    <row r="1080" spans="4:4" x14ac:dyDescent="0.25">
      <c r="D1080">
        <f t="shared" ca="1" si="29"/>
        <v>47.411561690294732</v>
      </c>
    </row>
    <row r="1081" spans="4:4" x14ac:dyDescent="0.25">
      <c r="D1081">
        <f t="shared" ca="1" si="29"/>
        <v>52.47529005891397</v>
      </c>
    </row>
    <row r="1082" spans="4:4" x14ac:dyDescent="0.25">
      <c r="D1082">
        <f t="shared" ca="1" si="29"/>
        <v>46.812167980610219</v>
      </c>
    </row>
    <row r="1083" spans="4:4" x14ac:dyDescent="0.25">
      <c r="D1083">
        <f t="shared" ca="1" si="29"/>
        <v>47.369245168680997</v>
      </c>
    </row>
    <row r="1084" spans="4:4" x14ac:dyDescent="0.25">
      <c r="D1084">
        <f t="shared" ca="1" si="29"/>
        <v>52.581895573740503</v>
      </c>
    </row>
    <row r="1085" spans="4:4" x14ac:dyDescent="0.25">
      <c r="D1085">
        <f t="shared" ca="1" si="29"/>
        <v>45.585427810670168</v>
      </c>
    </row>
    <row r="1086" spans="4:4" x14ac:dyDescent="0.25">
      <c r="D1086">
        <f t="shared" ca="1" si="29"/>
        <v>44.79813741041454</v>
      </c>
    </row>
    <row r="1087" spans="4:4" x14ac:dyDescent="0.25">
      <c r="D1087">
        <f t="shared" ca="1" si="29"/>
        <v>46.412936058680529</v>
      </c>
    </row>
    <row r="1088" spans="4:4" x14ac:dyDescent="0.25">
      <c r="D1088">
        <f t="shared" ca="1" si="29"/>
        <v>45.02644781682902</v>
      </c>
    </row>
    <row r="1089" spans="4:4" x14ac:dyDescent="0.25">
      <c r="D1089">
        <f t="shared" ca="1" si="29"/>
        <v>38.573789232461422</v>
      </c>
    </row>
    <row r="1090" spans="4:4" x14ac:dyDescent="0.25">
      <c r="D1090">
        <f t="shared" ca="1" si="29"/>
        <v>53.794799875923097</v>
      </c>
    </row>
    <row r="1091" spans="4:4" x14ac:dyDescent="0.25">
      <c r="D1091">
        <f t="shared" ref="D1091:D1154" ca="1" si="30">_xlfn.T.INV(RAND(),25)*$G$3+$F$3</f>
        <v>46.03221504620246</v>
      </c>
    </row>
    <row r="1092" spans="4:4" x14ac:dyDescent="0.25">
      <c r="D1092">
        <f t="shared" ca="1" si="30"/>
        <v>46.703992391494964</v>
      </c>
    </row>
    <row r="1093" spans="4:4" x14ac:dyDescent="0.25">
      <c r="D1093">
        <f t="shared" ca="1" si="30"/>
        <v>46.494560483884818</v>
      </c>
    </row>
    <row r="1094" spans="4:4" x14ac:dyDescent="0.25">
      <c r="D1094">
        <f t="shared" ca="1" si="30"/>
        <v>52.104084377662822</v>
      </c>
    </row>
    <row r="1095" spans="4:4" x14ac:dyDescent="0.25">
      <c r="D1095">
        <f t="shared" ca="1" si="30"/>
        <v>55.569094828429151</v>
      </c>
    </row>
    <row r="1096" spans="4:4" x14ac:dyDescent="0.25">
      <c r="D1096">
        <f t="shared" ca="1" si="30"/>
        <v>46.718782263412429</v>
      </c>
    </row>
    <row r="1097" spans="4:4" x14ac:dyDescent="0.25">
      <c r="D1097">
        <f t="shared" ca="1" si="30"/>
        <v>50.302573645253048</v>
      </c>
    </row>
    <row r="1098" spans="4:4" x14ac:dyDescent="0.25">
      <c r="D1098">
        <f t="shared" ca="1" si="30"/>
        <v>56.196802104466002</v>
      </c>
    </row>
    <row r="1099" spans="4:4" x14ac:dyDescent="0.25">
      <c r="D1099">
        <f t="shared" ca="1" si="30"/>
        <v>48.223176041932177</v>
      </c>
    </row>
    <row r="1100" spans="4:4" x14ac:dyDescent="0.25">
      <c r="D1100">
        <f t="shared" ca="1" si="30"/>
        <v>51.318476945276295</v>
      </c>
    </row>
    <row r="1101" spans="4:4" x14ac:dyDescent="0.25">
      <c r="D1101">
        <f t="shared" ca="1" si="30"/>
        <v>49.100235272617546</v>
      </c>
    </row>
    <row r="1102" spans="4:4" x14ac:dyDescent="0.25">
      <c r="D1102">
        <f t="shared" ca="1" si="30"/>
        <v>51.478969053031264</v>
      </c>
    </row>
    <row r="1103" spans="4:4" x14ac:dyDescent="0.25">
      <c r="D1103">
        <f t="shared" ca="1" si="30"/>
        <v>50.247419011109066</v>
      </c>
    </row>
    <row r="1104" spans="4:4" x14ac:dyDescent="0.25">
      <c r="D1104">
        <f t="shared" ca="1" si="30"/>
        <v>51.699639177350569</v>
      </c>
    </row>
    <row r="1105" spans="4:4" x14ac:dyDescent="0.25">
      <c r="D1105">
        <f t="shared" ca="1" si="30"/>
        <v>48.833711518254454</v>
      </c>
    </row>
    <row r="1106" spans="4:4" x14ac:dyDescent="0.25">
      <c r="D1106">
        <f t="shared" ca="1" si="30"/>
        <v>56.608393630577751</v>
      </c>
    </row>
    <row r="1107" spans="4:4" x14ac:dyDescent="0.25">
      <c r="D1107">
        <f t="shared" ca="1" si="30"/>
        <v>48.09257852058623</v>
      </c>
    </row>
    <row r="1108" spans="4:4" x14ac:dyDescent="0.25">
      <c r="D1108">
        <f t="shared" ca="1" si="30"/>
        <v>40.017354840599715</v>
      </c>
    </row>
    <row r="1109" spans="4:4" x14ac:dyDescent="0.25">
      <c r="D1109">
        <f t="shared" ca="1" si="30"/>
        <v>46.779333930552838</v>
      </c>
    </row>
    <row r="1110" spans="4:4" x14ac:dyDescent="0.25">
      <c r="D1110">
        <f t="shared" ca="1" si="30"/>
        <v>42.232729762404517</v>
      </c>
    </row>
    <row r="1111" spans="4:4" x14ac:dyDescent="0.25">
      <c r="D1111">
        <f t="shared" ca="1" si="30"/>
        <v>46.787125063593805</v>
      </c>
    </row>
    <row r="1112" spans="4:4" x14ac:dyDescent="0.25">
      <c r="D1112">
        <f t="shared" ca="1" si="30"/>
        <v>56.443213568299399</v>
      </c>
    </row>
    <row r="1113" spans="4:4" x14ac:dyDescent="0.25">
      <c r="D1113">
        <f t="shared" ca="1" si="30"/>
        <v>50.238852692486319</v>
      </c>
    </row>
    <row r="1114" spans="4:4" x14ac:dyDescent="0.25">
      <c r="D1114">
        <f t="shared" ca="1" si="30"/>
        <v>53.738720783443995</v>
      </c>
    </row>
    <row r="1115" spans="4:4" x14ac:dyDescent="0.25">
      <c r="D1115">
        <f t="shared" ca="1" si="30"/>
        <v>43.047878426193421</v>
      </c>
    </row>
    <row r="1116" spans="4:4" x14ac:dyDescent="0.25">
      <c r="D1116">
        <f t="shared" ca="1" si="30"/>
        <v>53.757172416784243</v>
      </c>
    </row>
    <row r="1117" spans="4:4" x14ac:dyDescent="0.25">
      <c r="D1117">
        <f t="shared" ca="1" si="30"/>
        <v>50.655560804267701</v>
      </c>
    </row>
    <row r="1118" spans="4:4" x14ac:dyDescent="0.25">
      <c r="D1118">
        <f t="shared" ca="1" si="30"/>
        <v>49.593113159002002</v>
      </c>
    </row>
    <row r="1119" spans="4:4" x14ac:dyDescent="0.25">
      <c r="D1119">
        <f t="shared" ca="1" si="30"/>
        <v>46.860686955236254</v>
      </c>
    </row>
    <row r="1120" spans="4:4" x14ac:dyDescent="0.25">
      <c r="D1120">
        <f t="shared" ca="1" si="30"/>
        <v>48.977085088029412</v>
      </c>
    </row>
    <row r="1121" spans="4:4" x14ac:dyDescent="0.25">
      <c r="D1121">
        <f t="shared" ca="1" si="30"/>
        <v>48.379123838549923</v>
      </c>
    </row>
    <row r="1122" spans="4:4" x14ac:dyDescent="0.25">
      <c r="D1122">
        <f t="shared" ca="1" si="30"/>
        <v>49.191027914946666</v>
      </c>
    </row>
    <row r="1123" spans="4:4" x14ac:dyDescent="0.25">
      <c r="D1123">
        <f t="shared" ca="1" si="30"/>
        <v>47.628194079407812</v>
      </c>
    </row>
    <row r="1124" spans="4:4" x14ac:dyDescent="0.25">
      <c r="D1124">
        <f t="shared" ca="1" si="30"/>
        <v>45.714522056488825</v>
      </c>
    </row>
    <row r="1125" spans="4:4" x14ac:dyDescent="0.25">
      <c r="D1125">
        <f t="shared" ca="1" si="30"/>
        <v>54.607455210958925</v>
      </c>
    </row>
    <row r="1126" spans="4:4" x14ac:dyDescent="0.25">
      <c r="D1126">
        <f t="shared" ca="1" si="30"/>
        <v>48.411844352127211</v>
      </c>
    </row>
    <row r="1127" spans="4:4" x14ac:dyDescent="0.25">
      <c r="D1127">
        <f t="shared" ca="1" si="30"/>
        <v>45.304320065199022</v>
      </c>
    </row>
    <row r="1128" spans="4:4" x14ac:dyDescent="0.25">
      <c r="D1128">
        <f t="shared" ca="1" si="30"/>
        <v>54.052590503603284</v>
      </c>
    </row>
    <row r="1129" spans="4:4" x14ac:dyDescent="0.25">
      <c r="D1129">
        <f t="shared" ca="1" si="30"/>
        <v>51.029655904446507</v>
      </c>
    </row>
    <row r="1130" spans="4:4" x14ac:dyDescent="0.25">
      <c r="D1130">
        <f t="shared" ca="1" si="30"/>
        <v>47.98127244029881</v>
      </c>
    </row>
    <row r="1131" spans="4:4" x14ac:dyDescent="0.25">
      <c r="D1131">
        <f t="shared" ca="1" si="30"/>
        <v>47.741040871633892</v>
      </c>
    </row>
    <row r="1132" spans="4:4" x14ac:dyDescent="0.25">
      <c r="D1132">
        <f t="shared" ca="1" si="30"/>
        <v>46.926081083082167</v>
      </c>
    </row>
    <row r="1133" spans="4:4" x14ac:dyDescent="0.25">
      <c r="D1133">
        <f t="shared" ca="1" si="30"/>
        <v>46.008362774651729</v>
      </c>
    </row>
    <row r="1134" spans="4:4" x14ac:dyDescent="0.25">
      <c r="D1134">
        <f t="shared" ca="1" si="30"/>
        <v>48.807663676750984</v>
      </c>
    </row>
    <row r="1135" spans="4:4" x14ac:dyDescent="0.25">
      <c r="D1135">
        <f t="shared" ca="1" si="30"/>
        <v>58.686065992789992</v>
      </c>
    </row>
    <row r="1136" spans="4:4" x14ac:dyDescent="0.25">
      <c r="D1136">
        <f t="shared" ca="1" si="30"/>
        <v>55.66398818427448</v>
      </c>
    </row>
    <row r="1137" spans="4:4" x14ac:dyDescent="0.25">
      <c r="D1137">
        <f t="shared" ca="1" si="30"/>
        <v>48.037354982858659</v>
      </c>
    </row>
    <row r="1138" spans="4:4" x14ac:dyDescent="0.25">
      <c r="D1138">
        <f t="shared" ca="1" si="30"/>
        <v>51.396345519533639</v>
      </c>
    </row>
    <row r="1139" spans="4:4" x14ac:dyDescent="0.25">
      <c r="D1139">
        <f t="shared" ca="1" si="30"/>
        <v>45.24905421976208</v>
      </c>
    </row>
    <row r="1140" spans="4:4" x14ac:dyDescent="0.25">
      <c r="D1140">
        <f t="shared" ca="1" si="30"/>
        <v>52.619717211894653</v>
      </c>
    </row>
    <row r="1141" spans="4:4" x14ac:dyDescent="0.25">
      <c r="D1141">
        <f t="shared" ca="1" si="30"/>
        <v>53.406540668653882</v>
      </c>
    </row>
    <row r="1142" spans="4:4" x14ac:dyDescent="0.25">
      <c r="D1142">
        <f t="shared" ca="1" si="30"/>
        <v>51.380638618988776</v>
      </c>
    </row>
    <row r="1143" spans="4:4" x14ac:dyDescent="0.25">
      <c r="D1143">
        <f t="shared" ca="1" si="30"/>
        <v>45.384651678774823</v>
      </c>
    </row>
    <row r="1144" spans="4:4" x14ac:dyDescent="0.25">
      <c r="D1144">
        <f t="shared" ca="1" si="30"/>
        <v>52.632827157915045</v>
      </c>
    </row>
    <row r="1145" spans="4:4" x14ac:dyDescent="0.25">
      <c r="D1145">
        <f t="shared" ca="1" si="30"/>
        <v>42.168060018459151</v>
      </c>
    </row>
    <row r="1146" spans="4:4" x14ac:dyDescent="0.25">
      <c r="D1146">
        <f t="shared" ca="1" si="30"/>
        <v>55.070324426490146</v>
      </c>
    </row>
    <row r="1147" spans="4:4" x14ac:dyDescent="0.25">
      <c r="D1147">
        <f t="shared" ca="1" si="30"/>
        <v>45.127836411432966</v>
      </c>
    </row>
    <row r="1148" spans="4:4" x14ac:dyDescent="0.25">
      <c r="D1148">
        <f t="shared" ca="1" si="30"/>
        <v>49.191135154446172</v>
      </c>
    </row>
    <row r="1149" spans="4:4" x14ac:dyDescent="0.25">
      <c r="D1149">
        <f t="shared" ca="1" si="30"/>
        <v>44.835706663045457</v>
      </c>
    </row>
    <row r="1150" spans="4:4" x14ac:dyDescent="0.25">
      <c r="D1150">
        <f t="shared" ca="1" si="30"/>
        <v>60.091307201832485</v>
      </c>
    </row>
    <row r="1151" spans="4:4" x14ac:dyDescent="0.25">
      <c r="D1151">
        <f t="shared" ca="1" si="30"/>
        <v>49.824777743577322</v>
      </c>
    </row>
    <row r="1152" spans="4:4" x14ac:dyDescent="0.25">
      <c r="D1152">
        <f t="shared" ca="1" si="30"/>
        <v>49.958817370591717</v>
      </c>
    </row>
    <row r="1153" spans="4:4" x14ac:dyDescent="0.25">
      <c r="D1153">
        <f t="shared" ca="1" si="30"/>
        <v>41.802074723422635</v>
      </c>
    </row>
    <row r="1154" spans="4:4" x14ac:dyDescent="0.25">
      <c r="D1154">
        <f t="shared" ca="1" si="30"/>
        <v>38.276148187024276</v>
      </c>
    </row>
    <row r="1155" spans="4:4" x14ac:dyDescent="0.25">
      <c r="D1155">
        <f t="shared" ref="D1155:D1218" ca="1" si="31">_xlfn.T.INV(RAND(),25)*$G$3+$F$3</f>
        <v>47.537010603642237</v>
      </c>
    </row>
    <row r="1156" spans="4:4" x14ac:dyDescent="0.25">
      <c r="D1156">
        <f t="shared" ca="1" si="31"/>
        <v>43.93456885215862</v>
      </c>
    </row>
    <row r="1157" spans="4:4" x14ac:dyDescent="0.25">
      <c r="D1157">
        <f t="shared" ca="1" si="31"/>
        <v>49.782268913258385</v>
      </c>
    </row>
    <row r="1158" spans="4:4" x14ac:dyDescent="0.25">
      <c r="D1158">
        <f t="shared" ca="1" si="31"/>
        <v>52.872566429988041</v>
      </c>
    </row>
    <row r="1159" spans="4:4" x14ac:dyDescent="0.25">
      <c r="D1159">
        <f t="shared" ca="1" si="31"/>
        <v>51.270760565128811</v>
      </c>
    </row>
    <row r="1160" spans="4:4" x14ac:dyDescent="0.25">
      <c r="D1160">
        <f t="shared" ca="1" si="31"/>
        <v>48.495152858639848</v>
      </c>
    </row>
    <row r="1161" spans="4:4" x14ac:dyDescent="0.25">
      <c r="D1161">
        <f t="shared" ca="1" si="31"/>
        <v>48.288160463814364</v>
      </c>
    </row>
    <row r="1162" spans="4:4" x14ac:dyDescent="0.25">
      <c r="D1162">
        <f t="shared" ca="1" si="31"/>
        <v>60.732835814084666</v>
      </c>
    </row>
    <row r="1163" spans="4:4" x14ac:dyDescent="0.25">
      <c r="D1163">
        <f t="shared" ca="1" si="31"/>
        <v>51.707663257652392</v>
      </c>
    </row>
    <row r="1164" spans="4:4" x14ac:dyDescent="0.25">
      <c r="D1164">
        <f t="shared" ca="1" si="31"/>
        <v>46.33182488649733</v>
      </c>
    </row>
    <row r="1165" spans="4:4" x14ac:dyDescent="0.25">
      <c r="D1165">
        <f t="shared" ca="1" si="31"/>
        <v>53.010356642465716</v>
      </c>
    </row>
    <row r="1166" spans="4:4" x14ac:dyDescent="0.25">
      <c r="D1166">
        <f t="shared" ca="1" si="31"/>
        <v>47.456358819997611</v>
      </c>
    </row>
    <row r="1167" spans="4:4" x14ac:dyDescent="0.25">
      <c r="D1167">
        <f t="shared" ca="1" si="31"/>
        <v>51.372803911718727</v>
      </c>
    </row>
    <row r="1168" spans="4:4" x14ac:dyDescent="0.25">
      <c r="D1168">
        <f t="shared" ca="1" si="31"/>
        <v>47.989452116672346</v>
      </c>
    </row>
    <row r="1169" spans="4:4" x14ac:dyDescent="0.25">
      <c r="D1169">
        <f t="shared" ca="1" si="31"/>
        <v>55.722904477759336</v>
      </c>
    </row>
    <row r="1170" spans="4:4" x14ac:dyDescent="0.25">
      <c r="D1170">
        <f t="shared" ca="1" si="31"/>
        <v>43.433849615680103</v>
      </c>
    </row>
    <row r="1171" spans="4:4" x14ac:dyDescent="0.25">
      <c r="D1171">
        <f t="shared" ca="1" si="31"/>
        <v>50.353935165291787</v>
      </c>
    </row>
    <row r="1172" spans="4:4" x14ac:dyDescent="0.25">
      <c r="D1172">
        <f t="shared" ca="1" si="31"/>
        <v>49.420571112590373</v>
      </c>
    </row>
    <row r="1173" spans="4:4" x14ac:dyDescent="0.25">
      <c r="D1173">
        <f t="shared" ca="1" si="31"/>
        <v>51.730320748662109</v>
      </c>
    </row>
    <row r="1174" spans="4:4" x14ac:dyDescent="0.25">
      <c r="D1174">
        <f t="shared" ca="1" si="31"/>
        <v>56.274546124472288</v>
      </c>
    </row>
    <row r="1175" spans="4:4" x14ac:dyDescent="0.25">
      <c r="D1175">
        <f t="shared" ca="1" si="31"/>
        <v>60.194665838665827</v>
      </c>
    </row>
    <row r="1176" spans="4:4" x14ac:dyDescent="0.25">
      <c r="D1176">
        <f t="shared" ca="1" si="31"/>
        <v>53.456827838000628</v>
      </c>
    </row>
    <row r="1177" spans="4:4" x14ac:dyDescent="0.25">
      <c r="D1177">
        <f t="shared" ca="1" si="31"/>
        <v>50.113383003794361</v>
      </c>
    </row>
    <row r="1178" spans="4:4" x14ac:dyDescent="0.25">
      <c r="D1178">
        <f t="shared" ca="1" si="31"/>
        <v>48.794827917560276</v>
      </c>
    </row>
    <row r="1179" spans="4:4" x14ac:dyDescent="0.25">
      <c r="D1179">
        <f t="shared" ca="1" si="31"/>
        <v>41.762138238598972</v>
      </c>
    </row>
    <row r="1180" spans="4:4" x14ac:dyDescent="0.25">
      <c r="D1180">
        <f t="shared" ca="1" si="31"/>
        <v>48.959810894300148</v>
      </c>
    </row>
    <row r="1181" spans="4:4" x14ac:dyDescent="0.25">
      <c r="D1181">
        <f t="shared" ca="1" si="31"/>
        <v>48.167091682656391</v>
      </c>
    </row>
    <row r="1182" spans="4:4" x14ac:dyDescent="0.25">
      <c r="D1182">
        <f t="shared" ca="1" si="31"/>
        <v>44.378404271854016</v>
      </c>
    </row>
    <row r="1183" spans="4:4" x14ac:dyDescent="0.25">
      <c r="D1183">
        <f t="shared" ca="1" si="31"/>
        <v>51.316065795967845</v>
      </c>
    </row>
    <row r="1184" spans="4:4" x14ac:dyDescent="0.25">
      <c r="D1184">
        <f t="shared" ca="1" si="31"/>
        <v>44.264805614111786</v>
      </c>
    </row>
    <row r="1185" spans="4:4" x14ac:dyDescent="0.25">
      <c r="D1185">
        <f t="shared" ca="1" si="31"/>
        <v>39.069232915494894</v>
      </c>
    </row>
    <row r="1186" spans="4:4" x14ac:dyDescent="0.25">
      <c r="D1186">
        <f t="shared" ca="1" si="31"/>
        <v>49.516545122877609</v>
      </c>
    </row>
    <row r="1187" spans="4:4" x14ac:dyDescent="0.25">
      <c r="D1187">
        <f t="shared" ca="1" si="31"/>
        <v>48.461939431383648</v>
      </c>
    </row>
    <row r="1188" spans="4:4" x14ac:dyDescent="0.25">
      <c r="D1188">
        <f t="shared" ca="1" si="31"/>
        <v>47.813129043955115</v>
      </c>
    </row>
    <row r="1189" spans="4:4" x14ac:dyDescent="0.25">
      <c r="D1189">
        <f t="shared" ca="1" si="31"/>
        <v>63.617142957792396</v>
      </c>
    </row>
    <row r="1190" spans="4:4" x14ac:dyDescent="0.25">
      <c r="D1190">
        <f t="shared" ca="1" si="31"/>
        <v>48.926433146704568</v>
      </c>
    </row>
    <row r="1191" spans="4:4" x14ac:dyDescent="0.25">
      <c r="D1191">
        <f t="shared" ca="1" si="31"/>
        <v>47.505331190814523</v>
      </c>
    </row>
    <row r="1192" spans="4:4" x14ac:dyDescent="0.25">
      <c r="D1192">
        <f t="shared" ca="1" si="31"/>
        <v>47.790240644299196</v>
      </c>
    </row>
    <row r="1193" spans="4:4" x14ac:dyDescent="0.25">
      <c r="D1193">
        <f t="shared" ca="1" si="31"/>
        <v>52.634231047508678</v>
      </c>
    </row>
    <row r="1194" spans="4:4" x14ac:dyDescent="0.25">
      <c r="D1194">
        <f t="shared" ca="1" si="31"/>
        <v>45.228900521031719</v>
      </c>
    </row>
    <row r="1195" spans="4:4" x14ac:dyDescent="0.25">
      <c r="D1195">
        <f t="shared" ca="1" si="31"/>
        <v>52.050104420906713</v>
      </c>
    </row>
    <row r="1196" spans="4:4" x14ac:dyDescent="0.25">
      <c r="D1196">
        <f t="shared" ca="1" si="31"/>
        <v>50.052131497979616</v>
      </c>
    </row>
    <row r="1197" spans="4:4" x14ac:dyDescent="0.25">
      <c r="D1197">
        <f t="shared" ca="1" si="31"/>
        <v>51.111260981128723</v>
      </c>
    </row>
    <row r="1198" spans="4:4" x14ac:dyDescent="0.25">
      <c r="D1198">
        <f t="shared" ca="1" si="31"/>
        <v>43.439316223887992</v>
      </c>
    </row>
    <row r="1199" spans="4:4" x14ac:dyDescent="0.25">
      <c r="D1199">
        <f t="shared" ca="1" si="31"/>
        <v>59.999828359149795</v>
      </c>
    </row>
    <row r="1200" spans="4:4" x14ac:dyDescent="0.25">
      <c r="D1200">
        <f t="shared" ca="1" si="31"/>
        <v>42.738258361865306</v>
      </c>
    </row>
    <row r="1201" spans="4:4" x14ac:dyDescent="0.25">
      <c r="D1201">
        <f t="shared" ca="1" si="31"/>
        <v>39.212636624967431</v>
      </c>
    </row>
    <row r="1202" spans="4:4" x14ac:dyDescent="0.25">
      <c r="D1202">
        <f t="shared" ca="1" si="31"/>
        <v>50.738774136190102</v>
      </c>
    </row>
    <row r="1203" spans="4:4" x14ac:dyDescent="0.25">
      <c r="D1203">
        <f t="shared" ca="1" si="31"/>
        <v>51.897433420546065</v>
      </c>
    </row>
    <row r="1204" spans="4:4" x14ac:dyDescent="0.25">
      <c r="D1204">
        <f t="shared" ca="1" si="31"/>
        <v>49.524393088051411</v>
      </c>
    </row>
    <row r="1205" spans="4:4" x14ac:dyDescent="0.25">
      <c r="D1205">
        <f t="shared" ca="1" si="31"/>
        <v>53.241259347487372</v>
      </c>
    </row>
    <row r="1206" spans="4:4" x14ac:dyDescent="0.25">
      <c r="D1206">
        <f t="shared" ca="1" si="31"/>
        <v>56.343051896051769</v>
      </c>
    </row>
    <row r="1207" spans="4:4" x14ac:dyDescent="0.25">
      <c r="D1207">
        <f t="shared" ca="1" si="31"/>
        <v>52.140201648261986</v>
      </c>
    </row>
    <row r="1208" spans="4:4" x14ac:dyDescent="0.25">
      <c r="D1208">
        <f t="shared" ca="1" si="31"/>
        <v>50.270818304286131</v>
      </c>
    </row>
    <row r="1209" spans="4:4" x14ac:dyDescent="0.25">
      <c r="D1209">
        <f t="shared" ca="1" si="31"/>
        <v>47.67239417342153</v>
      </c>
    </row>
    <row r="1210" spans="4:4" x14ac:dyDescent="0.25">
      <c r="D1210">
        <f t="shared" ca="1" si="31"/>
        <v>52.782395191614512</v>
      </c>
    </row>
    <row r="1211" spans="4:4" x14ac:dyDescent="0.25">
      <c r="D1211">
        <f t="shared" ca="1" si="31"/>
        <v>49.478972367404687</v>
      </c>
    </row>
    <row r="1212" spans="4:4" x14ac:dyDescent="0.25">
      <c r="D1212">
        <f t="shared" ca="1" si="31"/>
        <v>55.583069031333324</v>
      </c>
    </row>
    <row r="1213" spans="4:4" x14ac:dyDescent="0.25">
      <c r="D1213">
        <f t="shared" ca="1" si="31"/>
        <v>45.441481794630619</v>
      </c>
    </row>
    <row r="1214" spans="4:4" x14ac:dyDescent="0.25">
      <c r="D1214">
        <f t="shared" ca="1" si="31"/>
        <v>48.999492869064035</v>
      </c>
    </row>
    <row r="1215" spans="4:4" x14ac:dyDescent="0.25">
      <c r="D1215">
        <f t="shared" ca="1" si="31"/>
        <v>43.945386563061135</v>
      </c>
    </row>
    <row r="1216" spans="4:4" x14ac:dyDescent="0.25">
      <c r="D1216">
        <f t="shared" ca="1" si="31"/>
        <v>56.294024277794563</v>
      </c>
    </row>
    <row r="1217" spans="4:4" x14ac:dyDescent="0.25">
      <c r="D1217">
        <f t="shared" ca="1" si="31"/>
        <v>39.297433679418162</v>
      </c>
    </row>
    <row r="1218" spans="4:4" x14ac:dyDescent="0.25">
      <c r="D1218">
        <f t="shared" ca="1" si="31"/>
        <v>52.673844427179169</v>
      </c>
    </row>
    <row r="1219" spans="4:4" x14ac:dyDescent="0.25">
      <c r="D1219">
        <f t="shared" ref="D1219:D1282" ca="1" si="32">_xlfn.T.INV(RAND(),25)*$G$3+$F$3</f>
        <v>57.908526706788038</v>
      </c>
    </row>
    <row r="1220" spans="4:4" x14ac:dyDescent="0.25">
      <c r="D1220">
        <f t="shared" ca="1" si="32"/>
        <v>45.194218055968683</v>
      </c>
    </row>
    <row r="1221" spans="4:4" x14ac:dyDescent="0.25">
      <c r="D1221">
        <f t="shared" ca="1" si="32"/>
        <v>49.646120500710644</v>
      </c>
    </row>
    <row r="1222" spans="4:4" x14ac:dyDescent="0.25">
      <c r="D1222">
        <f t="shared" ca="1" si="32"/>
        <v>54.036889353973159</v>
      </c>
    </row>
    <row r="1223" spans="4:4" x14ac:dyDescent="0.25">
      <c r="D1223">
        <f t="shared" ca="1" si="32"/>
        <v>49.830688435529815</v>
      </c>
    </row>
    <row r="1224" spans="4:4" x14ac:dyDescent="0.25">
      <c r="D1224">
        <f t="shared" ca="1" si="32"/>
        <v>46.230802001843763</v>
      </c>
    </row>
    <row r="1225" spans="4:4" x14ac:dyDescent="0.25">
      <c r="D1225">
        <f t="shared" ca="1" si="32"/>
        <v>42.503197099132606</v>
      </c>
    </row>
    <row r="1226" spans="4:4" x14ac:dyDescent="0.25">
      <c r="D1226">
        <f t="shared" ca="1" si="32"/>
        <v>47.436263459680397</v>
      </c>
    </row>
    <row r="1227" spans="4:4" x14ac:dyDescent="0.25">
      <c r="D1227">
        <f t="shared" ca="1" si="32"/>
        <v>47.520919269701068</v>
      </c>
    </row>
    <row r="1228" spans="4:4" x14ac:dyDescent="0.25">
      <c r="D1228">
        <f t="shared" ca="1" si="32"/>
        <v>51.693616286433183</v>
      </c>
    </row>
    <row r="1229" spans="4:4" x14ac:dyDescent="0.25">
      <c r="D1229">
        <f t="shared" ca="1" si="32"/>
        <v>54.209462261758979</v>
      </c>
    </row>
    <row r="1230" spans="4:4" x14ac:dyDescent="0.25">
      <c r="D1230">
        <f t="shared" ca="1" si="32"/>
        <v>57.929301908037502</v>
      </c>
    </row>
    <row r="1231" spans="4:4" x14ac:dyDescent="0.25">
      <c r="D1231">
        <f t="shared" ca="1" si="32"/>
        <v>52.173025409886378</v>
      </c>
    </row>
    <row r="1232" spans="4:4" x14ac:dyDescent="0.25">
      <c r="D1232">
        <f t="shared" ca="1" si="32"/>
        <v>41.950038423049484</v>
      </c>
    </row>
    <row r="1233" spans="4:4" x14ac:dyDescent="0.25">
      <c r="D1233">
        <f t="shared" ca="1" si="32"/>
        <v>48.163483568770268</v>
      </c>
    </row>
    <row r="1234" spans="4:4" x14ac:dyDescent="0.25">
      <c r="D1234">
        <f t="shared" ca="1" si="32"/>
        <v>55.952853446117359</v>
      </c>
    </row>
    <row r="1235" spans="4:4" x14ac:dyDescent="0.25">
      <c r="D1235">
        <f t="shared" ca="1" si="32"/>
        <v>54.595655039977302</v>
      </c>
    </row>
    <row r="1236" spans="4:4" x14ac:dyDescent="0.25">
      <c r="D1236">
        <f t="shared" ca="1" si="32"/>
        <v>38.393613091318919</v>
      </c>
    </row>
    <row r="1237" spans="4:4" x14ac:dyDescent="0.25">
      <c r="D1237">
        <f t="shared" ca="1" si="32"/>
        <v>52.596235845545735</v>
      </c>
    </row>
    <row r="1238" spans="4:4" x14ac:dyDescent="0.25">
      <c r="D1238">
        <f t="shared" ca="1" si="32"/>
        <v>53.152257168566194</v>
      </c>
    </row>
    <row r="1239" spans="4:4" x14ac:dyDescent="0.25">
      <c r="D1239">
        <f t="shared" ca="1" si="32"/>
        <v>42.293045163649815</v>
      </c>
    </row>
    <row r="1240" spans="4:4" x14ac:dyDescent="0.25">
      <c r="D1240">
        <f t="shared" ca="1" si="32"/>
        <v>48.009951935819139</v>
      </c>
    </row>
    <row r="1241" spans="4:4" x14ac:dyDescent="0.25">
      <c r="D1241">
        <f t="shared" ca="1" si="32"/>
        <v>56.985202886010804</v>
      </c>
    </row>
    <row r="1242" spans="4:4" x14ac:dyDescent="0.25">
      <c r="D1242">
        <f t="shared" ca="1" si="32"/>
        <v>43.46988427120268</v>
      </c>
    </row>
    <row r="1243" spans="4:4" x14ac:dyDescent="0.25">
      <c r="D1243">
        <f t="shared" ca="1" si="32"/>
        <v>51.684676791459808</v>
      </c>
    </row>
    <row r="1244" spans="4:4" x14ac:dyDescent="0.25">
      <c r="D1244">
        <f t="shared" ca="1" si="32"/>
        <v>48.069079103598696</v>
      </c>
    </row>
    <row r="1245" spans="4:4" x14ac:dyDescent="0.25">
      <c r="D1245">
        <f t="shared" ca="1" si="32"/>
        <v>55.853685562477438</v>
      </c>
    </row>
    <row r="1246" spans="4:4" x14ac:dyDescent="0.25">
      <c r="D1246">
        <f t="shared" ca="1" si="32"/>
        <v>47.282814705404007</v>
      </c>
    </row>
    <row r="1247" spans="4:4" x14ac:dyDescent="0.25">
      <c r="D1247">
        <f t="shared" ca="1" si="32"/>
        <v>54.02136491974121</v>
      </c>
    </row>
    <row r="1248" spans="4:4" x14ac:dyDescent="0.25">
      <c r="D1248">
        <f t="shared" ca="1" si="32"/>
        <v>41.311794851834428</v>
      </c>
    </row>
    <row r="1249" spans="4:4" x14ac:dyDescent="0.25">
      <c r="D1249">
        <f t="shared" ca="1" si="32"/>
        <v>48.431566679048338</v>
      </c>
    </row>
    <row r="1250" spans="4:4" x14ac:dyDescent="0.25">
      <c r="D1250">
        <f t="shared" ca="1" si="32"/>
        <v>43.705135488795996</v>
      </c>
    </row>
    <row r="1251" spans="4:4" x14ac:dyDescent="0.25">
      <c r="D1251">
        <f t="shared" ca="1" si="32"/>
        <v>39.706067817363063</v>
      </c>
    </row>
    <row r="1252" spans="4:4" x14ac:dyDescent="0.25">
      <c r="D1252">
        <f t="shared" ca="1" si="32"/>
        <v>43.464788969197656</v>
      </c>
    </row>
    <row r="1253" spans="4:4" x14ac:dyDescent="0.25">
      <c r="D1253">
        <f t="shared" ca="1" si="32"/>
        <v>51.54366496995047</v>
      </c>
    </row>
    <row r="1254" spans="4:4" x14ac:dyDescent="0.25">
      <c r="D1254">
        <f t="shared" ca="1" si="32"/>
        <v>48.949347575027758</v>
      </c>
    </row>
    <row r="1255" spans="4:4" x14ac:dyDescent="0.25">
      <c r="D1255">
        <f t="shared" ca="1" si="32"/>
        <v>37.086769437125128</v>
      </c>
    </row>
    <row r="1256" spans="4:4" x14ac:dyDescent="0.25">
      <c r="D1256">
        <f t="shared" ca="1" si="32"/>
        <v>57.366193049160501</v>
      </c>
    </row>
    <row r="1257" spans="4:4" x14ac:dyDescent="0.25">
      <c r="D1257">
        <f t="shared" ca="1" si="32"/>
        <v>50.380295251584606</v>
      </c>
    </row>
    <row r="1258" spans="4:4" x14ac:dyDescent="0.25">
      <c r="D1258">
        <f t="shared" ca="1" si="32"/>
        <v>50.362405807054927</v>
      </c>
    </row>
    <row r="1259" spans="4:4" x14ac:dyDescent="0.25">
      <c r="D1259">
        <f t="shared" ca="1" si="32"/>
        <v>50.787774356706052</v>
      </c>
    </row>
    <row r="1260" spans="4:4" x14ac:dyDescent="0.25">
      <c r="D1260">
        <f t="shared" ca="1" si="32"/>
        <v>44.460567599488556</v>
      </c>
    </row>
    <row r="1261" spans="4:4" x14ac:dyDescent="0.25">
      <c r="D1261">
        <f t="shared" ca="1" si="32"/>
        <v>52.770545182795402</v>
      </c>
    </row>
    <row r="1262" spans="4:4" x14ac:dyDescent="0.25">
      <c r="D1262">
        <f t="shared" ca="1" si="32"/>
        <v>54.458426223476593</v>
      </c>
    </row>
    <row r="1263" spans="4:4" x14ac:dyDescent="0.25">
      <c r="D1263">
        <f t="shared" ca="1" si="32"/>
        <v>53.251243122717689</v>
      </c>
    </row>
    <row r="1264" spans="4:4" x14ac:dyDescent="0.25">
      <c r="D1264">
        <f t="shared" ca="1" si="32"/>
        <v>42.664625137916573</v>
      </c>
    </row>
    <row r="1265" spans="4:4" x14ac:dyDescent="0.25">
      <c r="D1265">
        <f t="shared" ca="1" si="32"/>
        <v>48.834987640363778</v>
      </c>
    </row>
    <row r="1266" spans="4:4" x14ac:dyDescent="0.25">
      <c r="D1266">
        <f t="shared" ca="1" si="32"/>
        <v>49.236541656739618</v>
      </c>
    </row>
    <row r="1267" spans="4:4" x14ac:dyDescent="0.25">
      <c r="D1267">
        <f t="shared" ca="1" si="32"/>
        <v>41.16411731061892</v>
      </c>
    </row>
    <row r="1268" spans="4:4" x14ac:dyDescent="0.25">
      <c r="D1268">
        <f t="shared" ca="1" si="32"/>
        <v>58.463973586554225</v>
      </c>
    </row>
    <row r="1269" spans="4:4" x14ac:dyDescent="0.25">
      <c r="D1269">
        <f t="shared" ca="1" si="32"/>
        <v>48.712399672633573</v>
      </c>
    </row>
    <row r="1270" spans="4:4" x14ac:dyDescent="0.25">
      <c r="D1270">
        <f t="shared" ca="1" si="32"/>
        <v>36.54311440088145</v>
      </c>
    </row>
    <row r="1271" spans="4:4" x14ac:dyDescent="0.25">
      <c r="D1271">
        <f t="shared" ca="1" si="32"/>
        <v>48.040765079269349</v>
      </c>
    </row>
    <row r="1272" spans="4:4" x14ac:dyDescent="0.25">
      <c r="D1272">
        <f t="shared" ca="1" si="32"/>
        <v>46.1785783912092</v>
      </c>
    </row>
    <row r="1273" spans="4:4" x14ac:dyDescent="0.25">
      <c r="D1273">
        <f t="shared" ca="1" si="32"/>
        <v>61.990133345794177</v>
      </c>
    </row>
    <row r="1274" spans="4:4" x14ac:dyDescent="0.25">
      <c r="D1274">
        <f t="shared" ca="1" si="32"/>
        <v>48.171722545267606</v>
      </c>
    </row>
    <row r="1275" spans="4:4" x14ac:dyDescent="0.25">
      <c r="D1275">
        <f t="shared" ca="1" si="32"/>
        <v>55.021479737607521</v>
      </c>
    </row>
    <row r="1276" spans="4:4" x14ac:dyDescent="0.25">
      <c r="D1276">
        <f t="shared" ca="1" si="32"/>
        <v>52.697403659104324</v>
      </c>
    </row>
    <row r="1277" spans="4:4" x14ac:dyDescent="0.25">
      <c r="D1277">
        <f t="shared" ca="1" si="32"/>
        <v>46.862807334254612</v>
      </c>
    </row>
    <row r="1278" spans="4:4" x14ac:dyDescent="0.25">
      <c r="D1278">
        <f t="shared" ca="1" si="32"/>
        <v>45.485253579236662</v>
      </c>
    </row>
    <row r="1279" spans="4:4" x14ac:dyDescent="0.25">
      <c r="D1279">
        <f t="shared" ca="1" si="32"/>
        <v>53.150019689234611</v>
      </c>
    </row>
    <row r="1280" spans="4:4" x14ac:dyDescent="0.25">
      <c r="D1280">
        <f t="shared" ca="1" si="32"/>
        <v>49.405145482006063</v>
      </c>
    </row>
    <row r="1281" spans="4:4" x14ac:dyDescent="0.25">
      <c r="D1281">
        <f t="shared" ca="1" si="32"/>
        <v>42.879539721949577</v>
      </c>
    </row>
    <row r="1282" spans="4:4" x14ac:dyDescent="0.25">
      <c r="D1282">
        <f t="shared" ca="1" si="32"/>
        <v>48.636742592187709</v>
      </c>
    </row>
    <row r="1283" spans="4:4" x14ac:dyDescent="0.25">
      <c r="D1283">
        <f t="shared" ref="D1283:D1346" ca="1" si="33">_xlfn.T.INV(RAND(),25)*$G$3+$F$3</f>
        <v>52.959468916943401</v>
      </c>
    </row>
    <row r="1284" spans="4:4" x14ac:dyDescent="0.25">
      <c r="D1284">
        <f t="shared" ca="1" si="33"/>
        <v>51.677008248153221</v>
      </c>
    </row>
    <row r="1285" spans="4:4" x14ac:dyDescent="0.25">
      <c r="D1285">
        <f t="shared" ca="1" si="33"/>
        <v>46.287110593196694</v>
      </c>
    </row>
    <row r="1286" spans="4:4" x14ac:dyDescent="0.25">
      <c r="D1286">
        <f t="shared" ca="1" si="33"/>
        <v>48.890962033210492</v>
      </c>
    </row>
    <row r="1287" spans="4:4" x14ac:dyDescent="0.25">
      <c r="D1287">
        <f t="shared" ca="1" si="33"/>
        <v>54.343474131908621</v>
      </c>
    </row>
    <row r="1288" spans="4:4" x14ac:dyDescent="0.25">
      <c r="D1288">
        <f t="shared" ca="1" si="33"/>
        <v>43.192467717212196</v>
      </c>
    </row>
    <row r="1289" spans="4:4" x14ac:dyDescent="0.25">
      <c r="D1289">
        <f t="shared" ca="1" si="33"/>
        <v>49.113807816461239</v>
      </c>
    </row>
    <row r="1290" spans="4:4" x14ac:dyDescent="0.25">
      <c r="D1290">
        <f t="shared" ca="1" si="33"/>
        <v>49.682872636871757</v>
      </c>
    </row>
    <row r="1291" spans="4:4" x14ac:dyDescent="0.25">
      <c r="D1291">
        <f t="shared" ca="1" si="33"/>
        <v>45.894883605871264</v>
      </c>
    </row>
    <row r="1292" spans="4:4" x14ac:dyDescent="0.25">
      <c r="D1292">
        <f t="shared" ca="1" si="33"/>
        <v>47.447603498919555</v>
      </c>
    </row>
    <row r="1293" spans="4:4" x14ac:dyDescent="0.25">
      <c r="D1293">
        <f t="shared" ca="1" si="33"/>
        <v>51.099300060164907</v>
      </c>
    </row>
    <row r="1294" spans="4:4" x14ac:dyDescent="0.25">
      <c r="D1294">
        <f t="shared" ca="1" si="33"/>
        <v>42.950089952730764</v>
      </c>
    </row>
    <row r="1295" spans="4:4" x14ac:dyDescent="0.25">
      <c r="D1295">
        <f t="shared" ca="1" si="33"/>
        <v>50.113053531278261</v>
      </c>
    </row>
    <row r="1296" spans="4:4" x14ac:dyDescent="0.25">
      <c r="D1296">
        <f t="shared" ca="1" si="33"/>
        <v>52.837471528765825</v>
      </c>
    </row>
    <row r="1297" spans="4:4" x14ac:dyDescent="0.25">
      <c r="D1297">
        <f t="shared" ca="1" si="33"/>
        <v>42.817982058243729</v>
      </c>
    </row>
    <row r="1298" spans="4:4" x14ac:dyDescent="0.25">
      <c r="D1298">
        <f t="shared" ca="1" si="33"/>
        <v>40.710081480011645</v>
      </c>
    </row>
    <row r="1299" spans="4:4" x14ac:dyDescent="0.25">
      <c r="D1299">
        <f t="shared" ca="1" si="33"/>
        <v>48.504559206420716</v>
      </c>
    </row>
    <row r="1300" spans="4:4" x14ac:dyDescent="0.25">
      <c r="D1300">
        <f t="shared" ca="1" si="33"/>
        <v>54.406118929298124</v>
      </c>
    </row>
    <row r="1301" spans="4:4" x14ac:dyDescent="0.25">
      <c r="D1301">
        <f t="shared" ca="1" si="33"/>
        <v>56.600311050470793</v>
      </c>
    </row>
    <row r="1302" spans="4:4" x14ac:dyDescent="0.25">
      <c r="D1302">
        <f t="shared" ca="1" si="33"/>
        <v>49.291985058341808</v>
      </c>
    </row>
    <row r="1303" spans="4:4" x14ac:dyDescent="0.25">
      <c r="D1303">
        <f t="shared" ca="1" si="33"/>
        <v>53.664001353870304</v>
      </c>
    </row>
    <row r="1304" spans="4:4" x14ac:dyDescent="0.25">
      <c r="D1304">
        <f t="shared" ca="1" si="33"/>
        <v>47.720706417669525</v>
      </c>
    </row>
    <row r="1305" spans="4:4" x14ac:dyDescent="0.25">
      <c r="D1305">
        <f t="shared" ca="1" si="33"/>
        <v>45.971481366459592</v>
      </c>
    </row>
    <row r="1306" spans="4:4" x14ac:dyDescent="0.25">
      <c r="D1306">
        <f t="shared" ca="1" si="33"/>
        <v>43.595000901439306</v>
      </c>
    </row>
    <row r="1307" spans="4:4" x14ac:dyDescent="0.25">
      <c r="D1307">
        <f t="shared" ca="1" si="33"/>
        <v>47.579107101364158</v>
      </c>
    </row>
    <row r="1308" spans="4:4" x14ac:dyDescent="0.25">
      <c r="D1308">
        <f t="shared" ca="1" si="33"/>
        <v>51.719697560943217</v>
      </c>
    </row>
    <row r="1309" spans="4:4" x14ac:dyDescent="0.25">
      <c r="D1309">
        <f t="shared" ca="1" si="33"/>
        <v>42.093408854630553</v>
      </c>
    </row>
    <row r="1310" spans="4:4" x14ac:dyDescent="0.25">
      <c r="D1310">
        <f t="shared" ca="1" si="33"/>
        <v>46.688195630430059</v>
      </c>
    </row>
    <row r="1311" spans="4:4" x14ac:dyDescent="0.25">
      <c r="D1311">
        <f t="shared" ca="1" si="33"/>
        <v>46.478981183468441</v>
      </c>
    </row>
    <row r="1312" spans="4:4" x14ac:dyDescent="0.25">
      <c r="D1312">
        <f t="shared" ca="1" si="33"/>
        <v>54.869451813542838</v>
      </c>
    </row>
    <row r="1313" spans="4:4" x14ac:dyDescent="0.25">
      <c r="D1313">
        <f t="shared" ca="1" si="33"/>
        <v>47.388431173176855</v>
      </c>
    </row>
    <row r="1314" spans="4:4" x14ac:dyDescent="0.25">
      <c r="D1314">
        <f t="shared" ca="1" si="33"/>
        <v>39.525484830768889</v>
      </c>
    </row>
    <row r="1315" spans="4:4" x14ac:dyDescent="0.25">
      <c r="D1315">
        <f t="shared" ca="1" si="33"/>
        <v>43.083187794923134</v>
      </c>
    </row>
    <row r="1316" spans="4:4" x14ac:dyDescent="0.25">
      <c r="D1316">
        <f t="shared" ca="1" si="33"/>
        <v>49.238626283492984</v>
      </c>
    </row>
    <row r="1317" spans="4:4" x14ac:dyDescent="0.25">
      <c r="D1317">
        <f t="shared" ca="1" si="33"/>
        <v>53.366315929388499</v>
      </c>
    </row>
    <row r="1318" spans="4:4" x14ac:dyDescent="0.25">
      <c r="D1318">
        <f t="shared" ca="1" si="33"/>
        <v>42.275482632401534</v>
      </c>
    </row>
    <row r="1319" spans="4:4" x14ac:dyDescent="0.25">
      <c r="D1319">
        <f t="shared" ca="1" si="33"/>
        <v>49.96504813329372</v>
      </c>
    </row>
    <row r="1320" spans="4:4" x14ac:dyDescent="0.25">
      <c r="D1320">
        <f t="shared" ca="1" si="33"/>
        <v>50.813893487430732</v>
      </c>
    </row>
    <row r="1321" spans="4:4" x14ac:dyDescent="0.25">
      <c r="D1321">
        <f t="shared" ca="1" si="33"/>
        <v>43.893322979272455</v>
      </c>
    </row>
    <row r="1322" spans="4:4" x14ac:dyDescent="0.25">
      <c r="D1322">
        <f t="shared" ca="1" si="33"/>
        <v>49.798298351359712</v>
      </c>
    </row>
    <row r="1323" spans="4:4" x14ac:dyDescent="0.25">
      <c r="D1323">
        <f t="shared" ca="1" si="33"/>
        <v>51.120341872300507</v>
      </c>
    </row>
    <row r="1324" spans="4:4" x14ac:dyDescent="0.25">
      <c r="D1324">
        <f t="shared" ca="1" si="33"/>
        <v>44.938539251655023</v>
      </c>
    </row>
    <row r="1325" spans="4:4" x14ac:dyDescent="0.25">
      <c r="D1325">
        <f t="shared" ca="1" si="33"/>
        <v>47.669819475830344</v>
      </c>
    </row>
    <row r="1326" spans="4:4" x14ac:dyDescent="0.25">
      <c r="D1326">
        <f t="shared" ca="1" si="33"/>
        <v>46.742104418690843</v>
      </c>
    </row>
    <row r="1327" spans="4:4" x14ac:dyDescent="0.25">
      <c r="D1327">
        <f t="shared" ca="1" si="33"/>
        <v>55.288528000107135</v>
      </c>
    </row>
    <row r="1328" spans="4:4" x14ac:dyDescent="0.25">
      <c r="D1328">
        <f t="shared" ca="1" si="33"/>
        <v>60.134505882323595</v>
      </c>
    </row>
    <row r="1329" spans="4:4" x14ac:dyDescent="0.25">
      <c r="D1329">
        <f t="shared" ca="1" si="33"/>
        <v>48.287853018517097</v>
      </c>
    </row>
    <row r="1330" spans="4:4" x14ac:dyDescent="0.25">
      <c r="D1330">
        <f t="shared" ca="1" si="33"/>
        <v>56.329600665769682</v>
      </c>
    </row>
    <row r="1331" spans="4:4" x14ac:dyDescent="0.25">
      <c r="D1331">
        <f t="shared" ca="1" si="33"/>
        <v>48.028201193409323</v>
      </c>
    </row>
    <row r="1332" spans="4:4" x14ac:dyDescent="0.25">
      <c r="D1332">
        <f t="shared" ca="1" si="33"/>
        <v>44.905967222101843</v>
      </c>
    </row>
    <row r="1333" spans="4:4" x14ac:dyDescent="0.25">
      <c r="D1333">
        <f t="shared" ca="1" si="33"/>
        <v>56.086221831354642</v>
      </c>
    </row>
    <row r="1334" spans="4:4" x14ac:dyDescent="0.25">
      <c r="D1334">
        <f t="shared" ca="1" si="33"/>
        <v>54.068432960535176</v>
      </c>
    </row>
    <row r="1335" spans="4:4" x14ac:dyDescent="0.25">
      <c r="D1335">
        <f t="shared" ca="1" si="33"/>
        <v>47.179898902986928</v>
      </c>
    </row>
    <row r="1336" spans="4:4" x14ac:dyDescent="0.25">
      <c r="D1336">
        <f t="shared" ca="1" si="33"/>
        <v>57.419213235734738</v>
      </c>
    </row>
    <row r="1337" spans="4:4" x14ac:dyDescent="0.25">
      <c r="D1337">
        <f t="shared" ca="1" si="33"/>
        <v>50.874424079925802</v>
      </c>
    </row>
    <row r="1338" spans="4:4" x14ac:dyDescent="0.25">
      <c r="D1338">
        <f t="shared" ca="1" si="33"/>
        <v>51.774004464868014</v>
      </c>
    </row>
    <row r="1339" spans="4:4" x14ac:dyDescent="0.25">
      <c r="D1339">
        <f t="shared" ca="1" si="33"/>
        <v>58.539399974365594</v>
      </c>
    </row>
    <row r="1340" spans="4:4" x14ac:dyDescent="0.25">
      <c r="D1340">
        <f t="shared" ca="1" si="33"/>
        <v>47.418607071826138</v>
      </c>
    </row>
    <row r="1341" spans="4:4" x14ac:dyDescent="0.25">
      <c r="D1341">
        <f t="shared" ca="1" si="33"/>
        <v>49.681717802259591</v>
      </c>
    </row>
    <row r="1342" spans="4:4" x14ac:dyDescent="0.25">
      <c r="D1342">
        <f t="shared" ca="1" si="33"/>
        <v>49.647401374378198</v>
      </c>
    </row>
    <row r="1343" spans="4:4" x14ac:dyDescent="0.25">
      <c r="D1343">
        <f t="shared" ca="1" si="33"/>
        <v>36.175427739238671</v>
      </c>
    </row>
    <row r="1344" spans="4:4" x14ac:dyDescent="0.25">
      <c r="D1344">
        <f t="shared" ca="1" si="33"/>
        <v>49.39007574965968</v>
      </c>
    </row>
    <row r="1345" spans="4:4" x14ac:dyDescent="0.25">
      <c r="D1345">
        <f t="shared" ca="1" si="33"/>
        <v>54.881588965011787</v>
      </c>
    </row>
    <row r="1346" spans="4:4" x14ac:dyDescent="0.25">
      <c r="D1346">
        <f t="shared" ca="1" si="33"/>
        <v>44.024005812393696</v>
      </c>
    </row>
    <row r="1347" spans="4:4" x14ac:dyDescent="0.25">
      <c r="D1347">
        <f t="shared" ref="D1347:D1410" ca="1" si="34">_xlfn.T.INV(RAND(),25)*$G$3+$F$3</f>
        <v>47.936856012918057</v>
      </c>
    </row>
    <row r="1348" spans="4:4" x14ac:dyDescent="0.25">
      <c r="D1348">
        <f t="shared" ca="1" si="34"/>
        <v>44.757104537506102</v>
      </c>
    </row>
    <row r="1349" spans="4:4" x14ac:dyDescent="0.25">
      <c r="D1349">
        <f t="shared" ca="1" si="34"/>
        <v>50.82167345783089</v>
      </c>
    </row>
    <row r="1350" spans="4:4" x14ac:dyDescent="0.25">
      <c r="D1350">
        <f t="shared" ca="1" si="34"/>
        <v>49.239417705661467</v>
      </c>
    </row>
    <row r="1351" spans="4:4" x14ac:dyDescent="0.25">
      <c r="D1351">
        <f t="shared" ca="1" si="34"/>
        <v>46.360941051038374</v>
      </c>
    </row>
    <row r="1352" spans="4:4" x14ac:dyDescent="0.25">
      <c r="D1352">
        <f t="shared" ca="1" si="34"/>
        <v>48.70726184174849</v>
      </c>
    </row>
    <row r="1353" spans="4:4" x14ac:dyDescent="0.25">
      <c r="D1353">
        <f t="shared" ca="1" si="34"/>
        <v>51.986734670885205</v>
      </c>
    </row>
    <row r="1354" spans="4:4" x14ac:dyDescent="0.25">
      <c r="D1354">
        <f t="shared" ca="1" si="34"/>
        <v>46.954933150861869</v>
      </c>
    </row>
    <row r="1355" spans="4:4" x14ac:dyDescent="0.25">
      <c r="D1355">
        <f t="shared" ca="1" si="34"/>
        <v>50.365971053837519</v>
      </c>
    </row>
    <row r="1356" spans="4:4" x14ac:dyDescent="0.25">
      <c r="D1356">
        <f t="shared" ca="1" si="34"/>
        <v>43.188870269467664</v>
      </c>
    </row>
    <row r="1357" spans="4:4" x14ac:dyDescent="0.25">
      <c r="D1357">
        <f t="shared" ca="1" si="34"/>
        <v>50.184048763684757</v>
      </c>
    </row>
    <row r="1358" spans="4:4" x14ac:dyDescent="0.25">
      <c r="D1358">
        <f t="shared" ca="1" si="34"/>
        <v>49.657850318033788</v>
      </c>
    </row>
    <row r="1359" spans="4:4" x14ac:dyDescent="0.25">
      <c r="D1359">
        <f t="shared" ca="1" si="34"/>
        <v>46.365173929331924</v>
      </c>
    </row>
    <row r="1360" spans="4:4" x14ac:dyDescent="0.25">
      <c r="D1360">
        <f t="shared" ca="1" si="34"/>
        <v>53.550185923283507</v>
      </c>
    </row>
    <row r="1361" spans="4:4" x14ac:dyDescent="0.25">
      <c r="D1361">
        <f t="shared" ca="1" si="34"/>
        <v>47.165494738968334</v>
      </c>
    </row>
    <row r="1362" spans="4:4" x14ac:dyDescent="0.25">
      <c r="D1362">
        <f t="shared" ca="1" si="34"/>
        <v>47.900218440395008</v>
      </c>
    </row>
    <row r="1363" spans="4:4" x14ac:dyDescent="0.25">
      <c r="D1363">
        <f t="shared" ca="1" si="34"/>
        <v>55.186966528586403</v>
      </c>
    </row>
    <row r="1364" spans="4:4" x14ac:dyDescent="0.25">
      <c r="D1364">
        <f t="shared" ca="1" si="34"/>
        <v>52.332239674995193</v>
      </c>
    </row>
    <row r="1365" spans="4:4" x14ac:dyDescent="0.25">
      <c r="D1365">
        <f t="shared" ca="1" si="34"/>
        <v>48.143575109835197</v>
      </c>
    </row>
    <row r="1366" spans="4:4" x14ac:dyDescent="0.25">
      <c r="D1366">
        <f t="shared" ca="1" si="34"/>
        <v>52.615894600930069</v>
      </c>
    </row>
    <row r="1367" spans="4:4" x14ac:dyDescent="0.25">
      <c r="D1367">
        <f t="shared" ca="1" si="34"/>
        <v>40.921817265723355</v>
      </c>
    </row>
    <row r="1368" spans="4:4" x14ac:dyDescent="0.25">
      <c r="D1368">
        <f t="shared" ca="1" si="34"/>
        <v>46.552152363411743</v>
      </c>
    </row>
    <row r="1369" spans="4:4" x14ac:dyDescent="0.25">
      <c r="D1369">
        <f t="shared" ca="1" si="34"/>
        <v>51.580710483776173</v>
      </c>
    </row>
    <row r="1370" spans="4:4" x14ac:dyDescent="0.25">
      <c r="D1370">
        <f t="shared" ca="1" si="34"/>
        <v>46.473812996850491</v>
      </c>
    </row>
    <row r="1371" spans="4:4" x14ac:dyDescent="0.25">
      <c r="D1371">
        <f t="shared" ca="1" si="34"/>
        <v>51.453471688803425</v>
      </c>
    </row>
    <row r="1372" spans="4:4" x14ac:dyDescent="0.25">
      <c r="D1372">
        <f t="shared" ca="1" si="34"/>
        <v>60.396321704514378</v>
      </c>
    </row>
    <row r="1373" spans="4:4" x14ac:dyDescent="0.25">
      <c r="D1373">
        <f t="shared" ca="1" si="34"/>
        <v>49.562021832708361</v>
      </c>
    </row>
    <row r="1374" spans="4:4" x14ac:dyDescent="0.25">
      <c r="D1374">
        <f t="shared" ca="1" si="34"/>
        <v>49.923394229373102</v>
      </c>
    </row>
    <row r="1375" spans="4:4" x14ac:dyDescent="0.25">
      <c r="D1375">
        <f t="shared" ca="1" si="34"/>
        <v>51.520555020369244</v>
      </c>
    </row>
    <row r="1376" spans="4:4" x14ac:dyDescent="0.25">
      <c r="D1376">
        <f t="shared" ca="1" si="34"/>
        <v>48.96716932994196</v>
      </c>
    </row>
    <row r="1377" spans="4:4" x14ac:dyDescent="0.25">
      <c r="D1377">
        <f t="shared" ca="1" si="34"/>
        <v>47.535487473944833</v>
      </c>
    </row>
    <row r="1378" spans="4:4" x14ac:dyDescent="0.25">
      <c r="D1378">
        <f t="shared" ca="1" si="34"/>
        <v>48.171606449514172</v>
      </c>
    </row>
    <row r="1379" spans="4:4" x14ac:dyDescent="0.25">
      <c r="D1379">
        <f t="shared" ca="1" si="34"/>
        <v>48.335246061593523</v>
      </c>
    </row>
    <row r="1380" spans="4:4" x14ac:dyDescent="0.25">
      <c r="D1380">
        <f t="shared" ca="1" si="34"/>
        <v>58.034937490948813</v>
      </c>
    </row>
    <row r="1381" spans="4:4" x14ac:dyDescent="0.25">
      <c r="D1381">
        <f t="shared" ca="1" si="34"/>
        <v>52.773304752646176</v>
      </c>
    </row>
    <row r="1382" spans="4:4" x14ac:dyDescent="0.25">
      <c r="D1382">
        <f t="shared" ca="1" si="34"/>
        <v>50.441401653067658</v>
      </c>
    </row>
    <row r="1383" spans="4:4" x14ac:dyDescent="0.25">
      <c r="D1383">
        <f t="shared" ca="1" si="34"/>
        <v>44.384628946612615</v>
      </c>
    </row>
    <row r="1384" spans="4:4" x14ac:dyDescent="0.25">
      <c r="D1384">
        <f t="shared" ca="1" si="34"/>
        <v>54.170776709481125</v>
      </c>
    </row>
    <row r="1385" spans="4:4" x14ac:dyDescent="0.25">
      <c r="D1385">
        <f t="shared" ca="1" si="34"/>
        <v>42.662777829439584</v>
      </c>
    </row>
    <row r="1386" spans="4:4" x14ac:dyDescent="0.25">
      <c r="D1386">
        <f t="shared" ca="1" si="34"/>
        <v>49.193940122610208</v>
      </c>
    </row>
    <row r="1387" spans="4:4" x14ac:dyDescent="0.25">
      <c r="D1387">
        <f t="shared" ca="1" si="34"/>
        <v>44.02394790583763</v>
      </c>
    </row>
    <row r="1388" spans="4:4" x14ac:dyDescent="0.25">
      <c r="D1388">
        <f t="shared" ca="1" si="34"/>
        <v>46.490140701698934</v>
      </c>
    </row>
    <row r="1389" spans="4:4" x14ac:dyDescent="0.25">
      <c r="D1389">
        <f t="shared" ca="1" si="34"/>
        <v>47.656476582694161</v>
      </c>
    </row>
    <row r="1390" spans="4:4" x14ac:dyDescent="0.25">
      <c r="D1390">
        <f t="shared" ca="1" si="34"/>
        <v>50.502102564726478</v>
      </c>
    </row>
    <row r="1391" spans="4:4" x14ac:dyDescent="0.25">
      <c r="D1391">
        <f t="shared" ca="1" si="34"/>
        <v>52.450974206895907</v>
      </c>
    </row>
    <row r="1392" spans="4:4" x14ac:dyDescent="0.25">
      <c r="D1392">
        <f t="shared" ca="1" si="34"/>
        <v>52.187663215863466</v>
      </c>
    </row>
    <row r="1393" spans="4:4" x14ac:dyDescent="0.25">
      <c r="D1393">
        <f t="shared" ca="1" si="34"/>
        <v>43.80694732748325</v>
      </c>
    </row>
    <row r="1394" spans="4:4" x14ac:dyDescent="0.25">
      <c r="D1394">
        <f t="shared" ca="1" si="34"/>
        <v>41.281299165004214</v>
      </c>
    </row>
    <row r="1395" spans="4:4" x14ac:dyDescent="0.25">
      <c r="D1395">
        <f t="shared" ca="1" si="34"/>
        <v>40.224773140673861</v>
      </c>
    </row>
    <row r="1396" spans="4:4" x14ac:dyDescent="0.25">
      <c r="D1396">
        <f t="shared" ca="1" si="34"/>
        <v>51.155741404624315</v>
      </c>
    </row>
    <row r="1397" spans="4:4" x14ac:dyDescent="0.25">
      <c r="D1397">
        <f t="shared" ca="1" si="34"/>
        <v>50.183828401436358</v>
      </c>
    </row>
    <row r="1398" spans="4:4" x14ac:dyDescent="0.25">
      <c r="D1398">
        <f t="shared" ca="1" si="34"/>
        <v>47.815951837315723</v>
      </c>
    </row>
    <row r="1399" spans="4:4" x14ac:dyDescent="0.25">
      <c r="D1399">
        <f t="shared" ca="1" si="34"/>
        <v>47.639453795861591</v>
      </c>
    </row>
    <row r="1400" spans="4:4" x14ac:dyDescent="0.25">
      <c r="D1400">
        <f t="shared" ca="1" si="34"/>
        <v>52.845386800705796</v>
      </c>
    </row>
    <row r="1401" spans="4:4" x14ac:dyDescent="0.25">
      <c r="D1401">
        <f t="shared" ca="1" si="34"/>
        <v>48.922687397801845</v>
      </c>
    </row>
    <row r="1402" spans="4:4" x14ac:dyDescent="0.25">
      <c r="D1402">
        <f t="shared" ca="1" si="34"/>
        <v>43.928379471513765</v>
      </c>
    </row>
    <row r="1403" spans="4:4" x14ac:dyDescent="0.25">
      <c r="D1403">
        <f t="shared" ca="1" si="34"/>
        <v>57.111411479044399</v>
      </c>
    </row>
    <row r="1404" spans="4:4" x14ac:dyDescent="0.25">
      <c r="D1404">
        <f t="shared" ca="1" si="34"/>
        <v>52.916965452278525</v>
      </c>
    </row>
    <row r="1405" spans="4:4" x14ac:dyDescent="0.25">
      <c r="D1405">
        <f t="shared" ca="1" si="34"/>
        <v>42.19915769473328</v>
      </c>
    </row>
    <row r="1406" spans="4:4" x14ac:dyDescent="0.25">
      <c r="D1406">
        <f t="shared" ca="1" si="34"/>
        <v>55.046965117892398</v>
      </c>
    </row>
    <row r="1407" spans="4:4" x14ac:dyDescent="0.25">
      <c r="D1407">
        <f t="shared" ca="1" si="34"/>
        <v>50.949732149489734</v>
      </c>
    </row>
    <row r="1408" spans="4:4" x14ac:dyDescent="0.25">
      <c r="D1408">
        <f t="shared" ca="1" si="34"/>
        <v>50.482065142026997</v>
      </c>
    </row>
    <row r="1409" spans="4:4" x14ac:dyDescent="0.25">
      <c r="D1409">
        <f t="shared" ca="1" si="34"/>
        <v>49.121466901373957</v>
      </c>
    </row>
    <row r="1410" spans="4:4" x14ac:dyDescent="0.25">
      <c r="D1410">
        <f t="shared" ca="1" si="34"/>
        <v>51.505554747394228</v>
      </c>
    </row>
    <row r="1411" spans="4:4" x14ac:dyDescent="0.25">
      <c r="D1411">
        <f t="shared" ref="D1411:D1474" ca="1" si="35">_xlfn.T.INV(RAND(),25)*$G$3+$F$3</f>
        <v>40.750688193266008</v>
      </c>
    </row>
    <row r="1412" spans="4:4" x14ac:dyDescent="0.25">
      <c r="D1412">
        <f t="shared" ca="1" si="35"/>
        <v>40.845480118801134</v>
      </c>
    </row>
    <row r="1413" spans="4:4" x14ac:dyDescent="0.25">
      <c r="D1413">
        <f t="shared" ca="1" si="35"/>
        <v>52.174520254906469</v>
      </c>
    </row>
    <row r="1414" spans="4:4" x14ac:dyDescent="0.25">
      <c r="D1414">
        <f t="shared" ca="1" si="35"/>
        <v>45.035130359161663</v>
      </c>
    </row>
    <row r="1415" spans="4:4" x14ac:dyDescent="0.25">
      <c r="D1415">
        <f t="shared" ca="1" si="35"/>
        <v>50.632902031471339</v>
      </c>
    </row>
    <row r="1416" spans="4:4" x14ac:dyDescent="0.25">
      <c r="D1416">
        <f t="shared" ca="1" si="35"/>
        <v>51.139113142650054</v>
      </c>
    </row>
    <row r="1417" spans="4:4" x14ac:dyDescent="0.25">
      <c r="D1417">
        <f t="shared" ca="1" si="35"/>
        <v>42.630266679852681</v>
      </c>
    </row>
    <row r="1418" spans="4:4" x14ac:dyDescent="0.25">
      <c r="D1418">
        <f t="shared" ca="1" si="35"/>
        <v>52.186005211025559</v>
      </c>
    </row>
    <row r="1419" spans="4:4" x14ac:dyDescent="0.25">
      <c r="D1419">
        <f t="shared" ca="1" si="35"/>
        <v>55.345632948358329</v>
      </c>
    </row>
    <row r="1420" spans="4:4" x14ac:dyDescent="0.25">
      <c r="D1420">
        <f t="shared" ca="1" si="35"/>
        <v>46.946933351344882</v>
      </c>
    </row>
    <row r="1421" spans="4:4" x14ac:dyDescent="0.25">
      <c r="D1421">
        <f t="shared" ca="1" si="35"/>
        <v>43.734662893006799</v>
      </c>
    </row>
    <row r="1422" spans="4:4" x14ac:dyDescent="0.25">
      <c r="D1422">
        <f t="shared" ca="1" si="35"/>
        <v>45.872413049923821</v>
      </c>
    </row>
    <row r="1423" spans="4:4" x14ac:dyDescent="0.25">
      <c r="D1423">
        <f t="shared" ca="1" si="35"/>
        <v>47.430556297124753</v>
      </c>
    </row>
    <row r="1424" spans="4:4" x14ac:dyDescent="0.25">
      <c r="D1424">
        <f t="shared" ca="1" si="35"/>
        <v>48.973518398939085</v>
      </c>
    </row>
    <row r="1425" spans="4:4" x14ac:dyDescent="0.25">
      <c r="D1425">
        <f t="shared" ca="1" si="35"/>
        <v>57.893327689951114</v>
      </c>
    </row>
    <row r="1426" spans="4:4" x14ac:dyDescent="0.25">
      <c r="D1426">
        <f t="shared" ca="1" si="35"/>
        <v>44.725821479930921</v>
      </c>
    </row>
    <row r="1427" spans="4:4" x14ac:dyDescent="0.25">
      <c r="D1427">
        <f t="shared" ca="1" si="35"/>
        <v>41.554038033995447</v>
      </c>
    </row>
    <row r="1428" spans="4:4" x14ac:dyDescent="0.25">
      <c r="D1428">
        <f t="shared" ca="1" si="35"/>
        <v>56.125209098975049</v>
      </c>
    </row>
    <row r="1429" spans="4:4" x14ac:dyDescent="0.25">
      <c r="D1429">
        <f t="shared" ca="1" si="35"/>
        <v>51.580088902912117</v>
      </c>
    </row>
    <row r="1430" spans="4:4" x14ac:dyDescent="0.25">
      <c r="D1430">
        <f t="shared" ca="1" si="35"/>
        <v>47.948506255659986</v>
      </c>
    </row>
    <row r="1431" spans="4:4" x14ac:dyDescent="0.25">
      <c r="D1431">
        <f t="shared" ca="1" si="35"/>
        <v>43.703472418969021</v>
      </c>
    </row>
    <row r="1432" spans="4:4" x14ac:dyDescent="0.25">
      <c r="D1432">
        <f t="shared" ca="1" si="35"/>
        <v>44.947948193200403</v>
      </c>
    </row>
    <row r="1433" spans="4:4" x14ac:dyDescent="0.25">
      <c r="D1433">
        <f t="shared" ca="1" si="35"/>
        <v>52.256615216116856</v>
      </c>
    </row>
    <row r="1434" spans="4:4" x14ac:dyDescent="0.25">
      <c r="D1434">
        <f t="shared" ca="1" si="35"/>
        <v>49.122864268393435</v>
      </c>
    </row>
    <row r="1435" spans="4:4" x14ac:dyDescent="0.25">
      <c r="D1435">
        <f t="shared" ca="1" si="35"/>
        <v>55.947162993526554</v>
      </c>
    </row>
    <row r="1436" spans="4:4" x14ac:dyDescent="0.25">
      <c r="D1436">
        <f t="shared" ca="1" si="35"/>
        <v>48.543282563374511</v>
      </c>
    </row>
    <row r="1437" spans="4:4" x14ac:dyDescent="0.25">
      <c r="D1437">
        <f t="shared" ca="1" si="35"/>
        <v>43.049604893680183</v>
      </c>
    </row>
    <row r="1438" spans="4:4" x14ac:dyDescent="0.25">
      <c r="D1438">
        <f t="shared" ca="1" si="35"/>
        <v>45.570606989171146</v>
      </c>
    </row>
    <row r="1439" spans="4:4" x14ac:dyDescent="0.25">
      <c r="D1439">
        <f t="shared" ca="1" si="35"/>
        <v>45.050978730750266</v>
      </c>
    </row>
    <row r="1440" spans="4:4" x14ac:dyDescent="0.25">
      <c r="D1440">
        <f t="shared" ca="1" si="35"/>
        <v>48.007468503287235</v>
      </c>
    </row>
    <row r="1441" spans="4:4" x14ac:dyDescent="0.25">
      <c r="D1441">
        <f t="shared" ca="1" si="35"/>
        <v>46.590811005970856</v>
      </c>
    </row>
    <row r="1442" spans="4:4" x14ac:dyDescent="0.25">
      <c r="D1442">
        <f t="shared" ca="1" si="35"/>
        <v>48.327380269995842</v>
      </c>
    </row>
    <row r="1443" spans="4:4" x14ac:dyDescent="0.25">
      <c r="D1443">
        <f t="shared" ca="1" si="35"/>
        <v>52.996159993861035</v>
      </c>
    </row>
    <row r="1444" spans="4:4" x14ac:dyDescent="0.25">
      <c r="D1444">
        <f t="shared" ca="1" si="35"/>
        <v>44.820327645233796</v>
      </c>
    </row>
    <row r="1445" spans="4:4" x14ac:dyDescent="0.25">
      <c r="D1445">
        <f t="shared" ca="1" si="35"/>
        <v>49.600817222366658</v>
      </c>
    </row>
    <row r="1446" spans="4:4" x14ac:dyDescent="0.25">
      <c r="D1446">
        <f t="shared" ca="1" si="35"/>
        <v>47.863311009525987</v>
      </c>
    </row>
    <row r="1447" spans="4:4" x14ac:dyDescent="0.25">
      <c r="D1447">
        <f t="shared" ca="1" si="35"/>
        <v>50.268134748310835</v>
      </c>
    </row>
    <row r="1448" spans="4:4" x14ac:dyDescent="0.25">
      <c r="D1448">
        <f t="shared" ca="1" si="35"/>
        <v>45.263899099148745</v>
      </c>
    </row>
    <row r="1449" spans="4:4" x14ac:dyDescent="0.25">
      <c r="D1449">
        <f t="shared" ca="1" si="35"/>
        <v>50.988444181483032</v>
      </c>
    </row>
    <row r="1450" spans="4:4" x14ac:dyDescent="0.25">
      <c r="D1450">
        <f t="shared" ca="1" si="35"/>
        <v>49.828935473761739</v>
      </c>
    </row>
    <row r="1451" spans="4:4" x14ac:dyDescent="0.25">
      <c r="D1451">
        <f t="shared" ca="1" si="35"/>
        <v>52.712306388666093</v>
      </c>
    </row>
    <row r="1452" spans="4:4" x14ac:dyDescent="0.25">
      <c r="D1452">
        <f t="shared" ca="1" si="35"/>
        <v>51.094007626148276</v>
      </c>
    </row>
    <row r="1453" spans="4:4" x14ac:dyDescent="0.25">
      <c r="D1453">
        <f t="shared" ca="1" si="35"/>
        <v>57.046463426042635</v>
      </c>
    </row>
    <row r="1454" spans="4:4" x14ac:dyDescent="0.25">
      <c r="D1454">
        <f t="shared" ca="1" si="35"/>
        <v>54.064815162942985</v>
      </c>
    </row>
    <row r="1455" spans="4:4" x14ac:dyDescent="0.25">
      <c r="D1455">
        <f t="shared" ca="1" si="35"/>
        <v>50.272791519760844</v>
      </c>
    </row>
    <row r="1456" spans="4:4" x14ac:dyDescent="0.25">
      <c r="D1456">
        <f t="shared" ca="1" si="35"/>
        <v>49.763357013619739</v>
      </c>
    </row>
    <row r="1457" spans="4:4" x14ac:dyDescent="0.25">
      <c r="D1457">
        <f t="shared" ca="1" si="35"/>
        <v>50.82238111080202</v>
      </c>
    </row>
    <row r="1458" spans="4:4" x14ac:dyDescent="0.25">
      <c r="D1458">
        <f t="shared" ca="1" si="35"/>
        <v>50.129959568629602</v>
      </c>
    </row>
    <row r="1459" spans="4:4" x14ac:dyDescent="0.25">
      <c r="D1459">
        <f t="shared" ca="1" si="35"/>
        <v>47.152109943181856</v>
      </c>
    </row>
    <row r="1460" spans="4:4" x14ac:dyDescent="0.25">
      <c r="D1460">
        <f t="shared" ca="1" si="35"/>
        <v>53.123329839260784</v>
      </c>
    </row>
    <row r="1461" spans="4:4" x14ac:dyDescent="0.25">
      <c r="D1461">
        <f t="shared" ca="1" si="35"/>
        <v>50.52914982578929</v>
      </c>
    </row>
    <row r="1462" spans="4:4" x14ac:dyDescent="0.25">
      <c r="D1462">
        <f t="shared" ca="1" si="35"/>
        <v>46.562651305319967</v>
      </c>
    </row>
    <row r="1463" spans="4:4" x14ac:dyDescent="0.25">
      <c r="D1463">
        <f t="shared" ca="1" si="35"/>
        <v>57.059690595376111</v>
      </c>
    </row>
    <row r="1464" spans="4:4" x14ac:dyDescent="0.25">
      <c r="D1464">
        <f t="shared" ca="1" si="35"/>
        <v>50.443268539527871</v>
      </c>
    </row>
    <row r="1465" spans="4:4" x14ac:dyDescent="0.25">
      <c r="D1465">
        <f t="shared" ca="1" si="35"/>
        <v>50.625801097514788</v>
      </c>
    </row>
    <row r="1466" spans="4:4" x14ac:dyDescent="0.25">
      <c r="D1466">
        <f t="shared" ca="1" si="35"/>
        <v>47.806114663654427</v>
      </c>
    </row>
    <row r="1467" spans="4:4" x14ac:dyDescent="0.25">
      <c r="D1467">
        <f t="shared" ca="1" si="35"/>
        <v>47.889828753055113</v>
      </c>
    </row>
    <row r="1468" spans="4:4" x14ac:dyDescent="0.25">
      <c r="D1468">
        <f t="shared" ca="1" si="35"/>
        <v>48.963696937711262</v>
      </c>
    </row>
    <row r="1469" spans="4:4" x14ac:dyDescent="0.25">
      <c r="D1469">
        <f t="shared" ca="1" si="35"/>
        <v>43.453944521362665</v>
      </c>
    </row>
    <row r="1470" spans="4:4" x14ac:dyDescent="0.25">
      <c r="D1470">
        <f t="shared" ca="1" si="35"/>
        <v>46.392477755570994</v>
      </c>
    </row>
    <row r="1471" spans="4:4" x14ac:dyDescent="0.25">
      <c r="D1471">
        <f t="shared" ca="1" si="35"/>
        <v>51.195483053966178</v>
      </c>
    </row>
    <row r="1472" spans="4:4" x14ac:dyDescent="0.25">
      <c r="D1472">
        <f t="shared" ca="1" si="35"/>
        <v>52.901835108135863</v>
      </c>
    </row>
    <row r="1473" spans="4:4" x14ac:dyDescent="0.25">
      <c r="D1473">
        <f t="shared" ca="1" si="35"/>
        <v>42.352863528967426</v>
      </c>
    </row>
    <row r="1474" spans="4:4" x14ac:dyDescent="0.25">
      <c r="D1474">
        <f t="shared" ca="1" si="35"/>
        <v>51.020479176089104</v>
      </c>
    </row>
    <row r="1475" spans="4:4" x14ac:dyDescent="0.25">
      <c r="D1475">
        <f t="shared" ref="D1475:D1538" ca="1" si="36">_xlfn.T.INV(RAND(),25)*$G$3+$F$3</f>
        <v>43.159253558916518</v>
      </c>
    </row>
    <row r="1476" spans="4:4" x14ac:dyDescent="0.25">
      <c r="D1476">
        <f t="shared" ca="1" si="36"/>
        <v>47.331661485645242</v>
      </c>
    </row>
    <row r="1477" spans="4:4" x14ac:dyDescent="0.25">
      <c r="D1477">
        <f t="shared" ca="1" si="36"/>
        <v>43.337576649484305</v>
      </c>
    </row>
    <row r="1478" spans="4:4" x14ac:dyDescent="0.25">
      <c r="D1478">
        <f t="shared" ca="1" si="36"/>
        <v>43.785403436277093</v>
      </c>
    </row>
    <row r="1479" spans="4:4" x14ac:dyDescent="0.25">
      <c r="D1479">
        <f t="shared" ca="1" si="36"/>
        <v>49.080339896703528</v>
      </c>
    </row>
    <row r="1480" spans="4:4" x14ac:dyDescent="0.25">
      <c r="D1480">
        <f t="shared" ca="1" si="36"/>
        <v>52.144108335332056</v>
      </c>
    </row>
    <row r="1481" spans="4:4" x14ac:dyDescent="0.25">
      <c r="D1481">
        <f t="shared" ca="1" si="36"/>
        <v>55.777252859966055</v>
      </c>
    </row>
    <row r="1482" spans="4:4" x14ac:dyDescent="0.25">
      <c r="D1482">
        <f t="shared" ca="1" si="36"/>
        <v>49.055264231308534</v>
      </c>
    </row>
    <row r="1483" spans="4:4" x14ac:dyDescent="0.25">
      <c r="D1483">
        <f t="shared" ca="1" si="36"/>
        <v>46.256886601422465</v>
      </c>
    </row>
    <row r="1484" spans="4:4" x14ac:dyDescent="0.25">
      <c r="D1484">
        <f t="shared" ca="1" si="36"/>
        <v>46.431952270400579</v>
      </c>
    </row>
    <row r="1485" spans="4:4" x14ac:dyDescent="0.25">
      <c r="D1485">
        <f t="shared" ca="1" si="36"/>
        <v>52.449394915921886</v>
      </c>
    </row>
    <row r="1486" spans="4:4" x14ac:dyDescent="0.25">
      <c r="D1486">
        <f t="shared" ca="1" si="36"/>
        <v>42.297876513667035</v>
      </c>
    </row>
    <row r="1487" spans="4:4" x14ac:dyDescent="0.25">
      <c r="D1487">
        <f t="shared" ca="1" si="36"/>
        <v>45.146583890414583</v>
      </c>
    </row>
    <row r="1488" spans="4:4" x14ac:dyDescent="0.25">
      <c r="D1488">
        <f t="shared" ca="1" si="36"/>
        <v>49.223148879865491</v>
      </c>
    </row>
    <row r="1489" spans="4:4" x14ac:dyDescent="0.25">
      <c r="D1489">
        <f t="shared" ca="1" si="36"/>
        <v>54.194806031564852</v>
      </c>
    </row>
    <row r="1490" spans="4:4" x14ac:dyDescent="0.25">
      <c r="D1490">
        <f t="shared" ca="1" si="36"/>
        <v>49.218865990814535</v>
      </c>
    </row>
    <row r="1491" spans="4:4" x14ac:dyDescent="0.25">
      <c r="D1491">
        <f t="shared" ca="1" si="36"/>
        <v>51.615706774466652</v>
      </c>
    </row>
    <row r="1492" spans="4:4" x14ac:dyDescent="0.25">
      <c r="D1492">
        <f t="shared" ca="1" si="36"/>
        <v>53.833362233798127</v>
      </c>
    </row>
    <row r="1493" spans="4:4" x14ac:dyDescent="0.25">
      <c r="D1493">
        <f t="shared" ca="1" si="36"/>
        <v>44.648226995706572</v>
      </c>
    </row>
    <row r="1494" spans="4:4" x14ac:dyDescent="0.25">
      <c r="D1494">
        <f t="shared" ca="1" si="36"/>
        <v>52.866674860062048</v>
      </c>
    </row>
    <row r="1495" spans="4:4" x14ac:dyDescent="0.25">
      <c r="D1495">
        <f t="shared" ca="1" si="36"/>
        <v>44.311283811398489</v>
      </c>
    </row>
    <row r="1496" spans="4:4" x14ac:dyDescent="0.25">
      <c r="D1496">
        <f t="shared" ca="1" si="36"/>
        <v>45.578147841168168</v>
      </c>
    </row>
    <row r="1497" spans="4:4" x14ac:dyDescent="0.25">
      <c r="D1497">
        <f t="shared" ca="1" si="36"/>
        <v>49.188327671303611</v>
      </c>
    </row>
    <row r="1498" spans="4:4" x14ac:dyDescent="0.25">
      <c r="D1498">
        <f t="shared" ca="1" si="36"/>
        <v>59.874547614314736</v>
      </c>
    </row>
    <row r="1499" spans="4:4" x14ac:dyDescent="0.25">
      <c r="D1499">
        <f t="shared" ca="1" si="36"/>
        <v>49.381549334468197</v>
      </c>
    </row>
    <row r="1500" spans="4:4" x14ac:dyDescent="0.25">
      <c r="D1500">
        <f t="shared" ca="1" si="36"/>
        <v>54.223933145542247</v>
      </c>
    </row>
    <row r="1501" spans="4:4" x14ac:dyDescent="0.25">
      <c r="D1501">
        <f t="shared" ca="1" si="36"/>
        <v>46.951089757733975</v>
      </c>
    </row>
    <row r="1502" spans="4:4" x14ac:dyDescent="0.25">
      <c r="D1502">
        <f t="shared" ca="1" si="36"/>
        <v>50.731383220129359</v>
      </c>
    </row>
    <row r="1503" spans="4:4" x14ac:dyDescent="0.25">
      <c r="D1503">
        <f t="shared" ca="1" si="36"/>
        <v>44.841190289222446</v>
      </c>
    </row>
    <row r="1504" spans="4:4" x14ac:dyDescent="0.25">
      <c r="D1504">
        <f t="shared" ca="1" si="36"/>
        <v>51.275213528498753</v>
      </c>
    </row>
    <row r="1505" spans="4:4" x14ac:dyDescent="0.25">
      <c r="D1505">
        <f t="shared" ca="1" si="36"/>
        <v>45.752721710951405</v>
      </c>
    </row>
    <row r="1506" spans="4:4" x14ac:dyDescent="0.25">
      <c r="D1506">
        <f t="shared" ca="1" si="36"/>
        <v>47.341521388888133</v>
      </c>
    </row>
    <row r="1507" spans="4:4" x14ac:dyDescent="0.25">
      <c r="D1507">
        <f t="shared" ca="1" si="36"/>
        <v>55.138228401729648</v>
      </c>
    </row>
    <row r="1508" spans="4:4" x14ac:dyDescent="0.25">
      <c r="D1508">
        <f t="shared" ca="1" si="36"/>
        <v>53.758167048584809</v>
      </c>
    </row>
    <row r="1509" spans="4:4" x14ac:dyDescent="0.25">
      <c r="D1509">
        <f t="shared" ca="1" si="36"/>
        <v>52.934241498881661</v>
      </c>
    </row>
    <row r="1510" spans="4:4" x14ac:dyDescent="0.25">
      <c r="D1510">
        <f t="shared" ca="1" si="36"/>
        <v>46.69399033825654</v>
      </c>
    </row>
    <row r="1511" spans="4:4" x14ac:dyDescent="0.25">
      <c r="D1511">
        <f t="shared" ca="1" si="36"/>
        <v>39.540179067482683</v>
      </c>
    </row>
    <row r="1512" spans="4:4" x14ac:dyDescent="0.25">
      <c r="D1512">
        <f t="shared" ca="1" si="36"/>
        <v>52.367416346078535</v>
      </c>
    </row>
    <row r="1513" spans="4:4" x14ac:dyDescent="0.25">
      <c r="D1513">
        <f t="shared" ca="1" si="36"/>
        <v>45.243507349782178</v>
      </c>
    </row>
    <row r="1514" spans="4:4" x14ac:dyDescent="0.25">
      <c r="D1514">
        <f t="shared" ca="1" si="36"/>
        <v>48.521069193353256</v>
      </c>
    </row>
    <row r="1515" spans="4:4" x14ac:dyDescent="0.25">
      <c r="D1515">
        <f t="shared" ca="1" si="36"/>
        <v>51.996115607245002</v>
      </c>
    </row>
    <row r="1516" spans="4:4" x14ac:dyDescent="0.25">
      <c r="D1516">
        <f t="shared" ca="1" si="36"/>
        <v>50.15103113912506</v>
      </c>
    </row>
    <row r="1517" spans="4:4" x14ac:dyDescent="0.25">
      <c r="D1517">
        <f t="shared" ca="1" si="36"/>
        <v>45.347546028992575</v>
      </c>
    </row>
    <row r="1518" spans="4:4" x14ac:dyDescent="0.25">
      <c r="D1518">
        <f t="shared" ca="1" si="36"/>
        <v>54.417189202157857</v>
      </c>
    </row>
    <row r="1519" spans="4:4" x14ac:dyDescent="0.25">
      <c r="D1519">
        <f t="shared" ca="1" si="36"/>
        <v>48.790066368617893</v>
      </c>
    </row>
    <row r="1520" spans="4:4" x14ac:dyDescent="0.25">
      <c r="D1520">
        <f t="shared" ca="1" si="36"/>
        <v>51.031700864280175</v>
      </c>
    </row>
    <row r="1521" spans="4:4" x14ac:dyDescent="0.25">
      <c r="D1521">
        <f t="shared" ca="1" si="36"/>
        <v>56.201300492572571</v>
      </c>
    </row>
    <row r="1522" spans="4:4" x14ac:dyDescent="0.25">
      <c r="D1522">
        <f t="shared" ca="1" si="36"/>
        <v>44.536817700842548</v>
      </c>
    </row>
    <row r="1523" spans="4:4" x14ac:dyDescent="0.25">
      <c r="D1523">
        <f t="shared" ca="1" si="36"/>
        <v>51.726133526980554</v>
      </c>
    </row>
    <row r="1524" spans="4:4" x14ac:dyDescent="0.25">
      <c r="D1524">
        <f t="shared" ca="1" si="36"/>
        <v>46.059060947040308</v>
      </c>
    </row>
    <row r="1525" spans="4:4" x14ac:dyDescent="0.25">
      <c r="D1525">
        <f t="shared" ca="1" si="36"/>
        <v>48.612973411996329</v>
      </c>
    </row>
    <row r="1526" spans="4:4" x14ac:dyDescent="0.25">
      <c r="D1526">
        <f t="shared" ca="1" si="36"/>
        <v>59.197384771688981</v>
      </c>
    </row>
    <row r="1527" spans="4:4" x14ac:dyDescent="0.25">
      <c r="D1527">
        <f t="shared" ca="1" si="36"/>
        <v>44.934360233397975</v>
      </c>
    </row>
    <row r="1528" spans="4:4" x14ac:dyDescent="0.25">
      <c r="D1528">
        <f t="shared" ca="1" si="36"/>
        <v>54.458074203867668</v>
      </c>
    </row>
    <row r="1529" spans="4:4" x14ac:dyDescent="0.25">
      <c r="D1529">
        <f t="shared" ca="1" si="36"/>
        <v>46.803086925431991</v>
      </c>
    </row>
    <row r="1530" spans="4:4" x14ac:dyDescent="0.25">
      <c r="D1530">
        <f t="shared" ca="1" si="36"/>
        <v>40.623697936597111</v>
      </c>
    </row>
    <row r="1531" spans="4:4" x14ac:dyDescent="0.25">
      <c r="D1531">
        <f t="shared" ca="1" si="36"/>
        <v>49.418716151203192</v>
      </c>
    </row>
    <row r="1532" spans="4:4" x14ac:dyDescent="0.25">
      <c r="D1532">
        <f t="shared" ca="1" si="36"/>
        <v>46.62826222621544</v>
      </c>
    </row>
    <row r="1533" spans="4:4" x14ac:dyDescent="0.25">
      <c r="D1533">
        <f t="shared" ca="1" si="36"/>
        <v>52.44914394845086</v>
      </c>
    </row>
    <row r="1534" spans="4:4" x14ac:dyDescent="0.25">
      <c r="D1534">
        <f t="shared" ca="1" si="36"/>
        <v>50.566498188467008</v>
      </c>
    </row>
    <row r="1535" spans="4:4" x14ac:dyDescent="0.25">
      <c r="D1535">
        <f t="shared" ca="1" si="36"/>
        <v>52.114994164870929</v>
      </c>
    </row>
    <row r="1536" spans="4:4" x14ac:dyDescent="0.25">
      <c r="D1536">
        <f t="shared" ca="1" si="36"/>
        <v>46.229107773661163</v>
      </c>
    </row>
    <row r="1537" spans="4:4" x14ac:dyDescent="0.25">
      <c r="D1537">
        <f t="shared" ca="1" si="36"/>
        <v>48.778060728185451</v>
      </c>
    </row>
    <row r="1538" spans="4:4" x14ac:dyDescent="0.25">
      <c r="D1538">
        <f t="shared" ca="1" si="36"/>
        <v>43.954032525343955</v>
      </c>
    </row>
    <row r="1539" spans="4:4" x14ac:dyDescent="0.25">
      <c r="D1539">
        <f t="shared" ref="D1539:D1602" ca="1" si="37">_xlfn.T.INV(RAND(),25)*$G$3+$F$3</f>
        <v>51.859094758743339</v>
      </c>
    </row>
    <row r="1540" spans="4:4" x14ac:dyDescent="0.25">
      <c r="D1540">
        <f t="shared" ca="1" si="37"/>
        <v>49.50417814628593</v>
      </c>
    </row>
    <row r="1541" spans="4:4" x14ac:dyDescent="0.25">
      <c r="D1541">
        <f t="shared" ca="1" si="37"/>
        <v>49.474324870417639</v>
      </c>
    </row>
    <row r="1542" spans="4:4" x14ac:dyDescent="0.25">
      <c r="D1542">
        <f t="shared" ca="1" si="37"/>
        <v>48.532692605307879</v>
      </c>
    </row>
    <row r="1543" spans="4:4" x14ac:dyDescent="0.25">
      <c r="D1543">
        <f t="shared" ca="1" si="37"/>
        <v>49.927925560161171</v>
      </c>
    </row>
    <row r="1544" spans="4:4" x14ac:dyDescent="0.25">
      <c r="D1544">
        <f t="shared" ca="1" si="37"/>
        <v>43.535319869002763</v>
      </c>
    </row>
    <row r="1545" spans="4:4" x14ac:dyDescent="0.25">
      <c r="D1545">
        <f t="shared" ca="1" si="37"/>
        <v>50.859460513804869</v>
      </c>
    </row>
    <row r="1546" spans="4:4" x14ac:dyDescent="0.25">
      <c r="D1546">
        <f t="shared" ca="1" si="37"/>
        <v>51.162317873091261</v>
      </c>
    </row>
    <row r="1547" spans="4:4" x14ac:dyDescent="0.25">
      <c r="D1547">
        <f t="shared" ca="1" si="37"/>
        <v>49.930754023626847</v>
      </c>
    </row>
    <row r="1548" spans="4:4" x14ac:dyDescent="0.25">
      <c r="D1548">
        <f t="shared" ca="1" si="37"/>
        <v>53.994587660851984</v>
      </c>
    </row>
    <row r="1549" spans="4:4" x14ac:dyDescent="0.25">
      <c r="D1549">
        <f t="shared" ca="1" si="37"/>
        <v>55.33060288785515</v>
      </c>
    </row>
    <row r="1550" spans="4:4" x14ac:dyDescent="0.25">
      <c r="D1550">
        <f t="shared" ca="1" si="37"/>
        <v>49.997944325239516</v>
      </c>
    </row>
    <row r="1551" spans="4:4" x14ac:dyDescent="0.25">
      <c r="D1551">
        <f t="shared" ca="1" si="37"/>
        <v>59.164481328459338</v>
      </c>
    </row>
    <row r="1552" spans="4:4" x14ac:dyDescent="0.25">
      <c r="D1552">
        <f t="shared" ca="1" si="37"/>
        <v>47.160894006780772</v>
      </c>
    </row>
    <row r="1553" spans="4:4" x14ac:dyDescent="0.25">
      <c r="D1553">
        <f t="shared" ca="1" si="37"/>
        <v>47.997818599052742</v>
      </c>
    </row>
    <row r="1554" spans="4:4" x14ac:dyDescent="0.25">
      <c r="D1554">
        <f t="shared" ca="1" si="37"/>
        <v>45.399089103675877</v>
      </c>
    </row>
    <row r="1555" spans="4:4" x14ac:dyDescent="0.25">
      <c r="D1555">
        <f t="shared" ca="1" si="37"/>
        <v>48.234190636457051</v>
      </c>
    </row>
    <row r="1556" spans="4:4" x14ac:dyDescent="0.25">
      <c r="D1556">
        <f t="shared" ca="1" si="37"/>
        <v>43.484837979594928</v>
      </c>
    </row>
    <row r="1557" spans="4:4" x14ac:dyDescent="0.25">
      <c r="D1557">
        <f t="shared" ca="1" si="37"/>
        <v>57.292154739427353</v>
      </c>
    </row>
    <row r="1558" spans="4:4" x14ac:dyDescent="0.25">
      <c r="D1558">
        <f t="shared" ca="1" si="37"/>
        <v>44.892272409201858</v>
      </c>
    </row>
    <row r="1559" spans="4:4" x14ac:dyDescent="0.25">
      <c r="D1559">
        <f t="shared" ca="1" si="37"/>
        <v>49.185676548136087</v>
      </c>
    </row>
    <row r="1560" spans="4:4" x14ac:dyDescent="0.25">
      <c r="D1560">
        <f t="shared" ca="1" si="37"/>
        <v>48.873165312463335</v>
      </c>
    </row>
    <row r="1561" spans="4:4" x14ac:dyDescent="0.25">
      <c r="D1561">
        <f t="shared" ca="1" si="37"/>
        <v>41.786039351455472</v>
      </c>
    </row>
    <row r="1562" spans="4:4" x14ac:dyDescent="0.25">
      <c r="D1562">
        <f t="shared" ca="1" si="37"/>
        <v>36.618486202567631</v>
      </c>
    </row>
    <row r="1563" spans="4:4" x14ac:dyDescent="0.25">
      <c r="D1563">
        <f t="shared" ca="1" si="37"/>
        <v>47.948723284991189</v>
      </c>
    </row>
    <row r="1564" spans="4:4" x14ac:dyDescent="0.25">
      <c r="D1564">
        <f t="shared" ca="1" si="37"/>
        <v>50.948376323213239</v>
      </c>
    </row>
    <row r="1565" spans="4:4" x14ac:dyDescent="0.25">
      <c r="D1565">
        <f t="shared" ca="1" si="37"/>
        <v>46.29560629749669</v>
      </c>
    </row>
    <row r="1566" spans="4:4" x14ac:dyDescent="0.25">
      <c r="D1566">
        <f t="shared" ca="1" si="37"/>
        <v>53.054239991751928</v>
      </c>
    </row>
    <row r="1567" spans="4:4" x14ac:dyDescent="0.25">
      <c r="D1567">
        <f t="shared" ca="1" si="37"/>
        <v>48.658592529406739</v>
      </c>
    </row>
    <row r="1568" spans="4:4" x14ac:dyDescent="0.25">
      <c r="D1568">
        <f t="shared" ca="1" si="37"/>
        <v>42.990131191973404</v>
      </c>
    </row>
    <row r="1569" spans="4:4" x14ac:dyDescent="0.25">
      <c r="D1569">
        <f t="shared" ca="1" si="37"/>
        <v>56.411342753009912</v>
      </c>
    </row>
    <row r="1570" spans="4:4" x14ac:dyDescent="0.25">
      <c r="D1570">
        <f t="shared" ca="1" si="37"/>
        <v>55.251148908828334</v>
      </c>
    </row>
    <row r="1571" spans="4:4" x14ac:dyDescent="0.25">
      <c r="D1571">
        <f t="shared" ca="1" si="37"/>
        <v>62.699419387532579</v>
      </c>
    </row>
    <row r="1572" spans="4:4" x14ac:dyDescent="0.25">
      <c r="D1572">
        <f t="shared" ca="1" si="37"/>
        <v>54.661230303836113</v>
      </c>
    </row>
    <row r="1573" spans="4:4" x14ac:dyDescent="0.25">
      <c r="D1573">
        <f t="shared" ca="1" si="37"/>
        <v>50.500909220466781</v>
      </c>
    </row>
    <row r="1574" spans="4:4" x14ac:dyDescent="0.25">
      <c r="D1574">
        <f t="shared" ca="1" si="37"/>
        <v>46.250024154069891</v>
      </c>
    </row>
    <row r="1575" spans="4:4" x14ac:dyDescent="0.25">
      <c r="D1575">
        <f t="shared" ca="1" si="37"/>
        <v>44.461248533394446</v>
      </c>
    </row>
    <row r="1576" spans="4:4" x14ac:dyDescent="0.25">
      <c r="D1576">
        <f t="shared" ca="1" si="37"/>
        <v>45.247793139005559</v>
      </c>
    </row>
    <row r="1577" spans="4:4" x14ac:dyDescent="0.25">
      <c r="D1577">
        <f t="shared" ca="1" si="37"/>
        <v>50.256445034594336</v>
      </c>
    </row>
    <row r="1578" spans="4:4" x14ac:dyDescent="0.25">
      <c r="D1578">
        <f t="shared" ca="1" si="37"/>
        <v>57.927180685503764</v>
      </c>
    </row>
    <row r="1579" spans="4:4" x14ac:dyDescent="0.25">
      <c r="D1579">
        <f t="shared" ca="1" si="37"/>
        <v>46.540755731368627</v>
      </c>
    </row>
    <row r="1580" spans="4:4" x14ac:dyDescent="0.25">
      <c r="D1580">
        <f t="shared" ca="1" si="37"/>
        <v>61.986142738294504</v>
      </c>
    </row>
    <row r="1581" spans="4:4" x14ac:dyDescent="0.25">
      <c r="D1581">
        <f t="shared" ca="1" si="37"/>
        <v>43.637798989546994</v>
      </c>
    </row>
    <row r="1582" spans="4:4" x14ac:dyDescent="0.25">
      <c r="D1582">
        <f t="shared" ca="1" si="37"/>
        <v>52.069743033425354</v>
      </c>
    </row>
    <row r="1583" spans="4:4" x14ac:dyDescent="0.25">
      <c r="D1583">
        <f t="shared" ca="1" si="37"/>
        <v>50.547162131767045</v>
      </c>
    </row>
    <row r="1584" spans="4:4" x14ac:dyDescent="0.25">
      <c r="D1584">
        <f t="shared" ca="1" si="37"/>
        <v>49.465312290542997</v>
      </c>
    </row>
    <row r="1585" spans="4:4" x14ac:dyDescent="0.25">
      <c r="D1585">
        <f t="shared" ca="1" si="37"/>
        <v>44.61505809519555</v>
      </c>
    </row>
    <row r="1586" spans="4:4" x14ac:dyDescent="0.25">
      <c r="D1586">
        <f t="shared" ca="1" si="37"/>
        <v>45.443709713256077</v>
      </c>
    </row>
    <row r="1587" spans="4:4" x14ac:dyDescent="0.25">
      <c r="D1587">
        <f t="shared" ca="1" si="37"/>
        <v>49.384637536389398</v>
      </c>
    </row>
    <row r="1588" spans="4:4" x14ac:dyDescent="0.25">
      <c r="D1588">
        <f t="shared" ca="1" si="37"/>
        <v>54.380745989682708</v>
      </c>
    </row>
    <row r="1589" spans="4:4" x14ac:dyDescent="0.25">
      <c r="D1589">
        <f t="shared" ca="1" si="37"/>
        <v>46.825638929431591</v>
      </c>
    </row>
    <row r="1590" spans="4:4" x14ac:dyDescent="0.25">
      <c r="D1590">
        <f t="shared" ca="1" si="37"/>
        <v>45.595987010254881</v>
      </c>
    </row>
    <row r="1591" spans="4:4" x14ac:dyDescent="0.25">
      <c r="D1591">
        <f t="shared" ca="1" si="37"/>
        <v>52.481932937911182</v>
      </c>
    </row>
    <row r="1592" spans="4:4" x14ac:dyDescent="0.25">
      <c r="D1592">
        <f t="shared" ca="1" si="37"/>
        <v>49.391483130623868</v>
      </c>
    </row>
    <row r="1593" spans="4:4" x14ac:dyDescent="0.25">
      <c r="D1593">
        <f t="shared" ca="1" si="37"/>
        <v>50.991607652692537</v>
      </c>
    </row>
    <row r="1594" spans="4:4" x14ac:dyDescent="0.25">
      <c r="D1594">
        <f t="shared" ca="1" si="37"/>
        <v>39.859986304460875</v>
      </c>
    </row>
    <row r="1595" spans="4:4" x14ac:dyDescent="0.25">
      <c r="D1595">
        <f t="shared" ca="1" si="37"/>
        <v>52.915168516680744</v>
      </c>
    </row>
    <row r="1596" spans="4:4" x14ac:dyDescent="0.25">
      <c r="D1596">
        <f t="shared" ca="1" si="37"/>
        <v>46.015777943049379</v>
      </c>
    </row>
    <row r="1597" spans="4:4" x14ac:dyDescent="0.25">
      <c r="D1597">
        <f t="shared" ca="1" si="37"/>
        <v>40.322278791753561</v>
      </c>
    </row>
    <row r="1598" spans="4:4" x14ac:dyDescent="0.25">
      <c r="D1598">
        <f t="shared" ca="1" si="37"/>
        <v>55.792684124857907</v>
      </c>
    </row>
    <row r="1599" spans="4:4" x14ac:dyDescent="0.25">
      <c r="D1599">
        <f t="shared" ca="1" si="37"/>
        <v>48.47885266199237</v>
      </c>
    </row>
    <row r="1600" spans="4:4" x14ac:dyDescent="0.25">
      <c r="D1600">
        <f t="shared" ca="1" si="37"/>
        <v>56.634941621579131</v>
      </c>
    </row>
    <row r="1601" spans="4:4" x14ac:dyDescent="0.25">
      <c r="D1601">
        <f t="shared" ca="1" si="37"/>
        <v>48.475874863993937</v>
      </c>
    </row>
    <row r="1602" spans="4:4" x14ac:dyDescent="0.25">
      <c r="D1602">
        <f t="shared" ca="1" si="37"/>
        <v>41.595592872696869</v>
      </c>
    </row>
    <row r="1603" spans="4:4" x14ac:dyDescent="0.25">
      <c r="D1603">
        <f t="shared" ref="D1603:D1666" ca="1" si="38">_xlfn.T.INV(RAND(),25)*$G$3+$F$3</f>
        <v>49.164667088884116</v>
      </c>
    </row>
    <row r="1604" spans="4:4" x14ac:dyDescent="0.25">
      <c r="D1604">
        <f t="shared" ca="1" si="38"/>
        <v>45.724978322827695</v>
      </c>
    </row>
    <row r="1605" spans="4:4" x14ac:dyDescent="0.25">
      <c r="D1605">
        <f t="shared" ca="1" si="38"/>
        <v>41.364501649154178</v>
      </c>
    </row>
    <row r="1606" spans="4:4" x14ac:dyDescent="0.25">
      <c r="D1606">
        <f t="shared" ca="1" si="38"/>
        <v>49.459395963184953</v>
      </c>
    </row>
    <row r="1607" spans="4:4" x14ac:dyDescent="0.25">
      <c r="D1607">
        <f t="shared" ca="1" si="38"/>
        <v>46.612976130926185</v>
      </c>
    </row>
    <row r="1608" spans="4:4" x14ac:dyDescent="0.25">
      <c r="D1608">
        <f t="shared" ca="1" si="38"/>
        <v>51.493814703616962</v>
      </c>
    </row>
    <row r="1609" spans="4:4" x14ac:dyDescent="0.25">
      <c r="D1609">
        <f t="shared" ca="1" si="38"/>
        <v>45.869515129756742</v>
      </c>
    </row>
    <row r="1610" spans="4:4" x14ac:dyDescent="0.25">
      <c r="D1610">
        <f t="shared" ca="1" si="38"/>
        <v>42.855451873062862</v>
      </c>
    </row>
    <row r="1611" spans="4:4" x14ac:dyDescent="0.25">
      <c r="D1611">
        <f t="shared" ca="1" si="38"/>
        <v>53.548715062845858</v>
      </c>
    </row>
    <row r="1612" spans="4:4" x14ac:dyDescent="0.25">
      <c r="D1612">
        <f t="shared" ca="1" si="38"/>
        <v>50.669878992046229</v>
      </c>
    </row>
    <row r="1613" spans="4:4" x14ac:dyDescent="0.25">
      <c r="D1613">
        <f t="shared" ca="1" si="38"/>
        <v>50.23775519633395</v>
      </c>
    </row>
    <row r="1614" spans="4:4" x14ac:dyDescent="0.25">
      <c r="D1614">
        <f t="shared" ca="1" si="38"/>
        <v>46.921733342510933</v>
      </c>
    </row>
    <row r="1615" spans="4:4" x14ac:dyDescent="0.25">
      <c r="D1615">
        <f t="shared" ca="1" si="38"/>
        <v>51.833229691819341</v>
      </c>
    </row>
    <row r="1616" spans="4:4" x14ac:dyDescent="0.25">
      <c r="D1616">
        <f t="shared" ca="1" si="38"/>
        <v>46.671155592215342</v>
      </c>
    </row>
    <row r="1617" spans="4:4" x14ac:dyDescent="0.25">
      <c r="D1617">
        <f t="shared" ca="1" si="38"/>
        <v>44.614459634138896</v>
      </c>
    </row>
    <row r="1618" spans="4:4" x14ac:dyDescent="0.25">
      <c r="D1618">
        <f t="shared" ca="1" si="38"/>
        <v>54.139439809474972</v>
      </c>
    </row>
    <row r="1619" spans="4:4" x14ac:dyDescent="0.25">
      <c r="D1619">
        <f t="shared" ca="1" si="38"/>
        <v>52.302098852918981</v>
      </c>
    </row>
    <row r="1620" spans="4:4" x14ac:dyDescent="0.25">
      <c r="D1620">
        <f t="shared" ca="1" si="38"/>
        <v>53.350049449799315</v>
      </c>
    </row>
    <row r="1621" spans="4:4" x14ac:dyDescent="0.25">
      <c r="D1621">
        <f t="shared" ca="1" si="38"/>
        <v>49.828973559193756</v>
      </c>
    </row>
    <row r="1622" spans="4:4" x14ac:dyDescent="0.25">
      <c r="D1622">
        <f t="shared" ca="1" si="38"/>
        <v>54.074053972789805</v>
      </c>
    </row>
    <row r="1623" spans="4:4" x14ac:dyDescent="0.25">
      <c r="D1623">
        <f t="shared" ca="1" si="38"/>
        <v>46.876281519683303</v>
      </c>
    </row>
    <row r="1624" spans="4:4" x14ac:dyDescent="0.25">
      <c r="D1624">
        <f t="shared" ca="1" si="38"/>
        <v>45.763793177199055</v>
      </c>
    </row>
    <row r="1625" spans="4:4" x14ac:dyDescent="0.25">
      <c r="D1625">
        <f t="shared" ca="1" si="38"/>
        <v>47.805588672637313</v>
      </c>
    </row>
    <row r="1626" spans="4:4" x14ac:dyDescent="0.25">
      <c r="D1626">
        <f t="shared" ca="1" si="38"/>
        <v>56.875650906826422</v>
      </c>
    </row>
    <row r="1627" spans="4:4" x14ac:dyDescent="0.25">
      <c r="D1627">
        <f t="shared" ca="1" si="38"/>
        <v>48.396777932745593</v>
      </c>
    </row>
    <row r="1628" spans="4:4" x14ac:dyDescent="0.25">
      <c r="D1628">
        <f t="shared" ca="1" si="38"/>
        <v>58.211278345823999</v>
      </c>
    </row>
    <row r="1629" spans="4:4" x14ac:dyDescent="0.25">
      <c r="D1629">
        <f t="shared" ca="1" si="38"/>
        <v>46.634986495916415</v>
      </c>
    </row>
    <row r="1630" spans="4:4" x14ac:dyDescent="0.25">
      <c r="D1630">
        <f t="shared" ca="1" si="38"/>
        <v>47.263418530988716</v>
      </c>
    </row>
    <row r="1631" spans="4:4" x14ac:dyDescent="0.25">
      <c r="D1631">
        <f t="shared" ca="1" si="38"/>
        <v>47.282652620266383</v>
      </c>
    </row>
    <row r="1632" spans="4:4" x14ac:dyDescent="0.25">
      <c r="D1632">
        <f t="shared" ca="1" si="38"/>
        <v>55.251487596968573</v>
      </c>
    </row>
    <row r="1633" spans="4:4" x14ac:dyDescent="0.25">
      <c r="D1633">
        <f t="shared" ca="1" si="38"/>
        <v>49.097048801931265</v>
      </c>
    </row>
    <row r="1634" spans="4:4" x14ac:dyDescent="0.25">
      <c r="D1634">
        <f t="shared" ca="1" si="38"/>
        <v>53.016934794048325</v>
      </c>
    </row>
    <row r="1635" spans="4:4" x14ac:dyDescent="0.25">
      <c r="D1635">
        <f t="shared" ca="1" si="38"/>
        <v>47.288261196340656</v>
      </c>
    </row>
    <row r="1636" spans="4:4" x14ac:dyDescent="0.25">
      <c r="D1636">
        <f t="shared" ca="1" si="38"/>
        <v>50.638636516430736</v>
      </c>
    </row>
    <row r="1637" spans="4:4" x14ac:dyDescent="0.25">
      <c r="D1637">
        <f t="shared" ca="1" si="38"/>
        <v>50.202446475034328</v>
      </c>
    </row>
    <row r="1638" spans="4:4" x14ac:dyDescent="0.25">
      <c r="D1638">
        <f t="shared" ca="1" si="38"/>
        <v>51.032656792679653</v>
      </c>
    </row>
    <row r="1639" spans="4:4" x14ac:dyDescent="0.25">
      <c r="D1639">
        <f t="shared" ca="1" si="38"/>
        <v>52.973457671212962</v>
      </c>
    </row>
    <row r="1640" spans="4:4" x14ac:dyDescent="0.25">
      <c r="D1640">
        <f t="shared" ca="1" si="38"/>
        <v>46.907760309693785</v>
      </c>
    </row>
    <row r="1641" spans="4:4" x14ac:dyDescent="0.25">
      <c r="D1641">
        <f t="shared" ca="1" si="38"/>
        <v>49.915550026347894</v>
      </c>
    </row>
    <row r="1642" spans="4:4" x14ac:dyDescent="0.25">
      <c r="D1642">
        <f t="shared" ca="1" si="38"/>
        <v>48.450113545422802</v>
      </c>
    </row>
    <row r="1643" spans="4:4" x14ac:dyDescent="0.25">
      <c r="D1643">
        <f t="shared" ca="1" si="38"/>
        <v>60.62818004507087</v>
      </c>
    </row>
    <row r="1644" spans="4:4" x14ac:dyDescent="0.25">
      <c r="D1644">
        <f t="shared" ca="1" si="38"/>
        <v>50.765882155690186</v>
      </c>
    </row>
    <row r="1645" spans="4:4" x14ac:dyDescent="0.25">
      <c r="D1645">
        <f t="shared" ca="1" si="38"/>
        <v>53.044024723388617</v>
      </c>
    </row>
    <row r="1646" spans="4:4" x14ac:dyDescent="0.25">
      <c r="D1646">
        <f t="shared" ca="1" si="38"/>
        <v>46.385103677879911</v>
      </c>
    </row>
    <row r="1647" spans="4:4" x14ac:dyDescent="0.25">
      <c r="D1647">
        <f t="shared" ca="1" si="38"/>
        <v>54.699834201788818</v>
      </c>
    </row>
    <row r="1648" spans="4:4" x14ac:dyDescent="0.25">
      <c r="D1648">
        <f t="shared" ca="1" si="38"/>
        <v>47.553099285996204</v>
      </c>
    </row>
    <row r="1649" spans="4:4" x14ac:dyDescent="0.25">
      <c r="D1649">
        <f t="shared" ca="1" si="38"/>
        <v>49.9777188343784</v>
      </c>
    </row>
    <row r="1650" spans="4:4" x14ac:dyDescent="0.25">
      <c r="D1650">
        <f t="shared" ca="1" si="38"/>
        <v>43.510842538655254</v>
      </c>
    </row>
    <row r="1651" spans="4:4" x14ac:dyDescent="0.25">
      <c r="D1651">
        <f t="shared" ca="1" si="38"/>
        <v>52.580396590208004</v>
      </c>
    </row>
    <row r="1652" spans="4:4" x14ac:dyDescent="0.25">
      <c r="D1652">
        <f t="shared" ca="1" si="38"/>
        <v>42.408862346330004</v>
      </c>
    </row>
    <row r="1653" spans="4:4" x14ac:dyDescent="0.25">
      <c r="D1653">
        <f t="shared" ca="1" si="38"/>
        <v>52.726941275109517</v>
      </c>
    </row>
    <row r="1654" spans="4:4" x14ac:dyDescent="0.25">
      <c r="D1654">
        <f t="shared" ca="1" si="38"/>
        <v>51.010169746632947</v>
      </c>
    </row>
    <row r="1655" spans="4:4" x14ac:dyDescent="0.25">
      <c r="D1655">
        <f t="shared" ca="1" si="38"/>
        <v>49.189864641815298</v>
      </c>
    </row>
    <row r="1656" spans="4:4" x14ac:dyDescent="0.25">
      <c r="D1656">
        <f t="shared" ca="1" si="38"/>
        <v>54.330500363841338</v>
      </c>
    </row>
    <row r="1657" spans="4:4" x14ac:dyDescent="0.25">
      <c r="D1657">
        <f t="shared" ca="1" si="38"/>
        <v>47.094006915532574</v>
      </c>
    </row>
    <row r="1658" spans="4:4" x14ac:dyDescent="0.25">
      <c r="D1658">
        <f t="shared" ca="1" si="38"/>
        <v>54.710383084372751</v>
      </c>
    </row>
    <row r="1659" spans="4:4" x14ac:dyDescent="0.25">
      <c r="D1659">
        <f t="shared" ca="1" si="38"/>
        <v>47.07554619642989</v>
      </c>
    </row>
    <row r="1660" spans="4:4" x14ac:dyDescent="0.25">
      <c r="D1660">
        <f t="shared" ca="1" si="38"/>
        <v>52.003710330602402</v>
      </c>
    </row>
    <row r="1661" spans="4:4" x14ac:dyDescent="0.25">
      <c r="D1661">
        <f t="shared" ca="1" si="38"/>
        <v>48.898380105283998</v>
      </c>
    </row>
    <row r="1662" spans="4:4" x14ac:dyDescent="0.25">
      <c r="D1662">
        <f t="shared" ca="1" si="38"/>
        <v>48.055787613547686</v>
      </c>
    </row>
    <row r="1663" spans="4:4" x14ac:dyDescent="0.25">
      <c r="D1663">
        <f t="shared" ca="1" si="38"/>
        <v>54.839983301136371</v>
      </c>
    </row>
    <row r="1664" spans="4:4" x14ac:dyDescent="0.25">
      <c r="D1664">
        <f t="shared" ca="1" si="38"/>
        <v>39.789220624197498</v>
      </c>
    </row>
    <row r="1665" spans="4:4" x14ac:dyDescent="0.25">
      <c r="D1665">
        <f t="shared" ca="1" si="38"/>
        <v>48.152828396039496</v>
      </c>
    </row>
    <row r="1666" spans="4:4" x14ac:dyDescent="0.25">
      <c r="D1666">
        <f t="shared" ca="1" si="38"/>
        <v>49.534706028092415</v>
      </c>
    </row>
    <row r="1667" spans="4:4" x14ac:dyDescent="0.25">
      <c r="D1667">
        <f t="shared" ref="D1667:D1730" ca="1" si="39">_xlfn.T.INV(RAND(),25)*$G$3+$F$3</f>
        <v>47.849082228346525</v>
      </c>
    </row>
    <row r="1668" spans="4:4" x14ac:dyDescent="0.25">
      <c r="D1668">
        <f t="shared" ca="1" si="39"/>
        <v>45.522064416784559</v>
      </c>
    </row>
    <row r="1669" spans="4:4" x14ac:dyDescent="0.25">
      <c r="D1669">
        <f t="shared" ca="1" si="39"/>
        <v>49.270281559457182</v>
      </c>
    </row>
    <row r="1670" spans="4:4" x14ac:dyDescent="0.25">
      <c r="D1670">
        <f t="shared" ca="1" si="39"/>
        <v>48.659241571042216</v>
      </c>
    </row>
    <row r="1671" spans="4:4" x14ac:dyDescent="0.25">
      <c r="D1671">
        <f t="shared" ca="1" si="39"/>
        <v>49.773035937125371</v>
      </c>
    </row>
    <row r="1672" spans="4:4" x14ac:dyDescent="0.25">
      <c r="D1672">
        <f t="shared" ca="1" si="39"/>
        <v>45.603783552836866</v>
      </c>
    </row>
    <row r="1673" spans="4:4" x14ac:dyDescent="0.25">
      <c r="D1673">
        <f t="shared" ca="1" si="39"/>
        <v>46.644451347213192</v>
      </c>
    </row>
    <row r="1674" spans="4:4" x14ac:dyDescent="0.25">
      <c r="D1674">
        <f t="shared" ca="1" si="39"/>
        <v>45.191015703835397</v>
      </c>
    </row>
    <row r="1675" spans="4:4" x14ac:dyDescent="0.25">
      <c r="D1675">
        <f t="shared" ca="1" si="39"/>
        <v>49.956268704582406</v>
      </c>
    </row>
    <row r="1676" spans="4:4" x14ac:dyDescent="0.25">
      <c r="D1676">
        <f t="shared" ca="1" si="39"/>
        <v>53.163452180915307</v>
      </c>
    </row>
    <row r="1677" spans="4:4" x14ac:dyDescent="0.25">
      <c r="D1677">
        <f t="shared" ca="1" si="39"/>
        <v>55.063253024951841</v>
      </c>
    </row>
    <row r="1678" spans="4:4" x14ac:dyDescent="0.25">
      <c r="D1678">
        <f t="shared" ca="1" si="39"/>
        <v>44.153469713465611</v>
      </c>
    </row>
    <row r="1679" spans="4:4" x14ac:dyDescent="0.25">
      <c r="D1679">
        <f t="shared" ca="1" si="39"/>
        <v>55.670074548514776</v>
      </c>
    </row>
    <row r="1680" spans="4:4" x14ac:dyDescent="0.25">
      <c r="D1680">
        <f t="shared" ca="1" si="39"/>
        <v>45.199447658347644</v>
      </c>
    </row>
    <row r="1681" spans="4:4" x14ac:dyDescent="0.25">
      <c r="D1681">
        <f t="shared" ca="1" si="39"/>
        <v>51.45235066970001</v>
      </c>
    </row>
    <row r="1682" spans="4:4" x14ac:dyDescent="0.25">
      <c r="D1682">
        <f t="shared" ca="1" si="39"/>
        <v>43.692765118378411</v>
      </c>
    </row>
    <row r="1683" spans="4:4" x14ac:dyDescent="0.25">
      <c r="D1683">
        <f t="shared" ca="1" si="39"/>
        <v>48.185076439322359</v>
      </c>
    </row>
    <row r="1684" spans="4:4" x14ac:dyDescent="0.25">
      <c r="D1684">
        <f t="shared" ca="1" si="39"/>
        <v>41.104842138307362</v>
      </c>
    </row>
    <row r="1685" spans="4:4" x14ac:dyDescent="0.25">
      <c r="D1685">
        <f t="shared" ca="1" si="39"/>
        <v>49.48634103712152</v>
      </c>
    </row>
    <row r="1686" spans="4:4" x14ac:dyDescent="0.25">
      <c r="D1686">
        <f t="shared" ca="1" si="39"/>
        <v>49.890438248262527</v>
      </c>
    </row>
    <row r="1687" spans="4:4" x14ac:dyDescent="0.25">
      <c r="D1687">
        <f t="shared" ca="1" si="39"/>
        <v>49.451721688857127</v>
      </c>
    </row>
    <row r="1688" spans="4:4" x14ac:dyDescent="0.25">
      <c r="D1688">
        <f t="shared" ca="1" si="39"/>
        <v>51.435756451798994</v>
      </c>
    </row>
    <row r="1689" spans="4:4" x14ac:dyDescent="0.25">
      <c r="D1689">
        <f t="shared" ca="1" si="39"/>
        <v>50.693296483613558</v>
      </c>
    </row>
    <row r="1690" spans="4:4" x14ac:dyDescent="0.25">
      <c r="D1690">
        <f t="shared" ca="1" si="39"/>
        <v>57.810129683649819</v>
      </c>
    </row>
    <row r="1691" spans="4:4" x14ac:dyDescent="0.25">
      <c r="D1691">
        <f t="shared" ca="1" si="39"/>
        <v>48.055535702164129</v>
      </c>
    </row>
    <row r="1692" spans="4:4" x14ac:dyDescent="0.25">
      <c r="D1692">
        <f t="shared" ca="1" si="39"/>
        <v>39.65226971730214</v>
      </c>
    </row>
    <row r="1693" spans="4:4" x14ac:dyDescent="0.25">
      <c r="D1693">
        <f t="shared" ca="1" si="39"/>
        <v>54.864858195379647</v>
      </c>
    </row>
    <row r="1694" spans="4:4" x14ac:dyDescent="0.25">
      <c r="D1694">
        <f t="shared" ca="1" si="39"/>
        <v>49.363068675535949</v>
      </c>
    </row>
    <row r="1695" spans="4:4" x14ac:dyDescent="0.25">
      <c r="D1695">
        <f t="shared" ca="1" si="39"/>
        <v>53.620328064520578</v>
      </c>
    </row>
    <row r="1696" spans="4:4" x14ac:dyDescent="0.25">
      <c r="D1696">
        <f t="shared" ca="1" si="39"/>
        <v>47.9189986276062</v>
      </c>
    </row>
    <row r="1697" spans="4:4" x14ac:dyDescent="0.25">
      <c r="D1697">
        <f t="shared" ca="1" si="39"/>
        <v>47.03428716499711</v>
      </c>
    </row>
    <row r="1698" spans="4:4" x14ac:dyDescent="0.25">
      <c r="D1698">
        <f t="shared" ca="1" si="39"/>
        <v>50.166914007992823</v>
      </c>
    </row>
    <row r="1699" spans="4:4" x14ac:dyDescent="0.25">
      <c r="D1699">
        <f t="shared" ca="1" si="39"/>
        <v>49.393402943381645</v>
      </c>
    </row>
    <row r="1700" spans="4:4" x14ac:dyDescent="0.25">
      <c r="D1700">
        <f t="shared" ca="1" si="39"/>
        <v>43.046514493685876</v>
      </c>
    </row>
    <row r="1701" spans="4:4" x14ac:dyDescent="0.25">
      <c r="D1701">
        <f t="shared" ca="1" si="39"/>
        <v>49.033573085338368</v>
      </c>
    </row>
    <row r="1702" spans="4:4" x14ac:dyDescent="0.25">
      <c r="D1702">
        <f t="shared" ca="1" si="39"/>
        <v>55.054163936323341</v>
      </c>
    </row>
    <row r="1703" spans="4:4" x14ac:dyDescent="0.25">
      <c r="D1703">
        <f t="shared" ca="1" si="39"/>
        <v>42.448091195877048</v>
      </c>
    </row>
    <row r="1704" spans="4:4" x14ac:dyDescent="0.25">
      <c r="D1704">
        <f t="shared" ca="1" si="39"/>
        <v>47.427135040471441</v>
      </c>
    </row>
    <row r="1705" spans="4:4" x14ac:dyDescent="0.25">
      <c r="D1705">
        <f t="shared" ca="1" si="39"/>
        <v>55.861415558743474</v>
      </c>
    </row>
    <row r="1706" spans="4:4" x14ac:dyDescent="0.25">
      <c r="D1706">
        <f t="shared" ca="1" si="39"/>
        <v>44.544787517133393</v>
      </c>
    </row>
    <row r="1707" spans="4:4" x14ac:dyDescent="0.25">
      <c r="D1707">
        <f t="shared" ca="1" si="39"/>
        <v>40.162727247755193</v>
      </c>
    </row>
    <row r="1708" spans="4:4" x14ac:dyDescent="0.25">
      <c r="D1708">
        <f t="shared" ca="1" si="39"/>
        <v>52.215849446982752</v>
      </c>
    </row>
    <row r="1709" spans="4:4" x14ac:dyDescent="0.25">
      <c r="D1709">
        <f t="shared" ca="1" si="39"/>
        <v>52.376593320682126</v>
      </c>
    </row>
    <row r="1710" spans="4:4" x14ac:dyDescent="0.25">
      <c r="D1710">
        <f t="shared" ca="1" si="39"/>
        <v>44.609786689247471</v>
      </c>
    </row>
    <row r="1711" spans="4:4" x14ac:dyDescent="0.25">
      <c r="D1711">
        <f t="shared" ca="1" si="39"/>
        <v>46.439025778929334</v>
      </c>
    </row>
    <row r="1712" spans="4:4" x14ac:dyDescent="0.25">
      <c r="D1712">
        <f t="shared" ca="1" si="39"/>
        <v>52.577480510681127</v>
      </c>
    </row>
    <row r="1713" spans="4:4" x14ac:dyDescent="0.25">
      <c r="D1713">
        <f t="shared" ca="1" si="39"/>
        <v>48.308340173860387</v>
      </c>
    </row>
    <row r="1714" spans="4:4" x14ac:dyDescent="0.25">
      <c r="D1714">
        <f t="shared" ca="1" si="39"/>
        <v>55.431940823268512</v>
      </c>
    </row>
    <row r="1715" spans="4:4" x14ac:dyDescent="0.25">
      <c r="D1715">
        <f t="shared" ca="1" si="39"/>
        <v>45.094139941964777</v>
      </c>
    </row>
    <row r="1716" spans="4:4" x14ac:dyDescent="0.25">
      <c r="D1716">
        <f t="shared" ca="1" si="39"/>
        <v>41.123940773624497</v>
      </c>
    </row>
    <row r="1717" spans="4:4" x14ac:dyDescent="0.25">
      <c r="D1717">
        <f t="shared" ca="1" si="39"/>
        <v>59.230041131413635</v>
      </c>
    </row>
    <row r="1718" spans="4:4" x14ac:dyDescent="0.25">
      <c r="D1718">
        <f t="shared" ca="1" si="39"/>
        <v>49.921008857666891</v>
      </c>
    </row>
    <row r="1719" spans="4:4" x14ac:dyDescent="0.25">
      <c r="D1719">
        <f t="shared" ca="1" si="39"/>
        <v>46.375100135729944</v>
      </c>
    </row>
    <row r="1720" spans="4:4" x14ac:dyDescent="0.25">
      <c r="D1720">
        <f t="shared" ca="1" si="39"/>
        <v>51.712116479260146</v>
      </c>
    </row>
    <row r="1721" spans="4:4" x14ac:dyDescent="0.25">
      <c r="D1721">
        <f t="shared" ca="1" si="39"/>
        <v>49.150200558027571</v>
      </c>
    </row>
    <row r="1722" spans="4:4" x14ac:dyDescent="0.25">
      <c r="D1722">
        <f t="shared" ca="1" si="39"/>
        <v>49.294761867520485</v>
      </c>
    </row>
    <row r="1723" spans="4:4" x14ac:dyDescent="0.25">
      <c r="D1723">
        <f t="shared" ca="1" si="39"/>
        <v>50.024176464715794</v>
      </c>
    </row>
    <row r="1724" spans="4:4" x14ac:dyDescent="0.25">
      <c r="D1724">
        <f t="shared" ca="1" si="39"/>
        <v>48.538363746555021</v>
      </c>
    </row>
    <row r="1725" spans="4:4" x14ac:dyDescent="0.25">
      <c r="D1725">
        <f t="shared" ca="1" si="39"/>
        <v>52.525812874077396</v>
      </c>
    </row>
    <row r="1726" spans="4:4" x14ac:dyDescent="0.25">
      <c r="D1726">
        <f t="shared" ca="1" si="39"/>
        <v>42.836449890862248</v>
      </c>
    </row>
    <row r="1727" spans="4:4" x14ac:dyDescent="0.25">
      <c r="D1727">
        <f t="shared" ca="1" si="39"/>
        <v>46.293992363808243</v>
      </c>
    </row>
    <row r="1728" spans="4:4" x14ac:dyDescent="0.25">
      <c r="D1728">
        <f t="shared" ca="1" si="39"/>
        <v>47.317122826010774</v>
      </c>
    </row>
    <row r="1729" spans="4:4" x14ac:dyDescent="0.25">
      <c r="D1729">
        <f t="shared" ca="1" si="39"/>
        <v>52.085676800196332</v>
      </c>
    </row>
    <row r="1730" spans="4:4" x14ac:dyDescent="0.25">
      <c r="D1730">
        <f t="shared" ca="1" si="39"/>
        <v>42.941924657796193</v>
      </c>
    </row>
    <row r="1731" spans="4:4" x14ac:dyDescent="0.25">
      <c r="D1731">
        <f t="shared" ref="D1731:D1794" ca="1" si="40">_xlfn.T.INV(RAND(),25)*$G$3+$F$3</f>
        <v>57.653026327495745</v>
      </c>
    </row>
    <row r="1732" spans="4:4" x14ac:dyDescent="0.25">
      <c r="D1732">
        <f t="shared" ca="1" si="40"/>
        <v>44.046265078875585</v>
      </c>
    </row>
    <row r="1733" spans="4:4" x14ac:dyDescent="0.25">
      <c r="D1733">
        <f t="shared" ca="1" si="40"/>
        <v>55.344974686334169</v>
      </c>
    </row>
    <row r="1734" spans="4:4" x14ac:dyDescent="0.25">
      <c r="D1734">
        <f t="shared" ca="1" si="40"/>
        <v>42.34685566187175</v>
      </c>
    </row>
    <row r="1735" spans="4:4" x14ac:dyDescent="0.25">
      <c r="D1735">
        <f t="shared" ca="1" si="40"/>
        <v>38.66927222251644</v>
      </c>
    </row>
    <row r="1736" spans="4:4" x14ac:dyDescent="0.25">
      <c r="D1736">
        <f t="shared" ca="1" si="40"/>
        <v>42.325470169653869</v>
      </c>
    </row>
    <row r="1737" spans="4:4" x14ac:dyDescent="0.25">
      <c r="D1737">
        <f t="shared" ca="1" si="40"/>
        <v>55.030126388449233</v>
      </c>
    </row>
    <row r="1738" spans="4:4" x14ac:dyDescent="0.25">
      <c r="D1738">
        <f t="shared" ca="1" si="40"/>
        <v>47.219910182105565</v>
      </c>
    </row>
    <row r="1739" spans="4:4" x14ac:dyDescent="0.25">
      <c r="D1739">
        <f t="shared" ca="1" si="40"/>
        <v>45.929719080089725</v>
      </c>
    </row>
    <row r="1740" spans="4:4" x14ac:dyDescent="0.25">
      <c r="D1740">
        <f t="shared" ca="1" si="40"/>
        <v>43.626881241087872</v>
      </c>
    </row>
    <row r="1741" spans="4:4" x14ac:dyDescent="0.25">
      <c r="D1741">
        <f t="shared" ca="1" si="40"/>
        <v>47.957960012827229</v>
      </c>
    </row>
    <row r="1742" spans="4:4" x14ac:dyDescent="0.25">
      <c r="D1742">
        <f t="shared" ca="1" si="40"/>
        <v>49.657656257074713</v>
      </c>
    </row>
    <row r="1743" spans="4:4" x14ac:dyDescent="0.25">
      <c r="D1743">
        <f t="shared" ca="1" si="40"/>
        <v>43.312926659815894</v>
      </c>
    </row>
    <row r="1744" spans="4:4" x14ac:dyDescent="0.25">
      <c r="D1744">
        <f t="shared" ca="1" si="40"/>
        <v>47.495875632735832</v>
      </c>
    </row>
    <row r="1745" spans="4:4" x14ac:dyDescent="0.25">
      <c r="D1745">
        <f t="shared" ca="1" si="40"/>
        <v>47.411034353951017</v>
      </c>
    </row>
    <row r="1746" spans="4:4" x14ac:dyDescent="0.25">
      <c r="D1746">
        <f t="shared" ca="1" si="40"/>
        <v>50.138136727297102</v>
      </c>
    </row>
    <row r="1747" spans="4:4" x14ac:dyDescent="0.25">
      <c r="D1747">
        <f t="shared" ca="1" si="40"/>
        <v>51.714568944670567</v>
      </c>
    </row>
    <row r="1748" spans="4:4" x14ac:dyDescent="0.25">
      <c r="D1748">
        <f t="shared" ca="1" si="40"/>
        <v>45.954557554233418</v>
      </c>
    </row>
    <row r="1749" spans="4:4" x14ac:dyDescent="0.25">
      <c r="D1749">
        <f t="shared" ca="1" si="40"/>
        <v>42.61383077145458</v>
      </c>
    </row>
    <row r="1750" spans="4:4" x14ac:dyDescent="0.25">
      <c r="D1750">
        <f t="shared" ca="1" si="40"/>
        <v>54.493337071016732</v>
      </c>
    </row>
    <row r="1751" spans="4:4" x14ac:dyDescent="0.25">
      <c r="D1751">
        <f t="shared" ca="1" si="40"/>
        <v>46.480476112124791</v>
      </c>
    </row>
    <row r="1752" spans="4:4" x14ac:dyDescent="0.25">
      <c r="D1752">
        <f t="shared" ca="1" si="40"/>
        <v>51.558734244097089</v>
      </c>
    </row>
    <row r="1753" spans="4:4" x14ac:dyDescent="0.25">
      <c r="D1753">
        <f t="shared" ca="1" si="40"/>
        <v>45.224074886422123</v>
      </c>
    </row>
    <row r="1754" spans="4:4" x14ac:dyDescent="0.25">
      <c r="D1754">
        <f t="shared" ca="1" si="40"/>
        <v>48.14867968206935</v>
      </c>
    </row>
    <row r="1755" spans="4:4" x14ac:dyDescent="0.25">
      <c r="D1755">
        <f t="shared" ca="1" si="40"/>
        <v>48.732131229256709</v>
      </c>
    </row>
    <row r="1756" spans="4:4" x14ac:dyDescent="0.25">
      <c r="D1756">
        <f t="shared" ca="1" si="40"/>
        <v>49.330531013316303</v>
      </c>
    </row>
    <row r="1757" spans="4:4" x14ac:dyDescent="0.25">
      <c r="D1757">
        <f t="shared" ca="1" si="40"/>
        <v>50.954957684066528</v>
      </c>
    </row>
    <row r="1758" spans="4:4" x14ac:dyDescent="0.25">
      <c r="D1758">
        <f t="shared" ca="1" si="40"/>
        <v>50.381497342166462</v>
      </c>
    </row>
    <row r="1759" spans="4:4" x14ac:dyDescent="0.25">
      <c r="D1759">
        <f t="shared" ca="1" si="40"/>
        <v>49.134685988308618</v>
      </c>
    </row>
    <row r="1760" spans="4:4" x14ac:dyDescent="0.25">
      <c r="D1760">
        <f t="shared" ca="1" si="40"/>
        <v>55.468417029121071</v>
      </c>
    </row>
    <row r="1761" spans="4:4" x14ac:dyDescent="0.25">
      <c r="D1761">
        <f t="shared" ca="1" si="40"/>
        <v>55.033907075322453</v>
      </c>
    </row>
    <row r="1762" spans="4:4" x14ac:dyDescent="0.25">
      <c r="D1762">
        <f t="shared" ca="1" si="40"/>
        <v>46.213767548307921</v>
      </c>
    </row>
    <row r="1763" spans="4:4" x14ac:dyDescent="0.25">
      <c r="D1763">
        <f t="shared" ca="1" si="40"/>
        <v>49.405902062491478</v>
      </c>
    </row>
    <row r="1764" spans="4:4" x14ac:dyDescent="0.25">
      <c r="D1764">
        <f t="shared" ca="1" si="40"/>
        <v>54.773792989017927</v>
      </c>
    </row>
    <row r="1765" spans="4:4" x14ac:dyDescent="0.25">
      <c r="D1765">
        <f t="shared" ca="1" si="40"/>
        <v>51.827196445926155</v>
      </c>
    </row>
    <row r="1766" spans="4:4" x14ac:dyDescent="0.25">
      <c r="D1766">
        <f t="shared" ca="1" si="40"/>
        <v>56.817756920331952</v>
      </c>
    </row>
    <row r="1767" spans="4:4" x14ac:dyDescent="0.25">
      <c r="D1767">
        <f t="shared" ca="1" si="40"/>
        <v>46.59234703285955</v>
      </c>
    </row>
    <row r="1768" spans="4:4" x14ac:dyDescent="0.25">
      <c r="D1768">
        <f t="shared" ca="1" si="40"/>
        <v>50.846614162352978</v>
      </c>
    </row>
    <row r="1769" spans="4:4" x14ac:dyDescent="0.25">
      <c r="D1769">
        <f t="shared" ca="1" si="40"/>
        <v>45.367348233027677</v>
      </c>
    </row>
    <row r="1770" spans="4:4" x14ac:dyDescent="0.25">
      <c r="D1770">
        <f t="shared" ca="1" si="40"/>
        <v>45.193631683225128</v>
      </c>
    </row>
    <row r="1771" spans="4:4" x14ac:dyDescent="0.25">
      <c r="D1771">
        <f t="shared" ca="1" si="40"/>
        <v>57.675001564927356</v>
      </c>
    </row>
    <row r="1772" spans="4:4" x14ac:dyDescent="0.25">
      <c r="D1772">
        <f t="shared" ca="1" si="40"/>
        <v>51.374204033588853</v>
      </c>
    </row>
    <row r="1773" spans="4:4" x14ac:dyDescent="0.25">
      <c r="D1773">
        <f t="shared" ca="1" si="40"/>
        <v>48.295879638819258</v>
      </c>
    </row>
    <row r="1774" spans="4:4" x14ac:dyDescent="0.25">
      <c r="D1774">
        <f t="shared" ca="1" si="40"/>
        <v>41.924530395071471</v>
      </c>
    </row>
    <row r="1775" spans="4:4" x14ac:dyDescent="0.25">
      <c r="D1775">
        <f t="shared" ca="1" si="40"/>
        <v>50.546194909956732</v>
      </c>
    </row>
    <row r="1776" spans="4:4" x14ac:dyDescent="0.25">
      <c r="D1776">
        <f t="shared" ca="1" si="40"/>
        <v>53.35663889375278</v>
      </c>
    </row>
    <row r="1777" spans="4:4" x14ac:dyDescent="0.25">
      <c r="D1777">
        <f t="shared" ca="1" si="40"/>
        <v>47.615842283099596</v>
      </c>
    </row>
    <row r="1778" spans="4:4" x14ac:dyDescent="0.25">
      <c r="D1778">
        <f t="shared" ca="1" si="40"/>
        <v>61.759597493895683</v>
      </c>
    </row>
    <row r="1779" spans="4:4" x14ac:dyDescent="0.25">
      <c r="D1779">
        <f t="shared" ca="1" si="40"/>
        <v>54.613070805824663</v>
      </c>
    </row>
    <row r="1780" spans="4:4" x14ac:dyDescent="0.25">
      <c r="D1780">
        <f t="shared" ca="1" si="40"/>
        <v>49.307906214688323</v>
      </c>
    </row>
    <row r="1781" spans="4:4" x14ac:dyDescent="0.25">
      <c r="D1781">
        <f t="shared" ca="1" si="40"/>
        <v>49.62557926788967</v>
      </c>
    </row>
    <row r="1782" spans="4:4" x14ac:dyDescent="0.25">
      <c r="D1782">
        <f t="shared" ca="1" si="40"/>
        <v>50.25706700978111</v>
      </c>
    </row>
    <row r="1783" spans="4:4" x14ac:dyDescent="0.25">
      <c r="D1783">
        <f t="shared" ca="1" si="40"/>
        <v>50.502759886787977</v>
      </c>
    </row>
    <row r="1784" spans="4:4" x14ac:dyDescent="0.25">
      <c r="D1784">
        <f t="shared" ca="1" si="40"/>
        <v>41.614887229859747</v>
      </c>
    </row>
    <row r="1785" spans="4:4" x14ac:dyDescent="0.25">
      <c r="D1785">
        <f t="shared" ca="1" si="40"/>
        <v>42.352727829552713</v>
      </c>
    </row>
    <row r="1786" spans="4:4" x14ac:dyDescent="0.25">
      <c r="D1786">
        <f t="shared" ca="1" si="40"/>
        <v>46.716755566089532</v>
      </c>
    </row>
    <row r="1787" spans="4:4" x14ac:dyDescent="0.25">
      <c r="D1787">
        <f t="shared" ca="1" si="40"/>
        <v>45.457879117626135</v>
      </c>
    </row>
    <row r="1788" spans="4:4" x14ac:dyDescent="0.25">
      <c r="D1788">
        <f t="shared" ca="1" si="40"/>
        <v>46.548244571155905</v>
      </c>
    </row>
    <row r="1789" spans="4:4" x14ac:dyDescent="0.25">
      <c r="D1789">
        <f t="shared" ca="1" si="40"/>
        <v>52.13040021990583</v>
      </c>
    </row>
    <row r="1790" spans="4:4" x14ac:dyDescent="0.25">
      <c r="D1790">
        <f t="shared" ca="1" si="40"/>
        <v>49.864110767086132</v>
      </c>
    </row>
    <row r="1791" spans="4:4" x14ac:dyDescent="0.25">
      <c r="D1791">
        <f t="shared" ca="1" si="40"/>
        <v>45.854308461898079</v>
      </c>
    </row>
    <row r="1792" spans="4:4" x14ac:dyDescent="0.25">
      <c r="D1792">
        <f t="shared" ca="1" si="40"/>
        <v>50.303808842841555</v>
      </c>
    </row>
    <row r="1793" spans="4:4" x14ac:dyDescent="0.25">
      <c r="D1793">
        <f t="shared" ca="1" si="40"/>
        <v>56.807582632675668</v>
      </c>
    </row>
    <row r="1794" spans="4:4" x14ac:dyDescent="0.25">
      <c r="D1794">
        <f t="shared" ca="1" si="40"/>
        <v>47.761076667467641</v>
      </c>
    </row>
    <row r="1795" spans="4:4" x14ac:dyDescent="0.25">
      <c r="D1795">
        <f t="shared" ref="D1795:D1858" ca="1" si="41">_xlfn.T.INV(RAND(),25)*$G$3+$F$3</f>
        <v>41.81309345912706</v>
      </c>
    </row>
    <row r="1796" spans="4:4" x14ac:dyDescent="0.25">
      <c r="D1796">
        <f t="shared" ca="1" si="41"/>
        <v>46.239215022590479</v>
      </c>
    </row>
    <row r="1797" spans="4:4" x14ac:dyDescent="0.25">
      <c r="D1797">
        <f t="shared" ca="1" si="41"/>
        <v>66.275957695133854</v>
      </c>
    </row>
    <row r="1798" spans="4:4" x14ac:dyDescent="0.25">
      <c r="D1798">
        <f t="shared" ca="1" si="41"/>
        <v>52.864537080771335</v>
      </c>
    </row>
    <row r="1799" spans="4:4" x14ac:dyDescent="0.25">
      <c r="D1799">
        <f t="shared" ca="1" si="41"/>
        <v>53.439594257681904</v>
      </c>
    </row>
    <row r="1800" spans="4:4" x14ac:dyDescent="0.25">
      <c r="D1800">
        <f t="shared" ca="1" si="41"/>
        <v>50.800089875219214</v>
      </c>
    </row>
    <row r="1801" spans="4:4" x14ac:dyDescent="0.25">
      <c r="D1801">
        <f t="shared" ca="1" si="41"/>
        <v>43.846254438392435</v>
      </c>
    </row>
    <row r="1802" spans="4:4" x14ac:dyDescent="0.25">
      <c r="D1802">
        <f t="shared" ca="1" si="41"/>
        <v>57.667545168091785</v>
      </c>
    </row>
    <row r="1803" spans="4:4" x14ac:dyDescent="0.25">
      <c r="D1803">
        <f t="shared" ca="1" si="41"/>
        <v>49.924608156087679</v>
      </c>
    </row>
    <row r="1804" spans="4:4" x14ac:dyDescent="0.25">
      <c r="D1804">
        <f t="shared" ca="1" si="41"/>
        <v>48.045166533802025</v>
      </c>
    </row>
    <row r="1805" spans="4:4" x14ac:dyDescent="0.25">
      <c r="D1805">
        <f t="shared" ca="1" si="41"/>
        <v>47.816163888873696</v>
      </c>
    </row>
    <row r="1806" spans="4:4" x14ac:dyDescent="0.25">
      <c r="D1806">
        <f t="shared" ca="1" si="41"/>
        <v>47.977149070498065</v>
      </c>
    </row>
    <row r="1807" spans="4:4" x14ac:dyDescent="0.25">
      <c r="D1807">
        <f t="shared" ca="1" si="41"/>
        <v>49.103164219724036</v>
      </c>
    </row>
    <row r="1808" spans="4:4" x14ac:dyDescent="0.25">
      <c r="D1808">
        <f t="shared" ca="1" si="41"/>
        <v>57.138159881615415</v>
      </c>
    </row>
    <row r="1809" spans="4:4" x14ac:dyDescent="0.25">
      <c r="D1809">
        <f t="shared" ca="1" si="41"/>
        <v>54.663260845276682</v>
      </c>
    </row>
    <row r="1810" spans="4:4" x14ac:dyDescent="0.25">
      <c r="D1810">
        <f t="shared" ca="1" si="41"/>
        <v>50.551059760738923</v>
      </c>
    </row>
    <row r="1811" spans="4:4" x14ac:dyDescent="0.25">
      <c r="D1811">
        <f t="shared" ca="1" si="41"/>
        <v>45.532189288805775</v>
      </c>
    </row>
    <row r="1812" spans="4:4" x14ac:dyDescent="0.25">
      <c r="D1812">
        <f t="shared" ca="1" si="41"/>
        <v>49.164396430997691</v>
      </c>
    </row>
    <row r="1813" spans="4:4" x14ac:dyDescent="0.25">
      <c r="D1813">
        <f t="shared" ca="1" si="41"/>
        <v>50.83997381205478</v>
      </c>
    </row>
    <row r="1814" spans="4:4" x14ac:dyDescent="0.25">
      <c r="D1814">
        <f t="shared" ca="1" si="41"/>
        <v>53.154436390837134</v>
      </c>
    </row>
    <row r="1815" spans="4:4" x14ac:dyDescent="0.25">
      <c r="D1815">
        <f t="shared" ca="1" si="41"/>
        <v>54.70676494774947</v>
      </c>
    </row>
    <row r="1816" spans="4:4" x14ac:dyDescent="0.25">
      <c r="D1816">
        <f t="shared" ca="1" si="41"/>
        <v>45.472818997068956</v>
      </c>
    </row>
    <row r="1817" spans="4:4" x14ac:dyDescent="0.25">
      <c r="D1817">
        <f t="shared" ca="1" si="41"/>
        <v>53.456010687881637</v>
      </c>
    </row>
    <row r="1818" spans="4:4" x14ac:dyDescent="0.25">
      <c r="D1818">
        <f t="shared" ca="1" si="41"/>
        <v>55.704472718889974</v>
      </c>
    </row>
    <row r="1819" spans="4:4" x14ac:dyDescent="0.25">
      <c r="D1819">
        <f t="shared" ca="1" si="41"/>
        <v>49.718520081249544</v>
      </c>
    </row>
    <row r="1820" spans="4:4" x14ac:dyDescent="0.25">
      <c r="D1820">
        <f t="shared" ca="1" si="41"/>
        <v>47.650910409346068</v>
      </c>
    </row>
    <row r="1821" spans="4:4" x14ac:dyDescent="0.25">
      <c r="D1821">
        <f t="shared" ca="1" si="41"/>
        <v>52.251774216616425</v>
      </c>
    </row>
    <row r="1822" spans="4:4" x14ac:dyDescent="0.25">
      <c r="D1822">
        <f t="shared" ca="1" si="41"/>
        <v>51.168946583429978</v>
      </c>
    </row>
    <row r="1823" spans="4:4" x14ac:dyDescent="0.25">
      <c r="D1823">
        <f t="shared" ca="1" si="41"/>
        <v>47.661019369116246</v>
      </c>
    </row>
    <row r="1824" spans="4:4" x14ac:dyDescent="0.25">
      <c r="D1824">
        <f t="shared" ca="1" si="41"/>
        <v>50.120446799885606</v>
      </c>
    </row>
    <row r="1825" spans="4:4" x14ac:dyDescent="0.25">
      <c r="D1825">
        <f t="shared" ca="1" si="41"/>
        <v>51.225331029539568</v>
      </c>
    </row>
    <row r="1826" spans="4:4" x14ac:dyDescent="0.25">
      <c r="D1826">
        <f t="shared" ca="1" si="41"/>
        <v>51.744307508167232</v>
      </c>
    </row>
    <row r="1827" spans="4:4" x14ac:dyDescent="0.25">
      <c r="D1827">
        <f t="shared" ca="1" si="41"/>
        <v>52.127452075977885</v>
      </c>
    </row>
    <row r="1828" spans="4:4" x14ac:dyDescent="0.25">
      <c r="D1828">
        <f t="shared" ca="1" si="41"/>
        <v>49.007965929487995</v>
      </c>
    </row>
    <row r="1829" spans="4:4" x14ac:dyDescent="0.25">
      <c r="D1829">
        <f t="shared" ca="1" si="41"/>
        <v>46.903795247580845</v>
      </c>
    </row>
    <row r="1830" spans="4:4" x14ac:dyDescent="0.25">
      <c r="D1830">
        <f t="shared" ca="1" si="41"/>
        <v>49.393894638848977</v>
      </c>
    </row>
    <row r="1831" spans="4:4" x14ac:dyDescent="0.25">
      <c r="D1831">
        <f t="shared" ca="1" si="41"/>
        <v>58.729907066357164</v>
      </c>
    </row>
    <row r="1832" spans="4:4" x14ac:dyDescent="0.25">
      <c r="D1832">
        <f t="shared" ca="1" si="41"/>
        <v>47.113908312747796</v>
      </c>
    </row>
    <row r="1833" spans="4:4" x14ac:dyDescent="0.25">
      <c r="D1833">
        <f t="shared" ca="1" si="41"/>
        <v>51.125050164939701</v>
      </c>
    </row>
    <row r="1834" spans="4:4" x14ac:dyDescent="0.25">
      <c r="D1834">
        <f t="shared" ca="1" si="41"/>
        <v>44.564879527470701</v>
      </c>
    </row>
    <row r="1835" spans="4:4" x14ac:dyDescent="0.25">
      <c r="D1835">
        <f t="shared" ca="1" si="41"/>
        <v>45.759644615524969</v>
      </c>
    </row>
    <row r="1836" spans="4:4" x14ac:dyDescent="0.25">
      <c r="D1836">
        <f t="shared" ca="1" si="41"/>
        <v>44.733890075933083</v>
      </c>
    </row>
    <row r="1837" spans="4:4" x14ac:dyDescent="0.25">
      <c r="D1837">
        <f t="shared" ca="1" si="41"/>
        <v>54.318950305155113</v>
      </c>
    </row>
    <row r="1838" spans="4:4" x14ac:dyDescent="0.25">
      <c r="D1838">
        <f t="shared" ca="1" si="41"/>
        <v>47.746486983646463</v>
      </c>
    </row>
    <row r="1839" spans="4:4" x14ac:dyDescent="0.25">
      <c r="D1839">
        <f t="shared" ca="1" si="41"/>
        <v>53.036704652336546</v>
      </c>
    </row>
    <row r="1840" spans="4:4" x14ac:dyDescent="0.25">
      <c r="D1840">
        <f t="shared" ca="1" si="41"/>
        <v>46.893015308840596</v>
      </c>
    </row>
    <row r="1841" spans="4:4" x14ac:dyDescent="0.25">
      <c r="D1841">
        <f t="shared" ca="1" si="41"/>
        <v>50.744766118249274</v>
      </c>
    </row>
    <row r="1842" spans="4:4" x14ac:dyDescent="0.25">
      <c r="D1842">
        <f t="shared" ca="1" si="41"/>
        <v>47.802564716501934</v>
      </c>
    </row>
    <row r="1843" spans="4:4" x14ac:dyDescent="0.25">
      <c r="D1843">
        <f t="shared" ca="1" si="41"/>
        <v>47.905515041734411</v>
      </c>
    </row>
    <row r="1844" spans="4:4" x14ac:dyDescent="0.25">
      <c r="D1844">
        <f t="shared" ca="1" si="41"/>
        <v>45.745884694510778</v>
      </c>
    </row>
    <row r="1845" spans="4:4" x14ac:dyDescent="0.25">
      <c r="D1845">
        <f t="shared" ca="1" si="41"/>
        <v>47.523493204869048</v>
      </c>
    </row>
    <row r="1846" spans="4:4" x14ac:dyDescent="0.25">
      <c r="D1846">
        <f t="shared" ca="1" si="41"/>
        <v>54.792373096083416</v>
      </c>
    </row>
    <row r="1847" spans="4:4" x14ac:dyDescent="0.25">
      <c r="D1847">
        <f t="shared" ca="1" si="41"/>
        <v>51.474703678684683</v>
      </c>
    </row>
    <row r="1848" spans="4:4" x14ac:dyDescent="0.25">
      <c r="D1848">
        <f t="shared" ca="1" si="41"/>
        <v>51.392098903899125</v>
      </c>
    </row>
    <row r="1849" spans="4:4" x14ac:dyDescent="0.25">
      <c r="D1849">
        <f t="shared" ca="1" si="41"/>
        <v>50.822122585770948</v>
      </c>
    </row>
    <row r="1850" spans="4:4" x14ac:dyDescent="0.25">
      <c r="D1850">
        <f t="shared" ca="1" si="41"/>
        <v>57.283174966846559</v>
      </c>
    </row>
    <row r="1851" spans="4:4" x14ac:dyDescent="0.25">
      <c r="D1851">
        <f t="shared" ca="1" si="41"/>
        <v>50.413624276667512</v>
      </c>
    </row>
    <row r="1852" spans="4:4" x14ac:dyDescent="0.25">
      <c r="D1852">
        <f t="shared" ca="1" si="41"/>
        <v>54.307772549981777</v>
      </c>
    </row>
    <row r="1853" spans="4:4" x14ac:dyDescent="0.25">
      <c r="D1853">
        <f t="shared" ca="1" si="41"/>
        <v>51.936523854276523</v>
      </c>
    </row>
    <row r="1854" spans="4:4" x14ac:dyDescent="0.25">
      <c r="D1854">
        <f t="shared" ca="1" si="41"/>
        <v>51.071092790315994</v>
      </c>
    </row>
    <row r="1855" spans="4:4" x14ac:dyDescent="0.25">
      <c r="D1855">
        <f t="shared" ca="1" si="41"/>
        <v>50.272988632559972</v>
      </c>
    </row>
    <row r="1856" spans="4:4" x14ac:dyDescent="0.25">
      <c r="D1856">
        <f t="shared" ca="1" si="41"/>
        <v>52.631667759332693</v>
      </c>
    </row>
    <row r="1857" spans="4:4" x14ac:dyDescent="0.25">
      <c r="D1857">
        <f t="shared" ca="1" si="41"/>
        <v>54.611279569106713</v>
      </c>
    </row>
    <row r="1858" spans="4:4" x14ac:dyDescent="0.25">
      <c r="D1858">
        <f t="shared" ca="1" si="41"/>
        <v>51.81779711194001</v>
      </c>
    </row>
    <row r="1859" spans="4:4" x14ac:dyDescent="0.25">
      <c r="D1859">
        <f t="shared" ref="D1859:D1922" ca="1" si="42">_xlfn.T.INV(RAND(),25)*$G$3+$F$3</f>
        <v>50.937085593048138</v>
      </c>
    </row>
    <row r="1860" spans="4:4" x14ac:dyDescent="0.25">
      <c r="D1860">
        <f t="shared" ca="1" si="42"/>
        <v>50.031406190965619</v>
      </c>
    </row>
    <row r="1861" spans="4:4" x14ac:dyDescent="0.25">
      <c r="D1861">
        <f t="shared" ca="1" si="42"/>
        <v>35.678013453779919</v>
      </c>
    </row>
    <row r="1862" spans="4:4" x14ac:dyDescent="0.25">
      <c r="D1862">
        <f t="shared" ca="1" si="42"/>
        <v>60.764791690497091</v>
      </c>
    </row>
    <row r="1863" spans="4:4" x14ac:dyDescent="0.25">
      <c r="D1863">
        <f t="shared" ca="1" si="42"/>
        <v>50.266507063381653</v>
      </c>
    </row>
    <row r="1864" spans="4:4" x14ac:dyDescent="0.25">
      <c r="D1864">
        <f t="shared" ca="1" si="42"/>
        <v>46.245519994401405</v>
      </c>
    </row>
    <row r="1865" spans="4:4" x14ac:dyDescent="0.25">
      <c r="D1865">
        <f t="shared" ca="1" si="42"/>
        <v>50.713097445255904</v>
      </c>
    </row>
    <row r="1866" spans="4:4" x14ac:dyDescent="0.25">
      <c r="D1866">
        <f t="shared" ca="1" si="42"/>
        <v>49.105771170358139</v>
      </c>
    </row>
    <row r="1867" spans="4:4" x14ac:dyDescent="0.25">
      <c r="D1867">
        <f t="shared" ca="1" si="42"/>
        <v>57.747754122874809</v>
      </c>
    </row>
    <row r="1868" spans="4:4" x14ac:dyDescent="0.25">
      <c r="D1868">
        <f t="shared" ca="1" si="42"/>
        <v>58.951492072477535</v>
      </c>
    </row>
    <row r="1869" spans="4:4" x14ac:dyDescent="0.25">
      <c r="D1869">
        <f t="shared" ca="1" si="42"/>
        <v>52.891260546264647</v>
      </c>
    </row>
    <row r="1870" spans="4:4" x14ac:dyDescent="0.25">
      <c r="D1870">
        <f t="shared" ca="1" si="42"/>
        <v>38.857649268525044</v>
      </c>
    </row>
    <row r="1871" spans="4:4" x14ac:dyDescent="0.25">
      <c r="D1871">
        <f t="shared" ca="1" si="42"/>
        <v>47.425899496756429</v>
      </c>
    </row>
    <row r="1872" spans="4:4" x14ac:dyDescent="0.25">
      <c r="D1872">
        <f t="shared" ca="1" si="42"/>
        <v>50.766259558045732</v>
      </c>
    </row>
    <row r="1873" spans="4:4" x14ac:dyDescent="0.25">
      <c r="D1873">
        <f t="shared" ca="1" si="42"/>
        <v>45.632890776270983</v>
      </c>
    </row>
    <row r="1874" spans="4:4" x14ac:dyDescent="0.25">
      <c r="D1874">
        <f t="shared" ca="1" si="42"/>
        <v>49.648666366468319</v>
      </c>
    </row>
    <row r="1875" spans="4:4" x14ac:dyDescent="0.25">
      <c r="D1875">
        <f t="shared" ca="1" si="42"/>
        <v>52.214740477803915</v>
      </c>
    </row>
    <row r="1876" spans="4:4" x14ac:dyDescent="0.25">
      <c r="D1876">
        <f t="shared" ca="1" si="42"/>
        <v>45.600709668151104</v>
      </c>
    </row>
    <row r="1877" spans="4:4" x14ac:dyDescent="0.25">
      <c r="D1877">
        <f t="shared" ca="1" si="42"/>
        <v>59.265474560175818</v>
      </c>
    </row>
    <row r="1878" spans="4:4" x14ac:dyDescent="0.25">
      <c r="D1878">
        <f t="shared" ca="1" si="42"/>
        <v>39.640499583693007</v>
      </c>
    </row>
    <row r="1879" spans="4:4" x14ac:dyDescent="0.25">
      <c r="D1879">
        <f t="shared" ca="1" si="42"/>
        <v>39.12278744364346</v>
      </c>
    </row>
    <row r="1880" spans="4:4" x14ac:dyDescent="0.25">
      <c r="D1880">
        <f t="shared" ca="1" si="42"/>
        <v>43.030703171353402</v>
      </c>
    </row>
    <row r="1881" spans="4:4" x14ac:dyDescent="0.25">
      <c r="D1881">
        <f t="shared" ca="1" si="42"/>
        <v>42.889323751322969</v>
      </c>
    </row>
    <row r="1882" spans="4:4" x14ac:dyDescent="0.25">
      <c r="D1882">
        <f t="shared" ca="1" si="42"/>
        <v>46.568079937155687</v>
      </c>
    </row>
    <row r="1883" spans="4:4" x14ac:dyDescent="0.25">
      <c r="D1883">
        <f t="shared" ca="1" si="42"/>
        <v>49.350019039733525</v>
      </c>
    </row>
    <row r="1884" spans="4:4" x14ac:dyDescent="0.25">
      <c r="D1884">
        <f t="shared" ca="1" si="42"/>
        <v>56.134085646261923</v>
      </c>
    </row>
    <row r="1885" spans="4:4" x14ac:dyDescent="0.25">
      <c r="D1885">
        <f t="shared" ca="1" si="42"/>
        <v>54.833045819078379</v>
      </c>
    </row>
    <row r="1886" spans="4:4" x14ac:dyDescent="0.25">
      <c r="D1886">
        <f t="shared" ca="1" si="42"/>
        <v>49.203229695405653</v>
      </c>
    </row>
    <row r="1887" spans="4:4" x14ac:dyDescent="0.25">
      <c r="D1887">
        <f t="shared" ca="1" si="42"/>
        <v>54.835813265116734</v>
      </c>
    </row>
    <row r="1888" spans="4:4" x14ac:dyDescent="0.25">
      <c r="D1888">
        <f t="shared" ca="1" si="42"/>
        <v>51.413547027986247</v>
      </c>
    </row>
    <row r="1889" spans="4:4" x14ac:dyDescent="0.25">
      <c r="D1889">
        <f t="shared" ca="1" si="42"/>
        <v>54.203643481098887</v>
      </c>
    </row>
    <row r="1890" spans="4:4" x14ac:dyDescent="0.25">
      <c r="D1890">
        <f t="shared" ca="1" si="42"/>
        <v>54.189465848009135</v>
      </c>
    </row>
    <row r="1891" spans="4:4" x14ac:dyDescent="0.25">
      <c r="D1891">
        <f t="shared" ca="1" si="42"/>
        <v>39.980634530133486</v>
      </c>
    </row>
    <row r="1892" spans="4:4" x14ac:dyDescent="0.25">
      <c r="D1892">
        <f t="shared" ca="1" si="42"/>
        <v>45.567835890411146</v>
      </c>
    </row>
    <row r="1893" spans="4:4" x14ac:dyDescent="0.25">
      <c r="D1893">
        <f t="shared" ca="1" si="42"/>
        <v>52.572821376561663</v>
      </c>
    </row>
    <row r="1894" spans="4:4" x14ac:dyDescent="0.25">
      <c r="D1894">
        <f t="shared" ca="1" si="42"/>
        <v>43.464857040583937</v>
      </c>
    </row>
    <row r="1895" spans="4:4" x14ac:dyDescent="0.25">
      <c r="D1895">
        <f t="shared" ca="1" si="42"/>
        <v>47.695420292095342</v>
      </c>
    </row>
    <row r="1896" spans="4:4" x14ac:dyDescent="0.25">
      <c r="D1896">
        <f t="shared" ca="1" si="42"/>
        <v>47.848548145731385</v>
      </c>
    </row>
    <row r="1897" spans="4:4" x14ac:dyDescent="0.25">
      <c r="D1897">
        <f t="shared" ca="1" si="42"/>
        <v>46.21683808168018</v>
      </c>
    </row>
    <row r="1898" spans="4:4" x14ac:dyDescent="0.25">
      <c r="D1898">
        <f t="shared" ca="1" si="42"/>
        <v>57.36630951594978</v>
      </c>
    </row>
    <row r="1899" spans="4:4" x14ac:dyDescent="0.25">
      <c r="D1899">
        <f t="shared" ca="1" si="42"/>
        <v>58.711061075143036</v>
      </c>
    </row>
    <row r="1900" spans="4:4" x14ac:dyDescent="0.25">
      <c r="D1900">
        <f t="shared" ca="1" si="42"/>
        <v>46.772701420969874</v>
      </c>
    </row>
    <row r="1901" spans="4:4" x14ac:dyDescent="0.25">
      <c r="D1901">
        <f t="shared" ca="1" si="42"/>
        <v>45.993269662339415</v>
      </c>
    </row>
    <row r="1902" spans="4:4" x14ac:dyDescent="0.25">
      <c r="D1902">
        <f t="shared" ca="1" si="42"/>
        <v>42.504586266312039</v>
      </c>
    </row>
    <row r="1903" spans="4:4" x14ac:dyDescent="0.25">
      <c r="D1903">
        <f t="shared" ca="1" si="42"/>
        <v>51.795584288670781</v>
      </c>
    </row>
    <row r="1904" spans="4:4" x14ac:dyDescent="0.25">
      <c r="D1904">
        <f t="shared" ca="1" si="42"/>
        <v>50.24563039719618</v>
      </c>
    </row>
    <row r="1905" spans="4:4" x14ac:dyDescent="0.25">
      <c r="D1905">
        <f t="shared" ca="1" si="42"/>
        <v>51.54861199452607</v>
      </c>
    </row>
    <row r="1906" spans="4:4" x14ac:dyDescent="0.25">
      <c r="D1906">
        <f t="shared" ca="1" si="42"/>
        <v>48.494951610446996</v>
      </c>
    </row>
    <row r="1907" spans="4:4" x14ac:dyDescent="0.25">
      <c r="D1907">
        <f t="shared" ca="1" si="42"/>
        <v>41.095812142143501</v>
      </c>
    </row>
    <row r="1908" spans="4:4" x14ac:dyDescent="0.25">
      <c r="D1908">
        <f t="shared" ca="1" si="42"/>
        <v>55.333004070263222</v>
      </c>
    </row>
    <row r="1909" spans="4:4" x14ac:dyDescent="0.25">
      <c r="D1909">
        <f t="shared" ca="1" si="42"/>
        <v>43.546512746227322</v>
      </c>
    </row>
    <row r="1910" spans="4:4" x14ac:dyDescent="0.25">
      <c r="D1910">
        <f t="shared" ca="1" si="42"/>
        <v>49.479249683545916</v>
      </c>
    </row>
    <row r="1911" spans="4:4" x14ac:dyDescent="0.25">
      <c r="D1911">
        <f t="shared" ca="1" si="42"/>
        <v>51.038182621939185</v>
      </c>
    </row>
    <row r="1912" spans="4:4" x14ac:dyDescent="0.25">
      <c r="D1912">
        <f t="shared" ca="1" si="42"/>
        <v>48.172331504593892</v>
      </c>
    </row>
    <row r="1913" spans="4:4" x14ac:dyDescent="0.25">
      <c r="D1913">
        <f t="shared" ca="1" si="42"/>
        <v>49.159766831345401</v>
      </c>
    </row>
    <row r="1914" spans="4:4" x14ac:dyDescent="0.25">
      <c r="D1914">
        <f t="shared" ca="1" si="42"/>
        <v>52.268182714104483</v>
      </c>
    </row>
    <row r="1915" spans="4:4" x14ac:dyDescent="0.25">
      <c r="D1915">
        <f t="shared" ca="1" si="42"/>
        <v>48.32593567687416</v>
      </c>
    </row>
    <row r="1916" spans="4:4" x14ac:dyDescent="0.25">
      <c r="D1916">
        <f t="shared" ca="1" si="42"/>
        <v>56.544894209991448</v>
      </c>
    </row>
    <row r="1917" spans="4:4" x14ac:dyDescent="0.25">
      <c r="D1917">
        <f t="shared" ca="1" si="42"/>
        <v>37.797493754863176</v>
      </c>
    </row>
    <row r="1918" spans="4:4" x14ac:dyDescent="0.25">
      <c r="D1918">
        <f t="shared" ca="1" si="42"/>
        <v>50.834498122710393</v>
      </c>
    </row>
    <row r="1919" spans="4:4" x14ac:dyDescent="0.25">
      <c r="D1919">
        <f t="shared" ca="1" si="42"/>
        <v>56.038202014336328</v>
      </c>
    </row>
    <row r="1920" spans="4:4" x14ac:dyDescent="0.25">
      <c r="D1920">
        <f t="shared" ca="1" si="42"/>
        <v>54.708548173309424</v>
      </c>
    </row>
    <row r="1921" spans="4:4" x14ac:dyDescent="0.25">
      <c r="D1921">
        <f t="shared" ca="1" si="42"/>
        <v>48.566372593522146</v>
      </c>
    </row>
    <row r="1922" spans="4:4" x14ac:dyDescent="0.25">
      <c r="D1922">
        <f t="shared" ca="1" si="42"/>
        <v>52.306303814598081</v>
      </c>
    </row>
    <row r="1923" spans="4:4" x14ac:dyDescent="0.25">
      <c r="D1923">
        <f t="shared" ref="D1923:D1986" ca="1" si="43">_xlfn.T.INV(RAND(),25)*$G$3+$F$3</f>
        <v>48.126232279914753</v>
      </c>
    </row>
    <row r="1924" spans="4:4" x14ac:dyDescent="0.25">
      <c r="D1924">
        <f t="shared" ca="1" si="43"/>
        <v>45.739196268185481</v>
      </c>
    </row>
    <row r="1925" spans="4:4" x14ac:dyDescent="0.25">
      <c r="D1925">
        <f t="shared" ca="1" si="43"/>
        <v>46.31670971309422</v>
      </c>
    </row>
    <row r="1926" spans="4:4" x14ac:dyDescent="0.25">
      <c r="D1926">
        <f t="shared" ca="1" si="43"/>
        <v>50.633318039900296</v>
      </c>
    </row>
    <row r="1927" spans="4:4" x14ac:dyDescent="0.25">
      <c r="D1927">
        <f t="shared" ca="1" si="43"/>
        <v>55.318189160014576</v>
      </c>
    </row>
    <row r="1928" spans="4:4" x14ac:dyDescent="0.25">
      <c r="D1928">
        <f t="shared" ca="1" si="43"/>
        <v>52.065869056003343</v>
      </c>
    </row>
    <row r="1929" spans="4:4" x14ac:dyDescent="0.25">
      <c r="D1929">
        <f t="shared" ca="1" si="43"/>
        <v>51.894955062825495</v>
      </c>
    </row>
    <row r="1930" spans="4:4" x14ac:dyDescent="0.25">
      <c r="D1930">
        <f t="shared" ca="1" si="43"/>
        <v>55.672600015246005</v>
      </c>
    </row>
    <row r="1931" spans="4:4" x14ac:dyDescent="0.25">
      <c r="D1931">
        <f t="shared" ca="1" si="43"/>
        <v>49.980751598186423</v>
      </c>
    </row>
    <row r="1932" spans="4:4" x14ac:dyDescent="0.25">
      <c r="D1932">
        <f t="shared" ca="1" si="43"/>
        <v>53.249057443659218</v>
      </c>
    </row>
    <row r="1933" spans="4:4" x14ac:dyDescent="0.25">
      <c r="D1933">
        <f t="shared" ca="1" si="43"/>
        <v>46.406197160887899</v>
      </c>
    </row>
    <row r="1934" spans="4:4" x14ac:dyDescent="0.25">
      <c r="D1934">
        <f t="shared" ca="1" si="43"/>
        <v>36.47100405632419</v>
      </c>
    </row>
    <row r="1935" spans="4:4" x14ac:dyDescent="0.25">
      <c r="D1935">
        <f t="shared" ca="1" si="43"/>
        <v>52.399200594284075</v>
      </c>
    </row>
    <row r="1936" spans="4:4" x14ac:dyDescent="0.25">
      <c r="D1936">
        <f t="shared" ca="1" si="43"/>
        <v>47.139892346534303</v>
      </c>
    </row>
    <row r="1937" spans="4:4" x14ac:dyDescent="0.25">
      <c r="D1937">
        <f t="shared" ca="1" si="43"/>
        <v>55.297806690704626</v>
      </c>
    </row>
    <row r="1938" spans="4:4" x14ac:dyDescent="0.25">
      <c r="D1938">
        <f t="shared" ca="1" si="43"/>
        <v>46.734325908099215</v>
      </c>
    </row>
    <row r="1939" spans="4:4" x14ac:dyDescent="0.25">
      <c r="D1939">
        <f t="shared" ca="1" si="43"/>
        <v>43.791544325794433</v>
      </c>
    </row>
    <row r="1940" spans="4:4" x14ac:dyDescent="0.25">
      <c r="D1940">
        <f t="shared" ca="1" si="43"/>
        <v>53.402049783381976</v>
      </c>
    </row>
    <row r="1941" spans="4:4" x14ac:dyDescent="0.25">
      <c r="D1941">
        <f t="shared" ca="1" si="43"/>
        <v>50.872570002372036</v>
      </c>
    </row>
    <row r="1942" spans="4:4" x14ac:dyDescent="0.25">
      <c r="D1942">
        <f t="shared" ca="1" si="43"/>
        <v>47.751219588521124</v>
      </c>
    </row>
    <row r="1943" spans="4:4" x14ac:dyDescent="0.25">
      <c r="D1943">
        <f t="shared" ca="1" si="43"/>
        <v>50.669649390019373</v>
      </c>
    </row>
    <row r="1944" spans="4:4" x14ac:dyDescent="0.25">
      <c r="D1944">
        <f t="shared" ca="1" si="43"/>
        <v>47.775432747205883</v>
      </c>
    </row>
    <row r="1945" spans="4:4" x14ac:dyDescent="0.25">
      <c r="D1945">
        <f t="shared" ca="1" si="43"/>
        <v>48.09465755583868</v>
      </c>
    </row>
    <row r="1946" spans="4:4" x14ac:dyDescent="0.25">
      <c r="D1946">
        <f t="shared" ca="1" si="43"/>
        <v>43.28015405169711</v>
      </c>
    </row>
    <row r="1947" spans="4:4" x14ac:dyDescent="0.25">
      <c r="D1947">
        <f t="shared" ca="1" si="43"/>
        <v>52.272005940018666</v>
      </c>
    </row>
    <row r="1948" spans="4:4" x14ac:dyDescent="0.25">
      <c r="D1948">
        <f t="shared" ca="1" si="43"/>
        <v>51.848673751110297</v>
      </c>
    </row>
    <row r="1949" spans="4:4" x14ac:dyDescent="0.25">
      <c r="D1949">
        <f t="shared" ca="1" si="43"/>
        <v>51.952271681425998</v>
      </c>
    </row>
    <row r="1950" spans="4:4" x14ac:dyDescent="0.25">
      <c r="D1950">
        <f t="shared" ca="1" si="43"/>
        <v>41.410028516155641</v>
      </c>
    </row>
    <row r="1951" spans="4:4" x14ac:dyDescent="0.25">
      <c r="D1951">
        <f t="shared" ca="1" si="43"/>
        <v>52.768891615076257</v>
      </c>
    </row>
    <row r="1952" spans="4:4" x14ac:dyDescent="0.25">
      <c r="D1952">
        <f t="shared" ca="1" si="43"/>
        <v>48.202056788690882</v>
      </c>
    </row>
    <row r="1953" spans="4:4" x14ac:dyDescent="0.25">
      <c r="D1953">
        <f t="shared" ca="1" si="43"/>
        <v>47.375472785369062</v>
      </c>
    </row>
    <row r="1954" spans="4:4" x14ac:dyDescent="0.25">
      <c r="D1954">
        <f t="shared" ca="1" si="43"/>
        <v>46.204741484099934</v>
      </c>
    </row>
    <row r="1955" spans="4:4" x14ac:dyDescent="0.25">
      <c r="D1955">
        <f t="shared" ca="1" si="43"/>
        <v>42.680600265558688</v>
      </c>
    </row>
    <row r="1956" spans="4:4" x14ac:dyDescent="0.25">
      <c r="D1956">
        <f t="shared" ca="1" si="43"/>
        <v>48.362748087757353</v>
      </c>
    </row>
    <row r="1957" spans="4:4" x14ac:dyDescent="0.25">
      <c r="D1957">
        <f t="shared" ca="1" si="43"/>
        <v>47.594615547009639</v>
      </c>
    </row>
    <row r="1958" spans="4:4" x14ac:dyDescent="0.25">
      <c r="D1958">
        <f t="shared" ca="1" si="43"/>
        <v>49.989954128331327</v>
      </c>
    </row>
    <row r="1959" spans="4:4" x14ac:dyDescent="0.25">
      <c r="D1959">
        <f t="shared" ca="1" si="43"/>
        <v>48.144150532392814</v>
      </c>
    </row>
    <row r="1960" spans="4:4" x14ac:dyDescent="0.25">
      <c r="D1960">
        <f t="shared" ca="1" si="43"/>
        <v>51.812945055745345</v>
      </c>
    </row>
    <row r="1961" spans="4:4" x14ac:dyDescent="0.25">
      <c r="D1961">
        <f t="shared" ca="1" si="43"/>
        <v>44.194941313219168</v>
      </c>
    </row>
    <row r="1962" spans="4:4" x14ac:dyDescent="0.25">
      <c r="D1962">
        <f t="shared" ca="1" si="43"/>
        <v>59.273746131238028</v>
      </c>
    </row>
    <row r="1963" spans="4:4" x14ac:dyDescent="0.25">
      <c r="D1963">
        <f t="shared" ca="1" si="43"/>
        <v>46.5058080164427</v>
      </c>
    </row>
    <row r="1964" spans="4:4" x14ac:dyDescent="0.25">
      <c r="D1964">
        <f t="shared" ca="1" si="43"/>
        <v>50.472703362432163</v>
      </c>
    </row>
    <row r="1965" spans="4:4" x14ac:dyDescent="0.25">
      <c r="D1965">
        <f t="shared" ca="1" si="43"/>
        <v>50.031929311343426</v>
      </c>
    </row>
    <row r="1966" spans="4:4" x14ac:dyDescent="0.25">
      <c r="D1966">
        <f t="shared" ca="1" si="43"/>
        <v>46.107305405086237</v>
      </c>
    </row>
    <row r="1967" spans="4:4" x14ac:dyDescent="0.25">
      <c r="D1967">
        <f t="shared" ca="1" si="43"/>
        <v>48.791373129908628</v>
      </c>
    </row>
    <row r="1968" spans="4:4" x14ac:dyDescent="0.25">
      <c r="D1968">
        <f t="shared" ca="1" si="43"/>
        <v>54.187163395214561</v>
      </c>
    </row>
    <row r="1969" spans="4:4" x14ac:dyDescent="0.25">
      <c r="D1969">
        <f t="shared" ca="1" si="43"/>
        <v>46.963767605469947</v>
      </c>
    </row>
    <row r="1970" spans="4:4" x14ac:dyDescent="0.25">
      <c r="D1970">
        <f t="shared" ca="1" si="43"/>
        <v>51.142477399330112</v>
      </c>
    </row>
    <row r="1971" spans="4:4" x14ac:dyDescent="0.25">
      <c r="D1971">
        <f t="shared" ca="1" si="43"/>
        <v>43.919362868195975</v>
      </c>
    </row>
    <row r="1972" spans="4:4" x14ac:dyDescent="0.25">
      <c r="D1972">
        <f t="shared" ca="1" si="43"/>
        <v>45.295635630285773</v>
      </c>
    </row>
    <row r="1973" spans="4:4" x14ac:dyDescent="0.25">
      <c r="D1973">
        <f t="shared" ca="1" si="43"/>
        <v>50.302281924713249</v>
      </c>
    </row>
    <row r="1974" spans="4:4" x14ac:dyDescent="0.25">
      <c r="D1974">
        <f t="shared" ca="1" si="43"/>
        <v>46.885119940227028</v>
      </c>
    </row>
    <row r="1975" spans="4:4" x14ac:dyDescent="0.25">
      <c r="D1975">
        <f t="shared" ca="1" si="43"/>
        <v>53.190615957232168</v>
      </c>
    </row>
    <row r="1976" spans="4:4" x14ac:dyDescent="0.25">
      <c r="D1976">
        <f t="shared" ca="1" si="43"/>
        <v>49.974800416506241</v>
      </c>
    </row>
    <row r="1977" spans="4:4" x14ac:dyDescent="0.25">
      <c r="D1977">
        <f t="shared" ca="1" si="43"/>
        <v>51.014856769513742</v>
      </c>
    </row>
    <row r="1978" spans="4:4" x14ac:dyDescent="0.25">
      <c r="D1978">
        <f t="shared" ca="1" si="43"/>
        <v>55.03879870853789</v>
      </c>
    </row>
    <row r="1979" spans="4:4" x14ac:dyDescent="0.25">
      <c r="D1979">
        <f t="shared" ca="1" si="43"/>
        <v>49.614356087150519</v>
      </c>
    </row>
    <row r="1980" spans="4:4" x14ac:dyDescent="0.25">
      <c r="D1980">
        <f t="shared" ca="1" si="43"/>
        <v>51.263557615899515</v>
      </c>
    </row>
    <row r="1981" spans="4:4" x14ac:dyDescent="0.25">
      <c r="D1981">
        <f t="shared" ca="1" si="43"/>
        <v>50.065421640308251</v>
      </c>
    </row>
    <row r="1982" spans="4:4" x14ac:dyDescent="0.25">
      <c r="D1982">
        <f t="shared" ca="1" si="43"/>
        <v>48.291013052015906</v>
      </c>
    </row>
    <row r="1983" spans="4:4" x14ac:dyDescent="0.25">
      <c r="D1983">
        <f t="shared" ca="1" si="43"/>
        <v>52.565694063744253</v>
      </c>
    </row>
    <row r="1984" spans="4:4" x14ac:dyDescent="0.25">
      <c r="D1984">
        <f t="shared" ca="1" si="43"/>
        <v>40.74472118153939</v>
      </c>
    </row>
    <row r="1985" spans="4:4" x14ac:dyDescent="0.25">
      <c r="D1985">
        <f t="shared" ca="1" si="43"/>
        <v>48.070142173833197</v>
      </c>
    </row>
    <row r="1986" spans="4:4" x14ac:dyDescent="0.25">
      <c r="D1986">
        <f t="shared" ca="1" si="43"/>
        <v>51.881299610356777</v>
      </c>
    </row>
    <row r="1987" spans="4:4" x14ac:dyDescent="0.25">
      <c r="D1987">
        <f t="shared" ref="D1987:D2050" ca="1" si="44">_xlfn.T.INV(RAND(),25)*$G$3+$F$3</f>
        <v>54.639917477665271</v>
      </c>
    </row>
    <row r="1988" spans="4:4" x14ac:dyDescent="0.25">
      <c r="D1988">
        <f t="shared" ca="1" si="44"/>
        <v>58.473594362781355</v>
      </c>
    </row>
    <row r="1989" spans="4:4" x14ac:dyDescent="0.25">
      <c r="D1989">
        <f t="shared" ca="1" si="44"/>
        <v>51.08689191278328</v>
      </c>
    </row>
    <row r="1990" spans="4:4" x14ac:dyDescent="0.25">
      <c r="D1990">
        <f t="shared" ca="1" si="44"/>
        <v>45.396983036424103</v>
      </c>
    </row>
    <row r="1991" spans="4:4" x14ac:dyDescent="0.25">
      <c r="D1991">
        <f t="shared" ca="1" si="44"/>
        <v>50.474373777625729</v>
      </c>
    </row>
    <row r="1992" spans="4:4" x14ac:dyDescent="0.25">
      <c r="D1992">
        <f t="shared" ca="1" si="44"/>
        <v>53.895488125617945</v>
      </c>
    </row>
    <row r="1993" spans="4:4" x14ac:dyDescent="0.25">
      <c r="D1993">
        <f t="shared" ca="1" si="44"/>
        <v>52.116460025654817</v>
      </c>
    </row>
    <row r="1994" spans="4:4" x14ac:dyDescent="0.25">
      <c r="D1994">
        <f t="shared" ca="1" si="44"/>
        <v>46.677628367670849</v>
      </c>
    </row>
    <row r="1995" spans="4:4" x14ac:dyDescent="0.25">
      <c r="D1995">
        <f t="shared" ca="1" si="44"/>
        <v>55.668921798627501</v>
      </c>
    </row>
    <row r="1996" spans="4:4" x14ac:dyDescent="0.25">
      <c r="D1996">
        <f t="shared" ca="1" si="44"/>
        <v>48.063222218479048</v>
      </c>
    </row>
    <row r="1997" spans="4:4" x14ac:dyDescent="0.25">
      <c r="D1997">
        <f t="shared" ca="1" si="44"/>
        <v>60.342403206917552</v>
      </c>
    </row>
    <row r="1998" spans="4:4" x14ac:dyDescent="0.25">
      <c r="D1998">
        <f t="shared" ca="1" si="44"/>
        <v>51.154663066068885</v>
      </c>
    </row>
    <row r="1999" spans="4:4" x14ac:dyDescent="0.25">
      <c r="D1999">
        <f t="shared" ca="1" si="44"/>
        <v>39.121664485952273</v>
      </c>
    </row>
    <row r="2000" spans="4:4" x14ac:dyDescent="0.25">
      <c r="D2000">
        <f t="shared" ca="1" si="44"/>
        <v>50.478962329858021</v>
      </c>
    </row>
    <row r="2001" spans="4:4" x14ac:dyDescent="0.25">
      <c r="D2001">
        <f t="shared" ca="1" si="44"/>
        <v>43.444364774204573</v>
      </c>
    </row>
    <row r="2002" spans="4:4" x14ac:dyDescent="0.25">
      <c r="D2002">
        <f t="shared" ca="1" si="44"/>
        <v>43.954392078533864</v>
      </c>
    </row>
    <row r="2003" spans="4:4" x14ac:dyDescent="0.25">
      <c r="D2003">
        <f t="shared" ca="1" si="44"/>
        <v>44.343765141336384</v>
      </c>
    </row>
    <row r="2004" spans="4:4" x14ac:dyDescent="0.25">
      <c r="D2004">
        <f t="shared" ca="1" si="44"/>
        <v>50.099069504086366</v>
      </c>
    </row>
    <row r="2005" spans="4:4" x14ac:dyDescent="0.25">
      <c r="D2005">
        <f t="shared" ca="1" si="44"/>
        <v>49.220089682615715</v>
      </c>
    </row>
    <row r="2006" spans="4:4" x14ac:dyDescent="0.25">
      <c r="D2006">
        <f t="shared" ca="1" si="44"/>
        <v>51.022046652765589</v>
      </c>
    </row>
    <row r="2007" spans="4:4" x14ac:dyDescent="0.25">
      <c r="D2007">
        <f t="shared" ca="1" si="44"/>
        <v>53.05527731185375</v>
      </c>
    </row>
    <row r="2008" spans="4:4" x14ac:dyDescent="0.25">
      <c r="D2008">
        <f t="shared" ca="1" si="44"/>
        <v>47.510774276455635</v>
      </c>
    </row>
    <row r="2009" spans="4:4" x14ac:dyDescent="0.25">
      <c r="D2009">
        <f t="shared" ca="1" si="44"/>
        <v>43.880187614592693</v>
      </c>
    </row>
    <row r="2010" spans="4:4" x14ac:dyDescent="0.25">
      <c r="D2010">
        <f t="shared" ca="1" si="44"/>
        <v>52.071543900550417</v>
      </c>
    </row>
    <row r="2011" spans="4:4" x14ac:dyDescent="0.25">
      <c r="D2011">
        <f t="shared" ca="1" si="44"/>
        <v>44.625277630796262</v>
      </c>
    </row>
    <row r="2012" spans="4:4" x14ac:dyDescent="0.25">
      <c r="D2012">
        <f t="shared" ca="1" si="44"/>
        <v>47.148260190377556</v>
      </c>
    </row>
    <row r="2013" spans="4:4" x14ac:dyDescent="0.25">
      <c r="D2013">
        <f t="shared" ca="1" si="44"/>
        <v>55.068403734863828</v>
      </c>
    </row>
    <row r="2014" spans="4:4" x14ac:dyDescent="0.25">
      <c r="D2014">
        <f t="shared" ca="1" si="44"/>
        <v>51.541746810977706</v>
      </c>
    </row>
    <row r="2015" spans="4:4" x14ac:dyDescent="0.25">
      <c r="D2015">
        <f t="shared" ca="1" si="44"/>
        <v>46.465513678082637</v>
      </c>
    </row>
    <row r="2016" spans="4:4" x14ac:dyDescent="0.25">
      <c r="D2016">
        <f t="shared" ca="1" si="44"/>
        <v>44.590104785218472</v>
      </c>
    </row>
    <row r="2017" spans="4:4" x14ac:dyDescent="0.25">
      <c r="D2017">
        <f t="shared" ca="1" si="44"/>
        <v>42.166327775992912</v>
      </c>
    </row>
    <row r="2018" spans="4:4" x14ac:dyDescent="0.25">
      <c r="D2018">
        <f t="shared" ca="1" si="44"/>
        <v>52.576194949342671</v>
      </c>
    </row>
    <row r="2019" spans="4:4" x14ac:dyDescent="0.25">
      <c r="D2019">
        <f t="shared" ca="1" si="44"/>
        <v>54.649091417384788</v>
      </c>
    </row>
    <row r="2020" spans="4:4" x14ac:dyDescent="0.25">
      <c r="D2020">
        <f t="shared" ca="1" si="44"/>
        <v>53.146033832449298</v>
      </c>
    </row>
    <row r="2021" spans="4:4" x14ac:dyDescent="0.25">
      <c r="D2021">
        <f t="shared" ca="1" si="44"/>
        <v>46.379077806447619</v>
      </c>
    </row>
    <row r="2022" spans="4:4" x14ac:dyDescent="0.25">
      <c r="D2022">
        <f t="shared" ca="1" si="44"/>
        <v>54.486821383727481</v>
      </c>
    </row>
    <row r="2023" spans="4:4" x14ac:dyDescent="0.25">
      <c r="D2023">
        <f t="shared" ca="1" si="44"/>
        <v>50.511468027383039</v>
      </c>
    </row>
    <row r="2024" spans="4:4" x14ac:dyDescent="0.25">
      <c r="D2024">
        <f t="shared" ca="1" si="44"/>
        <v>49.648862832557867</v>
      </c>
    </row>
    <row r="2025" spans="4:4" x14ac:dyDescent="0.25">
      <c r="D2025">
        <f t="shared" ca="1" si="44"/>
        <v>46.665526321105723</v>
      </c>
    </row>
    <row r="2026" spans="4:4" x14ac:dyDescent="0.25">
      <c r="D2026">
        <f t="shared" ca="1" si="44"/>
        <v>52.226595630495687</v>
      </c>
    </row>
    <row r="2027" spans="4:4" x14ac:dyDescent="0.25">
      <c r="D2027">
        <f t="shared" ca="1" si="44"/>
        <v>50.426411867584974</v>
      </c>
    </row>
    <row r="2028" spans="4:4" x14ac:dyDescent="0.25">
      <c r="D2028">
        <f t="shared" ca="1" si="44"/>
        <v>55.84950613041881</v>
      </c>
    </row>
    <row r="2029" spans="4:4" x14ac:dyDescent="0.25">
      <c r="D2029">
        <f t="shared" ca="1" si="44"/>
        <v>50.492048196776111</v>
      </c>
    </row>
    <row r="2030" spans="4:4" x14ac:dyDescent="0.25">
      <c r="D2030">
        <f t="shared" ca="1" si="44"/>
        <v>44.445786292588984</v>
      </c>
    </row>
    <row r="2031" spans="4:4" x14ac:dyDescent="0.25">
      <c r="D2031">
        <f t="shared" ca="1" si="44"/>
        <v>37.949225009899223</v>
      </c>
    </row>
    <row r="2032" spans="4:4" x14ac:dyDescent="0.25">
      <c r="D2032">
        <f t="shared" ca="1" si="44"/>
        <v>50.695742763034659</v>
      </c>
    </row>
    <row r="2033" spans="4:4" x14ac:dyDescent="0.25">
      <c r="D2033">
        <f t="shared" ca="1" si="44"/>
        <v>56.278983362696046</v>
      </c>
    </row>
    <row r="2034" spans="4:4" x14ac:dyDescent="0.25">
      <c r="D2034">
        <f t="shared" ca="1" si="44"/>
        <v>44.8652444463983</v>
      </c>
    </row>
    <row r="2035" spans="4:4" x14ac:dyDescent="0.25">
      <c r="D2035">
        <f t="shared" ca="1" si="44"/>
        <v>58.208726412623335</v>
      </c>
    </row>
    <row r="2036" spans="4:4" x14ac:dyDescent="0.25">
      <c r="D2036">
        <f t="shared" ca="1" si="44"/>
        <v>50.263086475925611</v>
      </c>
    </row>
    <row r="2037" spans="4:4" x14ac:dyDescent="0.25">
      <c r="D2037">
        <f t="shared" ca="1" si="44"/>
        <v>49.536969473195015</v>
      </c>
    </row>
    <row r="2038" spans="4:4" x14ac:dyDescent="0.25">
      <c r="D2038">
        <f t="shared" ca="1" si="44"/>
        <v>53.441548458802288</v>
      </c>
    </row>
    <row r="2039" spans="4:4" x14ac:dyDescent="0.25">
      <c r="D2039">
        <f t="shared" ca="1" si="44"/>
        <v>44.937793669192942</v>
      </c>
    </row>
    <row r="2040" spans="4:4" x14ac:dyDescent="0.25">
      <c r="D2040">
        <f t="shared" ca="1" si="44"/>
        <v>49.50373174736</v>
      </c>
    </row>
    <row r="2041" spans="4:4" x14ac:dyDescent="0.25">
      <c r="D2041">
        <f t="shared" ca="1" si="44"/>
        <v>46.162633802341404</v>
      </c>
    </row>
    <row r="2042" spans="4:4" x14ac:dyDescent="0.25">
      <c r="D2042">
        <f t="shared" ca="1" si="44"/>
        <v>49.910448647443943</v>
      </c>
    </row>
    <row r="2043" spans="4:4" x14ac:dyDescent="0.25">
      <c r="D2043">
        <f t="shared" ca="1" si="44"/>
        <v>49.523562957643691</v>
      </c>
    </row>
    <row r="2044" spans="4:4" x14ac:dyDescent="0.25">
      <c r="D2044">
        <f t="shared" ca="1" si="44"/>
        <v>55.286943739140924</v>
      </c>
    </row>
    <row r="2045" spans="4:4" x14ac:dyDescent="0.25">
      <c r="D2045">
        <f t="shared" ca="1" si="44"/>
        <v>44.184163018325059</v>
      </c>
    </row>
    <row r="2046" spans="4:4" x14ac:dyDescent="0.25">
      <c r="D2046">
        <f t="shared" ca="1" si="44"/>
        <v>52.572992838158093</v>
      </c>
    </row>
    <row r="2047" spans="4:4" x14ac:dyDescent="0.25">
      <c r="D2047">
        <f t="shared" ca="1" si="44"/>
        <v>54.923381870351371</v>
      </c>
    </row>
    <row r="2048" spans="4:4" x14ac:dyDescent="0.25">
      <c r="D2048">
        <f t="shared" ca="1" si="44"/>
        <v>49.073221180614674</v>
      </c>
    </row>
    <row r="2049" spans="4:4" x14ac:dyDescent="0.25">
      <c r="D2049">
        <f t="shared" ca="1" si="44"/>
        <v>48.102085593690163</v>
      </c>
    </row>
    <row r="2050" spans="4:4" x14ac:dyDescent="0.25">
      <c r="D2050">
        <f t="shared" ca="1" si="44"/>
        <v>55.289988711865035</v>
      </c>
    </row>
    <row r="2051" spans="4:4" x14ac:dyDescent="0.25">
      <c r="D2051">
        <f t="shared" ref="D2051:D2114" ca="1" si="45">_xlfn.T.INV(RAND(),25)*$G$3+$F$3</f>
        <v>40.700603323972338</v>
      </c>
    </row>
    <row r="2052" spans="4:4" x14ac:dyDescent="0.25">
      <c r="D2052">
        <f t="shared" ca="1" si="45"/>
        <v>55.41005361029606</v>
      </c>
    </row>
    <row r="2053" spans="4:4" x14ac:dyDescent="0.25">
      <c r="D2053">
        <f t="shared" ca="1" si="45"/>
        <v>46.898200016613586</v>
      </c>
    </row>
    <row r="2054" spans="4:4" x14ac:dyDescent="0.25">
      <c r="D2054">
        <f t="shared" ca="1" si="45"/>
        <v>50.208338446187</v>
      </c>
    </row>
    <row r="2055" spans="4:4" x14ac:dyDescent="0.25">
      <c r="D2055">
        <f t="shared" ca="1" si="45"/>
        <v>46.686027556555608</v>
      </c>
    </row>
    <row r="2056" spans="4:4" x14ac:dyDescent="0.25">
      <c r="D2056">
        <f t="shared" ca="1" si="45"/>
        <v>50.946897349646896</v>
      </c>
    </row>
    <row r="2057" spans="4:4" x14ac:dyDescent="0.25">
      <c r="D2057">
        <f t="shared" ca="1" si="45"/>
        <v>45.628992445538273</v>
      </c>
    </row>
    <row r="2058" spans="4:4" x14ac:dyDescent="0.25">
      <c r="D2058">
        <f t="shared" ca="1" si="45"/>
        <v>47.116877933242137</v>
      </c>
    </row>
    <row r="2059" spans="4:4" x14ac:dyDescent="0.25">
      <c r="D2059">
        <f t="shared" ca="1" si="45"/>
        <v>50.64076747455627</v>
      </c>
    </row>
    <row r="2060" spans="4:4" x14ac:dyDescent="0.25">
      <c r="D2060">
        <f t="shared" ca="1" si="45"/>
        <v>61.301307975225185</v>
      </c>
    </row>
    <row r="2061" spans="4:4" x14ac:dyDescent="0.25">
      <c r="D2061">
        <f t="shared" ca="1" si="45"/>
        <v>54.192335880167079</v>
      </c>
    </row>
    <row r="2062" spans="4:4" x14ac:dyDescent="0.25">
      <c r="D2062">
        <f t="shared" ca="1" si="45"/>
        <v>53.513812356990101</v>
      </c>
    </row>
    <row r="2063" spans="4:4" x14ac:dyDescent="0.25">
      <c r="D2063">
        <f t="shared" ca="1" si="45"/>
        <v>50.403422671848041</v>
      </c>
    </row>
    <row r="2064" spans="4:4" x14ac:dyDescent="0.25">
      <c r="D2064">
        <f t="shared" ca="1" si="45"/>
        <v>48.728796794626135</v>
      </c>
    </row>
    <row r="2065" spans="4:4" x14ac:dyDescent="0.25">
      <c r="D2065">
        <f t="shared" ca="1" si="45"/>
        <v>44.164101884703761</v>
      </c>
    </row>
    <row r="2066" spans="4:4" x14ac:dyDescent="0.25">
      <c r="D2066">
        <f t="shared" ca="1" si="45"/>
        <v>51.910266119356891</v>
      </c>
    </row>
    <row r="2067" spans="4:4" x14ac:dyDescent="0.25">
      <c r="D2067">
        <f t="shared" ca="1" si="45"/>
        <v>48.708797613869528</v>
      </c>
    </row>
    <row r="2068" spans="4:4" x14ac:dyDescent="0.25">
      <c r="D2068">
        <f t="shared" ca="1" si="45"/>
        <v>50.428675957175663</v>
      </c>
    </row>
    <row r="2069" spans="4:4" x14ac:dyDescent="0.25">
      <c r="D2069">
        <f t="shared" ca="1" si="45"/>
        <v>43.574532454248725</v>
      </c>
    </row>
    <row r="2070" spans="4:4" x14ac:dyDescent="0.25">
      <c r="D2070">
        <f t="shared" ca="1" si="45"/>
        <v>39.823233411173987</v>
      </c>
    </row>
    <row r="2071" spans="4:4" x14ac:dyDescent="0.25">
      <c r="D2071">
        <f t="shared" ca="1" si="45"/>
        <v>50.486757865516076</v>
      </c>
    </row>
    <row r="2072" spans="4:4" x14ac:dyDescent="0.25">
      <c r="D2072">
        <f t="shared" ca="1" si="45"/>
        <v>44.956389180772554</v>
      </c>
    </row>
    <row r="2073" spans="4:4" x14ac:dyDescent="0.25">
      <c r="D2073">
        <f t="shared" ca="1" si="45"/>
        <v>55.307865297293688</v>
      </c>
    </row>
    <row r="2074" spans="4:4" x14ac:dyDescent="0.25">
      <c r="D2074">
        <f t="shared" ca="1" si="45"/>
        <v>41.769093487763769</v>
      </c>
    </row>
    <row r="2075" spans="4:4" x14ac:dyDescent="0.25">
      <c r="D2075">
        <f t="shared" ca="1" si="45"/>
        <v>41.693166570276702</v>
      </c>
    </row>
    <row r="2076" spans="4:4" x14ac:dyDescent="0.25">
      <c r="D2076">
        <f t="shared" ca="1" si="45"/>
        <v>48.880424969423927</v>
      </c>
    </row>
    <row r="2077" spans="4:4" x14ac:dyDescent="0.25">
      <c r="D2077">
        <f t="shared" ca="1" si="45"/>
        <v>47.593728968191783</v>
      </c>
    </row>
    <row r="2078" spans="4:4" x14ac:dyDescent="0.25">
      <c r="D2078">
        <f t="shared" ca="1" si="45"/>
        <v>55.547061870560938</v>
      </c>
    </row>
    <row r="2079" spans="4:4" x14ac:dyDescent="0.25">
      <c r="D2079">
        <f t="shared" ca="1" si="45"/>
        <v>49.219978995464892</v>
      </c>
    </row>
    <row r="2080" spans="4:4" x14ac:dyDescent="0.25">
      <c r="D2080">
        <f t="shared" ca="1" si="45"/>
        <v>54.645906686191267</v>
      </c>
    </row>
    <row r="2081" spans="4:4" x14ac:dyDescent="0.25">
      <c r="D2081">
        <f t="shared" ca="1" si="45"/>
        <v>39.632949373694018</v>
      </c>
    </row>
    <row r="2082" spans="4:4" x14ac:dyDescent="0.25">
      <c r="D2082">
        <f t="shared" ca="1" si="45"/>
        <v>43.055005647502789</v>
      </c>
    </row>
    <row r="2083" spans="4:4" x14ac:dyDescent="0.25">
      <c r="D2083">
        <f t="shared" ca="1" si="45"/>
        <v>45.08273691023679</v>
      </c>
    </row>
    <row r="2084" spans="4:4" x14ac:dyDescent="0.25">
      <c r="D2084">
        <f t="shared" ca="1" si="45"/>
        <v>51.357745491143248</v>
      </c>
    </row>
    <row r="2085" spans="4:4" x14ac:dyDescent="0.25">
      <c r="D2085">
        <f t="shared" ca="1" si="45"/>
        <v>49.240864226511178</v>
      </c>
    </row>
    <row r="2086" spans="4:4" x14ac:dyDescent="0.25">
      <c r="D2086">
        <f t="shared" ca="1" si="45"/>
        <v>48.29042378279194</v>
      </c>
    </row>
    <row r="2087" spans="4:4" x14ac:dyDescent="0.25">
      <c r="D2087">
        <f t="shared" ca="1" si="45"/>
        <v>52.555533958273898</v>
      </c>
    </row>
    <row r="2088" spans="4:4" x14ac:dyDescent="0.25">
      <c r="D2088">
        <f t="shared" ca="1" si="45"/>
        <v>44.994181978137519</v>
      </c>
    </row>
    <row r="2089" spans="4:4" x14ac:dyDescent="0.25">
      <c r="D2089">
        <f t="shared" ca="1" si="45"/>
        <v>55.553612084839671</v>
      </c>
    </row>
    <row r="2090" spans="4:4" x14ac:dyDescent="0.25">
      <c r="D2090">
        <f t="shared" ca="1" si="45"/>
        <v>47.909506254452481</v>
      </c>
    </row>
    <row r="2091" spans="4:4" x14ac:dyDescent="0.25">
      <c r="D2091">
        <f t="shared" ca="1" si="45"/>
        <v>50.56654116374196</v>
      </c>
    </row>
    <row r="2092" spans="4:4" x14ac:dyDescent="0.25">
      <c r="D2092">
        <f t="shared" ca="1" si="45"/>
        <v>43.41139236836058</v>
      </c>
    </row>
    <row r="2093" spans="4:4" x14ac:dyDescent="0.25">
      <c r="D2093">
        <f t="shared" ca="1" si="45"/>
        <v>52.319516146085796</v>
      </c>
    </row>
    <row r="2094" spans="4:4" x14ac:dyDescent="0.25">
      <c r="D2094">
        <f t="shared" ca="1" si="45"/>
        <v>47.242425220716278</v>
      </c>
    </row>
    <row r="2095" spans="4:4" x14ac:dyDescent="0.25">
      <c r="D2095">
        <f t="shared" ca="1" si="45"/>
        <v>51.38805759135542</v>
      </c>
    </row>
    <row r="2096" spans="4:4" x14ac:dyDescent="0.25">
      <c r="D2096">
        <f t="shared" ca="1" si="45"/>
        <v>49.280024380715389</v>
      </c>
    </row>
    <row r="2097" spans="4:4" x14ac:dyDescent="0.25">
      <c r="D2097">
        <f t="shared" ca="1" si="45"/>
        <v>48.04729452270211</v>
      </c>
    </row>
    <row r="2098" spans="4:4" x14ac:dyDescent="0.25">
      <c r="D2098">
        <f t="shared" ca="1" si="45"/>
        <v>45.427078660144218</v>
      </c>
    </row>
    <row r="2099" spans="4:4" x14ac:dyDescent="0.25">
      <c r="D2099">
        <f t="shared" ca="1" si="45"/>
        <v>38.044721031917973</v>
      </c>
    </row>
    <row r="2100" spans="4:4" x14ac:dyDescent="0.25">
      <c r="D2100">
        <f t="shared" ca="1" si="45"/>
        <v>51.807370194276949</v>
      </c>
    </row>
    <row r="2101" spans="4:4" x14ac:dyDescent="0.25">
      <c r="D2101">
        <f t="shared" ca="1" si="45"/>
        <v>45.047274745734747</v>
      </c>
    </row>
    <row r="2102" spans="4:4" x14ac:dyDescent="0.25">
      <c r="D2102">
        <f t="shared" ca="1" si="45"/>
        <v>49.0918666129377</v>
      </c>
    </row>
    <row r="2103" spans="4:4" x14ac:dyDescent="0.25">
      <c r="D2103">
        <f t="shared" ca="1" si="45"/>
        <v>52.428033055000689</v>
      </c>
    </row>
    <row r="2104" spans="4:4" x14ac:dyDescent="0.25">
      <c r="D2104">
        <f t="shared" ca="1" si="45"/>
        <v>54.644540966058017</v>
      </c>
    </row>
    <row r="2105" spans="4:4" x14ac:dyDescent="0.25">
      <c r="D2105">
        <f t="shared" ca="1" si="45"/>
        <v>52.39988184953576</v>
      </c>
    </row>
    <row r="2106" spans="4:4" x14ac:dyDescent="0.25">
      <c r="D2106">
        <f t="shared" ca="1" si="45"/>
        <v>46.08665622777098</v>
      </c>
    </row>
    <row r="2107" spans="4:4" x14ac:dyDescent="0.25">
      <c r="D2107">
        <f t="shared" ca="1" si="45"/>
        <v>50.327562281452238</v>
      </c>
    </row>
    <row r="2108" spans="4:4" x14ac:dyDescent="0.25">
      <c r="D2108">
        <f t="shared" ca="1" si="45"/>
        <v>51.432633474993715</v>
      </c>
    </row>
    <row r="2109" spans="4:4" x14ac:dyDescent="0.25">
      <c r="D2109">
        <f t="shared" ca="1" si="45"/>
        <v>53.242912504223611</v>
      </c>
    </row>
    <row r="2110" spans="4:4" x14ac:dyDescent="0.25">
      <c r="D2110">
        <f t="shared" ca="1" si="45"/>
        <v>56.054875300562024</v>
      </c>
    </row>
    <row r="2111" spans="4:4" x14ac:dyDescent="0.25">
      <c r="D2111">
        <f t="shared" ca="1" si="45"/>
        <v>51.894716569944471</v>
      </c>
    </row>
    <row r="2112" spans="4:4" x14ac:dyDescent="0.25">
      <c r="D2112">
        <f t="shared" ca="1" si="45"/>
        <v>51.033553232842692</v>
      </c>
    </row>
    <row r="2113" spans="4:4" x14ac:dyDescent="0.25">
      <c r="D2113">
        <f t="shared" ca="1" si="45"/>
        <v>48.179082923418775</v>
      </c>
    </row>
    <row r="2114" spans="4:4" x14ac:dyDescent="0.25">
      <c r="D2114">
        <f t="shared" ca="1" si="45"/>
        <v>52.3442859333191</v>
      </c>
    </row>
    <row r="2115" spans="4:4" x14ac:dyDescent="0.25">
      <c r="D2115">
        <f t="shared" ref="D2115:D2178" ca="1" si="46">_xlfn.T.INV(RAND(),25)*$G$3+$F$3</f>
        <v>46.86478974488282</v>
      </c>
    </row>
    <row r="2116" spans="4:4" x14ac:dyDescent="0.25">
      <c r="D2116">
        <f t="shared" ca="1" si="46"/>
        <v>50.579047184320345</v>
      </c>
    </row>
    <row r="2117" spans="4:4" x14ac:dyDescent="0.25">
      <c r="D2117">
        <f t="shared" ca="1" si="46"/>
        <v>51.242682842459338</v>
      </c>
    </row>
    <row r="2118" spans="4:4" x14ac:dyDescent="0.25">
      <c r="D2118">
        <f t="shared" ca="1" si="46"/>
        <v>64.188676831953586</v>
      </c>
    </row>
    <row r="2119" spans="4:4" x14ac:dyDescent="0.25">
      <c r="D2119">
        <f t="shared" ca="1" si="46"/>
        <v>49.310568536535506</v>
      </c>
    </row>
    <row r="2120" spans="4:4" x14ac:dyDescent="0.25">
      <c r="D2120">
        <f t="shared" ca="1" si="46"/>
        <v>52.958655537395806</v>
      </c>
    </row>
    <row r="2121" spans="4:4" x14ac:dyDescent="0.25">
      <c r="D2121">
        <f t="shared" ca="1" si="46"/>
        <v>55.609971085298241</v>
      </c>
    </row>
    <row r="2122" spans="4:4" x14ac:dyDescent="0.25">
      <c r="D2122">
        <f t="shared" ca="1" si="46"/>
        <v>50.181692512238236</v>
      </c>
    </row>
    <row r="2123" spans="4:4" x14ac:dyDescent="0.25">
      <c r="D2123">
        <f t="shared" ca="1" si="46"/>
        <v>48.475693813414168</v>
      </c>
    </row>
    <row r="2124" spans="4:4" x14ac:dyDescent="0.25">
      <c r="D2124">
        <f t="shared" ca="1" si="46"/>
        <v>42.605272894040432</v>
      </c>
    </row>
    <row r="2125" spans="4:4" x14ac:dyDescent="0.25">
      <c r="D2125">
        <f t="shared" ca="1" si="46"/>
        <v>50.675075645071878</v>
      </c>
    </row>
    <row r="2126" spans="4:4" x14ac:dyDescent="0.25">
      <c r="D2126">
        <f t="shared" ca="1" si="46"/>
        <v>39.176120114257678</v>
      </c>
    </row>
    <row r="2127" spans="4:4" x14ac:dyDescent="0.25">
      <c r="D2127">
        <f t="shared" ca="1" si="46"/>
        <v>51.812145512140901</v>
      </c>
    </row>
    <row r="2128" spans="4:4" x14ac:dyDescent="0.25">
      <c r="D2128">
        <f t="shared" ca="1" si="46"/>
        <v>49.744627132134212</v>
      </c>
    </row>
    <row r="2129" spans="4:4" x14ac:dyDescent="0.25">
      <c r="D2129">
        <f t="shared" ca="1" si="46"/>
        <v>46.737341300715073</v>
      </c>
    </row>
    <row r="2130" spans="4:4" x14ac:dyDescent="0.25">
      <c r="D2130">
        <f t="shared" ca="1" si="46"/>
        <v>47.748573422241122</v>
      </c>
    </row>
    <row r="2131" spans="4:4" x14ac:dyDescent="0.25">
      <c r="D2131">
        <f t="shared" ca="1" si="46"/>
        <v>45.620309293314833</v>
      </c>
    </row>
    <row r="2132" spans="4:4" x14ac:dyDescent="0.25">
      <c r="D2132">
        <f t="shared" ca="1" si="46"/>
        <v>53.881526563689988</v>
      </c>
    </row>
    <row r="2133" spans="4:4" x14ac:dyDescent="0.25">
      <c r="D2133">
        <f t="shared" ca="1" si="46"/>
        <v>51.344569840338778</v>
      </c>
    </row>
    <row r="2134" spans="4:4" x14ac:dyDescent="0.25">
      <c r="D2134">
        <f t="shared" ca="1" si="46"/>
        <v>48.426319259028297</v>
      </c>
    </row>
    <row r="2135" spans="4:4" x14ac:dyDescent="0.25">
      <c r="D2135">
        <f t="shared" ca="1" si="46"/>
        <v>51.18221336670598</v>
      </c>
    </row>
    <row r="2136" spans="4:4" x14ac:dyDescent="0.25">
      <c r="D2136">
        <f t="shared" ca="1" si="46"/>
        <v>45.92606528115396</v>
      </c>
    </row>
    <row r="2137" spans="4:4" x14ac:dyDescent="0.25">
      <c r="D2137">
        <f t="shared" ca="1" si="46"/>
        <v>43.345677602766898</v>
      </c>
    </row>
    <row r="2138" spans="4:4" x14ac:dyDescent="0.25">
      <c r="D2138">
        <f t="shared" ca="1" si="46"/>
        <v>51.689037749280104</v>
      </c>
    </row>
    <row r="2139" spans="4:4" x14ac:dyDescent="0.25">
      <c r="D2139">
        <f t="shared" ca="1" si="46"/>
        <v>51.728459305781186</v>
      </c>
    </row>
    <row r="2140" spans="4:4" x14ac:dyDescent="0.25">
      <c r="D2140">
        <f t="shared" ca="1" si="46"/>
        <v>38.539299376140058</v>
      </c>
    </row>
    <row r="2141" spans="4:4" x14ac:dyDescent="0.25">
      <c r="D2141">
        <f t="shared" ca="1" si="46"/>
        <v>35.823295108707164</v>
      </c>
    </row>
    <row r="2142" spans="4:4" x14ac:dyDescent="0.25">
      <c r="D2142">
        <f t="shared" ca="1" si="46"/>
        <v>50.221374575364585</v>
      </c>
    </row>
    <row r="2143" spans="4:4" x14ac:dyDescent="0.25">
      <c r="D2143">
        <f t="shared" ca="1" si="46"/>
        <v>45.820366385888676</v>
      </c>
    </row>
    <row r="2144" spans="4:4" x14ac:dyDescent="0.25">
      <c r="D2144">
        <f t="shared" ca="1" si="46"/>
        <v>54.927050801956653</v>
      </c>
    </row>
    <row r="2145" spans="4:4" x14ac:dyDescent="0.25">
      <c r="D2145">
        <f t="shared" ca="1" si="46"/>
        <v>39.306469420964135</v>
      </c>
    </row>
    <row r="2146" spans="4:4" x14ac:dyDescent="0.25">
      <c r="D2146">
        <f t="shared" ca="1" si="46"/>
        <v>54.886332517317939</v>
      </c>
    </row>
    <row r="2147" spans="4:4" x14ac:dyDescent="0.25">
      <c r="D2147">
        <f t="shared" ca="1" si="46"/>
        <v>49.223745631348855</v>
      </c>
    </row>
    <row r="2148" spans="4:4" x14ac:dyDescent="0.25">
      <c r="D2148">
        <f t="shared" ca="1" si="46"/>
        <v>49.139277429649333</v>
      </c>
    </row>
    <row r="2149" spans="4:4" x14ac:dyDescent="0.25">
      <c r="D2149">
        <f t="shared" ca="1" si="46"/>
        <v>55.104734308108718</v>
      </c>
    </row>
    <row r="2150" spans="4:4" x14ac:dyDescent="0.25">
      <c r="D2150">
        <f t="shared" ca="1" si="46"/>
        <v>49.829234967931029</v>
      </c>
    </row>
    <row r="2151" spans="4:4" x14ac:dyDescent="0.25">
      <c r="D2151">
        <f t="shared" ca="1" si="46"/>
        <v>44.751770505515516</v>
      </c>
    </row>
    <row r="2152" spans="4:4" x14ac:dyDescent="0.25">
      <c r="D2152">
        <f t="shared" ca="1" si="46"/>
        <v>53.03713190478954</v>
      </c>
    </row>
    <row r="2153" spans="4:4" x14ac:dyDescent="0.25">
      <c r="D2153">
        <f t="shared" ca="1" si="46"/>
        <v>51.090470251309256</v>
      </c>
    </row>
    <row r="2154" spans="4:4" x14ac:dyDescent="0.25">
      <c r="D2154">
        <f t="shared" ca="1" si="46"/>
        <v>35.469370029589712</v>
      </c>
    </row>
    <row r="2155" spans="4:4" x14ac:dyDescent="0.25">
      <c r="D2155">
        <f t="shared" ca="1" si="46"/>
        <v>44.700832396822634</v>
      </c>
    </row>
    <row r="2156" spans="4:4" x14ac:dyDescent="0.25">
      <c r="D2156">
        <f t="shared" ca="1" si="46"/>
        <v>49.856720670753752</v>
      </c>
    </row>
    <row r="2157" spans="4:4" x14ac:dyDescent="0.25">
      <c r="D2157">
        <f t="shared" ca="1" si="46"/>
        <v>49.894364023786942</v>
      </c>
    </row>
    <row r="2158" spans="4:4" x14ac:dyDescent="0.25">
      <c r="D2158">
        <f t="shared" ca="1" si="46"/>
        <v>46.51768014632826</v>
      </c>
    </row>
    <row r="2159" spans="4:4" x14ac:dyDescent="0.25">
      <c r="D2159">
        <f t="shared" ca="1" si="46"/>
        <v>47.315734888403092</v>
      </c>
    </row>
    <row r="2160" spans="4:4" x14ac:dyDescent="0.25">
      <c r="D2160">
        <f t="shared" ca="1" si="46"/>
        <v>46.612825764099789</v>
      </c>
    </row>
    <row r="2161" spans="4:4" x14ac:dyDescent="0.25">
      <c r="D2161">
        <f t="shared" ca="1" si="46"/>
        <v>43.090547709303443</v>
      </c>
    </row>
    <row r="2162" spans="4:4" x14ac:dyDescent="0.25">
      <c r="D2162">
        <f t="shared" ca="1" si="46"/>
        <v>45.643728144308056</v>
      </c>
    </row>
    <row r="2163" spans="4:4" x14ac:dyDescent="0.25">
      <c r="D2163">
        <f t="shared" ca="1" si="46"/>
        <v>43.586798795160419</v>
      </c>
    </row>
    <row r="2164" spans="4:4" x14ac:dyDescent="0.25">
      <c r="D2164">
        <f t="shared" ca="1" si="46"/>
        <v>53.0473380253393</v>
      </c>
    </row>
    <row r="2165" spans="4:4" x14ac:dyDescent="0.25">
      <c r="D2165">
        <f t="shared" ca="1" si="46"/>
        <v>48.869188248231012</v>
      </c>
    </row>
    <row r="2166" spans="4:4" x14ac:dyDescent="0.25">
      <c r="D2166">
        <f t="shared" ca="1" si="46"/>
        <v>48.187759235832225</v>
      </c>
    </row>
    <row r="2167" spans="4:4" x14ac:dyDescent="0.25">
      <c r="D2167">
        <f t="shared" ca="1" si="46"/>
        <v>39.111288958056477</v>
      </c>
    </row>
    <row r="2168" spans="4:4" x14ac:dyDescent="0.25">
      <c r="D2168">
        <f t="shared" ca="1" si="46"/>
        <v>52.827125259256796</v>
      </c>
    </row>
    <row r="2169" spans="4:4" x14ac:dyDescent="0.25">
      <c r="D2169">
        <f t="shared" ca="1" si="46"/>
        <v>47.089221321752596</v>
      </c>
    </row>
    <row r="2170" spans="4:4" x14ac:dyDescent="0.25">
      <c r="D2170">
        <f t="shared" ca="1" si="46"/>
        <v>50.596653543004415</v>
      </c>
    </row>
    <row r="2171" spans="4:4" x14ac:dyDescent="0.25">
      <c r="D2171">
        <f t="shared" ca="1" si="46"/>
        <v>49.221768807573746</v>
      </c>
    </row>
    <row r="2172" spans="4:4" x14ac:dyDescent="0.25">
      <c r="D2172">
        <f t="shared" ca="1" si="46"/>
        <v>47.093849179073381</v>
      </c>
    </row>
    <row r="2173" spans="4:4" x14ac:dyDescent="0.25">
      <c r="D2173">
        <f t="shared" ca="1" si="46"/>
        <v>50.015844844700375</v>
      </c>
    </row>
    <row r="2174" spans="4:4" x14ac:dyDescent="0.25">
      <c r="D2174">
        <f t="shared" ca="1" si="46"/>
        <v>46.650990487280694</v>
      </c>
    </row>
    <row r="2175" spans="4:4" x14ac:dyDescent="0.25">
      <c r="D2175">
        <f t="shared" ca="1" si="46"/>
        <v>54.715389352570106</v>
      </c>
    </row>
    <row r="2176" spans="4:4" x14ac:dyDescent="0.25">
      <c r="D2176">
        <f t="shared" ca="1" si="46"/>
        <v>38.935432147494339</v>
      </c>
    </row>
    <row r="2177" spans="4:4" x14ac:dyDescent="0.25">
      <c r="D2177">
        <f t="shared" ca="1" si="46"/>
        <v>45.171968169542964</v>
      </c>
    </row>
    <row r="2178" spans="4:4" x14ac:dyDescent="0.25">
      <c r="D2178">
        <f t="shared" ca="1" si="46"/>
        <v>50.816014445090737</v>
      </c>
    </row>
    <row r="2179" spans="4:4" x14ac:dyDescent="0.25">
      <c r="D2179">
        <f t="shared" ref="D2179:D2242" ca="1" si="47">_xlfn.T.INV(RAND(),25)*$G$3+$F$3</f>
        <v>56.59160997124129</v>
      </c>
    </row>
    <row r="2180" spans="4:4" x14ac:dyDescent="0.25">
      <c r="D2180">
        <f t="shared" ca="1" si="47"/>
        <v>52.731416444016688</v>
      </c>
    </row>
    <row r="2181" spans="4:4" x14ac:dyDescent="0.25">
      <c r="D2181">
        <f t="shared" ca="1" si="47"/>
        <v>40.84807628049677</v>
      </c>
    </row>
    <row r="2182" spans="4:4" x14ac:dyDescent="0.25">
      <c r="D2182">
        <f t="shared" ca="1" si="47"/>
        <v>50.034849649757255</v>
      </c>
    </row>
    <row r="2183" spans="4:4" x14ac:dyDescent="0.25">
      <c r="D2183">
        <f t="shared" ca="1" si="47"/>
        <v>47.933376643445378</v>
      </c>
    </row>
    <row r="2184" spans="4:4" x14ac:dyDescent="0.25">
      <c r="D2184">
        <f t="shared" ca="1" si="47"/>
        <v>59.190345601637908</v>
      </c>
    </row>
    <row r="2185" spans="4:4" x14ac:dyDescent="0.25">
      <c r="D2185">
        <f t="shared" ca="1" si="47"/>
        <v>48.667440849990356</v>
      </c>
    </row>
    <row r="2186" spans="4:4" x14ac:dyDescent="0.25">
      <c r="D2186">
        <f t="shared" ca="1" si="47"/>
        <v>51.211138870361857</v>
      </c>
    </row>
    <row r="2187" spans="4:4" x14ac:dyDescent="0.25">
      <c r="D2187">
        <f t="shared" ca="1" si="47"/>
        <v>44.582089357801308</v>
      </c>
    </row>
    <row r="2188" spans="4:4" x14ac:dyDescent="0.25">
      <c r="D2188">
        <f t="shared" ca="1" si="47"/>
        <v>49.24070369469402</v>
      </c>
    </row>
    <row r="2189" spans="4:4" x14ac:dyDescent="0.25">
      <c r="D2189">
        <f t="shared" ca="1" si="47"/>
        <v>49.421777485995868</v>
      </c>
    </row>
    <row r="2190" spans="4:4" x14ac:dyDescent="0.25">
      <c r="D2190">
        <f t="shared" ca="1" si="47"/>
        <v>51.473595975892685</v>
      </c>
    </row>
    <row r="2191" spans="4:4" x14ac:dyDescent="0.25">
      <c r="D2191">
        <f t="shared" ca="1" si="47"/>
        <v>54.730630630052474</v>
      </c>
    </row>
    <row r="2192" spans="4:4" x14ac:dyDescent="0.25">
      <c r="D2192">
        <f t="shared" ca="1" si="47"/>
        <v>49.744177494147024</v>
      </c>
    </row>
    <row r="2193" spans="4:4" x14ac:dyDescent="0.25">
      <c r="D2193">
        <f t="shared" ca="1" si="47"/>
        <v>46.530543335621935</v>
      </c>
    </row>
    <row r="2194" spans="4:4" x14ac:dyDescent="0.25">
      <c r="D2194">
        <f t="shared" ca="1" si="47"/>
        <v>54.230906335216858</v>
      </c>
    </row>
    <row r="2195" spans="4:4" x14ac:dyDescent="0.25">
      <c r="D2195">
        <f t="shared" ca="1" si="47"/>
        <v>47.031233336963545</v>
      </c>
    </row>
    <row r="2196" spans="4:4" x14ac:dyDescent="0.25">
      <c r="D2196">
        <f t="shared" ca="1" si="47"/>
        <v>51.982360046245972</v>
      </c>
    </row>
    <row r="2197" spans="4:4" x14ac:dyDescent="0.25">
      <c r="D2197">
        <f t="shared" ca="1" si="47"/>
        <v>52.68661599241139</v>
      </c>
    </row>
    <row r="2198" spans="4:4" x14ac:dyDescent="0.25">
      <c r="D2198">
        <f t="shared" ca="1" si="47"/>
        <v>35.557360905127133</v>
      </c>
    </row>
    <row r="2199" spans="4:4" x14ac:dyDescent="0.25">
      <c r="D2199">
        <f t="shared" ca="1" si="47"/>
        <v>48.347263747810366</v>
      </c>
    </row>
    <row r="2200" spans="4:4" x14ac:dyDescent="0.25">
      <c r="D2200">
        <f t="shared" ca="1" si="47"/>
        <v>41.179970967790275</v>
      </c>
    </row>
    <row r="2201" spans="4:4" x14ac:dyDescent="0.25">
      <c r="D2201">
        <f t="shared" ca="1" si="47"/>
        <v>49.376805628107576</v>
      </c>
    </row>
    <row r="2202" spans="4:4" x14ac:dyDescent="0.25">
      <c r="D2202">
        <f t="shared" ca="1" si="47"/>
        <v>49.763939606513894</v>
      </c>
    </row>
    <row r="2203" spans="4:4" x14ac:dyDescent="0.25">
      <c r="D2203">
        <f t="shared" ca="1" si="47"/>
        <v>48.43677423945072</v>
      </c>
    </row>
    <row r="2204" spans="4:4" x14ac:dyDescent="0.25">
      <c r="D2204">
        <f t="shared" ca="1" si="47"/>
        <v>48.277217149319895</v>
      </c>
    </row>
    <row r="2205" spans="4:4" x14ac:dyDescent="0.25">
      <c r="D2205">
        <f t="shared" ca="1" si="47"/>
        <v>46.84516394887379</v>
      </c>
    </row>
    <row r="2206" spans="4:4" x14ac:dyDescent="0.25">
      <c r="D2206">
        <f t="shared" ca="1" si="47"/>
        <v>53.632537105295981</v>
      </c>
    </row>
    <row r="2207" spans="4:4" x14ac:dyDescent="0.25">
      <c r="D2207">
        <f t="shared" ca="1" si="47"/>
        <v>39.919206923533615</v>
      </c>
    </row>
    <row r="2208" spans="4:4" x14ac:dyDescent="0.25">
      <c r="D2208">
        <f t="shared" ca="1" si="47"/>
        <v>53.672803054037423</v>
      </c>
    </row>
    <row r="2209" spans="4:4" x14ac:dyDescent="0.25">
      <c r="D2209">
        <f t="shared" ca="1" si="47"/>
        <v>50.259227698442992</v>
      </c>
    </row>
    <row r="2210" spans="4:4" x14ac:dyDescent="0.25">
      <c r="D2210">
        <f t="shared" ca="1" si="47"/>
        <v>57.400121657780495</v>
      </c>
    </row>
    <row r="2211" spans="4:4" x14ac:dyDescent="0.25">
      <c r="D2211">
        <f t="shared" ca="1" si="47"/>
        <v>59.290142209721942</v>
      </c>
    </row>
    <row r="2212" spans="4:4" x14ac:dyDescent="0.25">
      <c r="D2212">
        <f t="shared" ca="1" si="47"/>
        <v>47.028134454666599</v>
      </c>
    </row>
    <row r="2213" spans="4:4" x14ac:dyDescent="0.25">
      <c r="D2213">
        <f t="shared" ca="1" si="47"/>
        <v>51.29834393752914</v>
      </c>
    </row>
    <row r="2214" spans="4:4" x14ac:dyDescent="0.25">
      <c r="D2214">
        <f t="shared" ca="1" si="47"/>
        <v>47.010825228993866</v>
      </c>
    </row>
    <row r="2215" spans="4:4" x14ac:dyDescent="0.25">
      <c r="D2215">
        <f t="shared" ca="1" si="47"/>
        <v>47.667407308735982</v>
      </c>
    </row>
    <row r="2216" spans="4:4" x14ac:dyDescent="0.25">
      <c r="D2216">
        <f t="shared" ca="1" si="47"/>
        <v>47.747038275250226</v>
      </c>
    </row>
    <row r="2217" spans="4:4" x14ac:dyDescent="0.25">
      <c r="D2217">
        <f t="shared" ca="1" si="47"/>
        <v>46.825118292220232</v>
      </c>
    </row>
    <row r="2218" spans="4:4" x14ac:dyDescent="0.25">
      <c r="D2218">
        <f t="shared" ca="1" si="47"/>
        <v>52.4491725664206</v>
      </c>
    </row>
    <row r="2219" spans="4:4" x14ac:dyDescent="0.25">
      <c r="D2219">
        <f t="shared" ca="1" si="47"/>
        <v>42.326544888082239</v>
      </c>
    </row>
    <row r="2220" spans="4:4" x14ac:dyDescent="0.25">
      <c r="D2220">
        <f t="shared" ca="1" si="47"/>
        <v>46.708858916825932</v>
      </c>
    </row>
    <row r="2221" spans="4:4" x14ac:dyDescent="0.25">
      <c r="D2221">
        <f t="shared" ca="1" si="47"/>
        <v>49.964590024138083</v>
      </c>
    </row>
    <row r="2222" spans="4:4" x14ac:dyDescent="0.25">
      <c r="D2222">
        <f t="shared" ca="1" si="47"/>
        <v>45.853243942192762</v>
      </c>
    </row>
    <row r="2223" spans="4:4" x14ac:dyDescent="0.25">
      <c r="D2223">
        <f t="shared" ca="1" si="47"/>
        <v>49.912280491124953</v>
      </c>
    </row>
    <row r="2224" spans="4:4" x14ac:dyDescent="0.25">
      <c r="D2224">
        <f t="shared" ca="1" si="47"/>
        <v>44.355488278658321</v>
      </c>
    </row>
    <row r="2225" spans="4:4" x14ac:dyDescent="0.25">
      <c r="D2225">
        <f t="shared" ca="1" si="47"/>
        <v>47.61423584638478</v>
      </c>
    </row>
    <row r="2226" spans="4:4" x14ac:dyDescent="0.25">
      <c r="D2226">
        <f t="shared" ca="1" si="47"/>
        <v>56.301821569558875</v>
      </c>
    </row>
    <row r="2227" spans="4:4" x14ac:dyDescent="0.25">
      <c r="D2227">
        <f t="shared" ca="1" si="47"/>
        <v>43.391892690681459</v>
      </c>
    </row>
    <row r="2228" spans="4:4" x14ac:dyDescent="0.25">
      <c r="D2228">
        <f t="shared" ca="1" si="47"/>
        <v>50.408292737937145</v>
      </c>
    </row>
    <row r="2229" spans="4:4" x14ac:dyDescent="0.25">
      <c r="D2229">
        <f t="shared" ca="1" si="47"/>
        <v>50.036086076504162</v>
      </c>
    </row>
    <row r="2230" spans="4:4" x14ac:dyDescent="0.25">
      <c r="D2230">
        <f t="shared" ca="1" si="47"/>
        <v>46.853533776071799</v>
      </c>
    </row>
    <row r="2231" spans="4:4" x14ac:dyDescent="0.25">
      <c r="D2231">
        <f t="shared" ca="1" si="47"/>
        <v>52.440229188757449</v>
      </c>
    </row>
    <row r="2232" spans="4:4" x14ac:dyDescent="0.25">
      <c r="D2232">
        <f t="shared" ca="1" si="47"/>
        <v>53.881387714594041</v>
      </c>
    </row>
    <row r="2233" spans="4:4" x14ac:dyDescent="0.25">
      <c r="D2233">
        <f t="shared" ca="1" si="47"/>
        <v>53.854322024877504</v>
      </c>
    </row>
    <row r="2234" spans="4:4" x14ac:dyDescent="0.25">
      <c r="D2234">
        <f t="shared" ca="1" si="47"/>
        <v>49.976587042360698</v>
      </c>
    </row>
    <row r="2235" spans="4:4" x14ac:dyDescent="0.25">
      <c r="D2235">
        <f t="shared" ca="1" si="47"/>
        <v>54.579630117384241</v>
      </c>
    </row>
    <row r="2236" spans="4:4" x14ac:dyDescent="0.25">
      <c r="D2236">
        <f t="shared" ca="1" si="47"/>
        <v>44.22252542278666</v>
      </c>
    </row>
    <row r="2237" spans="4:4" x14ac:dyDescent="0.25">
      <c r="D2237">
        <f t="shared" ca="1" si="47"/>
        <v>43.272801073331884</v>
      </c>
    </row>
    <row r="2238" spans="4:4" x14ac:dyDescent="0.25">
      <c r="D2238">
        <f t="shared" ca="1" si="47"/>
        <v>52.548205255273025</v>
      </c>
    </row>
    <row r="2239" spans="4:4" x14ac:dyDescent="0.25">
      <c r="D2239">
        <f t="shared" ca="1" si="47"/>
        <v>48.346569701751179</v>
      </c>
    </row>
    <row r="2240" spans="4:4" x14ac:dyDescent="0.25">
      <c r="D2240">
        <f t="shared" ca="1" si="47"/>
        <v>49.552427994307955</v>
      </c>
    </row>
    <row r="2241" spans="4:4" x14ac:dyDescent="0.25">
      <c r="D2241">
        <f t="shared" ca="1" si="47"/>
        <v>46.145650688455859</v>
      </c>
    </row>
    <row r="2242" spans="4:4" x14ac:dyDescent="0.25">
      <c r="D2242">
        <f t="shared" ca="1" si="47"/>
        <v>48.638168571835919</v>
      </c>
    </row>
    <row r="2243" spans="4:4" x14ac:dyDescent="0.25">
      <c r="D2243">
        <f t="shared" ref="D2243:D2306" ca="1" si="48">_xlfn.T.INV(RAND(),25)*$G$3+$F$3</f>
        <v>48.992745623937211</v>
      </c>
    </row>
    <row r="2244" spans="4:4" x14ac:dyDescent="0.25">
      <c r="D2244">
        <f t="shared" ca="1" si="48"/>
        <v>49.424191609561802</v>
      </c>
    </row>
    <row r="2245" spans="4:4" x14ac:dyDescent="0.25">
      <c r="D2245">
        <f t="shared" ca="1" si="48"/>
        <v>36.344727265717353</v>
      </c>
    </row>
    <row r="2246" spans="4:4" x14ac:dyDescent="0.25">
      <c r="D2246">
        <f t="shared" ca="1" si="48"/>
        <v>52.899386572635116</v>
      </c>
    </row>
    <row r="2247" spans="4:4" x14ac:dyDescent="0.25">
      <c r="D2247">
        <f t="shared" ca="1" si="48"/>
        <v>41.648637070062215</v>
      </c>
    </row>
    <row r="2248" spans="4:4" x14ac:dyDescent="0.25">
      <c r="D2248">
        <f t="shared" ca="1" si="48"/>
        <v>49.745832727390685</v>
      </c>
    </row>
    <row r="2249" spans="4:4" x14ac:dyDescent="0.25">
      <c r="D2249">
        <f t="shared" ca="1" si="48"/>
        <v>55.482981567714923</v>
      </c>
    </row>
    <row r="2250" spans="4:4" x14ac:dyDescent="0.25">
      <c r="D2250">
        <f t="shared" ca="1" si="48"/>
        <v>54.106819121899463</v>
      </c>
    </row>
    <row r="2251" spans="4:4" x14ac:dyDescent="0.25">
      <c r="D2251">
        <f t="shared" ca="1" si="48"/>
        <v>52.949159864365527</v>
      </c>
    </row>
    <row r="2252" spans="4:4" x14ac:dyDescent="0.25">
      <c r="D2252">
        <f t="shared" ca="1" si="48"/>
        <v>49.996662916365672</v>
      </c>
    </row>
    <row r="2253" spans="4:4" x14ac:dyDescent="0.25">
      <c r="D2253">
        <f t="shared" ca="1" si="48"/>
        <v>45.816811042186515</v>
      </c>
    </row>
    <row r="2254" spans="4:4" x14ac:dyDescent="0.25">
      <c r="D2254">
        <f t="shared" ca="1" si="48"/>
        <v>53.645002264293936</v>
      </c>
    </row>
    <row r="2255" spans="4:4" x14ac:dyDescent="0.25">
      <c r="D2255">
        <f t="shared" ca="1" si="48"/>
        <v>51.683271856279845</v>
      </c>
    </row>
    <row r="2256" spans="4:4" x14ac:dyDescent="0.25">
      <c r="D2256">
        <f t="shared" ca="1" si="48"/>
        <v>52.781907854899337</v>
      </c>
    </row>
    <row r="2257" spans="4:4" x14ac:dyDescent="0.25">
      <c r="D2257">
        <f t="shared" ca="1" si="48"/>
        <v>53.147799421263827</v>
      </c>
    </row>
    <row r="2258" spans="4:4" x14ac:dyDescent="0.25">
      <c r="D2258">
        <f t="shared" ca="1" si="48"/>
        <v>50.289516320953311</v>
      </c>
    </row>
    <row r="2259" spans="4:4" x14ac:dyDescent="0.25">
      <c r="D2259">
        <f t="shared" ca="1" si="48"/>
        <v>52.165850737061639</v>
      </c>
    </row>
    <row r="2260" spans="4:4" x14ac:dyDescent="0.25">
      <c r="D2260">
        <f t="shared" ca="1" si="48"/>
        <v>51.890501388012382</v>
      </c>
    </row>
    <row r="2261" spans="4:4" x14ac:dyDescent="0.25">
      <c r="D2261">
        <f t="shared" ca="1" si="48"/>
        <v>50.495988799238148</v>
      </c>
    </row>
    <row r="2262" spans="4:4" x14ac:dyDescent="0.25">
      <c r="D2262">
        <f t="shared" ca="1" si="48"/>
        <v>51.671417910413162</v>
      </c>
    </row>
    <row r="2263" spans="4:4" x14ac:dyDescent="0.25">
      <c r="D2263">
        <f t="shared" ca="1" si="48"/>
        <v>52.80391711816214</v>
      </c>
    </row>
    <row r="2264" spans="4:4" x14ac:dyDescent="0.25">
      <c r="D2264">
        <f t="shared" ca="1" si="48"/>
        <v>46.201323861043157</v>
      </c>
    </row>
    <row r="2265" spans="4:4" x14ac:dyDescent="0.25">
      <c r="D2265">
        <f t="shared" ca="1" si="48"/>
        <v>44.906932049372998</v>
      </c>
    </row>
    <row r="2266" spans="4:4" x14ac:dyDescent="0.25">
      <c r="D2266">
        <f t="shared" ca="1" si="48"/>
        <v>47.650871561733446</v>
      </c>
    </row>
    <row r="2267" spans="4:4" x14ac:dyDescent="0.25">
      <c r="D2267">
        <f t="shared" ca="1" si="48"/>
        <v>53.867435200051403</v>
      </c>
    </row>
    <row r="2268" spans="4:4" x14ac:dyDescent="0.25">
      <c r="D2268">
        <f t="shared" ca="1" si="48"/>
        <v>43.52190420830896</v>
      </c>
    </row>
    <row r="2269" spans="4:4" x14ac:dyDescent="0.25">
      <c r="D2269">
        <f t="shared" ca="1" si="48"/>
        <v>48.099145862656187</v>
      </c>
    </row>
    <row r="2270" spans="4:4" x14ac:dyDescent="0.25">
      <c r="D2270">
        <f t="shared" ca="1" si="48"/>
        <v>46.338435782979396</v>
      </c>
    </row>
    <row r="2271" spans="4:4" x14ac:dyDescent="0.25">
      <c r="D2271">
        <f t="shared" ca="1" si="48"/>
        <v>51.192583866352962</v>
      </c>
    </row>
    <row r="2272" spans="4:4" x14ac:dyDescent="0.25">
      <c r="D2272">
        <f t="shared" ca="1" si="48"/>
        <v>48.849081104019014</v>
      </c>
    </row>
    <row r="2273" spans="4:4" x14ac:dyDescent="0.25">
      <c r="D2273">
        <f t="shared" ca="1" si="48"/>
        <v>47.501674460130481</v>
      </c>
    </row>
    <row r="2274" spans="4:4" x14ac:dyDescent="0.25">
      <c r="D2274">
        <f t="shared" ca="1" si="48"/>
        <v>50.049252153281302</v>
      </c>
    </row>
    <row r="2275" spans="4:4" x14ac:dyDescent="0.25">
      <c r="D2275">
        <f t="shared" ca="1" si="48"/>
        <v>47.038517058109207</v>
      </c>
    </row>
    <row r="2276" spans="4:4" x14ac:dyDescent="0.25">
      <c r="D2276">
        <f t="shared" ca="1" si="48"/>
        <v>47.591235306987528</v>
      </c>
    </row>
    <row r="2277" spans="4:4" x14ac:dyDescent="0.25">
      <c r="D2277">
        <f t="shared" ca="1" si="48"/>
        <v>42.391891777394122</v>
      </c>
    </row>
    <row r="2278" spans="4:4" x14ac:dyDescent="0.25">
      <c r="D2278">
        <f t="shared" ca="1" si="48"/>
        <v>50.936215951259818</v>
      </c>
    </row>
    <row r="2279" spans="4:4" x14ac:dyDescent="0.25">
      <c r="D2279">
        <f t="shared" ca="1" si="48"/>
        <v>47.139987271123992</v>
      </c>
    </row>
    <row r="2280" spans="4:4" x14ac:dyDescent="0.25">
      <c r="D2280">
        <f t="shared" ca="1" si="48"/>
        <v>53.577057053459342</v>
      </c>
    </row>
    <row r="2281" spans="4:4" x14ac:dyDescent="0.25">
      <c r="D2281">
        <f t="shared" ca="1" si="48"/>
        <v>54.293756638966684</v>
      </c>
    </row>
    <row r="2282" spans="4:4" x14ac:dyDescent="0.25">
      <c r="D2282">
        <f t="shared" ca="1" si="48"/>
        <v>50.487836938217441</v>
      </c>
    </row>
    <row r="2283" spans="4:4" x14ac:dyDescent="0.25">
      <c r="D2283">
        <f t="shared" ca="1" si="48"/>
        <v>46.315558973839345</v>
      </c>
    </row>
    <row r="2284" spans="4:4" x14ac:dyDescent="0.25">
      <c r="D2284">
        <f t="shared" ca="1" si="48"/>
        <v>55.882053305180932</v>
      </c>
    </row>
    <row r="2285" spans="4:4" x14ac:dyDescent="0.25">
      <c r="D2285">
        <f t="shared" ca="1" si="48"/>
        <v>45.916234470166621</v>
      </c>
    </row>
    <row r="2286" spans="4:4" x14ac:dyDescent="0.25">
      <c r="D2286">
        <f t="shared" ca="1" si="48"/>
        <v>62.118514949486368</v>
      </c>
    </row>
    <row r="2287" spans="4:4" x14ac:dyDescent="0.25">
      <c r="D2287">
        <f t="shared" ca="1" si="48"/>
        <v>45.957113235571789</v>
      </c>
    </row>
    <row r="2288" spans="4:4" x14ac:dyDescent="0.25">
      <c r="D2288">
        <f t="shared" ca="1" si="48"/>
        <v>48.86670617737699</v>
      </c>
    </row>
    <row r="2289" spans="4:4" x14ac:dyDescent="0.25">
      <c r="D2289">
        <f t="shared" ca="1" si="48"/>
        <v>46.431865998522078</v>
      </c>
    </row>
    <row r="2290" spans="4:4" x14ac:dyDescent="0.25">
      <c r="D2290">
        <f t="shared" ca="1" si="48"/>
        <v>51.358063263415474</v>
      </c>
    </row>
    <row r="2291" spans="4:4" x14ac:dyDescent="0.25">
      <c r="D2291">
        <f t="shared" ca="1" si="48"/>
        <v>43.671938811281294</v>
      </c>
    </row>
    <row r="2292" spans="4:4" x14ac:dyDescent="0.25">
      <c r="D2292">
        <f t="shared" ca="1" si="48"/>
        <v>52.717945778084562</v>
      </c>
    </row>
    <row r="2293" spans="4:4" x14ac:dyDescent="0.25">
      <c r="D2293">
        <f t="shared" ca="1" si="48"/>
        <v>51.375048574451327</v>
      </c>
    </row>
    <row r="2294" spans="4:4" x14ac:dyDescent="0.25">
      <c r="D2294">
        <f t="shared" ca="1" si="48"/>
        <v>54.755692749654244</v>
      </c>
    </row>
    <row r="2295" spans="4:4" x14ac:dyDescent="0.25">
      <c r="D2295">
        <f t="shared" ca="1" si="48"/>
        <v>49.851105687558544</v>
      </c>
    </row>
    <row r="2296" spans="4:4" x14ac:dyDescent="0.25">
      <c r="D2296">
        <f t="shared" ca="1" si="48"/>
        <v>52.407437676474174</v>
      </c>
    </row>
    <row r="2297" spans="4:4" x14ac:dyDescent="0.25">
      <c r="D2297">
        <f t="shared" ca="1" si="48"/>
        <v>48.793389911123903</v>
      </c>
    </row>
    <row r="2298" spans="4:4" x14ac:dyDescent="0.25">
      <c r="D2298">
        <f t="shared" ca="1" si="48"/>
        <v>47.071964912437913</v>
      </c>
    </row>
    <row r="2299" spans="4:4" x14ac:dyDescent="0.25">
      <c r="D2299">
        <f t="shared" ca="1" si="48"/>
        <v>54.993892566594781</v>
      </c>
    </row>
    <row r="2300" spans="4:4" x14ac:dyDescent="0.25">
      <c r="D2300">
        <f t="shared" ca="1" si="48"/>
        <v>42.00867375592788</v>
      </c>
    </row>
    <row r="2301" spans="4:4" x14ac:dyDescent="0.25">
      <c r="D2301">
        <f t="shared" ca="1" si="48"/>
        <v>50.196742565850066</v>
      </c>
    </row>
    <row r="2302" spans="4:4" x14ac:dyDescent="0.25">
      <c r="D2302">
        <f t="shared" ca="1" si="48"/>
        <v>57.310617930735631</v>
      </c>
    </row>
    <row r="2303" spans="4:4" x14ac:dyDescent="0.25">
      <c r="D2303">
        <f t="shared" ca="1" si="48"/>
        <v>39.998815154930504</v>
      </c>
    </row>
    <row r="2304" spans="4:4" x14ac:dyDescent="0.25">
      <c r="D2304">
        <f t="shared" ca="1" si="48"/>
        <v>39.042515675375029</v>
      </c>
    </row>
    <row r="2305" spans="4:4" x14ac:dyDescent="0.25">
      <c r="D2305">
        <f t="shared" ca="1" si="48"/>
        <v>54.567533393479096</v>
      </c>
    </row>
    <row r="2306" spans="4:4" x14ac:dyDescent="0.25">
      <c r="D2306">
        <f t="shared" ca="1" si="48"/>
        <v>49.865898993370841</v>
      </c>
    </row>
    <row r="2307" spans="4:4" x14ac:dyDescent="0.25">
      <c r="D2307">
        <f t="shared" ref="D2307:D2370" ca="1" si="49">_xlfn.T.INV(RAND(),25)*$G$3+$F$3</f>
        <v>54.89819341943933</v>
      </c>
    </row>
    <row r="2308" spans="4:4" x14ac:dyDescent="0.25">
      <c r="D2308">
        <f t="shared" ca="1" si="49"/>
        <v>47.4432019882071</v>
      </c>
    </row>
    <row r="2309" spans="4:4" x14ac:dyDescent="0.25">
      <c r="D2309">
        <f t="shared" ca="1" si="49"/>
        <v>46.95138387714087</v>
      </c>
    </row>
    <row r="2310" spans="4:4" x14ac:dyDescent="0.25">
      <c r="D2310">
        <f t="shared" ca="1" si="49"/>
        <v>51.628065100249401</v>
      </c>
    </row>
    <row r="2311" spans="4:4" x14ac:dyDescent="0.25">
      <c r="D2311">
        <f t="shared" ca="1" si="49"/>
        <v>45.079380040998714</v>
      </c>
    </row>
    <row r="2312" spans="4:4" x14ac:dyDescent="0.25">
      <c r="D2312">
        <f t="shared" ca="1" si="49"/>
        <v>54.394091480350752</v>
      </c>
    </row>
    <row r="2313" spans="4:4" x14ac:dyDescent="0.25">
      <c r="D2313">
        <f t="shared" ca="1" si="49"/>
        <v>48.48891091007949</v>
      </c>
    </row>
    <row r="2314" spans="4:4" x14ac:dyDescent="0.25">
      <c r="D2314">
        <f t="shared" ca="1" si="49"/>
        <v>51.408192236317547</v>
      </c>
    </row>
    <row r="2315" spans="4:4" x14ac:dyDescent="0.25">
      <c r="D2315">
        <f t="shared" ca="1" si="49"/>
        <v>48.911747856191589</v>
      </c>
    </row>
    <row r="2316" spans="4:4" x14ac:dyDescent="0.25">
      <c r="D2316">
        <f t="shared" ca="1" si="49"/>
        <v>54.285243910432555</v>
      </c>
    </row>
    <row r="2317" spans="4:4" x14ac:dyDescent="0.25">
      <c r="D2317">
        <f t="shared" ca="1" si="49"/>
        <v>52.992450080272683</v>
      </c>
    </row>
    <row r="2318" spans="4:4" x14ac:dyDescent="0.25">
      <c r="D2318">
        <f t="shared" ca="1" si="49"/>
        <v>46.475477706533269</v>
      </c>
    </row>
    <row r="2319" spans="4:4" x14ac:dyDescent="0.25">
      <c r="D2319">
        <f t="shared" ca="1" si="49"/>
        <v>48.018531650412967</v>
      </c>
    </row>
    <row r="2320" spans="4:4" x14ac:dyDescent="0.25">
      <c r="D2320">
        <f t="shared" ca="1" si="49"/>
        <v>44.824809459316597</v>
      </c>
    </row>
    <row r="2321" spans="4:4" x14ac:dyDescent="0.25">
      <c r="D2321">
        <f t="shared" ca="1" si="49"/>
        <v>50.148423002227084</v>
      </c>
    </row>
    <row r="2322" spans="4:4" x14ac:dyDescent="0.25">
      <c r="D2322">
        <f t="shared" ca="1" si="49"/>
        <v>50.675706424417356</v>
      </c>
    </row>
    <row r="2323" spans="4:4" x14ac:dyDescent="0.25">
      <c r="D2323">
        <f t="shared" ca="1" si="49"/>
        <v>49.028735379901136</v>
      </c>
    </row>
    <row r="2324" spans="4:4" x14ac:dyDescent="0.25">
      <c r="D2324">
        <f t="shared" ca="1" si="49"/>
        <v>54.04240037963941</v>
      </c>
    </row>
    <row r="2325" spans="4:4" x14ac:dyDescent="0.25">
      <c r="D2325">
        <f t="shared" ca="1" si="49"/>
        <v>51.551672679550045</v>
      </c>
    </row>
    <row r="2326" spans="4:4" x14ac:dyDescent="0.25">
      <c r="D2326">
        <f t="shared" ca="1" si="49"/>
        <v>50.087451267233149</v>
      </c>
    </row>
    <row r="2327" spans="4:4" x14ac:dyDescent="0.25">
      <c r="D2327">
        <f t="shared" ca="1" si="49"/>
        <v>50.514188456476361</v>
      </c>
    </row>
    <row r="2328" spans="4:4" x14ac:dyDescent="0.25">
      <c r="D2328">
        <f t="shared" ca="1" si="49"/>
        <v>47.763235523030964</v>
      </c>
    </row>
    <row r="2329" spans="4:4" x14ac:dyDescent="0.25">
      <c r="D2329">
        <f t="shared" ca="1" si="49"/>
        <v>48.360114751352739</v>
      </c>
    </row>
    <row r="2330" spans="4:4" x14ac:dyDescent="0.25">
      <c r="D2330">
        <f t="shared" ca="1" si="49"/>
        <v>44.125266072665482</v>
      </c>
    </row>
    <row r="2331" spans="4:4" x14ac:dyDescent="0.25">
      <c r="D2331">
        <f t="shared" ca="1" si="49"/>
        <v>45.370915419027277</v>
      </c>
    </row>
    <row r="2332" spans="4:4" x14ac:dyDescent="0.25">
      <c r="D2332">
        <f t="shared" ca="1" si="49"/>
        <v>57.286087531904585</v>
      </c>
    </row>
    <row r="2333" spans="4:4" x14ac:dyDescent="0.25">
      <c r="D2333">
        <f t="shared" ca="1" si="49"/>
        <v>44.183137626289295</v>
      </c>
    </row>
    <row r="2334" spans="4:4" x14ac:dyDescent="0.25">
      <c r="D2334">
        <f t="shared" ca="1" si="49"/>
        <v>53.242727257651332</v>
      </c>
    </row>
    <row r="2335" spans="4:4" x14ac:dyDescent="0.25">
      <c r="D2335">
        <f t="shared" ca="1" si="49"/>
        <v>66.732094756457144</v>
      </c>
    </row>
    <row r="2336" spans="4:4" x14ac:dyDescent="0.25">
      <c r="D2336">
        <f t="shared" ca="1" si="49"/>
        <v>54.335234690517339</v>
      </c>
    </row>
    <row r="2337" spans="4:4" x14ac:dyDescent="0.25">
      <c r="D2337">
        <f t="shared" ca="1" si="49"/>
        <v>45.512779972071328</v>
      </c>
    </row>
    <row r="2338" spans="4:4" x14ac:dyDescent="0.25">
      <c r="D2338">
        <f t="shared" ca="1" si="49"/>
        <v>43.893831737675171</v>
      </c>
    </row>
    <row r="2339" spans="4:4" x14ac:dyDescent="0.25">
      <c r="D2339">
        <f t="shared" ca="1" si="49"/>
        <v>50.954445162492803</v>
      </c>
    </row>
    <row r="2340" spans="4:4" x14ac:dyDescent="0.25">
      <c r="D2340">
        <f t="shared" ca="1" si="49"/>
        <v>51.28102200840825</v>
      </c>
    </row>
    <row r="2341" spans="4:4" x14ac:dyDescent="0.25">
      <c r="D2341">
        <f t="shared" ca="1" si="49"/>
        <v>47.431420913871939</v>
      </c>
    </row>
    <row r="2342" spans="4:4" x14ac:dyDescent="0.25">
      <c r="D2342">
        <f t="shared" ca="1" si="49"/>
        <v>52.252316935547213</v>
      </c>
    </row>
    <row r="2343" spans="4:4" x14ac:dyDescent="0.25">
      <c r="D2343">
        <f t="shared" ca="1" si="49"/>
        <v>50.291050796451792</v>
      </c>
    </row>
    <row r="2344" spans="4:4" x14ac:dyDescent="0.25">
      <c r="D2344">
        <f t="shared" ca="1" si="49"/>
        <v>54.518109516324571</v>
      </c>
    </row>
    <row r="2345" spans="4:4" x14ac:dyDescent="0.25">
      <c r="D2345">
        <f t="shared" ca="1" si="49"/>
        <v>59.635883635826069</v>
      </c>
    </row>
    <row r="2346" spans="4:4" x14ac:dyDescent="0.25">
      <c r="D2346">
        <f t="shared" ca="1" si="49"/>
        <v>55.771877713306097</v>
      </c>
    </row>
    <row r="2347" spans="4:4" x14ac:dyDescent="0.25">
      <c r="D2347">
        <f t="shared" ca="1" si="49"/>
        <v>54.40856749091467</v>
      </c>
    </row>
    <row r="2348" spans="4:4" x14ac:dyDescent="0.25">
      <c r="D2348">
        <f t="shared" ca="1" si="49"/>
        <v>52.986819798757239</v>
      </c>
    </row>
    <row r="2349" spans="4:4" x14ac:dyDescent="0.25">
      <c r="D2349">
        <f t="shared" ca="1" si="49"/>
        <v>53.748581238258367</v>
      </c>
    </row>
    <row r="2350" spans="4:4" x14ac:dyDescent="0.25">
      <c r="D2350">
        <f t="shared" ca="1" si="49"/>
        <v>48.714117997166476</v>
      </c>
    </row>
    <row r="2351" spans="4:4" x14ac:dyDescent="0.25">
      <c r="D2351">
        <f t="shared" ca="1" si="49"/>
        <v>50.90279336799945</v>
      </c>
    </row>
    <row r="2352" spans="4:4" x14ac:dyDescent="0.25">
      <c r="D2352">
        <f t="shared" ca="1" si="49"/>
        <v>50.880262527004923</v>
      </c>
    </row>
    <row r="2353" spans="4:4" x14ac:dyDescent="0.25">
      <c r="D2353">
        <f t="shared" ca="1" si="49"/>
        <v>54.515685155699863</v>
      </c>
    </row>
    <row r="2354" spans="4:4" x14ac:dyDescent="0.25">
      <c r="D2354">
        <f t="shared" ca="1" si="49"/>
        <v>52.237453395318624</v>
      </c>
    </row>
    <row r="2355" spans="4:4" x14ac:dyDescent="0.25">
      <c r="D2355">
        <f t="shared" ca="1" si="49"/>
        <v>54.239344511940082</v>
      </c>
    </row>
    <row r="2356" spans="4:4" x14ac:dyDescent="0.25">
      <c r="D2356">
        <f t="shared" ca="1" si="49"/>
        <v>46.149337296300502</v>
      </c>
    </row>
    <row r="2357" spans="4:4" x14ac:dyDescent="0.25">
      <c r="D2357">
        <f t="shared" ca="1" si="49"/>
        <v>62.649496248488688</v>
      </c>
    </row>
    <row r="2358" spans="4:4" x14ac:dyDescent="0.25">
      <c r="D2358">
        <f t="shared" ca="1" si="49"/>
        <v>55.154405018330657</v>
      </c>
    </row>
    <row r="2359" spans="4:4" x14ac:dyDescent="0.25">
      <c r="D2359">
        <f t="shared" ca="1" si="49"/>
        <v>47.668574193701438</v>
      </c>
    </row>
    <row r="2360" spans="4:4" x14ac:dyDescent="0.25">
      <c r="D2360">
        <f t="shared" ca="1" si="49"/>
        <v>53.50643359765381</v>
      </c>
    </row>
    <row r="2361" spans="4:4" x14ac:dyDescent="0.25">
      <c r="D2361">
        <f t="shared" ca="1" si="49"/>
        <v>53.929018816314063</v>
      </c>
    </row>
    <row r="2362" spans="4:4" x14ac:dyDescent="0.25">
      <c r="D2362">
        <f t="shared" ca="1" si="49"/>
        <v>53.260112961638804</v>
      </c>
    </row>
    <row r="2363" spans="4:4" x14ac:dyDescent="0.25">
      <c r="D2363">
        <f t="shared" ca="1" si="49"/>
        <v>58.737425713569564</v>
      </c>
    </row>
    <row r="2364" spans="4:4" x14ac:dyDescent="0.25">
      <c r="D2364">
        <f t="shared" ca="1" si="49"/>
        <v>48.656173061753279</v>
      </c>
    </row>
    <row r="2365" spans="4:4" x14ac:dyDescent="0.25">
      <c r="D2365">
        <f t="shared" ca="1" si="49"/>
        <v>51.997256588451549</v>
      </c>
    </row>
    <row r="2366" spans="4:4" x14ac:dyDescent="0.25">
      <c r="D2366">
        <f t="shared" ca="1" si="49"/>
        <v>48.4606321507041</v>
      </c>
    </row>
    <row r="2367" spans="4:4" x14ac:dyDescent="0.25">
      <c r="D2367">
        <f t="shared" ca="1" si="49"/>
        <v>42.591135137269717</v>
      </c>
    </row>
    <row r="2368" spans="4:4" x14ac:dyDescent="0.25">
      <c r="D2368">
        <f t="shared" ca="1" si="49"/>
        <v>51.674903800088721</v>
      </c>
    </row>
    <row r="2369" spans="4:4" x14ac:dyDescent="0.25">
      <c r="D2369">
        <f t="shared" ca="1" si="49"/>
        <v>53.450157683129504</v>
      </c>
    </row>
    <row r="2370" spans="4:4" x14ac:dyDescent="0.25">
      <c r="D2370">
        <f t="shared" ca="1" si="49"/>
        <v>49.082597037348542</v>
      </c>
    </row>
    <row r="2371" spans="4:4" x14ac:dyDescent="0.25">
      <c r="D2371">
        <f t="shared" ref="D2371:D2434" ca="1" si="50">_xlfn.T.INV(RAND(),25)*$G$3+$F$3</f>
        <v>49.399082392079045</v>
      </c>
    </row>
    <row r="2372" spans="4:4" x14ac:dyDescent="0.25">
      <c r="D2372">
        <f t="shared" ca="1" si="50"/>
        <v>59.436154033389144</v>
      </c>
    </row>
    <row r="2373" spans="4:4" x14ac:dyDescent="0.25">
      <c r="D2373">
        <f t="shared" ca="1" si="50"/>
        <v>40.599104077521204</v>
      </c>
    </row>
    <row r="2374" spans="4:4" x14ac:dyDescent="0.25">
      <c r="D2374">
        <f t="shared" ca="1" si="50"/>
        <v>48.145632287575154</v>
      </c>
    </row>
    <row r="2375" spans="4:4" x14ac:dyDescent="0.25">
      <c r="D2375">
        <f t="shared" ca="1" si="50"/>
        <v>42.309863546271004</v>
      </c>
    </row>
    <row r="2376" spans="4:4" x14ac:dyDescent="0.25">
      <c r="D2376">
        <f t="shared" ca="1" si="50"/>
        <v>49.717968311508415</v>
      </c>
    </row>
    <row r="2377" spans="4:4" x14ac:dyDescent="0.25">
      <c r="D2377">
        <f t="shared" ca="1" si="50"/>
        <v>49.634752156767888</v>
      </c>
    </row>
    <row r="2378" spans="4:4" x14ac:dyDescent="0.25">
      <c r="D2378">
        <f t="shared" ca="1" si="50"/>
        <v>45.02747617507049</v>
      </c>
    </row>
    <row r="2379" spans="4:4" x14ac:dyDescent="0.25">
      <c r="D2379">
        <f t="shared" ca="1" si="50"/>
        <v>49.895541286654939</v>
      </c>
    </row>
    <row r="2380" spans="4:4" x14ac:dyDescent="0.25">
      <c r="D2380">
        <f t="shared" ca="1" si="50"/>
        <v>46.045806809982722</v>
      </c>
    </row>
    <row r="2381" spans="4:4" x14ac:dyDescent="0.25">
      <c r="D2381">
        <f t="shared" ca="1" si="50"/>
        <v>54.750332051607131</v>
      </c>
    </row>
    <row r="2382" spans="4:4" x14ac:dyDescent="0.25">
      <c r="D2382">
        <f t="shared" ca="1" si="50"/>
        <v>46.967682343847358</v>
      </c>
    </row>
    <row r="2383" spans="4:4" x14ac:dyDescent="0.25">
      <c r="D2383">
        <f t="shared" ca="1" si="50"/>
        <v>55.128037661032849</v>
      </c>
    </row>
    <row r="2384" spans="4:4" x14ac:dyDescent="0.25">
      <c r="D2384">
        <f t="shared" ca="1" si="50"/>
        <v>50.972039647949217</v>
      </c>
    </row>
    <row r="2385" spans="4:4" x14ac:dyDescent="0.25">
      <c r="D2385">
        <f t="shared" ca="1" si="50"/>
        <v>52.65770535920894</v>
      </c>
    </row>
    <row r="2386" spans="4:4" x14ac:dyDescent="0.25">
      <c r="D2386">
        <f t="shared" ca="1" si="50"/>
        <v>53.852871594576719</v>
      </c>
    </row>
    <row r="2387" spans="4:4" x14ac:dyDescent="0.25">
      <c r="D2387">
        <f t="shared" ca="1" si="50"/>
        <v>42.724241188384731</v>
      </c>
    </row>
    <row r="2388" spans="4:4" x14ac:dyDescent="0.25">
      <c r="D2388">
        <f t="shared" ca="1" si="50"/>
        <v>45.042941250784736</v>
      </c>
    </row>
    <row r="2389" spans="4:4" x14ac:dyDescent="0.25">
      <c r="D2389">
        <f t="shared" ca="1" si="50"/>
        <v>46.756759323479343</v>
      </c>
    </row>
    <row r="2390" spans="4:4" x14ac:dyDescent="0.25">
      <c r="D2390">
        <f t="shared" ca="1" si="50"/>
        <v>43.912477944653283</v>
      </c>
    </row>
    <row r="2391" spans="4:4" x14ac:dyDescent="0.25">
      <c r="D2391">
        <f t="shared" ca="1" si="50"/>
        <v>57.218721027529185</v>
      </c>
    </row>
    <row r="2392" spans="4:4" x14ac:dyDescent="0.25">
      <c r="D2392">
        <f t="shared" ca="1" si="50"/>
        <v>48.234050231057381</v>
      </c>
    </row>
    <row r="2393" spans="4:4" x14ac:dyDescent="0.25">
      <c r="D2393">
        <f t="shared" ca="1" si="50"/>
        <v>58.643160507789894</v>
      </c>
    </row>
    <row r="2394" spans="4:4" x14ac:dyDescent="0.25">
      <c r="D2394">
        <f t="shared" ca="1" si="50"/>
        <v>52.040153209846821</v>
      </c>
    </row>
    <row r="2395" spans="4:4" x14ac:dyDescent="0.25">
      <c r="D2395">
        <f t="shared" ca="1" si="50"/>
        <v>45.173579442567771</v>
      </c>
    </row>
    <row r="2396" spans="4:4" x14ac:dyDescent="0.25">
      <c r="D2396">
        <f t="shared" ca="1" si="50"/>
        <v>46.957921927661438</v>
      </c>
    </row>
    <row r="2397" spans="4:4" x14ac:dyDescent="0.25">
      <c r="D2397">
        <f t="shared" ca="1" si="50"/>
        <v>54.224095671799454</v>
      </c>
    </row>
    <row r="2398" spans="4:4" x14ac:dyDescent="0.25">
      <c r="D2398">
        <f t="shared" ca="1" si="50"/>
        <v>50.848711574330267</v>
      </c>
    </row>
    <row r="2399" spans="4:4" x14ac:dyDescent="0.25">
      <c r="D2399">
        <f t="shared" ca="1" si="50"/>
        <v>56.057995581601688</v>
      </c>
    </row>
    <row r="2400" spans="4:4" x14ac:dyDescent="0.25">
      <c r="D2400">
        <f t="shared" ca="1" si="50"/>
        <v>47.187692263332075</v>
      </c>
    </row>
    <row r="2401" spans="4:4" x14ac:dyDescent="0.25">
      <c r="D2401">
        <f t="shared" ca="1" si="50"/>
        <v>43.54690958164776</v>
      </c>
    </row>
    <row r="2402" spans="4:4" x14ac:dyDescent="0.25">
      <c r="D2402">
        <f t="shared" ca="1" si="50"/>
        <v>46.723059114639049</v>
      </c>
    </row>
    <row r="2403" spans="4:4" x14ac:dyDescent="0.25">
      <c r="D2403">
        <f t="shared" ca="1" si="50"/>
        <v>57.833182911970482</v>
      </c>
    </row>
    <row r="2404" spans="4:4" x14ac:dyDescent="0.25">
      <c r="D2404">
        <f t="shared" ca="1" si="50"/>
        <v>45.925159598334375</v>
      </c>
    </row>
    <row r="2405" spans="4:4" x14ac:dyDescent="0.25">
      <c r="D2405">
        <f t="shared" ca="1" si="50"/>
        <v>48.336569603651888</v>
      </c>
    </row>
    <row r="2406" spans="4:4" x14ac:dyDescent="0.25">
      <c r="D2406">
        <f t="shared" ca="1" si="50"/>
        <v>51.8606375795666</v>
      </c>
    </row>
    <row r="2407" spans="4:4" x14ac:dyDescent="0.25">
      <c r="D2407">
        <f t="shared" ca="1" si="50"/>
        <v>46.411552965715202</v>
      </c>
    </row>
    <row r="2408" spans="4:4" x14ac:dyDescent="0.25">
      <c r="D2408">
        <f t="shared" ca="1" si="50"/>
        <v>49.156568448875561</v>
      </c>
    </row>
    <row r="2409" spans="4:4" x14ac:dyDescent="0.25">
      <c r="D2409">
        <f t="shared" ca="1" si="50"/>
        <v>52.032411977591174</v>
      </c>
    </row>
    <row r="2410" spans="4:4" x14ac:dyDescent="0.25">
      <c r="D2410">
        <f t="shared" ca="1" si="50"/>
        <v>47.79174366465115</v>
      </c>
    </row>
    <row r="2411" spans="4:4" x14ac:dyDescent="0.25">
      <c r="D2411">
        <f t="shared" ca="1" si="50"/>
        <v>48.701474880128387</v>
      </c>
    </row>
    <row r="2412" spans="4:4" x14ac:dyDescent="0.25">
      <c r="D2412">
        <f t="shared" ca="1" si="50"/>
        <v>47.308578541911984</v>
      </c>
    </row>
    <row r="2413" spans="4:4" x14ac:dyDescent="0.25">
      <c r="D2413">
        <f t="shared" ca="1" si="50"/>
        <v>44.588481255126887</v>
      </c>
    </row>
    <row r="2414" spans="4:4" x14ac:dyDescent="0.25">
      <c r="D2414">
        <f t="shared" ca="1" si="50"/>
        <v>44.489493038216551</v>
      </c>
    </row>
    <row r="2415" spans="4:4" x14ac:dyDescent="0.25">
      <c r="D2415">
        <f t="shared" ca="1" si="50"/>
        <v>48.518923424363784</v>
      </c>
    </row>
    <row r="2416" spans="4:4" x14ac:dyDescent="0.25">
      <c r="D2416">
        <f t="shared" ca="1" si="50"/>
        <v>47.794862364912461</v>
      </c>
    </row>
    <row r="2417" spans="4:4" x14ac:dyDescent="0.25">
      <c r="D2417">
        <f t="shared" ca="1" si="50"/>
        <v>51.724032220454461</v>
      </c>
    </row>
    <row r="2418" spans="4:4" x14ac:dyDescent="0.25">
      <c r="D2418">
        <f t="shared" ca="1" si="50"/>
        <v>54.820987828162487</v>
      </c>
    </row>
    <row r="2419" spans="4:4" x14ac:dyDescent="0.25">
      <c r="D2419">
        <f t="shared" ca="1" si="50"/>
        <v>45.814730621395491</v>
      </c>
    </row>
    <row r="2420" spans="4:4" x14ac:dyDescent="0.25">
      <c r="D2420">
        <f t="shared" ca="1" si="50"/>
        <v>51.09771126687297</v>
      </c>
    </row>
    <row r="2421" spans="4:4" x14ac:dyDescent="0.25">
      <c r="D2421">
        <f t="shared" ca="1" si="50"/>
        <v>44.6463282621459</v>
      </c>
    </row>
    <row r="2422" spans="4:4" x14ac:dyDescent="0.25">
      <c r="D2422">
        <f t="shared" ca="1" si="50"/>
        <v>55.094340664746305</v>
      </c>
    </row>
    <row r="2423" spans="4:4" x14ac:dyDescent="0.25">
      <c r="D2423">
        <f t="shared" ca="1" si="50"/>
        <v>50.468577433968811</v>
      </c>
    </row>
    <row r="2424" spans="4:4" x14ac:dyDescent="0.25">
      <c r="D2424">
        <f t="shared" ca="1" si="50"/>
        <v>46.142045276017377</v>
      </c>
    </row>
    <row r="2425" spans="4:4" x14ac:dyDescent="0.25">
      <c r="D2425">
        <f t="shared" ca="1" si="50"/>
        <v>47.984927055567631</v>
      </c>
    </row>
    <row r="2426" spans="4:4" x14ac:dyDescent="0.25">
      <c r="D2426">
        <f t="shared" ca="1" si="50"/>
        <v>48.947212974023209</v>
      </c>
    </row>
    <row r="2427" spans="4:4" x14ac:dyDescent="0.25">
      <c r="D2427">
        <f t="shared" ca="1" si="50"/>
        <v>50.619264805006772</v>
      </c>
    </row>
    <row r="2428" spans="4:4" x14ac:dyDescent="0.25">
      <c r="D2428">
        <f t="shared" ca="1" si="50"/>
        <v>54.358842082538303</v>
      </c>
    </row>
    <row r="2429" spans="4:4" x14ac:dyDescent="0.25">
      <c r="D2429">
        <f t="shared" ca="1" si="50"/>
        <v>54.471200607262091</v>
      </c>
    </row>
    <row r="2430" spans="4:4" x14ac:dyDescent="0.25">
      <c r="D2430">
        <f t="shared" ca="1" si="50"/>
        <v>51.455695392606287</v>
      </c>
    </row>
    <row r="2431" spans="4:4" x14ac:dyDescent="0.25">
      <c r="D2431">
        <f t="shared" ca="1" si="50"/>
        <v>47.437796601139198</v>
      </c>
    </row>
    <row r="2432" spans="4:4" x14ac:dyDescent="0.25">
      <c r="D2432">
        <f t="shared" ca="1" si="50"/>
        <v>45.317393724277437</v>
      </c>
    </row>
    <row r="2433" spans="4:4" x14ac:dyDescent="0.25">
      <c r="D2433">
        <f t="shared" ca="1" si="50"/>
        <v>48.344611868281071</v>
      </c>
    </row>
    <row r="2434" spans="4:4" x14ac:dyDescent="0.25">
      <c r="D2434">
        <f t="shared" ca="1" si="50"/>
        <v>50.504736759974463</v>
      </c>
    </row>
    <row r="2435" spans="4:4" x14ac:dyDescent="0.25">
      <c r="D2435">
        <f t="shared" ref="D2435:D2498" ca="1" si="51">_xlfn.T.INV(RAND(),25)*$G$3+$F$3</f>
        <v>53.339696986997879</v>
      </c>
    </row>
    <row r="2436" spans="4:4" x14ac:dyDescent="0.25">
      <c r="D2436">
        <f t="shared" ca="1" si="51"/>
        <v>45.446671846833944</v>
      </c>
    </row>
    <row r="2437" spans="4:4" x14ac:dyDescent="0.25">
      <c r="D2437">
        <f t="shared" ca="1" si="51"/>
        <v>48.484196043230604</v>
      </c>
    </row>
    <row r="2438" spans="4:4" x14ac:dyDescent="0.25">
      <c r="D2438">
        <f t="shared" ca="1" si="51"/>
        <v>48.923321618160315</v>
      </c>
    </row>
    <row r="2439" spans="4:4" x14ac:dyDescent="0.25">
      <c r="D2439">
        <f t="shared" ca="1" si="51"/>
        <v>50.735321023344113</v>
      </c>
    </row>
    <row r="2440" spans="4:4" x14ac:dyDescent="0.25">
      <c r="D2440">
        <f t="shared" ca="1" si="51"/>
        <v>58.672450918927943</v>
      </c>
    </row>
    <row r="2441" spans="4:4" x14ac:dyDescent="0.25">
      <c r="D2441">
        <f t="shared" ca="1" si="51"/>
        <v>51.389984206726211</v>
      </c>
    </row>
    <row r="2442" spans="4:4" x14ac:dyDescent="0.25">
      <c r="D2442">
        <f t="shared" ca="1" si="51"/>
        <v>47.798264926185276</v>
      </c>
    </row>
    <row r="2443" spans="4:4" x14ac:dyDescent="0.25">
      <c r="D2443">
        <f t="shared" ca="1" si="51"/>
        <v>57.491248296997348</v>
      </c>
    </row>
    <row r="2444" spans="4:4" x14ac:dyDescent="0.25">
      <c r="D2444">
        <f t="shared" ca="1" si="51"/>
        <v>45.445497302314713</v>
      </c>
    </row>
    <row r="2445" spans="4:4" x14ac:dyDescent="0.25">
      <c r="D2445">
        <f t="shared" ca="1" si="51"/>
        <v>52.921957682701759</v>
      </c>
    </row>
    <row r="2446" spans="4:4" x14ac:dyDescent="0.25">
      <c r="D2446">
        <f t="shared" ca="1" si="51"/>
        <v>46.239926153829117</v>
      </c>
    </row>
    <row r="2447" spans="4:4" x14ac:dyDescent="0.25">
      <c r="D2447">
        <f t="shared" ca="1" si="51"/>
        <v>52.907660497888372</v>
      </c>
    </row>
    <row r="2448" spans="4:4" x14ac:dyDescent="0.25">
      <c r="D2448">
        <f t="shared" ca="1" si="51"/>
        <v>50.27196667018714</v>
      </c>
    </row>
    <row r="2449" spans="4:4" x14ac:dyDescent="0.25">
      <c r="D2449">
        <f t="shared" ca="1" si="51"/>
        <v>52.417087255709845</v>
      </c>
    </row>
    <row r="2450" spans="4:4" x14ac:dyDescent="0.25">
      <c r="D2450">
        <f t="shared" ca="1" si="51"/>
        <v>49.800536964876422</v>
      </c>
    </row>
    <row r="2451" spans="4:4" x14ac:dyDescent="0.25">
      <c r="D2451">
        <f t="shared" ca="1" si="51"/>
        <v>52.793933583486826</v>
      </c>
    </row>
    <row r="2452" spans="4:4" x14ac:dyDescent="0.25">
      <c r="D2452">
        <f t="shared" ca="1" si="51"/>
        <v>48.210942383770366</v>
      </c>
    </row>
    <row r="2453" spans="4:4" x14ac:dyDescent="0.25">
      <c r="D2453">
        <f t="shared" ca="1" si="51"/>
        <v>53.255985849195241</v>
      </c>
    </row>
    <row r="2454" spans="4:4" x14ac:dyDescent="0.25">
      <c r="D2454">
        <f t="shared" ca="1" si="51"/>
        <v>48.949924451028771</v>
      </c>
    </row>
    <row r="2455" spans="4:4" x14ac:dyDescent="0.25">
      <c r="D2455">
        <f t="shared" ca="1" si="51"/>
        <v>47.445964417141575</v>
      </c>
    </row>
    <row r="2456" spans="4:4" x14ac:dyDescent="0.25">
      <c r="D2456">
        <f t="shared" ca="1" si="51"/>
        <v>52.876185539216998</v>
      </c>
    </row>
    <row r="2457" spans="4:4" x14ac:dyDescent="0.25">
      <c r="D2457">
        <f t="shared" ca="1" si="51"/>
        <v>49.719154117703653</v>
      </c>
    </row>
    <row r="2458" spans="4:4" x14ac:dyDescent="0.25">
      <c r="D2458">
        <f t="shared" ca="1" si="51"/>
        <v>47.200453365469713</v>
      </c>
    </row>
    <row r="2459" spans="4:4" x14ac:dyDescent="0.25">
      <c r="D2459">
        <f t="shared" ca="1" si="51"/>
        <v>56.308852667806285</v>
      </c>
    </row>
    <row r="2460" spans="4:4" x14ac:dyDescent="0.25">
      <c r="D2460">
        <f t="shared" ca="1" si="51"/>
        <v>46.478410520228749</v>
      </c>
    </row>
    <row r="2461" spans="4:4" x14ac:dyDescent="0.25">
      <c r="D2461">
        <f t="shared" ca="1" si="51"/>
        <v>47.585454486090853</v>
      </c>
    </row>
    <row r="2462" spans="4:4" x14ac:dyDescent="0.25">
      <c r="D2462">
        <f t="shared" ca="1" si="51"/>
        <v>48.170782516908275</v>
      </c>
    </row>
    <row r="2463" spans="4:4" x14ac:dyDescent="0.25">
      <c r="D2463">
        <f t="shared" ca="1" si="51"/>
        <v>53.039239248352239</v>
      </c>
    </row>
    <row r="2464" spans="4:4" x14ac:dyDescent="0.25">
      <c r="D2464">
        <f t="shared" ca="1" si="51"/>
        <v>46.515824878102151</v>
      </c>
    </row>
    <row r="2465" spans="4:4" x14ac:dyDescent="0.25">
      <c r="D2465">
        <f t="shared" ca="1" si="51"/>
        <v>61.59600435773735</v>
      </c>
    </row>
    <row r="2466" spans="4:4" x14ac:dyDescent="0.25">
      <c r="D2466">
        <f t="shared" ca="1" si="51"/>
        <v>42.12747661181254</v>
      </c>
    </row>
    <row r="2467" spans="4:4" x14ac:dyDescent="0.25">
      <c r="D2467">
        <f t="shared" ca="1" si="51"/>
        <v>49.376015698261753</v>
      </c>
    </row>
    <row r="2468" spans="4:4" x14ac:dyDescent="0.25">
      <c r="D2468">
        <f t="shared" ca="1" si="51"/>
        <v>41.365434352643447</v>
      </c>
    </row>
    <row r="2469" spans="4:4" x14ac:dyDescent="0.25">
      <c r="D2469">
        <f t="shared" ca="1" si="51"/>
        <v>44.988000055250239</v>
      </c>
    </row>
    <row r="2470" spans="4:4" x14ac:dyDescent="0.25">
      <c r="D2470">
        <f t="shared" ca="1" si="51"/>
        <v>46.557125640840923</v>
      </c>
    </row>
    <row r="2471" spans="4:4" x14ac:dyDescent="0.25">
      <c r="D2471">
        <f t="shared" ca="1" si="51"/>
        <v>53.029969333304173</v>
      </c>
    </row>
    <row r="2472" spans="4:4" x14ac:dyDescent="0.25">
      <c r="D2472">
        <f t="shared" ca="1" si="51"/>
        <v>55.321694575210628</v>
      </c>
    </row>
    <row r="2473" spans="4:4" x14ac:dyDescent="0.25">
      <c r="D2473">
        <f t="shared" ca="1" si="51"/>
        <v>50.084988298152702</v>
      </c>
    </row>
    <row r="2474" spans="4:4" x14ac:dyDescent="0.25">
      <c r="D2474">
        <f t="shared" ca="1" si="51"/>
        <v>49.437355176122047</v>
      </c>
    </row>
    <row r="2475" spans="4:4" x14ac:dyDescent="0.25">
      <c r="D2475">
        <f t="shared" ca="1" si="51"/>
        <v>52.748905114106286</v>
      </c>
    </row>
    <row r="2476" spans="4:4" x14ac:dyDescent="0.25">
      <c r="D2476">
        <f t="shared" ca="1" si="51"/>
        <v>46.718371055482308</v>
      </c>
    </row>
    <row r="2477" spans="4:4" x14ac:dyDescent="0.25">
      <c r="D2477">
        <f t="shared" ca="1" si="51"/>
        <v>43.854680983538806</v>
      </c>
    </row>
    <row r="2478" spans="4:4" x14ac:dyDescent="0.25">
      <c r="D2478">
        <f t="shared" ca="1" si="51"/>
        <v>42.395976813916981</v>
      </c>
    </row>
    <row r="2479" spans="4:4" x14ac:dyDescent="0.25">
      <c r="D2479">
        <f t="shared" ca="1" si="51"/>
        <v>41.208331281307437</v>
      </c>
    </row>
    <row r="2480" spans="4:4" x14ac:dyDescent="0.25">
      <c r="D2480">
        <f t="shared" ca="1" si="51"/>
        <v>53.387469163260306</v>
      </c>
    </row>
    <row r="2481" spans="4:4" x14ac:dyDescent="0.25">
      <c r="D2481">
        <f t="shared" ca="1" si="51"/>
        <v>56.464388428507334</v>
      </c>
    </row>
    <row r="2482" spans="4:4" x14ac:dyDescent="0.25">
      <c r="D2482">
        <f t="shared" ca="1" si="51"/>
        <v>61.916162520341558</v>
      </c>
    </row>
    <row r="2483" spans="4:4" x14ac:dyDescent="0.25">
      <c r="D2483">
        <f t="shared" ca="1" si="51"/>
        <v>42.771828521587672</v>
      </c>
    </row>
    <row r="2484" spans="4:4" x14ac:dyDescent="0.25">
      <c r="D2484">
        <f t="shared" ca="1" si="51"/>
        <v>40.248054212160945</v>
      </c>
    </row>
    <row r="2485" spans="4:4" x14ac:dyDescent="0.25">
      <c r="D2485">
        <f t="shared" ca="1" si="51"/>
        <v>48.638513177686889</v>
      </c>
    </row>
    <row r="2486" spans="4:4" x14ac:dyDescent="0.25">
      <c r="D2486">
        <f t="shared" ca="1" si="51"/>
        <v>42.130689397499914</v>
      </c>
    </row>
    <row r="2487" spans="4:4" x14ac:dyDescent="0.25">
      <c r="D2487">
        <f t="shared" ca="1" si="51"/>
        <v>52.503667499167868</v>
      </c>
    </row>
    <row r="2488" spans="4:4" x14ac:dyDescent="0.25">
      <c r="D2488">
        <f t="shared" ca="1" si="51"/>
        <v>46.448222058543642</v>
      </c>
    </row>
    <row r="2489" spans="4:4" x14ac:dyDescent="0.25">
      <c r="D2489">
        <f t="shared" ca="1" si="51"/>
        <v>43.278223405657478</v>
      </c>
    </row>
    <row r="2490" spans="4:4" x14ac:dyDescent="0.25">
      <c r="D2490">
        <f t="shared" ca="1" si="51"/>
        <v>48.009750754789287</v>
      </c>
    </row>
    <row r="2491" spans="4:4" x14ac:dyDescent="0.25">
      <c r="D2491">
        <f t="shared" ca="1" si="51"/>
        <v>38.881447214679888</v>
      </c>
    </row>
    <row r="2492" spans="4:4" x14ac:dyDescent="0.25">
      <c r="D2492">
        <f t="shared" ca="1" si="51"/>
        <v>52.523763300619173</v>
      </c>
    </row>
    <row r="2493" spans="4:4" x14ac:dyDescent="0.25">
      <c r="D2493">
        <f t="shared" ca="1" si="51"/>
        <v>45.877406221696596</v>
      </c>
    </row>
    <row r="2494" spans="4:4" x14ac:dyDescent="0.25">
      <c r="D2494">
        <f t="shared" ca="1" si="51"/>
        <v>46.18107064969756</v>
      </c>
    </row>
    <row r="2495" spans="4:4" x14ac:dyDescent="0.25">
      <c r="D2495">
        <f t="shared" ca="1" si="51"/>
        <v>42.513369786533339</v>
      </c>
    </row>
    <row r="2496" spans="4:4" x14ac:dyDescent="0.25">
      <c r="D2496">
        <f t="shared" ca="1" si="51"/>
        <v>45.359900417587298</v>
      </c>
    </row>
    <row r="2497" spans="4:4" x14ac:dyDescent="0.25">
      <c r="D2497">
        <f t="shared" ca="1" si="51"/>
        <v>56.040054249277695</v>
      </c>
    </row>
    <row r="2498" spans="4:4" x14ac:dyDescent="0.25">
      <c r="D2498">
        <f t="shared" ca="1" si="51"/>
        <v>54.238680618831026</v>
      </c>
    </row>
    <row r="2499" spans="4:4" x14ac:dyDescent="0.25">
      <c r="D2499">
        <f t="shared" ref="D2499:D2562" ca="1" si="52">_xlfn.T.INV(RAND(),25)*$G$3+$F$3</f>
        <v>50.842199220410052</v>
      </c>
    </row>
    <row r="2500" spans="4:4" x14ac:dyDescent="0.25">
      <c r="D2500">
        <f t="shared" ca="1" si="52"/>
        <v>53.2423349040359</v>
      </c>
    </row>
    <row r="2501" spans="4:4" x14ac:dyDescent="0.25">
      <c r="D2501">
        <f t="shared" ca="1" si="52"/>
        <v>54.896242685512917</v>
      </c>
    </row>
    <row r="2502" spans="4:4" x14ac:dyDescent="0.25">
      <c r="D2502">
        <f t="shared" ca="1" si="52"/>
        <v>48.278221922954145</v>
      </c>
    </row>
    <row r="2503" spans="4:4" x14ac:dyDescent="0.25">
      <c r="D2503">
        <f t="shared" ca="1" si="52"/>
        <v>49.216837059871992</v>
      </c>
    </row>
    <row r="2504" spans="4:4" x14ac:dyDescent="0.25">
      <c r="D2504">
        <f t="shared" ca="1" si="52"/>
        <v>42.205234844501888</v>
      </c>
    </row>
    <row r="2505" spans="4:4" x14ac:dyDescent="0.25">
      <c r="D2505">
        <f t="shared" ca="1" si="52"/>
        <v>57.12995548120022</v>
      </c>
    </row>
    <row r="2506" spans="4:4" x14ac:dyDescent="0.25">
      <c r="D2506">
        <f t="shared" ca="1" si="52"/>
        <v>46.699586394432657</v>
      </c>
    </row>
    <row r="2507" spans="4:4" x14ac:dyDescent="0.25">
      <c r="D2507">
        <f t="shared" ca="1" si="52"/>
        <v>46.525483072522839</v>
      </c>
    </row>
    <row r="2508" spans="4:4" x14ac:dyDescent="0.25">
      <c r="D2508">
        <f t="shared" ca="1" si="52"/>
        <v>43.338528642224098</v>
      </c>
    </row>
    <row r="2509" spans="4:4" x14ac:dyDescent="0.25">
      <c r="D2509">
        <f t="shared" ca="1" si="52"/>
        <v>51.311279550162233</v>
      </c>
    </row>
    <row r="2510" spans="4:4" x14ac:dyDescent="0.25">
      <c r="D2510">
        <f t="shared" ca="1" si="52"/>
        <v>49.015607493288378</v>
      </c>
    </row>
    <row r="2511" spans="4:4" x14ac:dyDescent="0.25">
      <c r="D2511">
        <f t="shared" ca="1" si="52"/>
        <v>55.645355659283453</v>
      </c>
    </row>
    <row r="2512" spans="4:4" x14ac:dyDescent="0.25">
      <c r="D2512">
        <f t="shared" ca="1" si="52"/>
        <v>52.528855964458678</v>
      </c>
    </row>
    <row r="2513" spans="4:4" x14ac:dyDescent="0.25">
      <c r="D2513">
        <f t="shared" ca="1" si="52"/>
        <v>51.782898379837135</v>
      </c>
    </row>
    <row r="2514" spans="4:4" x14ac:dyDescent="0.25">
      <c r="D2514">
        <f t="shared" ca="1" si="52"/>
        <v>49.673884843046956</v>
      </c>
    </row>
    <row r="2515" spans="4:4" x14ac:dyDescent="0.25">
      <c r="D2515">
        <f t="shared" ca="1" si="52"/>
        <v>39.372057294545698</v>
      </c>
    </row>
    <row r="2516" spans="4:4" x14ac:dyDescent="0.25">
      <c r="D2516">
        <f t="shared" ca="1" si="52"/>
        <v>49.595517323411435</v>
      </c>
    </row>
    <row r="2517" spans="4:4" x14ac:dyDescent="0.25">
      <c r="D2517">
        <f t="shared" ca="1" si="52"/>
        <v>46.364204494334629</v>
      </c>
    </row>
    <row r="2518" spans="4:4" x14ac:dyDescent="0.25">
      <c r="D2518">
        <f t="shared" ca="1" si="52"/>
        <v>44.705830053283272</v>
      </c>
    </row>
    <row r="2519" spans="4:4" x14ac:dyDescent="0.25">
      <c r="D2519">
        <f t="shared" ca="1" si="52"/>
        <v>49.798944224475107</v>
      </c>
    </row>
    <row r="2520" spans="4:4" x14ac:dyDescent="0.25">
      <c r="D2520">
        <f t="shared" ca="1" si="52"/>
        <v>36.390741313634159</v>
      </c>
    </row>
    <row r="2521" spans="4:4" x14ac:dyDescent="0.25">
      <c r="D2521">
        <f t="shared" ca="1" si="52"/>
        <v>56.690312194727952</v>
      </c>
    </row>
    <row r="2522" spans="4:4" x14ac:dyDescent="0.25">
      <c r="D2522">
        <f t="shared" ca="1" si="52"/>
        <v>56.023799587910261</v>
      </c>
    </row>
    <row r="2523" spans="4:4" x14ac:dyDescent="0.25">
      <c r="D2523">
        <f t="shared" ca="1" si="52"/>
        <v>58.139210547379825</v>
      </c>
    </row>
    <row r="2524" spans="4:4" x14ac:dyDescent="0.25">
      <c r="D2524">
        <f t="shared" ca="1" si="52"/>
        <v>50.445638595686944</v>
      </c>
    </row>
    <row r="2525" spans="4:4" x14ac:dyDescent="0.25">
      <c r="D2525">
        <f t="shared" ca="1" si="52"/>
        <v>55.411024532768486</v>
      </c>
    </row>
    <row r="2526" spans="4:4" x14ac:dyDescent="0.25">
      <c r="D2526">
        <f t="shared" ca="1" si="52"/>
        <v>50.457010917007921</v>
      </c>
    </row>
    <row r="2527" spans="4:4" x14ac:dyDescent="0.25">
      <c r="D2527">
        <f t="shared" ca="1" si="52"/>
        <v>47.596616031413049</v>
      </c>
    </row>
    <row r="2528" spans="4:4" x14ac:dyDescent="0.25">
      <c r="D2528">
        <f t="shared" ca="1" si="52"/>
        <v>56.409276512177371</v>
      </c>
    </row>
    <row r="2529" spans="4:4" x14ac:dyDescent="0.25">
      <c r="D2529">
        <f t="shared" ca="1" si="52"/>
        <v>50.823706946694429</v>
      </c>
    </row>
    <row r="2530" spans="4:4" x14ac:dyDescent="0.25">
      <c r="D2530">
        <f t="shared" ca="1" si="52"/>
        <v>51.910151010655653</v>
      </c>
    </row>
    <row r="2531" spans="4:4" x14ac:dyDescent="0.25">
      <c r="D2531">
        <f t="shared" ca="1" si="52"/>
        <v>42.782221529468657</v>
      </c>
    </row>
    <row r="2532" spans="4:4" x14ac:dyDescent="0.25">
      <c r="D2532">
        <f t="shared" ca="1" si="52"/>
        <v>50.682945486576649</v>
      </c>
    </row>
    <row r="2533" spans="4:4" x14ac:dyDescent="0.25">
      <c r="D2533">
        <f t="shared" ca="1" si="52"/>
        <v>48.011020572354454</v>
      </c>
    </row>
    <row r="2534" spans="4:4" x14ac:dyDescent="0.25">
      <c r="D2534">
        <f t="shared" ca="1" si="52"/>
        <v>48.20092306618524</v>
      </c>
    </row>
    <row r="2535" spans="4:4" x14ac:dyDescent="0.25">
      <c r="D2535">
        <f t="shared" ca="1" si="52"/>
        <v>52.361176324470698</v>
      </c>
    </row>
    <row r="2536" spans="4:4" x14ac:dyDescent="0.25">
      <c r="D2536">
        <f t="shared" ca="1" si="52"/>
        <v>49.960172927670712</v>
      </c>
    </row>
    <row r="2537" spans="4:4" x14ac:dyDescent="0.25">
      <c r="D2537">
        <f t="shared" ca="1" si="52"/>
        <v>45.015937414568015</v>
      </c>
    </row>
    <row r="2538" spans="4:4" x14ac:dyDescent="0.25">
      <c r="D2538">
        <f t="shared" ca="1" si="52"/>
        <v>48.823350181689491</v>
      </c>
    </row>
    <row r="2539" spans="4:4" x14ac:dyDescent="0.25">
      <c r="D2539">
        <f t="shared" ca="1" si="52"/>
        <v>50.631976875972406</v>
      </c>
    </row>
    <row r="2540" spans="4:4" x14ac:dyDescent="0.25">
      <c r="D2540">
        <f t="shared" ca="1" si="52"/>
        <v>43.028853518269258</v>
      </c>
    </row>
    <row r="2541" spans="4:4" x14ac:dyDescent="0.25">
      <c r="D2541">
        <f t="shared" ca="1" si="52"/>
        <v>52.185810165665025</v>
      </c>
    </row>
    <row r="2542" spans="4:4" x14ac:dyDescent="0.25">
      <c r="D2542">
        <f t="shared" ca="1" si="52"/>
        <v>46.919262478715403</v>
      </c>
    </row>
    <row r="2543" spans="4:4" x14ac:dyDescent="0.25">
      <c r="D2543">
        <f t="shared" ca="1" si="52"/>
        <v>43.915073440212652</v>
      </c>
    </row>
    <row r="2544" spans="4:4" x14ac:dyDescent="0.25">
      <c r="D2544">
        <f t="shared" ca="1" si="52"/>
        <v>52.631153314322468</v>
      </c>
    </row>
    <row r="2545" spans="4:4" x14ac:dyDescent="0.25">
      <c r="D2545">
        <f t="shared" ca="1" si="52"/>
        <v>52.896776960676149</v>
      </c>
    </row>
    <row r="2546" spans="4:4" x14ac:dyDescent="0.25">
      <c r="D2546">
        <f t="shared" ca="1" si="52"/>
        <v>56.140081471486589</v>
      </c>
    </row>
    <row r="2547" spans="4:4" x14ac:dyDescent="0.25">
      <c r="D2547">
        <f t="shared" ca="1" si="52"/>
        <v>47.59831842501611</v>
      </c>
    </row>
    <row r="2548" spans="4:4" x14ac:dyDescent="0.25">
      <c r="D2548">
        <f t="shared" ca="1" si="52"/>
        <v>58.226376396565911</v>
      </c>
    </row>
    <row r="2549" spans="4:4" x14ac:dyDescent="0.25">
      <c r="D2549">
        <f t="shared" ca="1" si="52"/>
        <v>43.130224486225771</v>
      </c>
    </row>
    <row r="2550" spans="4:4" x14ac:dyDescent="0.25">
      <c r="D2550">
        <f t="shared" ca="1" si="52"/>
        <v>53.701408805515861</v>
      </c>
    </row>
    <row r="2551" spans="4:4" x14ac:dyDescent="0.25">
      <c r="D2551">
        <f t="shared" ca="1" si="52"/>
        <v>49.149002678534742</v>
      </c>
    </row>
    <row r="2552" spans="4:4" x14ac:dyDescent="0.25">
      <c r="D2552">
        <f t="shared" ca="1" si="52"/>
        <v>48.021422549471701</v>
      </c>
    </row>
    <row r="2553" spans="4:4" x14ac:dyDescent="0.25">
      <c r="D2553">
        <f t="shared" ca="1" si="52"/>
        <v>42.982958839384388</v>
      </c>
    </row>
    <row r="2554" spans="4:4" x14ac:dyDescent="0.25">
      <c r="D2554">
        <f t="shared" ca="1" si="52"/>
        <v>53.637307257660105</v>
      </c>
    </row>
    <row r="2555" spans="4:4" x14ac:dyDescent="0.25">
      <c r="D2555">
        <f t="shared" ca="1" si="52"/>
        <v>47.028152963786738</v>
      </c>
    </row>
    <row r="2556" spans="4:4" x14ac:dyDescent="0.25">
      <c r="D2556">
        <f t="shared" ca="1" si="52"/>
        <v>53.913828146517432</v>
      </c>
    </row>
    <row r="2557" spans="4:4" x14ac:dyDescent="0.25">
      <c r="D2557">
        <f t="shared" ca="1" si="52"/>
        <v>45.185645668431214</v>
      </c>
    </row>
    <row r="2558" spans="4:4" x14ac:dyDescent="0.25">
      <c r="D2558">
        <f t="shared" ca="1" si="52"/>
        <v>47.132963133258087</v>
      </c>
    </row>
    <row r="2559" spans="4:4" x14ac:dyDescent="0.25">
      <c r="D2559">
        <f t="shared" ca="1" si="52"/>
        <v>52.940458699893192</v>
      </c>
    </row>
    <row r="2560" spans="4:4" x14ac:dyDescent="0.25">
      <c r="D2560">
        <f t="shared" ca="1" si="52"/>
        <v>52.179374014337085</v>
      </c>
    </row>
    <row r="2561" spans="4:4" x14ac:dyDescent="0.25">
      <c r="D2561">
        <f t="shared" ca="1" si="52"/>
        <v>43.571913436146389</v>
      </c>
    </row>
    <row r="2562" spans="4:4" x14ac:dyDescent="0.25">
      <c r="D2562">
        <f t="shared" ca="1" si="52"/>
        <v>52.249831513844207</v>
      </c>
    </row>
    <row r="2563" spans="4:4" x14ac:dyDescent="0.25">
      <c r="D2563">
        <f t="shared" ref="D2563:D2626" ca="1" si="53">_xlfn.T.INV(RAND(),25)*$G$3+$F$3</f>
        <v>57.399056663938993</v>
      </c>
    </row>
    <row r="2564" spans="4:4" x14ac:dyDescent="0.25">
      <c r="D2564">
        <f t="shared" ca="1" si="53"/>
        <v>50.736876407540898</v>
      </c>
    </row>
    <row r="2565" spans="4:4" x14ac:dyDescent="0.25">
      <c r="D2565">
        <f t="shared" ca="1" si="53"/>
        <v>42.515483815940478</v>
      </c>
    </row>
    <row r="2566" spans="4:4" x14ac:dyDescent="0.25">
      <c r="D2566">
        <f t="shared" ca="1" si="53"/>
        <v>44.417764856497321</v>
      </c>
    </row>
    <row r="2567" spans="4:4" x14ac:dyDescent="0.25">
      <c r="D2567">
        <f t="shared" ca="1" si="53"/>
        <v>46.875210306774591</v>
      </c>
    </row>
    <row r="2568" spans="4:4" x14ac:dyDescent="0.25">
      <c r="D2568">
        <f t="shared" ca="1" si="53"/>
        <v>49.356874404587096</v>
      </c>
    </row>
    <row r="2569" spans="4:4" x14ac:dyDescent="0.25">
      <c r="D2569">
        <f t="shared" ca="1" si="53"/>
        <v>45.848461359860416</v>
      </c>
    </row>
    <row r="2570" spans="4:4" x14ac:dyDescent="0.25">
      <c r="D2570">
        <f t="shared" ca="1" si="53"/>
        <v>49.597308195817959</v>
      </c>
    </row>
    <row r="2571" spans="4:4" x14ac:dyDescent="0.25">
      <c r="D2571">
        <f t="shared" ca="1" si="53"/>
        <v>53.452409095397726</v>
      </c>
    </row>
    <row r="2572" spans="4:4" x14ac:dyDescent="0.25">
      <c r="D2572">
        <f t="shared" ca="1" si="53"/>
        <v>49.558450833314723</v>
      </c>
    </row>
    <row r="2573" spans="4:4" x14ac:dyDescent="0.25">
      <c r="D2573">
        <f t="shared" ca="1" si="53"/>
        <v>43.089641509056456</v>
      </c>
    </row>
    <row r="2574" spans="4:4" x14ac:dyDescent="0.25">
      <c r="D2574">
        <f t="shared" ca="1" si="53"/>
        <v>47.215144220789753</v>
      </c>
    </row>
    <row r="2575" spans="4:4" x14ac:dyDescent="0.25">
      <c r="D2575">
        <f t="shared" ca="1" si="53"/>
        <v>52.204412393631735</v>
      </c>
    </row>
    <row r="2576" spans="4:4" x14ac:dyDescent="0.25">
      <c r="D2576">
        <f t="shared" ca="1" si="53"/>
        <v>49.694237770396882</v>
      </c>
    </row>
    <row r="2577" spans="4:4" x14ac:dyDescent="0.25">
      <c r="D2577">
        <f t="shared" ca="1" si="53"/>
        <v>51.213154251088852</v>
      </c>
    </row>
    <row r="2578" spans="4:4" x14ac:dyDescent="0.25">
      <c r="D2578">
        <f t="shared" ca="1" si="53"/>
        <v>51.361009818441445</v>
      </c>
    </row>
    <row r="2579" spans="4:4" x14ac:dyDescent="0.25">
      <c r="D2579">
        <f t="shared" ca="1" si="53"/>
        <v>56.616520694949699</v>
      </c>
    </row>
    <row r="2580" spans="4:4" x14ac:dyDescent="0.25">
      <c r="D2580">
        <f t="shared" ca="1" si="53"/>
        <v>45.669991252440383</v>
      </c>
    </row>
    <row r="2581" spans="4:4" x14ac:dyDescent="0.25">
      <c r="D2581">
        <f t="shared" ca="1" si="53"/>
        <v>49.936303077098188</v>
      </c>
    </row>
    <row r="2582" spans="4:4" x14ac:dyDescent="0.25">
      <c r="D2582">
        <f t="shared" ca="1" si="53"/>
        <v>51.299200574214929</v>
      </c>
    </row>
    <row r="2583" spans="4:4" x14ac:dyDescent="0.25">
      <c r="D2583">
        <f t="shared" ca="1" si="53"/>
        <v>51.760621408975489</v>
      </c>
    </row>
    <row r="2584" spans="4:4" x14ac:dyDescent="0.25">
      <c r="D2584">
        <f t="shared" ca="1" si="53"/>
        <v>51.043490396143405</v>
      </c>
    </row>
    <row r="2585" spans="4:4" x14ac:dyDescent="0.25">
      <c r="D2585">
        <f t="shared" ca="1" si="53"/>
        <v>59.566012000977963</v>
      </c>
    </row>
    <row r="2586" spans="4:4" x14ac:dyDescent="0.25">
      <c r="D2586">
        <f t="shared" ca="1" si="53"/>
        <v>49.657867425199228</v>
      </c>
    </row>
    <row r="2587" spans="4:4" x14ac:dyDescent="0.25">
      <c r="D2587">
        <f t="shared" ca="1" si="53"/>
        <v>54.156771902856867</v>
      </c>
    </row>
    <row r="2588" spans="4:4" x14ac:dyDescent="0.25">
      <c r="D2588">
        <f t="shared" ca="1" si="53"/>
        <v>49.395284125891536</v>
      </c>
    </row>
    <row r="2589" spans="4:4" x14ac:dyDescent="0.25">
      <c r="D2589">
        <f t="shared" ca="1" si="53"/>
        <v>47.1410883911784</v>
      </c>
    </row>
    <row r="2590" spans="4:4" x14ac:dyDescent="0.25">
      <c r="D2590">
        <f t="shared" ca="1" si="53"/>
        <v>47.13375400488237</v>
      </c>
    </row>
    <row r="2591" spans="4:4" x14ac:dyDescent="0.25">
      <c r="D2591">
        <f t="shared" ca="1" si="53"/>
        <v>47.007390774912778</v>
      </c>
    </row>
    <row r="2592" spans="4:4" x14ac:dyDescent="0.25">
      <c r="D2592">
        <f t="shared" ca="1" si="53"/>
        <v>49.273638841653302</v>
      </c>
    </row>
    <row r="2593" spans="4:4" x14ac:dyDescent="0.25">
      <c r="D2593">
        <f t="shared" ca="1" si="53"/>
        <v>49.528544229120087</v>
      </c>
    </row>
    <row r="2594" spans="4:4" x14ac:dyDescent="0.25">
      <c r="D2594">
        <f t="shared" ca="1" si="53"/>
        <v>63.832457476703205</v>
      </c>
    </row>
    <row r="2595" spans="4:4" x14ac:dyDescent="0.25">
      <c r="D2595">
        <f t="shared" ca="1" si="53"/>
        <v>29.560824227209242</v>
      </c>
    </row>
    <row r="2596" spans="4:4" x14ac:dyDescent="0.25">
      <c r="D2596">
        <f t="shared" ca="1" si="53"/>
        <v>46.179246986923381</v>
      </c>
    </row>
    <row r="2597" spans="4:4" x14ac:dyDescent="0.25">
      <c r="D2597">
        <f t="shared" ca="1" si="53"/>
        <v>48.043870382907649</v>
      </c>
    </row>
    <row r="2598" spans="4:4" x14ac:dyDescent="0.25">
      <c r="D2598">
        <f t="shared" ca="1" si="53"/>
        <v>45.823070515735651</v>
      </c>
    </row>
    <row r="2599" spans="4:4" x14ac:dyDescent="0.25">
      <c r="D2599">
        <f t="shared" ca="1" si="53"/>
        <v>48.424734490727332</v>
      </c>
    </row>
    <row r="2600" spans="4:4" x14ac:dyDescent="0.25">
      <c r="D2600">
        <f t="shared" ca="1" si="53"/>
        <v>45.538783141800828</v>
      </c>
    </row>
    <row r="2601" spans="4:4" x14ac:dyDescent="0.25">
      <c r="D2601">
        <f t="shared" ca="1" si="53"/>
        <v>39.436324329745943</v>
      </c>
    </row>
    <row r="2602" spans="4:4" x14ac:dyDescent="0.25">
      <c r="D2602">
        <f t="shared" ca="1" si="53"/>
        <v>48.557170830034835</v>
      </c>
    </row>
    <row r="2603" spans="4:4" x14ac:dyDescent="0.25">
      <c r="D2603">
        <f t="shared" ca="1" si="53"/>
        <v>49.060758335255379</v>
      </c>
    </row>
    <row r="2604" spans="4:4" x14ac:dyDescent="0.25">
      <c r="D2604">
        <f t="shared" ca="1" si="53"/>
        <v>43.886741822392899</v>
      </c>
    </row>
    <row r="2605" spans="4:4" x14ac:dyDescent="0.25">
      <c r="D2605">
        <f t="shared" ca="1" si="53"/>
        <v>44.858223267368807</v>
      </c>
    </row>
    <row r="2606" spans="4:4" x14ac:dyDescent="0.25">
      <c r="D2606">
        <f t="shared" ca="1" si="53"/>
        <v>59.129693236945677</v>
      </c>
    </row>
    <row r="2607" spans="4:4" x14ac:dyDescent="0.25">
      <c r="D2607">
        <f t="shared" ca="1" si="53"/>
        <v>49.696794788888369</v>
      </c>
    </row>
    <row r="2608" spans="4:4" x14ac:dyDescent="0.25">
      <c r="D2608">
        <f t="shared" ca="1" si="53"/>
        <v>51.562434226039677</v>
      </c>
    </row>
    <row r="2609" spans="4:4" x14ac:dyDescent="0.25">
      <c r="D2609">
        <f t="shared" ca="1" si="53"/>
        <v>46.270271929742336</v>
      </c>
    </row>
    <row r="2610" spans="4:4" x14ac:dyDescent="0.25">
      <c r="D2610">
        <f t="shared" ca="1" si="53"/>
        <v>55.133155820207392</v>
      </c>
    </row>
    <row r="2611" spans="4:4" x14ac:dyDescent="0.25">
      <c r="D2611">
        <f t="shared" ca="1" si="53"/>
        <v>55.446701497074088</v>
      </c>
    </row>
    <row r="2612" spans="4:4" x14ac:dyDescent="0.25">
      <c r="D2612">
        <f t="shared" ca="1" si="53"/>
        <v>50.807815380507279</v>
      </c>
    </row>
    <row r="2613" spans="4:4" x14ac:dyDescent="0.25">
      <c r="D2613">
        <f t="shared" ca="1" si="53"/>
        <v>53.588368491409049</v>
      </c>
    </row>
    <row r="2614" spans="4:4" x14ac:dyDescent="0.25">
      <c r="D2614">
        <f t="shared" ca="1" si="53"/>
        <v>56.463722393109606</v>
      </c>
    </row>
    <row r="2615" spans="4:4" x14ac:dyDescent="0.25">
      <c r="D2615">
        <f t="shared" ca="1" si="53"/>
        <v>43.650473709391065</v>
      </c>
    </row>
    <row r="2616" spans="4:4" x14ac:dyDescent="0.25">
      <c r="D2616">
        <f t="shared" ca="1" si="53"/>
        <v>57.135206983614097</v>
      </c>
    </row>
    <row r="2617" spans="4:4" x14ac:dyDescent="0.25">
      <c r="D2617">
        <f t="shared" ca="1" si="53"/>
        <v>51.579005558353373</v>
      </c>
    </row>
    <row r="2618" spans="4:4" x14ac:dyDescent="0.25">
      <c r="D2618">
        <f t="shared" ca="1" si="53"/>
        <v>47.531037470069116</v>
      </c>
    </row>
    <row r="2619" spans="4:4" x14ac:dyDescent="0.25">
      <c r="D2619">
        <f t="shared" ca="1" si="53"/>
        <v>51.525341844411592</v>
      </c>
    </row>
    <row r="2620" spans="4:4" x14ac:dyDescent="0.25">
      <c r="D2620">
        <f t="shared" ca="1" si="53"/>
        <v>43.925386233439887</v>
      </c>
    </row>
    <row r="2621" spans="4:4" x14ac:dyDescent="0.25">
      <c r="D2621">
        <f t="shared" ca="1" si="53"/>
        <v>52.191623174604572</v>
      </c>
    </row>
    <row r="2622" spans="4:4" x14ac:dyDescent="0.25">
      <c r="D2622">
        <f t="shared" ca="1" si="53"/>
        <v>53.173570304213207</v>
      </c>
    </row>
    <row r="2623" spans="4:4" x14ac:dyDescent="0.25">
      <c r="D2623">
        <f t="shared" ca="1" si="53"/>
        <v>53.853300595488456</v>
      </c>
    </row>
    <row r="2624" spans="4:4" x14ac:dyDescent="0.25">
      <c r="D2624">
        <f t="shared" ca="1" si="53"/>
        <v>51.941950630890219</v>
      </c>
    </row>
    <row r="2625" spans="4:4" x14ac:dyDescent="0.25">
      <c r="D2625">
        <f t="shared" ca="1" si="53"/>
        <v>48.915084078908869</v>
      </c>
    </row>
    <row r="2626" spans="4:4" x14ac:dyDescent="0.25">
      <c r="D2626">
        <f t="shared" ca="1" si="53"/>
        <v>49.593160185917512</v>
      </c>
    </row>
    <row r="2627" spans="4:4" x14ac:dyDescent="0.25">
      <c r="D2627">
        <f t="shared" ref="D2627:D2690" ca="1" si="54">_xlfn.T.INV(RAND(),25)*$G$3+$F$3</f>
        <v>52.431495991411957</v>
      </c>
    </row>
    <row r="2628" spans="4:4" x14ac:dyDescent="0.25">
      <c r="D2628">
        <f t="shared" ca="1" si="54"/>
        <v>51.317821759661825</v>
      </c>
    </row>
    <row r="2629" spans="4:4" x14ac:dyDescent="0.25">
      <c r="D2629">
        <f t="shared" ca="1" si="54"/>
        <v>42.332804681727403</v>
      </c>
    </row>
    <row r="2630" spans="4:4" x14ac:dyDescent="0.25">
      <c r="D2630">
        <f t="shared" ca="1" si="54"/>
        <v>48.526720069828961</v>
      </c>
    </row>
    <row r="2631" spans="4:4" x14ac:dyDescent="0.25">
      <c r="D2631">
        <f t="shared" ca="1" si="54"/>
        <v>45.967785748314391</v>
      </c>
    </row>
    <row r="2632" spans="4:4" x14ac:dyDescent="0.25">
      <c r="D2632">
        <f t="shared" ca="1" si="54"/>
        <v>44.038060515734706</v>
      </c>
    </row>
    <row r="2633" spans="4:4" x14ac:dyDescent="0.25">
      <c r="D2633">
        <f t="shared" ca="1" si="54"/>
        <v>52.426790957463275</v>
      </c>
    </row>
    <row r="2634" spans="4:4" x14ac:dyDescent="0.25">
      <c r="D2634">
        <f t="shared" ca="1" si="54"/>
        <v>46.349851496631054</v>
      </c>
    </row>
    <row r="2635" spans="4:4" x14ac:dyDescent="0.25">
      <c r="D2635">
        <f t="shared" ca="1" si="54"/>
        <v>39.215416167349616</v>
      </c>
    </row>
    <row r="2636" spans="4:4" x14ac:dyDescent="0.25">
      <c r="D2636">
        <f t="shared" ca="1" si="54"/>
        <v>39.224293157324475</v>
      </c>
    </row>
    <row r="2637" spans="4:4" x14ac:dyDescent="0.25">
      <c r="D2637">
        <f t="shared" ca="1" si="54"/>
        <v>49.506317807261887</v>
      </c>
    </row>
    <row r="2638" spans="4:4" x14ac:dyDescent="0.25">
      <c r="D2638">
        <f t="shared" ca="1" si="54"/>
        <v>47.124240476134531</v>
      </c>
    </row>
    <row r="2639" spans="4:4" x14ac:dyDescent="0.25">
      <c r="D2639">
        <f t="shared" ca="1" si="54"/>
        <v>48.475506693093024</v>
      </c>
    </row>
    <row r="2640" spans="4:4" x14ac:dyDescent="0.25">
      <c r="D2640">
        <f t="shared" ca="1" si="54"/>
        <v>52.08562176360261</v>
      </c>
    </row>
    <row r="2641" spans="4:4" x14ac:dyDescent="0.25">
      <c r="D2641">
        <f t="shared" ca="1" si="54"/>
        <v>43.31697474816152</v>
      </c>
    </row>
    <row r="2642" spans="4:4" x14ac:dyDescent="0.25">
      <c r="D2642">
        <f t="shared" ca="1" si="54"/>
        <v>53.816397495426806</v>
      </c>
    </row>
    <row r="2643" spans="4:4" x14ac:dyDescent="0.25">
      <c r="D2643">
        <f t="shared" ca="1" si="54"/>
        <v>48.984211448525336</v>
      </c>
    </row>
    <row r="2644" spans="4:4" x14ac:dyDescent="0.25">
      <c r="D2644">
        <f t="shared" ca="1" si="54"/>
        <v>45.465326913882024</v>
      </c>
    </row>
    <row r="2645" spans="4:4" x14ac:dyDescent="0.25">
      <c r="D2645">
        <f t="shared" ca="1" si="54"/>
        <v>46.119427526977283</v>
      </c>
    </row>
    <row r="2646" spans="4:4" x14ac:dyDescent="0.25">
      <c r="D2646">
        <f t="shared" ca="1" si="54"/>
        <v>45.204400805552282</v>
      </c>
    </row>
    <row r="2647" spans="4:4" x14ac:dyDescent="0.25">
      <c r="D2647">
        <f t="shared" ca="1" si="54"/>
        <v>46.270954164645197</v>
      </c>
    </row>
    <row r="2648" spans="4:4" x14ac:dyDescent="0.25">
      <c r="D2648">
        <f t="shared" ca="1" si="54"/>
        <v>47.690575520729844</v>
      </c>
    </row>
    <row r="2649" spans="4:4" x14ac:dyDescent="0.25">
      <c r="D2649">
        <f t="shared" ca="1" si="54"/>
        <v>58.304663415940958</v>
      </c>
    </row>
    <row r="2650" spans="4:4" x14ac:dyDescent="0.25">
      <c r="D2650">
        <f t="shared" ca="1" si="54"/>
        <v>60.075881355819803</v>
      </c>
    </row>
    <row r="2651" spans="4:4" x14ac:dyDescent="0.25">
      <c r="D2651">
        <f t="shared" ca="1" si="54"/>
        <v>49.589513051037443</v>
      </c>
    </row>
    <row r="2652" spans="4:4" x14ac:dyDescent="0.25">
      <c r="D2652">
        <f t="shared" ca="1" si="54"/>
        <v>50.074859614848556</v>
      </c>
    </row>
    <row r="2653" spans="4:4" x14ac:dyDescent="0.25">
      <c r="D2653">
        <f t="shared" ca="1" si="54"/>
        <v>41.525692807463628</v>
      </c>
    </row>
    <row r="2654" spans="4:4" x14ac:dyDescent="0.25">
      <c r="D2654">
        <f t="shared" ca="1" si="54"/>
        <v>43.840975441856962</v>
      </c>
    </row>
    <row r="2655" spans="4:4" x14ac:dyDescent="0.25">
      <c r="D2655">
        <f t="shared" ca="1" si="54"/>
        <v>52.597148107740537</v>
      </c>
    </row>
    <row r="2656" spans="4:4" x14ac:dyDescent="0.25">
      <c r="D2656">
        <f t="shared" ca="1" si="54"/>
        <v>45.513439493568761</v>
      </c>
    </row>
    <row r="2657" spans="4:4" x14ac:dyDescent="0.25">
      <c r="D2657">
        <f t="shared" ca="1" si="54"/>
        <v>50.816135037442173</v>
      </c>
    </row>
    <row r="2658" spans="4:4" x14ac:dyDescent="0.25">
      <c r="D2658">
        <f t="shared" ca="1" si="54"/>
        <v>48.297958612749696</v>
      </c>
    </row>
    <row r="2659" spans="4:4" x14ac:dyDescent="0.25">
      <c r="D2659">
        <f t="shared" ca="1" si="54"/>
        <v>48.500802433356412</v>
      </c>
    </row>
    <row r="2660" spans="4:4" x14ac:dyDescent="0.25">
      <c r="D2660">
        <f t="shared" ca="1" si="54"/>
        <v>54.535890666816698</v>
      </c>
    </row>
    <row r="2661" spans="4:4" x14ac:dyDescent="0.25">
      <c r="D2661">
        <f t="shared" ca="1" si="54"/>
        <v>48.948435328033995</v>
      </c>
    </row>
    <row r="2662" spans="4:4" x14ac:dyDescent="0.25">
      <c r="D2662">
        <f t="shared" ca="1" si="54"/>
        <v>47.352658924457664</v>
      </c>
    </row>
    <row r="2663" spans="4:4" x14ac:dyDescent="0.25">
      <c r="D2663">
        <f t="shared" ca="1" si="54"/>
        <v>46.883716676401995</v>
      </c>
    </row>
    <row r="2664" spans="4:4" x14ac:dyDescent="0.25">
      <c r="D2664">
        <f t="shared" ca="1" si="54"/>
        <v>44.502306021877523</v>
      </c>
    </row>
    <row r="2665" spans="4:4" x14ac:dyDescent="0.25">
      <c r="D2665">
        <f t="shared" ca="1" si="54"/>
        <v>55.338081440219419</v>
      </c>
    </row>
    <row r="2666" spans="4:4" x14ac:dyDescent="0.25">
      <c r="D2666">
        <f t="shared" ca="1" si="54"/>
        <v>49.535383209162028</v>
      </c>
    </row>
    <row r="2667" spans="4:4" x14ac:dyDescent="0.25">
      <c r="D2667">
        <f t="shared" ca="1" si="54"/>
        <v>48.710627373025368</v>
      </c>
    </row>
    <row r="2668" spans="4:4" x14ac:dyDescent="0.25">
      <c r="D2668">
        <f t="shared" ca="1" si="54"/>
        <v>61.194043388050815</v>
      </c>
    </row>
    <row r="2669" spans="4:4" x14ac:dyDescent="0.25">
      <c r="D2669">
        <f t="shared" ca="1" si="54"/>
        <v>48.128076362610265</v>
      </c>
    </row>
    <row r="2670" spans="4:4" x14ac:dyDescent="0.25">
      <c r="D2670">
        <f t="shared" ca="1" si="54"/>
        <v>47.798563254952349</v>
      </c>
    </row>
    <row r="2671" spans="4:4" x14ac:dyDescent="0.25">
      <c r="D2671">
        <f t="shared" ca="1" si="54"/>
        <v>51.013663415921201</v>
      </c>
    </row>
    <row r="2672" spans="4:4" x14ac:dyDescent="0.25">
      <c r="D2672">
        <f t="shared" ca="1" si="54"/>
        <v>47.519728872748487</v>
      </c>
    </row>
    <row r="2673" spans="4:4" x14ac:dyDescent="0.25">
      <c r="D2673">
        <f t="shared" ca="1" si="54"/>
        <v>46.286835972528948</v>
      </c>
    </row>
    <row r="2674" spans="4:4" x14ac:dyDescent="0.25">
      <c r="D2674">
        <f t="shared" ca="1" si="54"/>
        <v>50.329868816087533</v>
      </c>
    </row>
    <row r="2675" spans="4:4" x14ac:dyDescent="0.25">
      <c r="D2675">
        <f t="shared" ca="1" si="54"/>
        <v>51.090699129129881</v>
      </c>
    </row>
    <row r="2676" spans="4:4" x14ac:dyDescent="0.25">
      <c r="D2676">
        <f t="shared" ca="1" si="54"/>
        <v>48.009588519202239</v>
      </c>
    </row>
    <row r="2677" spans="4:4" x14ac:dyDescent="0.25">
      <c r="D2677">
        <f t="shared" ca="1" si="54"/>
        <v>49.079137196299342</v>
      </c>
    </row>
    <row r="2678" spans="4:4" x14ac:dyDescent="0.25">
      <c r="D2678">
        <f t="shared" ca="1" si="54"/>
        <v>53.625288616498004</v>
      </c>
    </row>
    <row r="2679" spans="4:4" x14ac:dyDescent="0.25">
      <c r="D2679">
        <f t="shared" ca="1" si="54"/>
        <v>55.361786181487943</v>
      </c>
    </row>
    <row r="2680" spans="4:4" x14ac:dyDescent="0.25">
      <c r="D2680">
        <f t="shared" ca="1" si="54"/>
        <v>49.470463766760389</v>
      </c>
    </row>
    <row r="2681" spans="4:4" x14ac:dyDescent="0.25">
      <c r="D2681">
        <f t="shared" ca="1" si="54"/>
        <v>53.293908683890393</v>
      </c>
    </row>
    <row r="2682" spans="4:4" x14ac:dyDescent="0.25">
      <c r="D2682">
        <f t="shared" ca="1" si="54"/>
        <v>44.936328188022856</v>
      </c>
    </row>
    <row r="2683" spans="4:4" x14ac:dyDescent="0.25">
      <c r="D2683">
        <f t="shared" ca="1" si="54"/>
        <v>40.287871752135445</v>
      </c>
    </row>
    <row r="2684" spans="4:4" x14ac:dyDescent="0.25">
      <c r="D2684">
        <f t="shared" ca="1" si="54"/>
        <v>42.575051268471348</v>
      </c>
    </row>
    <row r="2685" spans="4:4" x14ac:dyDescent="0.25">
      <c r="D2685">
        <f t="shared" ca="1" si="54"/>
        <v>51.286415039758531</v>
      </c>
    </row>
    <row r="2686" spans="4:4" x14ac:dyDescent="0.25">
      <c r="D2686">
        <f t="shared" ca="1" si="54"/>
        <v>49.844410982833573</v>
      </c>
    </row>
    <row r="2687" spans="4:4" x14ac:dyDescent="0.25">
      <c r="D2687">
        <f t="shared" ca="1" si="54"/>
        <v>49.026798107409654</v>
      </c>
    </row>
    <row r="2688" spans="4:4" x14ac:dyDescent="0.25">
      <c r="D2688">
        <f t="shared" ca="1" si="54"/>
        <v>53.73967167671691</v>
      </c>
    </row>
    <row r="2689" spans="4:4" x14ac:dyDescent="0.25">
      <c r="D2689">
        <f t="shared" ca="1" si="54"/>
        <v>56.979862409527051</v>
      </c>
    </row>
    <row r="2690" spans="4:4" x14ac:dyDescent="0.25">
      <c r="D2690">
        <f t="shared" ca="1" si="54"/>
        <v>58.951938711123397</v>
      </c>
    </row>
    <row r="2691" spans="4:4" x14ac:dyDescent="0.25">
      <c r="D2691">
        <f t="shared" ref="D2691:D2754" ca="1" si="55">_xlfn.T.INV(RAND(),25)*$G$3+$F$3</f>
        <v>48.538362505126642</v>
      </c>
    </row>
    <row r="2692" spans="4:4" x14ac:dyDescent="0.25">
      <c r="D2692">
        <f t="shared" ca="1" si="55"/>
        <v>47.962232960597575</v>
      </c>
    </row>
    <row r="2693" spans="4:4" x14ac:dyDescent="0.25">
      <c r="D2693">
        <f t="shared" ca="1" si="55"/>
        <v>49.292589283764364</v>
      </c>
    </row>
    <row r="2694" spans="4:4" x14ac:dyDescent="0.25">
      <c r="D2694">
        <f t="shared" ca="1" si="55"/>
        <v>44.729255667842693</v>
      </c>
    </row>
    <row r="2695" spans="4:4" x14ac:dyDescent="0.25">
      <c r="D2695">
        <f t="shared" ca="1" si="55"/>
        <v>48.072428952899372</v>
      </c>
    </row>
    <row r="2696" spans="4:4" x14ac:dyDescent="0.25">
      <c r="D2696">
        <f t="shared" ca="1" si="55"/>
        <v>44.976922258210934</v>
      </c>
    </row>
    <row r="2697" spans="4:4" x14ac:dyDescent="0.25">
      <c r="D2697">
        <f t="shared" ca="1" si="55"/>
        <v>49.148464253959524</v>
      </c>
    </row>
    <row r="2698" spans="4:4" x14ac:dyDescent="0.25">
      <c r="D2698">
        <f t="shared" ca="1" si="55"/>
        <v>55.151395037977565</v>
      </c>
    </row>
    <row r="2699" spans="4:4" x14ac:dyDescent="0.25">
      <c r="D2699">
        <f t="shared" ca="1" si="55"/>
        <v>52.879251562588799</v>
      </c>
    </row>
    <row r="2700" spans="4:4" x14ac:dyDescent="0.25">
      <c r="D2700">
        <f t="shared" ca="1" si="55"/>
        <v>59.920714425980485</v>
      </c>
    </row>
    <row r="2701" spans="4:4" x14ac:dyDescent="0.25">
      <c r="D2701">
        <f t="shared" ca="1" si="55"/>
        <v>45.572570247063261</v>
      </c>
    </row>
    <row r="2702" spans="4:4" x14ac:dyDescent="0.25">
      <c r="D2702">
        <f t="shared" ca="1" si="55"/>
        <v>54.209874939110904</v>
      </c>
    </row>
    <row r="2703" spans="4:4" x14ac:dyDescent="0.25">
      <c r="D2703">
        <f t="shared" ca="1" si="55"/>
        <v>51.009415761382833</v>
      </c>
    </row>
    <row r="2704" spans="4:4" x14ac:dyDescent="0.25">
      <c r="D2704">
        <f t="shared" ca="1" si="55"/>
        <v>44.975256399193611</v>
      </c>
    </row>
    <row r="2705" spans="4:4" x14ac:dyDescent="0.25">
      <c r="D2705">
        <f t="shared" ca="1" si="55"/>
        <v>54.707525178732929</v>
      </c>
    </row>
    <row r="2706" spans="4:4" x14ac:dyDescent="0.25">
      <c r="D2706">
        <f t="shared" ca="1" si="55"/>
        <v>51.454381910403278</v>
      </c>
    </row>
    <row r="2707" spans="4:4" x14ac:dyDescent="0.25">
      <c r="D2707">
        <f t="shared" ca="1" si="55"/>
        <v>45.257876769111505</v>
      </c>
    </row>
    <row r="2708" spans="4:4" x14ac:dyDescent="0.25">
      <c r="D2708">
        <f t="shared" ca="1" si="55"/>
        <v>54.162445633162562</v>
      </c>
    </row>
    <row r="2709" spans="4:4" x14ac:dyDescent="0.25">
      <c r="D2709">
        <f t="shared" ca="1" si="55"/>
        <v>63.413400976333577</v>
      </c>
    </row>
    <row r="2710" spans="4:4" x14ac:dyDescent="0.25">
      <c r="D2710">
        <f t="shared" ca="1" si="55"/>
        <v>54.112616532001439</v>
      </c>
    </row>
    <row r="2711" spans="4:4" x14ac:dyDescent="0.25">
      <c r="D2711">
        <f t="shared" ca="1" si="55"/>
        <v>48.089463754790735</v>
      </c>
    </row>
    <row r="2712" spans="4:4" x14ac:dyDescent="0.25">
      <c r="D2712">
        <f t="shared" ca="1" si="55"/>
        <v>49.395064680022948</v>
      </c>
    </row>
    <row r="2713" spans="4:4" x14ac:dyDescent="0.25">
      <c r="D2713">
        <f t="shared" ca="1" si="55"/>
        <v>46.940067757948732</v>
      </c>
    </row>
    <row r="2714" spans="4:4" x14ac:dyDescent="0.25">
      <c r="D2714">
        <f t="shared" ca="1" si="55"/>
        <v>45.906314771093065</v>
      </c>
    </row>
    <row r="2715" spans="4:4" x14ac:dyDescent="0.25">
      <c r="D2715">
        <f t="shared" ca="1" si="55"/>
        <v>47.75609779772897</v>
      </c>
    </row>
    <row r="2716" spans="4:4" x14ac:dyDescent="0.25">
      <c r="D2716">
        <f t="shared" ca="1" si="55"/>
        <v>44.785153300566662</v>
      </c>
    </row>
    <row r="2717" spans="4:4" x14ac:dyDescent="0.25">
      <c r="D2717">
        <f t="shared" ca="1" si="55"/>
        <v>59.381840213350365</v>
      </c>
    </row>
    <row r="2718" spans="4:4" x14ac:dyDescent="0.25">
      <c r="D2718">
        <f t="shared" ca="1" si="55"/>
        <v>49.573619535785134</v>
      </c>
    </row>
    <row r="2719" spans="4:4" x14ac:dyDescent="0.25">
      <c r="D2719">
        <f t="shared" ca="1" si="55"/>
        <v>54.495499410567035</v>
      </c>
    </row>
    <row r="2720" spans="4:4" x14ac:dyDescent="0.25">
      <c r="D2720">
        <f t="shared" ca="1" si="55"/>
        <v>49.914067402127031</v>
      </c>
    </row>
    <row r="2721" spans="4:4" x14ac:dyDescent="0.25">
      <c r="D2721">
        <f t="shared" ca="1" si="55"/>
        <v>44.690926226697165</v>
      </c>
    </row>
    <row r="2722" spans="4:4" x14ac:dyDescent="0.25">
      <c r="D2722">
        <f t="shared" ca="1" si="55"/>
        <v>32.725076637385762</v>
      </c>
    </row>
    <row r="2723" spans="4:4" x14ac:dyDescent="0.25">
      <c r="D2723">
        <f t="shared" ca="1" si="55"/>
        <v>50.956549834075197</v>
      </c>
    </row>
    <row r="2724" spans="4:4" x14ac:dyDescent="0.25">
      <c r="D2724">
        <f t="shared" ca="1" si="55"/>
        <v>40.144894799248561</v>
      </c>
    </row>
    <row r="2725" spans="4:4" x14ac:dyDescent="0.25">
      <c r="D2725">
        <f t="shared" ca="1" si="55"/>
        <v>48.09219082101167</v>
      </c>
    </row>
    <row r="2726" spans="4:4" x14ac:dyDescent="0.25">
      <c r="D2726">
        <f t="shared" ca="1" si="55"/>
        <v>49.62137286251474</v>
      </c>
    </row>
    <row r="2727" spans="4:4" x14ac:dyDescent="0.25">
      <c r="D2727">
        <f t="shared" ca="1" si="55"/>
        <v>56.881482281617039</v>
      </c>
    </row>
    <row r="2728" spans="4:4" x14ac:dyDescent="0.25">
      <c r="D2728">
        <f t="shared" ca="1" si="55"/>
        <v>51.475252253302195</v>
      </c>
    </row>
    <row r="2729" spans="4:4" x14ac:dyDescent="0.25">
      <c r="D2729">
        <f t="shared" ca="1" si="55"/>
        <v>46.432938196991806</v>
      </c>
    </row>
    <row r="2730" spans="4:4" x14ac:dyDescent="0.25">
      <c r="D2730">
        <f t="shared" ca="1" si="55"/>
        <v>53.035634017579362</v>
      </c>
    </row>
    <row r="2731" spans="4:4" x14ac:dyDescent="0.25">
      <c r="D2731">
        <f t="shared" ca="1" si="55"/>
        <v>45.545516994200575</v>
      </c>
    </row>
    <row r="2732" spans="4:4" x14ac:dyDescent="0.25">
      <c r="D2732">
        <f t="shared" ca="1" si="55"/>
        <v>55.272649628241417</v>
      </c>
    </row>
    <row r="2733" spans="4:4" x14ac:dyDescent="0.25">
      <c r="D2733">
        <f t="shared" ca="1" si="55"/>
        <v>43.003517989797203</v>
      </c>
    </row>
    <row r="2734" spans="4:4" x14ac:dyDescent="0.25">
      <c r="D2734">
        <f t="shared" ca="1" si="55"/>
        <v>47.910107054888108</v>
      </c>
    </row>
    <row r="2735" spans="4:4" x14ac:dyDescent="0.25">
      <c r="D2735">
        <f t="shared" ca="1" si="55"/>
        <v>45.046341170947748</v>
      </c>
    </row>
    <row r="2736" spans="4:4" x14ac:dyDescent="0.25">
      <c r="D2736">
        <f t="shared" ca="1" si="55"/>
        <v>56.569417952168074</v>
      </c>
    </row>
    <row r="2737" spans="4:4" x14ac:dyDescent="0.25">
      <c r="D2737">
        <f t="shared" ca="1" si="55"/>
        <v>39.113261430449384</v>
      </c>
    </row>
    <row r="2738" spans="4:4" x14ac:dyDescent="0.25">
      <c r="D2738">
        <f t="shared" ca="1" si="55"/>
        <v>41.337740960560609</v>
      </c>
    </row>
    <row r="2739" spans="4:4" x14ac:dyDescent="0.25">
      <c r="D2739">
        <f t="shared" ca="1" si="55"/>
        <v>46.893740421313225</v>
      </c>
    </row>
    <row r="2740" spans="4:4" x14ac:dyDescent="0.25">
      <c r="D2740">
        <f t="shared" ca="1" si="55"/>
        <v>51.681184296676435</v>
      </c>
    </row>
    <row r="2741" spans="4:4" x14ac:dyDescent="0.25">
      <c r="D2741">
        <f t="shared" ca="1" si="55"/>
        <v>53.13306500250394</v>
      </c>
    </row>
    <row r="2742" spans="4:4" x14ac:dyDescent="0.25">
      <c r="D2742">
        <f t="shared" ca="1" si="55"/>
        <v>49.39603863762359</v>
      </c>
    </row>
    <row r="2743" spans="4:4" x14ac:dyDescent="0.25">
      <c r="D2743">
        <f t="shared" ca="1" si="55"/>
        <v>49.176040600564519</v>
      </c>
    </row>
    <row r="2744" spans="4:4" x14ac:dyDescent="0.25">
      <c r="D2744">
        <f t="shared" ca="1" si="55"/>
        <v>55.646631793196811</v>
      </c>
    </row>
    <row r="2745" spans="4:4" x14ac:dyDescent="0.25">
      <c r="D2745">
        <f t="shared" ca="1" si="55"/>
        <v>41.130809194691238</v>
      </c>
    </row>
    <row r="2746" spans="4:4" x14ac:dyDescent="0.25">
      <c r="D2746">
        <f t="shared" ca="1" si="55"/>
        <v>55.179807182352313</v>
      </c>
    </row>
    <row r="2747" spans="4:4" x14ac:dyDescent="0.25">
      <c r="D2747">
        <f t="shared" ca="1" si="55"/>
        <v>43.796291164464328</v>
      </c>
    </row>
    <row r="2748" spans="4:4" x14ac:dyDescent="0.25">
      <c r="D2748">
        <f t="shared" ca="1" si="55"/>
        <v>42.590113439956056</v>
      </c>
    </row>
    <row r="2749" spans="4:4" x14ac:dyDescent="0.25">
      <c r="D2749">
        <f t="shared" ca="1" si="55"/>
        <v>50.610083821894044</v>
      </c>
    </row>
    <row r="2750" spans="4:4" x14ac:dyDescent="0.25">
      <c r="D2750">
        <f t="shared" ca="1" si="55"/>
        <v>51.428977080025192</v>
      </c>
    </row>
    <row r="2751" spans="4:4" x14ac:dyDescent="0.25">
      <c r="D2751">
        <f t="shared" ca="1" si="55"/>
        <v>43.021003818995382</v>
      </c>
    </row>
    <row r="2752" spans="4:4" x14ac:dyDescent="0.25">
      <c r="D2752">
        <f t="shared" ca="1" si="55"/>
        <v>48.757981119230315</v>
      </c>
    </row>
    <row r="2753" spans="4:4" x14ac:dyDescent="0.25">
      <c r="D2753">
        <f t="shared" ca="1" si="55"/>
        <v>47.084886551326122</v>
      </c>
    </row>
    <row r="2754" spans="4:4" x14ac:dyDescent="0.25">
      <c r="D2754">
        <f t="shared" ca="1" si="55"/>
        <v>51.795946265732816</v>
      </c>
    </row>
    <row r="2755" spans="4:4" x14ac:dyDescent="0.25">
      <c r="D2755">
        <f t="shared" ref="D2755:D2818" ca="1" si="56">_xlfn.T.INV(RAND(),25)*$G$3+$F$3</f>
        <v>47.759732375052309</v>
      </c>
    </row>
    <row r="2756" spans="4:4" x14ac:dyDescent="0.25">
      <c r="D2756">
        <f t="shared" ca="1" si="56"/>
        <v>46.953510487342371</v>
      </c>
    </row>
    <row r="2757" spans="4:4" x14ac:dyDescent="0.25">
      <c r="D2757">
        <f t="shared" ca="1" si="56"/>
        <v>50.956328627600136</v>
      </c>
    </row>
    <row r="2758" spans="4:4" x14ac:dyDescent="0.25">
      <c r="D2758">
        <f t="shared" ca="1" si="56"/>
        <v>53.455612195759215</v>
      </c>
    </row>
    <row r="2759" spans="4:4" x14ac:dyDescent="0.25">
      <c r="D2759">
        <f t="shared" ca="1" si="56"/>
        <v>52.362312947142506</v>
      </c>
    </row>
    <row r="2760" spans="4:4" x14ac:dyDescent="0.25">
      <c r="D2760">
        <f t="shared" ca="1" si="56"/>
        <v>47.67787359611161</v>
      </c>
    </row>
    <row r="2761" spans="4:4" x14ac:dyDescent="0.25">
      <c r="D2761">
        <f t="shared" ca="1" si="56"/>
        <v>42.724842852965786</v>
      </c>
    </row>
    <row r="2762" spans="4:4" x14ac:dyDescent="0.25">
      <c r="D2762">
        <f t="shared" ca="1" si="56"/>
        <v>37.293012833970408</v>
      </c>
    </row>
    <row r="2763" spans="4:4" x14ac:dyDescent="0.25">
      <c r="D2763">
        <f t="shared" ca="1" si="56"/>
        <v>44.552690041646393</v>
      </c>
    </row>
    <row r="2764" spans="4:4" x14ac:dyDescent="0.25">
      <c r="D2764">
        <f t="shared" ca="1" si="56"/>
        <v>51.083710043309665</v>
      </c>
    </row>
    <row r="2765" spans="4:4" x14ac:dyDescent="0.25">
      <c r="D2765">
        <f t="shared" ca="1" si="56"/>
        <v>44.066885832455128</v>
      </c>
    </row>
    <row r="2766" spans="4:4" x14ac:dyDescent="0.25">
      <c r="D2766">
        <f t="shared" ca="1" si="56"/>
        <v>46.51481640962826</v>
      </c>
    </row>
    <row r="2767" spans="4:4" x14ac:dyDescent="0.25">
      <c r="D2767">
        <f t="shared" ca="1" si="56"/>
        <v>55.416257710918089</v>
      </c>
    </row>
    <row r="2768" spans="4:4" x14ac:dyDescent="0.25">
      <c r="D2768">
        <f t="shared" ca="1" si="56"/>
        <v>54.187402580297338</v>
      </c>
    </row>
    <row r="2769" spans="4:4" x14ac:dyDescent="0.25">
      <c r="D2769">
        <f t="shared" ca="1" si="56"/>
        <v>54.95614413662333</v>
      </c>
    </row>
    <row r="2770" spans="4:4" x14ac:dyDescent="0.25">
      <c r="D2770">
        <f t="shared" ca="1" si="56"/>
        <v>46.454383275358389</v>
      </c>
    </row>
    <row r="2771" spans="4:4" x14ac:dyDescent="0.25">
      <c r="D2771">
        <f t="shared" ca="1" si="56"/>
        <v>52.40660180692587</v>
      </c>
    </row>
    <row r="2772" spans="4:4" x14ac:dyDescent="0.25">
      <c r="D2772">
        <f t="shared" ca="1" si="56"/>
        <v>42.982086614683944</v>
      </c>
    </row>
    <row r="2773" spans="4:4" x14ac:dyDescent="0.25">
      <c r="D2773">
        <f t="shared" ca="1" si="56"/>
        <v>54.030646623981355</v>
      </c>
    </row>
    <row r="2774" spans="4:4" x14ac:dyDescent="0.25">
      <c r="D2774">
        <f t="shared" ca="1" si="56"/>
        <v>47.901056616015637</v>
      </c>
    </row>
    <row r="2775" spans="4:4" x14ac:dyDescent="0.25">
      <c r="D2775">
        <f t="shared" ca="1" si="56"/>
        <v>46.534774032790075</v>
      </c>
    </row>
    <row r="2776" spans="4:4" x14ac:dyDescent="0.25">
      <c r="D2776">
        <f t="shared" ca="1" si="56"/>
        <v>51.717749309224715</v>
      </c>
    </row>
    <row r="2777" spans="4:4" x14ac:dyDescent="0.25">
      <c r="D2777">
        <f t="shared" ca="1" si="56"/>
        <v>44.705263485223995</v>
      </c>
    </row>
    <row r="2778" spans="4:4" x14ac:dyDescent="0.25">
      <c r="D2778">
        <f t="shared" ca="1" si="56"/>
        <v>46.504422070463683</v>
      </c>
    </row>
    <row r="2779" spans="4:4" x14ac:dyDescent="0.25">
      <c r="D2779">
        <f t="shared" ca="1" si="56"/>
        <v>48.218489766715777</v>
      </c>
    </row>
    <row r="2780" spans="4:4" x14ac:dyDescent="0.25">
      <c r="D2780">
        <f t="shared" ca="1" si="56"/>
        <v>54.073605579624569</v>
      </c>
    </row>
    <row r="2781" spans="4:4" x14ac:dyDescent="0.25">
      <c r="D2781">
        <f t="shared" ca="1" si="56"/>
        <v>43.133378127969131</v>
      </c>
    </row>
    <row r="2782" spans="4:4" x14ac:dyDescent="0.25">
      <c r="D2782">
        <f t="shared" ca="1" si="56"/>
        <v>47.050032977823534</v>
      </c>
    </row>
    <row r="2783" spans="4:4" x14ac:dyDescent="0.25">
      <c r="D2783">
        <f t="shared" ca="1" si="56"/>
        <v>50.218667343587221</v>
      </c>
    </row>
    <row r="2784" spans="4:4" x14ac:dyDescent="0.25">
      <c r="D2784">
        <f t="shared" ca="1" si="56"/>
        <v>53.228526621404697</v>
      </c>
    </row>
    <row r="2785" spans="4:4" x14ac:dyDescent="0.25">
      <c r="D2785">
        <f t="shared" ca="1" si="56"/>
        <v>48.919720746168522</v>
      </c>
    </row>
    <row r="2786" spans="4:4" x14ac:dyDescent="0.25">
      <c r="D2786">
        <f t="shared" ca="1" si="56"/>
        <v>51.505305018433411</v>
      </c>
    </row>
    <row r="2787" spans="4:4" x14ac:dyDescent="0.25">
      <c r="D2787">
        <f t="shared" ca="1" si="56"/>
        <v>57.409621631217277</v>
      </c>
    </row>
    <row r="2788" spans="4:4" x14ac:dyDescent="0.25">
      <c r="D2788">
        <f t="shared" ca="1" si="56"/>
        <v>47.125194696200147</v>
      </c>
    </row>
    <row r="2789" spans="4:4" x14ac:dyDescent="0.25">
      <c r="D2789">
        <f t="shared" ca="1" si="56"/>
        <v>49.061202838226379</v>
      </c>
    </row>
    <row r="2790" spans="4:4" x14ac:dyDescent="0.25">
      <c r="D2790">
        <f t="shared" ca="1" si="56"/>
        <v>49.911383312223968</v>
      </c>
    </row>
    <row r="2791" spans="4:4" x14ac:dyDescent="0.25">
      <c r="D2791">
        <f t="shared" ca="1" si="56"/>
        <v>49.726310179071341</v>
      </c>
    </row>
    <row r="2792" spans="4:4" x14ac:dyDescent="0.25">
      <c r="D2792">
        <f t="shared" ca="1" si="56"/>
        <v>47.591504384672305</v>
      </c>
    </row>
    <row r="2793" spans="4:4" x14ac:dyDescent="0.25">
      <c r="D2793">
        <f t="shared" ca="1" si="56"/>
        <v>52.198281071997265</v>
      </c>
    </row>
    <row r="2794" spans="4:4" x14ac:dyDescent="0.25">
      <c r="D2794">
        <f t="shared" ca="1" si="56"/>
        <v>48.301738410873071</v>
      </c>
    </row>
    <row r="2795" spans="4:4" x14ac:dyDescent="0.25">
      <c r="D2795">
        <f t="shared" ca="1" si="56"/>
        <v>44.941166383108786</v>
      </c>
    </row>
    <row r="2796" spans="4:4" x14ac:dyDescent="0.25">
      <c r="D2796">
        <f t="shared" ca="1" si="56"/>
        <v>51.514820800391277</v>
      </c>
    </row>
    <row r="2797" spans="4:4" x14ac:dyDescent="0.25">
      <c r="D2797">
        <f t="shared" ca="1" si="56"/>
        <v>46.298287042385645</v>
      </c>
    </row>
    <row r="2798" spans="4:4" x14ac:dyDescent="0.25">
      <c r="D2798">
        <f t="shared" ca="1" si="56"/>
        <v>63.370202746099977</v>
      </c>
    </row>
    <row r="2799" spans="4:4" x14ac:dyDescent="0.25">
      <c r="D2799">
        <f t="shared" ca="1" si="56"/>
        <v>55.019143405254603</v>
      </c>
    </row>
    <row r="2800" spans="4:4" x14ac:dyDescent="0.25">
      <c r="D2800">
        <f t="shared" ca="1" si="56"/>
        <v>53.11559541160122</v>
      </c>
    </row>
    <row r="2801" spans="4:4" x14ac:dyDescent="0.25">
      <c r="D2801">
        <f t="shared" ca="1" si="56"/>
        <v>48.503817403078202</v>
      </c>
    </row>
    <row r="2802" spans="4:4" x14ac:dyDescent="0.25">
      <c r="D2802">
        <f t="shared" ca="1" si="56"/>
        <v>43.436668678947292</v>
      </c>
    </row>
    <row r="2803" spans="4:4" x14ac:dyDescent="0.25">
      <c r="D2803">
        <f t="shared" ca="1" si="56"/>
        <v>55.697441794138619</v>
      </c>
    </row>
    <row r="2804" spans="4:4" x14ac:dyDescent="0.25">
      <c r="D2804">
        <f t="shared" ca="1" si="56"/>
        <v>50.062381638060721</v>
      </c>
    </row>
    <row r="2805" spans="4:4" x14ac:dyDescent="0.25">
      <c r="D2805">
        <f t="shared" ca="1" si="56"/>
        <v>47.076226589125334</v>
      </c>
    </row>
    <row r="2806" spans="4:4" x14ac:dyDescent="0.25">
      <c r="D2806">
        <f t="shared" ca="1" si="56"/>
        <v>59.282304359152363</v>
      </c>
    </row>
    <row r="2807" spans="4:4" x14ac:dyDescent="0.25">
      <c r="D2807">
        <f t="shared" ca="1" si="56"/>
        <v>50.688683423940624</v>
      </c>
    </row>
    <row r="2808" spans="4:4" x14ac:dyDescent="0.25">
      <c r="D2808">
        <f t="shared" ca="1" si="56"/>
        <v>53.856675383337773</v>
      </c>
    </row>
    <row r="2809" spans="4:4" x14ac:dyDescent="0.25">
      <c r="D2809">
        <f t="shared" ca="1" si="56"/>
        <v>47.24141533141939</v>
      </c>
    </row>
    <row r="2810" spans="4:4" x14ac:dyDescent="0.25">
      <c r="D2810">
        <f t="shared" ca="1" si="56"/>
        <v>41.910119003332539</v>
      </c>
    </row>
    <row r="2811" spans="4:4" x14ac:dyDescent="0.25">
      <c r="D2811">
        <f t="shared" ca="1" si="56"/>
        <v>48.553007180604247</v>
      </c>
    </row>
    <row r="2812" spans="4:4" x14ac:dyDescent="0.25">
      <c r="D2812">
        <f t="shared" ca="1" si="56"/>
        <v>52.604197677724862</v>
      </c>
    </row>
    <row r="2813" spans="4:4" x14ac:dyDescent="0.25">
      <c r="D2813">
        <f t="shared" ca="1" si="56"/>
        <v>54.369748457882437</v>
      </c>
    </row>
    <row r="2814" spans="4:4" x14ac:dyDescent="0.25">
      <c r="D2814">
        <f t="shared" ca="1" si="56"/>
        <v>60.012933418285598</v>
      </c>
    </row>
    <row r="2815" spans="4:4" x14ac:dyDescent="0.25">
      <c r="D2815">
        <f t="shared" ca="1" si="56"/>
        <v>45.339090796658397</v>
      </c>
    </row>
    <row r="2816" spans="4:4" x14ac:dyDescent="0.25">
      <c r="D2816">
        <f t="shared" ca="1" si="56"/>
        <v>53.11937292769116</v>
      </c>
    </row>
    <row r="2817" spans="4:4" x14ac:dyDescent="0.25">
      <c r="D2817">
        <f t="shared" ca="1" si="56"/>
        <v>56.463089132663342</v>
      </c>
    </row>
    <row r="2818" spans="4:4" x14ac:dyDescent="0.25">
      <c r="D2818">
        <f t="shared" ca="1" si="56"/>
        <v>49.64398898727238</v>
      </c>
    </row>
    <row r="2819" spans="4:4" x14ac:dyDescent="0.25">
      <c r="D2819">
        <f t="shared" ref="D2819:D2882" ca="1" si="57">_xlfn.T.INV(RAND(),25)*$G$3+$F$3</f>
        <v>56.442168228631331</v>
      </c>
    </row>
    <row r="2820" spans="4:4" x14ac:dyDescent="0.25">
      <c r="D2820">
        <f t="shared" ca="1" si="57"/>
        <v>46.04694561055701</v>
      </c>
    </row>
    <row r="2821" spans="4:4" x14ac:dyDescent="0.25">
      <c r="D2821">
        <f t="shared" ca="1" si="57"/>
        <v>60.175212842832003</v>
      </c>
    </row>
    <row r="2822" spans="4:4" x14ac:dyDescent="0.25">
      <c r="D2822">
        <f t="shared" ca="1" si="57"/>
        <v>46.539435089393422</v>
      </c>
    </row>
    <row r="2823" spans="4:4" x14ac:dyDescent="0.25">
      <c r="D2823">
        <f t="shared" ca="1" si="57"/>
        <v>54.236999256034814</v>
      </c>
    </row>
    <row r="2824" spans="4:4" x14ac:dyDescent="0.25">
      <c r="D2824">
        <f t="shared" ca="1" si="57"/>
        <v>54.184648833162626</v>
      </c>
    </row>
    <row r="2825" spans="4:4" x14ac:dyDescent="0.25">
      <c r="D2825">
        <f t="shared" ca="1" si="57"/>
        <v>44.346765696186665</v>
      </c>
    </row>
    <row r="2826" spans="4:4" x14ac:dyDescent="0.25">
      <c r="D2826">
        <f t="shared" ca="1" si="57"/>
        <v>44.217086579352021</v>
      </c>
    </row>
    <row r="2827" spans="4:4" x14ac:dyDescent="0.25">
      <c r="D2827">
        <f t="shared" ca="1" si="57"/>
        <v>58.566948315730613</v>
      </c>
    </row>
    <row r="2828" spans="4:4" x14ac:dyDescent="0.25">
      <c r="D2828">
        <f t="shared" ca="1" si="57"/>
        <v>47.542653783742622</v>
      </c>
    </row>
    <row r="2829" spans="4:4" x14ac:dyDescent="0.25">
      <c r="D2829">
        <f t="shared" ca="1" si="57"/>
        <v>50.353379784501314</v>
      </c>
    </row>
    <row r="2830" spans="4:4" x14ac:dyDescent="0.25">
      <c r="D2830">
        <f t="shared" ca="1" si="57"/>
        <v>49.206871790304078</v>
      </c>
    </row>
    <row r="2831" spans="4:4" x14ac:dyDescent="0.25">
      <c r="D2831">
        <f t="shared" ca="1" si="57"/>
        <v>51.199792495245006</v>
      </c>
    </row>
    <row r="2832" spans="4:4" x14ac:dyDescent="0.25">
      <c r="D2832">
        <f t="shared" ca="1" si="57"/>
        <v>51.386092442685317</v>
      </c>
    </row>
    <row r="2833" spans="4:4" x14ac:dyDescent="0.25">
      <c r="D2833">
        <f t="shared" ca="1" si="57"/>
        <v>53.04973544619552</v>
      </c>
    </row>
    <row r="2834" spans="4:4" x14ac:dyDescent="0.25">
      <c r="D2834">
        <f t="shared" ca="1" si="57"/>
        <v>38.072587592732596</v>
      </c>
    </row>
    <row r="2835" spans="4:4" x14ac:dyDescent="0.25">
      <c r="D2835">
        <f t="shared" ca="1" si="57"/>
        <v>50.141145456076437</v>
      </c>
    </row>
    <row r="2836" spans="4:4" x14ac:dyDescent="0.25">
      <c r="D2836">
        <f t="shared" ca="1" si="57"/>
        <v>48.136383583482029</v>
      </c>
    </row>
    <row r="2837" spans="4:4" x14ac:dyDescent="0.25">
      <c r="D2837">
        <f t="shared" ca="1" si="57"/>
        <v>48.275478142671602</v>
      </c>
    </row>
    <row r="2838" spans="4:4" x14ac:dyDescent="0.25">
      <c r="D2838">
        <f t="shared" ca="1" si="57"/>
        <v>49.806850974576953</v>
      </c>
    </row>
    <row r="2839" spans="4:4" x14ac:dyDescent="0.25">
      <c r="D2839">
        <f t="shared" ca="1" si="57"/>
        <v>51.298834649025082</v>
      </c>
    </row>
    <row r="2840" spans="4:4" x14ac:dyDescent="0.25">
      <c r="D2840">
        <f t="shared" ca="1" si="57"/>
        <v>54.809771063555004</v>
      </c>
    </row>
    <row r="2841" spans="4:4" x14ac:dyDescent="0.25">
      <c r="D2841">
        <f t="shared" ca="1" si="57"/>
        <v>44.525889862428876</v>
      </c>
    </row>
    <row r="2842" spans="4:4" x14ac:dyDescent="0.25">
      <c r="D2842">
        <f t="shared" ca="1" si="57"/>
        <v>45.928352926239391</v>
      </c>
    </row>
    <row r="2843" spans="4:4" x14ac:dyDescent="0.25">
      <c r="D2843">
        <f t="shared" ca="1" si="57"/>
        <v>55.610759653648415</v>
      </c>
    </row>
    <row r="2844" spans="4:4" x14ac:dyDescent="0.25">
      <c r="D2844">
        <f t="shared" ca="1" si="57"/>
        <v>49.303828870684711</v>
      </c>
    </row>
    <row r="2845" spans="4:4" x14ac:dyDescent="0.25">
      <c r="D2845">
        <f t="shared" ca="1" si="57"/>
        <v>44.624566893087952</v>
      </c>
    </row>
    <row r="2846" spans="4:4" x14ac:dyDescent="0.25">
      <c r="D2846">
        <f t="shared" ca="1" si="57"/>
        <v>52.602502252956882</v>
      </c>
    </row>
    <row r="2847" spans="4:4" x14ac:dyDescent="0.25">
      <c r="D2847">
        <f t="shared" ca="1" si="57"/>
        <v>59.780323238941662</v>
      </c>
    </row>
    <row r="2848" spans="4:4" x14ac:dyDescent="0.25">
      <c r="D2848">
        <f t="shared" ca="1" si="57"/>
        <v>52.315092815519975</v>
      </c>
    </row>
    <row r="2849" spans="4:4" x14ac:dyDescent="0.25">
      <c r="D2849">
        <f t="shared" ca="1" si="57"/>
        <v>46.967058444712407</v>
      </c>
    </row>
    <row r="2850" spans="4:4" x14ac:dyDescent="0.25">
      <c r="D2850">
        <f t="shared" ca="1" si="57"/>
        <v>52.477111747958226</v>
      </c>
    </row>
    <row r="2851" spans="4:4" x14ac:dyDescent="0.25">
      <c r="D2851">
        <f t="shared" ca="1" si="57"/>
        <v>54.575125979323957</v>
      </c>
    </row>
    <row r="2852" spans="4:4" x14ac:dyDescent="0.25">
      <c r="D2852">
        <f t="shared" ca="1" si="57"/>
        <v>58.166152406555312</v>
      </c>
    </row>
    <row r="2853" spans="4:4" x14ac:dyDescent="0.25">
      <c r="D2853">
        <f t="shared" ca="1" si="57"/>
        <v>48.465363270070149</v>
      </c>
    </row>
    <row r="2854" spans="4:4" x14ac:dyDescent="0.25">
      <c r="D2854">
        <f t="shared" ca="1" si="57"/>
        <v>47.299486175592726</v>
      </c>
    </row>
    <row r="2855" spans="4:4" x14ac:dyDescent="0.25">
      <c r="D2855">
        <f t="shared" ca="1" si="57"/>
        <v>44.835591465686058</v>
      </c>
    </row>
    <row r="2856" spans="4:4" x14ac:dyDescent="0.25">
      <c r="D2856">
        <f t="shared" ca="1" si="57"/>
        <v>44.113314838900408</v>
      </c>
    </row>
    <row r="2857" spans="4:4" x14ac:dyDescent="0.25">
      <c r="D2857">
        <f t="shared" ca="1" si="57"/>
        <v>45.975663593805727</v>
      </c>
    </row>
    <row r="2858" spans="4:4" x14ac:dyDescent="0.25">
      <c r="D2858">
        <f t="shared" ca="1" si="57"/>
        <v>59.829571442702509</v>
      </c>
    </row>
    <row r="2859" spans="4:4" x14ac:dyDescent="0.25">
      <c r="D2859">
        <f t="shared" ca="1" si="57"/>
        <v>44.857815716864252</v>
      </c>
    </row>
    <row r="2860" spans="4:4" x14ac:dyDescent="0.25">
      <c r="D2860">
        <f t="shared" ca="1" si="57"/>
        <v>60.539644156254084</v>
      </c>
    </row>
    <row r="2861" spans="4:4" x14ac:dyDescent="0.25">
      <c r="D2861">
        <f t="shared" ca="1" si="57"/>
        <v>51.878906420528473</v>
      </c>
    </row>
    <row r="2862" spans="4:4" x14ac:dyDescent="0.25">
      <c r="D2862">
        <f t="shared" ca="1" si="57"/>
        <v>48.977810946738082</v>
      </c>
    </row>
    <row r="2863" spans="4:4" x14ac:dyDescent="0.25">
      <c r="D2863">
        <f t="shared" ca="1" si="57"/>
        <v>44.20247711185489</v>
      </c>
    </row>
    <row r="2864" spans="4:4" x14ac:dyDescent="0.25">
      <c r="D2864">
        <f t="shared" ca="1" si="57"/>
        <v>52.452761812772479</v>
      </c>
    </row>
    <row r="2865" spans="4:4" x14ac:dyDescent="0.25">
      <c r="D2865">
        <f t="shared" ca="1" si="57"/>
        <v>53.108212532710638</v>
      </c>
    </row>
    <row r="2866" spans="4:4" x14ac:dyDescent="0.25">
      <c r="D2866">
        <f t="shared" ca="1" si="57"/>
        <v>44.521985747883463</v>
      </c>
    </row>
    <row r="2867" spans="4:4" x14ac:dyDescent="0.25">
      <c r="D2867">
        <f t="shared" ca="1" si="57"/>
        <v>51.414304181632652</v>
      </c>
    </row>
    <row r="2868" spans="4:4" x14ac:dyDescent="0.25">
      <c r="D2868">
        <f t="shared" ca="1" si="57"/>
        <v>43.452292840087779</v>
      </c>
    </row>
    <row r="2869" spans="4:4" x14ac:dyDescent="0.25">
      <c r="D2869">
        <f t="shared" ca="1" si="57"/>
        <v>42.700100797420149</v>
      </c>
    </row>
    <row r="2870" spans="4:4" x14ac:dyDescent="0.25">
      <c r="D2870">
        <f t="shared" ca="1" si="57"/>
        <v>56.738231415607189</v>
      </c>
    </row>
    <row r="2871" spans="4:4" x14ac:dyDescent="0.25">
      <c r="D2871">
        <f t="shared" ca="1" si="57"/>
        <v>54.482933196760833</v>
      </c>
    </row>
    <row r="2872" spans="4:4" x14ac:dyDescent="0.25">
      <c r="D2872">
        <f t="shared" ca="1" si="57"/>
        <v>46.390556954786575</v>
      </c>
    </row>
    <row r="2873" spans="4:4" x14ac:dyDescent="0.25">
      <c r="D2873">
        <f t="shared" ca="1" si="57"/>
        <v>50.044889409183241</v>
      </c>
    </row>
    <row r="2874" spans="4:4" x14ac:dyDescent="0.25">
      <c r="D2874">
        <f t="shared" ca="1" si="57"/>
        <v>48.326901622153528</v>
      </c>
    </row>
    <row r="2875" spans="4:4" x14ac:dyDescent="0.25">
      <c r="D2875">
        <f t="shared" ca="1" si="57"/>
        <v>49.79012460226383</v>
      </c>
    </row>
    <row r="2876" spans="4:4" x14ac:dyDescent="0.25">
      <c r="D2876">
        <f t="shared" ca="1" si="57"/>
        <v>47.348339780015195</v>
      </c>
    </row>
    <row r="2877" spans="4:4" x14ac:dyDescent="0.25">
      <c r="D2877">
        <f t="shared" ca="1" si="57"/>
        <v>44.497111151793675</v>
      </c>
    </row>
    <row r="2878" spans="4:4" x14ac:dyDescent="0.25">
      <c r="D2878">
        <f t="shared" ca="1" si="57"/>
        <v>51.984751631251726</v>
      </c>
    </row>
    <row r="2879" spans="4:4" x14ac:dyDescent="0.25">
      <c r="D2879">
        <f t="shared" ca="1" si="57"/>
        <v>58.299822770924997</v>
      </c>
    </row>
    <row r="2880" spans="4:4" x14ac:dyDescent="0.25">
      <c r="D2880">
        <f t="shared" ca="1" si="57"/>
        <v>49.89076431745621</v>
      </c>
    </row>
    <row r="2881" spans="4:4" x14ac:dyDescent="0.25">
      <c r="D2881">
        <f t="shared" ca="1" si="57"/>
        <v>43.680172744131504</v>
      </c>
    </row>
    <row r="2882" spans="4:4" x14ac:dyDescent="0.25">
      <c r="D2882">
        <f t="shared" ca="1" si="57"/>
        <v>49.320679903480546</v>
      </c>
    </row>
    <row r="2883" spans="4:4" x14ac:dyDescent="0.25">
      <c r="D2883">
        <f t="shared" ref="D2883:D2946" ca="1" si="58">_xlfn.T.INV(RAND(),25)*$G$3+$F$3</f>
        <v>61.118813492529867</v>
      </c>
    </row>
    <row r="2884" spans="4:4" x14ac:dyDescent="0.25">
      <c r="D2884">
        <f t="shared" ca="1" si="58"/>
        <v>48.591158511209791</v>
      </c>
    </row>
    <row r="2885" spans="4:4" x14ac:dyDescent="0.25">
      <c r="D2885">
        <f t="shared" ca="1" si="58"/>
        <v>49.081895163600755</v>
      </c>
    </row>
    <row r="2886" spans="4:4" x14ac:dyDescent="0.25">
      <c r="D2886">
        <f t="shared" ca="1" si="58"/>
        <v>53.953740413190999</v>
      </c>
    </row>
    <row r="2887" spans="4:4" x14ac:dyDescent="0.25">
      <c r="D2887">
        <f t="shared" ca="1" si="58"/>
        <v>47.408847595246968</v>
      </c>
    </row>
    <row r="2888" spans="4:4" x14ac:dyDescent="0.25">
      <c r="D2888">
        <f t="shared" ca="1" si="58"/>
        <v>48.372467428121176</v>
      </c>
    </row>
    <row r="2889" spans="4:4" x14ac:dyDescent="0.25">
      <c r="D2889">
        <f t="shared" ca="1" si="58"/>
        <v>49.859180584412059</v>
      </c>
    </row>
    <row r="2890" spans="4:4" x14ac:dyDescent="0.25">
      <c r="D2890">
        <f t="shared" ca="1" si="58"/>
        <v>45.229556057826009</v>
      </c>
    </row>
    <row r="2891" spans="4:4" x14ac:dyDescent="0.25">
      <c r="D2891">
        <f t="shared" ca="1" si="58"/>
        <v>49.375266405940614</v>
      </c>
    </row>
    <row r="2892" spans="4:4" x14ac:dyDescent="0.25">
      <c r="D2892">
        <f t="shared" ca="1" si="58"/>
        <v>50.570432380185615</v>
      </c>
    </row>
    <row r="2893" spans="4:4" x14ac:dyDescent="0.25">
      <c r="D2893">
        <f t="shared" ca="1" si="58"/>
        <v>45.564566886149969</v>
      </c>
    </row>
    <row r="2894" spans="4:4" x14ac:dyDescent="0.25">
      <c r="D2894">
        <f t="shared" ca="1" si="58"/>
        <v>58.073908462738963</v>
      </c>
    </row>
    <row r="2895" spans="4:4" x14ac:dyDescent="0.25">
      <c r="D2895">
        <f t="shared" ca="1" si="58"/>
        <v>50.421282279504865</v>
      </c>
    </row>
    <row r="2896" spans="4:4" x14ac:dyDescent="0.25">
      <c r="D2896">
        <f t="shared" ca="1" si="58"/>
        <v>48.194178833651947</v>
      </c>
    </row>
    <row r="2897" spans="4:4" x14ac:dyDescent="0.25">
      <c r="D2897">
        <f t="shared" ca="1" si="58"/>
        <v>50.137201339727028</v>
      </c>
    </row>
    <row r="2898" spans="4:4" x14ac:dyDescent="0.25">
      <c r="D2898">
        <f t="shared" ca="1" si="58"/>
        <v>39.88201909772738</v>
      </c>
    </row>
    <row r="2899" spans="4:4" x14ac:dyDescent="0.25">
      <c r="D2899">
        <f t="shared" ca="1" si="58"/>
        <v>49.6073221375567</v>
      </c>
    </row>
    <row r="2900" spans="4:4" x14ac:dyDescent="0.25">
      <c r="D2900">
        <f t="shared" ca="1" si="58"/>
        <v>44.680640825777843</v>
      </c>
    </row>
    <row r="2901" spans="4:4" x14ac:dyDescent="0.25">
      <c r="D2901">
        <f t="shared" ca="1" si="58"/>
        <v>56.558368763442076</v>
      </c>
    </row>
    <row r="2902" spans="4:4" x14ac:dyDescent="0.25">
      <c r="D2902">
        <f t="shared" ca="1" si="58"/>
        <v>45.625102005205783</v>
      </c>
    </row>
    <row r="2903" spans="4:4" x14ac:dyDescent="0.25">
      <c r="D2903">
        <f t="shared" ca="1" si="58"/>
        <v>45.51164296158975</v>
      </c>
    </row>
    <row r="2904" spans="4:4" x14ac:dyDescent="0.25">
      <c r="D2904">
        <f t="shared" ca="1" si="58"/>
        <v>56.527787570218045</v>
      </c>
    </row>
    <row r="2905" spans="4:4" x14ac:dyDescent="0.25">
      <c r="D2905">
        <f t="shared" ca="1" si="58"/>
        <v>55.268443771488784</v>
      </c>
    </row>
    <row r="2906" spans="4:4" x14ac:dyDescent="0.25">
      <c r="D2906">
        <f t="shared" ca="1" si="58"/>
        <v>50.695337578951566</v>
      </c>
    </row>
    <row r="2907" spans="4:4" x14ac:dyDescent="0.25">
      <c r="D2907">
        <f t="shared" ca="1" si="58"/>
        <v>53.796811268316446</v>
      </c>
    </row>
    <row r="2908" spans="4:4" x14ac:dyDescent="0.25">
      <c r="D2908">
        <f t="shared" ca="1" si="58"/>
        <v>52.251113124247134</v>
      </c>
    </row>
    <row r="2909" spans="4:4" x14ac:dyDescent="0.25">
      <c r="D2909">
        <f t="shared" ca="1" si="58"/>
        <v>50.215474666307259</v>
      </c>
    </row>
    <row r="2910" spans="4:4" x14ac:dyDescent="0.25">
      <c r="D2910">
        <f t="shared" ca="1" si="58"/>
        <v>49.149082038819436</v>
      </c>
    </row>
    <row r="2911" spans="4:4" x14ac:dyDescent="0.25">
      <c r="D2911">
        <f t="shared" ca="1" si="58"/>
        <v>47.149014108244316</v>
      </c>
    </row>
    <row r="2912" spans="4:4" x14ac:dyDescent="0.25">
      <c r="D2912">
        <f t="shared" ca="1" si="58"/>
        <v>42.992207916234541</v>
      </c>
    </row>
    <row r="2913" spans="4:4" x14ac:dyDescent="0.25">
      <c r="D2913">
        <f t="shared" ca="1" si="58"/>
        <v>52.85107718061392</v>
      </c>
    </row>
    <row r="2914" spans="4:4" x14ac:dyDescent="0.25">
      <c r="D2914">
        <f t="shared" ca="1" si="58"/>
        <v>49.759908684132505</v>
      </c>
    </row>
    <row r="2915" spans="4:4" x14ac:dyDescent="0.25">
      <c r="D2915">
        <f t="shared" ca="1" si="58"/>
        <v>57.556529654113994</v>
      </c>
    </row>
    <row r="2916" spans="4:4" x14ac:dyDescent="0.25">
      <c r="D2916">
        <f t="shared" ca="1" si="58"/>
        <v>46.863079084713696</v>
      </c>
    </row>
    <row r="2917" spans="4:4" x14ac:dyDescent="0.25">
      <c r="D2917">
        <f t="shared" ca="1" si="58"/>
        <v>45.260915971559335</v>
      </c>
    </row>
    <row r="2918" spans="4:4" x14ac:dyDescent="0.25">
      <c r="D2918">
        <f t="shared" ca="1" si="58"/>
        <v>46.237474178347306</v>
      </c>
    </row>
    <row r="2919" spans="4:4" x14ac:dyDescent="0.25">
      <c r="D2919">
        <f t="shared" ca="1" si="58"/>
        <v>47.130762672741596</v>
      </c>
    </row>
    <row r="2920" spans="4:4" x14ac:dyDescent="0.25">
      <c r="D2920">
        <f t="shared" ca="1" si="58"/>
        <v>51.24833356451591</v>
      </c>
    </row>
    <row r="2921" spans="4:4" x14ac:dyDescent="0.25">
      <c r="D2921">
        <f t="shared" ca="1" si="58"/>
        <v>52.26067928920731</v>
      </c>
    </row>
    <row r="2922" spans="4:4" x14ac:dyDescent="0.25">
      <c r="D2922">
        <f t="shared" ca="1" si="58"/>
        <v>54.588116653345125</v>
      </c>
    </row>
    <row r="2923" spans="4:4" x14ac:dyDescent="0.25">
      <c r="D2923">
        <f t="shared" ca="1" si="58"/>
        <v>50.140915104632029</v>
      </c>
    </row>
    <row r="2924" spans="4:4" x14ac:dyDescent="0.25">
      <c r="D2924">
        <f t="shared" ca="1" si="58"/>
        <v>47.255870481586889</v>
      </c>
    </row>
    <row r="2925" spans="4:4" x14ac:dyDescent="0.25">
      <c r="D2925">
        <f t="shared" ca="1" si="58"/>
        <v>50.478359052431436</v>
      </c>
    </row>
    <row r="2926" spans="4:4" x14ac:dyDescent="0.25">
      <c r="D2926">
        <f t="shared" ca="1" si="58"/>
        <v>46.513153588722908</v>
      </c>
    </row>
    <row r="2927" spans="4:4" x14ac:dyDescent="0.25">
      <c r="D2927">
        <f t="shared" ca="1" si="58"/>
        <v>64.463936544010082</v>
      </c>
    </row>
    <row r="2928" spans="4:4" x14ac:dyDescent="0.25">
      <c r="D2928">
        <f t="shared" ca="1" si="58"/>
        <v>57.174075906075288</v>
      </c>
    </row>
    <row r="2929" spans="4:4" x14ac:dyDescent="0.25">
      <c r="D2929">
        <f t="shared" ca="1" si="58"/>
        <v>46.303248640291571</v>
      </c>
    </row>
    <row r="2930" spans="4:4" x14ac:dyDescent="0.25">
      <c r="D2930">
        <f t="shared" ca="1" si="58"/>
        <v>46.191550693871449</v>
      </c>
    </row>
    <row r="2931" spans="4:4" x14ac:dyDescent="0.25">
      <c r="D2931">
        <f t="shared" ca="1" si="58"/>
        <v>46.817171818460722</v>
      </c>
    </row>
    <row r="2932" spans="4:4" x14ac:dyDescent="0.25">
      <c r="D2932">
        <f t="shared" ca="1" si="58"/>
        <v>43.817394754918979</v>
      </c>
    </row>
    <row r="2933" spans="4:4" x14ac:dyDescent="0.25">
      <c r="D2933">
        <f t="shared" ca="1" si="58"/>
        <v>53.270329844716649</v>
      </c>
    </row>
    <row r="2934" spans="4:4" x14ac:dyDescent="0.25">
      <c r="D2934">
        <f t="shared" ca="1" si="58"/>
        <v>54.648509434364641</v>
      </c>
    </row>
    <row r="2935" spans="4:4" x14ac:dyDescent="0.25">
      <c r="D2935">
        <f t="shared" ca="1" si="58"/>
        <v>54.670842996889242</v>
      </c>
    </row>
    <row r="2936" spans="4:4" x14ac:dyDescent="0.25">
      <c r="D2936">
        <f t="shared" ca="1" si="58"/>
        <v>54.925803545055132</v>
      </c>
    </row>
    <row r="2937" spans="4:4" x14ac:dyDescent="0.25">
      <c r="D2937">
        <f t="shared" ca="1" si="58"/>
        <v>51.320400519941735</v>
      </c>
    </row>
    <row r="2938" spans="4:4" x14ac:dyDescent="0.25">
      <c r="D2938">
        <f t="shared" ca="1" si="58"/>
        <v>53.444408796831226</v>
      </c>
    </row>
    <row r="2939" spans="4:4" x14ac:dyDescent="0.25">
      <c r="D2939">
        <f t="shared" ca="1" si="58"/>
        <v>47.070782786737681</v>
      </c>
    </row>
    <row r="2940" spans="4:4" x14ac:dyDescent="0.25">
      <c r="D2940">
        <f t="shared" ca="1" si="58"/>
        <v>51.654095464215658</v>
      </c>
    </row>
    <row r="2941" spans="4:4" x14ac:dyDescent="0.25">
      <c r="D2941">
        <f t="shared" ca="1" si="58"/>
        <v>43.910756749350959</v>
      </c>
    </row>
    <row r="2942" spans="4:4" x14ac:dyDescent="0.25">
      <c r="D2942">
        <f t="shared" ca="1" si="58"/>
        <v>50.261942040215985</v>
      </c>
    </row>
    <row r="2943" spans="4:4" x14ac:dyDescent="0.25">
      <c r="D2943">
        <f t="shared" ca="1" si="58"/>
        <v>51.268040801447277</v>
      </c>
    </row>
    <row r="2944" spans="4:4" x14ac:dyDescent="0.25">
      <c r="D2944">
        <f t="shared" ca="1" si="58"/>
        <v>47.548281944480649</v>
      </c>
    </row>
    <row r="2945" spans="4:4" x14ac:dyDescent="0.25">
      <c r="D2945">
        <f t="shared" ca="1" si="58"/>
        <v>48.632567147511125</v>
      </c>
    </row>
    <row r="2946" spans="4:4" x14ac:dyDescent="0.25">
      <c r="D2946">
        <f t="shared" ca="1" si="58"/>
        <v>44.919462663008339</v>
      </c>
    </row>
    <row r="2947" spans="4:4" x14ac:dyDescent="0.25">
      <c r="D2947">
        <f t="shared" ref="D2947:D3010" ca="1" si="59">_xlfn.T.INV(RAND(),25)*$G$3+$F$3</f>
        <v>38.619064577693294</v>
      </c>
    </row>
    <row r="2948" spans="4:4" x14ac:dyDescent="0.25">
      <c r="D2948">
        <f t="shared" ca="1" si="59"/>
        <v>53.845011559475921</v>
      </c>
    </row>
    <row r="2949" spans="4:4" x14ac:dyDescent="0.25">
      <c r="D2949">
        <f t="shared" ca="1" si="59"/>
        <v>48.846368166382575</v>
      </c>
    </row>
    <row r="2950" spans="4:4" x14ac:dyDescent="0.25">
      <c r="D2950">
        <f t="shared" ca="1" si="59"/>
        <v>47.772321233156887</v>
      </c>
    </row>
    <row r="2951" spans="4:4" x14ac:dyDescent="0.25">
      <c r="D2951">
        <f t="shared" ca="1" si="59"/>
        <v>50.2951954203578</v>
      </c>
    </row>
    <row r="2952" spans="4:4" x14ac:dyDescent="0.25">
      <c r="D2952">
        <f t="shared" ca="1" si="59"/>
        <v>47.958589565318917</v>
      </c>
    </row>
    <row r="2953" spans="4:4" x14ac:dyDescent="0.25">
      <c r="D2953">
        <f t="shared" ca="1" si="59"/>
        <v>61.27814721432533</v>
      </c>
    </row>
    <row r="2954" spans="4:4" x14ac:dyDescent="0.25">
      <c r="D2954">
        <f t="shared" ca="1" si="59"/>
        <v>57.725654262273338</v>
      </c>
    </row>
    <row r="2955" spans="4:4" x14ac:dyDescent="0.25">
      <c r="D2955">
        <f t="shared" ca="1" si="59"/>
        <v>45.773581310839624</v>
      </c>
    </row>
    <row r="2956" spans="4:4" x14ac:dyDescent="0.25">
      <c r="D2956">
        <f t="shared" ca="1" si="59"/>
        <v>54.478165399013058</v>
      </c>
    </row>
    <row r="2957" spans="4:4" x14ac:dyDescent="0.25">
      <c r="D2957">
        <f t="shared" ca="1" si="59"/>
        <v>49.593656587866938</v>
      </c>
    </row>
    <row r="2958" spans="4:4" x14ac:dyDescent="0.25">
      <c r="D2958">
        <f t="shared" ca="1" si="59"/>
        <v>45.044550584286107</v>
      </c>
    </row>
    <row r="2959" spans="4:4" x14ac:dyDescent="0.25">
      <c r="D2959">
        <f t="shared" ca="1" si="59"/>
        <v>46.702005541629845</v>
      </c>
    </row>
    <row r="2960" spans="4:4" x14ac:dyDescent="0.25">
      <c r="D2960">
        <f t="shared" ca="1" si="59"/>
        <v>45.869510982042243</v>
      </c>
    </row>
    <row r="2961" spans="4:4" x14ac:dyDescent="0.25">
      <c r="D2961">
        <f t="shared" ca="1" si="59"/>
        <v>42.942038949624695</v>
      </c>
    </row>
    <row r="2962" spans="4:4" x14ac:dyDescent="0.25">
      <c r="D2962">
        <f t="shared" ca="1" si="59"/>
        <v>48.029003179187583</v>
      </c>
    </row>
    <row r="2963" spans="4:4" x14ac:dyDescent="0.25">
      <c r="D2963">
        <f t="shared" ca="1" si="59"/>
        <v>53.227043731980075</v>
      </c>
    </row>
    <row r="2964" spans="4:4" x14ac:dyDescent="0.25">
      <c r="D2964">
        <f t="shared" ca="1" si="59"/>
        <v>57.870532881476144</v>
      </c>
    </row>
    <row r="2965" spans="4:4" x14ac:dyDescent="0.25">
      <c r="D2965">
        <f t="shared" ca="1" si="59"/>
        <v>50.296594003103408</v>
      </c>
    </row>
    <row r="2966" spans="4:4" x14ac:dyDescent="0.25">
      <c r="D2966">
        <f t="shared" ca="1" si="59"/>
        <v>45.190618626367808</v>
      </c>
    </row>
    <row r="2967" spans="4:4" x14ac:dyDescent="0.25">
      <c r="D2967">
        <f t="shared" ca="1" si="59"/>
        <v>45.259122661326444</v>
      </c>
    </row>
    <row r="2968" spans="4:4" x14ac:dyDescent="0.25">
      <c r="D2968">
        <f t="shared" ca="1" si="59"/>
        <v>46.712575270370621</v>
      </c>
    </row>
    <row r="2969" spans="4:4" x14ac:dyDescent="0.25">
      <c r="D2969">
        <f t="shared" ca="1" si="59"/>
        <v>50.374358056077575</v>
      </c>
    </row>
    <row r="2970" spans="4:4" x14ac:dyDescent="0.25">
      <c r="D2970">
        <f t="shared" ca="1" si="59"/>
        <v>45.599801771530601</v>
      </c>
    </row>
    <row r="2971" spans="4:4" x14ac:dyDescent="0.25">
      <c r="D2971">
        <f t="shared" ca="1" si="59"/>
        <v>43.494365277156653</v>
      </c>
    </row>
    <row r="2972" spans="4:4" x14ac:dyDescent="0.25">
      <c r="D2972">
        <f t="shared" ca="1" si="59"/>
        <v>45.546806848770828</v>
      </c>
    </row>
    <row r="2973" spans="4:4" x14ac:dyDescent="0.25">
      <c r="D2973">
        <f t="shared" ca="1" si="59"/>
        <v>54.870230207698548</v>
      </c>
    </row>
    <row r="2974" spans="4:4" x14ac:dyDescent="0.25">
      <c r="D2974">
        <f t="shared" ca="1" si="59"/>
        <v>45.274745949230351</v>
      </c>
    </row>
    <row r="2975" spans="4:4" x14ac:dyDescent="0.25">
      <c r="D2975">
        <f t="shared" ca="1" si="59"/>
        <v>54.171235005423284</v>
      </c>
    </row>
    <row r="2976" spans="4:4" x14ac:dyDescent="0.25">
      <c r="D2976">
        <f t="shared" ca="1" si="59"/>
        <v>48.956345698744059</v>
      </c>
    </row>
    <row r="2977" spans="4:4" x14ac:dyDescent="0.25">
      <c r="D2977">
        <f t="shared" ca="1" si="59"/>
        <v>53.960992566683487</v>
      </c>
    </row>
    <row r="2978" spans="4:4" x14ac:dyDescent="0.25">
      <c r="D2978">
        <f t="shared" ca="1" si="59"/>
        <v>51.856398432611428</v>
      </c>
    </row>
    <row r="2979" spans="4:4" x14ac:dyDescent="0.25">
      <c r="D2979">
        <f t="shared" ca="1" si="59"/>
        <v>47.235489793927279</v>
      </c>
    </row>
    <row r="2980" spans="4:4" x14ac:dyDescent="0.25">
      <c r="D2980">
        <f t="shared" ca="1" si="59"/>
        <v>53.607969996089729</v>
      </c>
    </row>
    <row r="2981" spans="4:4" x14ac:dyDescent="0.25">
      <c r="D2981">
        <f t="shared" ca="1" si="59"/>
        <v>50.138478512783358</v>
      </c>
    </row>
    <row r="2982" spans="4:4" x14ac:dyDescent="0.25">
      <c r="D2982">
        <f t="shared" ca="1" si="59"/>
        <v>51.567224145225509</v>
      </c>
    </row>
    <row r="2983" spans="4:4" x14ac:dyDescent="0.25">
      <c r="D2983">
        <f t="shared" ca="1" si="59"/>
        <v>50.360630761909526</v>
      </c>
    </row>
    <row r="2984" spans="4:4" x14ac:dyDescent="0.25">
      <c r="D2984">
        <f t="shared" ca="1" si="59"/>
        <v>47.484105771738363</v>
      </c>
    </row>
    <row r="2985" spans="4:4" x14ac:dyDescent="0.25">
      <c r="D2985">
        <f t="shared" ca="1" si="59"/>
        <v>47.940620612833705</v>
      </c>
    </row>
    <row r="2986" spans="4:4" x14ac:dyDescent="0.25">
      <c r="D2986">
        <f t="shared" ca="1" si="59"/>
        <v>49.185571126756102</v>
      </c>
    </row>
    <row r="2987" spans="4:4" x14ac:dyDescent="0.25">
      <c r="D2987">
        <f t="shared" ca="1" si="59"/>
        <v>47.800494918656995</v>
      </c>
    </row>
    <row r="2988" spans="4:4" x14ac:dyDescent="0.25">
      <c r="D2988">
        <f t="shared" ca="1" si="59"/>
        <v>48.192400796983542</v>
      </c>
    </row>
    <row r="2989" spans="4:4" x14ac:dyDescent="0.25">
      <c r="D2989">
        <f t="shared" ca="1" si="59"/>
        <v>52.122317280467911</v>
      </c>
    </row>
    <row r="2990" spans="4:4" x14ac:dyDescent="0.25">
      <c r="D2990">
        <f t="shared" ca="1" si="59"/>
        <v>53.908500698253818</v>
      </c>
    </row>
    <row r="2991" spans="4:4" x14ac:dyDescent="0.25">
      <c r="D2991">
        <f t="shared" ca="1" si="59"/>
        <v>54.967110846342905</v>
      </c>
    </row>
    <row r="2992" spans="4:4" x14ac:dyDescent="0.25">
      <c r="D2992">
        <f t="shared" ca="1" si="59"/>
        <v>49.347556933754291</v>
      </c>
    </row>
    <row r="2993" spans="4:4" x14ac:dyDescent="0.25">
      <c r="D2993">
        <f t="shared" ca="1" si="59"/>
        <v>50.202085370475707</v>
      </c>
    </row>
    <row r="2994" spans="4:4" x14ac:dyDescent="0.25">
      <c r="D2994">
        <f t="shared" ca="1" si="59"/>
        <v>48.63108194176715</v>
      </c>
    </row>
    <row r="2995" spans="4:4" x14ac:dyDescent="0.25">
      <c r="D2995">
        <f t="shared" ca="1" si="59"/>
        <v>47.075623481862173</v>
      </c>
    </row>
    <row r="2996" spans="4:4" x14ac:dyDescent="0.25">
      <c r="D2996">
        <f t="shared" ca="1" si="59"/>
        <v>40.437431862953943</v>
      </c>
    </row>
    <row r="2997" spans="4:4" x14ac:dyDescent="0.25">
      <c r="D2997">
        <f t="shared" ca="1" si="59"/>
        <v>52.665726701280903</v>
      </c>
    </row>
    <row r="2998" spans="4:4" x14ac:dyDescent="0.25">
      <c r="D2998">
        <f t="shared" ca="1" si="59"/>
        <v>51.504344262034088</v>
      </c>
    </row>
    <row r="2999" spans="4:4" x14ac:dyDescent="0.25">
      <c r="D2999">
        <f t="shared" ca="1" si="59"/>
        <v>48.096756710156079</v>
      </c>
    </row>
    <row r="3000" spans="4:4" x14ac:dyDescent="0.25">
      <c r="D3000">
        <f t="shared" ca="1" si="59"/>
        <v>49.42926838072237</v>
      </c>
    </row>
    <row r="3001" spans="4:4" x14ac:dyDescent="0.25">
      <c r="D3001">
        <f t="shared" ca="1" si="59"/>
        <v>40.527419779954855</v>
      </c>
    </row>
    <row r="3002" spans="4:4" x14ac:dyDescent="0.25">
      <c r="D3002">
        <f t="shared" ca="1" si="59"/>
        <v>46.826496094400333</v>
      </c>
    </row>
    <row r="3003" spans="4:4" x14ac:dyDescent="0.25">
      <c r="D3003">
        <f t="shared" ca="1" si="59"/>
        <v>56.173850962761435</v>
      </c>
    </row>
    <row r="3004" spans="4:4" x14ac:dyDescent="0.25">
      <c r="D3004">
        <f t="shared" ca="1" si="59"/>
        <v>46.088524250072368</v>
      </c>
    </row>
    <row r="3005" spans="4:4" x14ac:dyDescent="0.25">
      <c r="D3005">
        <f t="shared" ca="1" si="59"/>
        <v>56.604476045425862</v>
      </c>
    </row>
    <row r="3006" spans="4:4" x14ac:dyDescent="0.25">
      <c r="D3006">
        <f t="shared" ca="1" si="59"/>
        <v>46.464476799569574</v>
      </c>
    </row>
    <row r="3007" spans="4:4" x14ac:dyDescent="0.25">
      <c r="D3007">
        <f t="shared" ca="1" si="59"/>
        <v>54.399192421928419</v>
      </c>
    </row>
    <row r="3008" spans="4:4" x14ac:dyDescent="0.25">
      <c r="D3008">
        <f t="shared" ca="1" si="59"/>
        <v>42.770448825207119</v>
      </c>
    </row>
    <row r="3009" spans="4:4" x14ac:dyDescent="0.25">
      <c r="D3009">
        <f t="shared" ca="1" si="59"/>
        <v>51.416852434113579</v>
      </c>
    </row>
    <row r="3010" spans="4:4" x14ac:dyDescent="0.25">
      <c r="D3010">
        <f t="shared" ca="1" si="59"/>
        <v>47.736283634995793</v>
      </c>
    </row>
    <row r="3011" spans="4:4" x14ac:dyDescent="0.25">
      <c r="D3011">
        <f t="shared" ref="D3011:D3074" ca="1" si="60">_xlfn.T.INV(RAND(),25)*$G$3+$F$3</f>
        <v>42.553695656836993</v>
      </c>
    </row>
    <row r="3012" spans="4:4" x14ac:dyDescent="0.25">
      <c r="D3012">
        <f t="shared" ca="1" si="60"/>
        <v>47.880949055631184</v>
      </c>
    </row>
    <row r="3013" spans="4:4" x14ac:dyDescent="0.25">
      <c r="D3013">
        <f t="shared" ca="1" si="60"/>
        <v>55.433550993023665</v>
      </c>
    </row>
    <row r="3014" spans="4:4" x14ac:dyDescent="0.25">
      <c r="D3014">
        <f t="shared" ca="1" si="60"/>
        <v>51.914274673144909</v>
      </c>
    </row>
    <row r="3015" spans="4:4" x14ac:dyDescent="0.25">
      <c r="D3015">
        <f t="shared" ca="1" si="60"/>
        <v>54.891489651008236</v>
      </c>
    </row>
    <row r="3016" spans="4:4" x14ac:dyDescent="0.25">
      <c r="D3016">
        <f t="shared" ca="1" si="60"/>
        <v>46.564007736117034</v>
      </c>
    </row>
    <row r="3017" spans="4:4" x14ac:dyDescent="0.25">
      <c r="D3017">
        <f t="shared" ca="1" si="60"/>
        <v>49.383913620800563</v>
      </c>
    </row>
    <row r="3018" spans="4:4" x14ac:dyDescent="0.25">
      <c r="D3018">
        <f t="shared" ca="1" si="60"/>
        <v>47.758234349696011</v>
      </c>
    </row>
    <row r="3019" spans="4:4" x14ac:dyDescent="0.25">
      <c r="D3019">
        <f t="shared" ca="1" si="60"/>
        <v>49.843019195189996</v>
      </c>
    </row>
    <row r="3020" spans="4:4" x14ac:dyDescent="0.25">
      <c r="D3020">
        <f t="shared" ca="1" si="60"/>
        <v>42.595724359553309</v>
      </c>
    </row>
    <row r="3021" spans="4:4" x14ac:dyDescent="0.25">
      <c r="D3021">
        <f t="shared" ca="1" si="60"/>
        <v>56.517849292635667</v>
      </c>
    </row>
    <row r="3022" spans="4:4" x14ac:dyDescent="0.25">
      <c r="D3022">
        <f t="shared" ca="1" si="60"/>
        <v>47.6224167683392</v>
      </c>
    </row>
    <row r="3023" spans="4:4" x14ac:dyDescent="0.25">
      <c r="D3023">
        <f t="shared" ca="1" si="60"/>
        <v>47.093674272178703</v>
      </c>
    </row>
    <row r="3024" spans="4:4" x14ac:dyDescent="0.25">
      <c r="D3024">
        <f t="shared" ca="1" si="60"/>
        <v>55.847587185367324</v>
      </c>
    </row>
    <row r="3025" spans="4:4" x14ac:dyDescent="0.25">
      <c r="D3025">
        <f t="shared" ca="1" si="60"/>
        <v>53.56283628791428</v>
      </c>
    </row>
    <row r="3026" spans="4:4" x14ac:dyDescent="0.25">
      <c r="D3026">
        <f t="shared" ca="1" si="60"/>
        <v>45.630570124612532</v>
      </c>
    </row>
    <row r="3027" spans="4:4" x14ac:dyDescent="0.25">
      <c r="D3027">
        <f t="shared" ca="1" si="60"/>
        <v>56.261048941434822</v>
      </c>
    </row>
    <row r="3028" spans="4:4" x14ac:dyDescent="0.25">
      <c r="D3028">
        <f t="shared" ca="1" si="60"/>
        <v>49.808033478512051</v>
      </c>
    </row>
    <row r="3029" spans="4:4" x14ac:dyDescent="0.25">
      <c r="D3029">
        <f t="shared" ca="1" si="60"/>
        <v>53.718321926565835</v>
      </c>
    </row>
    <row r="3030" spans="4:4" x14ac:dyDescent="0.25">
      <c r="D3030">
        <f t="shared" ca="1" si="60"/>
        <v>39.62452844328304</v>
      </c>
    </row>
    <row r="3031" spans="4:4" x14ac:dyDescent="0.25">
      <c r="D3031">
        <f t="shared" ca="1" si="60"/>
        <v>36.555495778497232</v>
      </c>
    </row>
    <row r="3032" spans="4:4" x14ac:dyDescent="0.25">
      <c r="D3032">
        <f t="shared" ca="1" si="60"/>
        <v>45.086334349074669</v>
      </c>
    </row>
    <row r="3033" spans="4:4" x14ac:dyDescent="0.25">
      <c r="D3033">
        <f t="shared" ca="1" si="60"/>
        <v>40.151774668442876</v>
      </c>
    </row>
    <row r="3034" spans="4:4" x14ac:dyDescent="0.25">
      <c r="D3034">
        <f t="shared" ca="1" si="60"/>
        <v>49.358068734347604</v>
      </c>
    </row>
    <row r="3035" spans="4:4" x14ac:dyDescent="0.25">
      <c r="D3035">
        <f t="shared" ca="1" si="60"/>
        <v>48.371330147382835</v>
      </c>
    </row>
    <row r="3036" spans="4:4" x14ac:dyDescent="0.25">
      <c r="D3036">
        <f t="shared" ca="1" si="60"/>
        <v>55.506452334514975</v>
      </c>
    </row>
    <row r="3037" spans="4:4" x14ac:dyDescent="0.25">
      <c r="D3037">
        <f t="shared" ca="1" si="60"/>
        <v>49.276126972689582</v>
      </c>
    </row>
    <row r="3038" spans="4:4" x14ac:dyDescent="0.25">
      <c r="D3038">
        <f t="shared" ca="1" si="60"/>
        <v>50.4282378321411</v>
      </c>
    </row>
    <row r="3039" spans="4:4" x14ac:dyDescent="0.25">
      <c r="D3039">
        <f t="shared" ca="1" si="60"/>
        <v>47.589881912459845</v>
      </c>
    </row>
    <row r="3040" spans="4:4" x14ac:dyDescent="0.25">
      <c r="D3040">
        <f t="shared" ca="1" si="60"/>
        <v>50.137886901963995</v>
      </c>
    </row>
    <row r="3041" spans="4:4" x14ac:dyDescent="0.25">
      <c r="D3041">
        <f t="shared" ca="1" si="60"/>
        <v>50.466949955709325</v>
      </c>
    </row>
    <row r="3042" spans="4:4" x14ac:dyDescent="0.25">
      <c r="D3042">
        <f t="shared" ca="1" si="60"/>
        <v>56.106567251496323</v>
      </c>
    </row>
    <row r="3043" spans="4:4" x14ac:dyDescent="0.25">
      <c r="D3043">
        <f t="shared" ca="1" si="60"/>
        <v>48.650001707156299</v>
      </c>
    </row>
    <row r="3044" spans="4:4" x14ac:dyDescent="0.25">
      <c r="D3044">
        <f t="shared" ca="1" si="60"/>
        <v>42.514555990955088</v>
      </c>
    </row>
    <row r="3045" spans="4:4" x14ac:dyDescent="0.25">
      <c r="D3045">
        <f t="shared" ca="1" si="60"/>
        <v>45.176269658750094</v>
      </c>
    </row>
    <row r="3046" spans="4:4" x14ac:dyDescent="0.25">
      <c r="D3046">
        <f t="shared" ca="1" si="60"/>
        <v>45.499358027581899</v>
      </c>
    </row>
    <row r="3047" spans="4:4" x14ac:dyDescent="0.25">
      <c r="D3047">
        <f t="shared" ca="1" si="60"/>
        <v>47.332958363601747</v>
      </c>
    </row>
    <row r="3048" spans="4:4" x14ac:dyDescent="0.25">
      <c r="D3048">
        <f t="shared" ca="1" si="60"/>
        <v>51.240514987075805</v>
      </c>
    </row>
    <row r="3049" spans="4:4" x14ac:dyDescent="0.25">
      <c r="D3049">
        <f t="shared" ca="1" si="60"/>
        <v>47.218136445381631</v>
      </c>
    </row>
    <row r="3050" spans="4:4" x14ac:dyDescent="0.25">
      <c r="D3050">
        <f t="shared" ca="1" si="60"/>
        <v>59.221423466848599</v>
      </c>
    </row>
    <row r="3051" spans="4:4" x14ac:dyDescent="0.25">
      <c r="D3051">
        <f t="shared" ca="1" si="60"/>
        <v>47.789406298434145</v>
      </c>
    </row>
    <row r="3052" spans="4:4" x14ac:dyDescent="0.25">
      <c r="D3052">
        <f t="shared" ca="1" si="60"/>
        <v>48.590288794179109</v>
      </c>
    </row>
    <row r="3053" spans="4:4" x14ac:dyDescent="0.25">
      <c r="D3053">
        <f t="shared" ca="1" si="60"/>
        <v>43.61486869216813</v>
      </c>
    </row>
    <row r="3054" spans="4:4" x14ac:dyDescent="0.25">
      <c r="D3054">
        <f t="shared" ca="1" si="60"/>
        <v>48.305507053327268</v>
      </c>
    </row>
    <row r="3055" spans="4:4" x14ac:dyDescent="0.25">
      <c r="D3055">
        <f t="shared" ca="1" si="60"/>
        <v>56.829745260445485</v>
      </c>
    </row>
    <row r="3056" spans="4:4" x14ac:dyDescent="0.25">
      <c r="D3056">
        <f t="shared" ca="1" si="60"/>
        <v>47.606041755951502</v>
      </c>
    </row>
    <row r="3057" spans="4:4" x14ac:dyDescent="0.25">
      <c r="D3057">
        <f t="shared" ca="1" si="60"/>
        <v>47.005241559633426</v>
      </c>
    </row>
    <row r="3058" spans="4:4" x14ac:dyDescent="0.25">
      <c r="D3058">
        <f t="shared" ca="1" si="60"/>
        <v>52.185624948621218</v>
      </c>
    </row>
    <row r="3059" spans="4:4" x14ac:dyDescent="0.25">
      <c r="D3059">
        <f t="shared" ca="1" si="60"/>
        <v>57.735976443482912</v>
      </c>
    </row>
    <row r="3060" spans="4:4" x14ac:dyDescent="0.25">
      <c r="D3060">
        <f t="shared" ca="1" si="60"/>
        <v>40.4417675489576</v>
      </c>
    </row>
    <row r="3061" spans="4:4" x14ac:dyDescent="0.25">
      <c r="D3061">
        <f t="shared" ca="1" si="60"/>
        <v>43.341369960724549</v>
      </c>
    </row>
    <row r="3062" spans="4:4" x14ac:dyDescent="0.25">
      <c r="D3062">
        <f t="shared" ca="1" si="60"/>
        <v>47.073252268231045</v>
      </c>
    </row>
    <row r="3063" spans="4:4" x14ac:dyDescent="0.25">
      <c r="D3063">
        <f t="shared" ca="1" si="60"/>
        <v>56.912847649125183</v>
      </c>
    </row>
    <row r="3064" spans="4:4" x14ac:dyDescent="0.25">
      <c r="D3064">
        <f t="shared" ca="1" si="60"/>
        <v>55.172500315319255</v>
      </c>
    </row>
    <row r="3065" spans="4:4" x14ac:dyDescent="0.25">
      <c r="D3065">
        <f t="shared" ca="1" si="60"/>
        <v>45.024226084512527</v>
      </c>
    </row>
    <row r="3066" spans="4:4" x14ac:dyDescent="0.25">
      <c r="D3066">
        <f t="shared" ca="1" si="60"/>
        <v>38.404627464248605</v>
      </c>
    </row>
    <row r="3067" spans="4:4" x14ac:dyDescent="0.25">
      <c r="D3067">
        <f t="shared" ca="1" si="60"/>
        <v>51.395467913284101</v>
      </c>
    </row>
    <row r="3068" spans="4:4" x14ac:dyDescent="0.25">
      <c r="D3068">
        <f t="shared" ca="1" si="60"/>
        <v>52.264438102152099</v>
      </c>
    </row>
    <row r="3069" spans="4:4" x14ac:dyDescent="0.25">
      <c r="D3069">
        <f t="shared" ca="1" si="60"/>
        <v>48.046653679414852</v>
      </c>
    </row>
    <row r="3070" spans="4:4" x14ac:dyDescent="0.25">
      <c r="D3070">
        <f t="shared" ca="1" si="60"/>
        <v>51.686462586874768</v>
      </c>
    </row>
    <row r="3071" spans="4:4" x14ac:dyDescent="0.25">
      <c r="D3071">
        <f t="shared" ca="1" si="60"/>
        <v>47.671640940873679</v>
      </c>
    </row>
    <row r="3072" spans="4:4" x14ac:dyDescent="0.25">
      <c r="D3072">
        <f t="shared" ca="1" si="60"/>
        <v>48.507860237815599</v>
      </c>
    </row>
    <row r="3073" spans="4:4" x14ac:dyDescent="0.25">
      <c r="D3073">
        <f t="shared" ca="1" si="60"/>
        <v>43.408782863844003</v>
      </c>
    </row>
    <row r="3074" spans="4:4" x14ac:dyDescent="0.25">
      <c r="D3074">
        <f t="shared" ca="1" si="60"/>
        <v>49.938909375954395</v>
      </c>
    </row>
    <row r="3075" spans="4:4" x14ac:dyDescent="0.25">
      <c r="D3075">
        <f t="shared" ref="D3075:D3138" ca="1" si="61">_xlfn.T.INV(RAND(),25)*$G$3+$F$3</f>
        <v>43.794540973842565</v>
      </c>
    </row>
    <row r="3076" spans="4:4" x14ac:dyDescent="0.25">
      <c r="D3076">
        <f t="shared" ca="1" si="61"/>
        <v>54.579890916737732</v>
      </c>
    </row>
    <row r="3077" spans="4:4" x14ac:dyDescent="0.25">
      <c r="D3077">
        <f t="shared" ca="1" si="61"/>
        <v>58.262199135126984</v>
      </c>
    </row>
    <row r="3078" spans="4:4" x14ac:dyDescent="0.25">
      <c r="D3078">
        <f t="shared" ca="1" si="61"/>
        <v>45.853738238445743</v>
      </c>
    </row>
    <row r="3079" spans="4:4" x14ac:dyDescent="0.25">
      <c r="D3079">
        <f t="shared" ca="1" si="61"/>
        <v>39.244281566930965</v>
      </c>
    </row>
    <row r="3080" spans="4:4" x14ac:dyDescent="0.25">
      <c r="D3080">
        <f t="shared" ca="1" si="61"/>
        <v>43.559377206955666</v>
      </c>
    </row>
    <row r="3081" spans="4:4" x14ac:dyDescent="0.25">
      <c r="D3081">
        <f t="shared" ca="1" si="61"/>
        <v>56.076802395837404</v>
      </c>
    </row>
    <row r="3082" spans="4:4" x14ac:dyDescent="0.25">
      <c r="D3082">
        <f t="shared" ca="1" si="61"/>
        <v>41.146551065922289</v>
      </c>
    </row>
    <row r="3083" spans="4:4" x14ac:dyDescent="0.25">
      <c r="D3083">
        <f t="shared" ca="1" si="61"/>
        <v>53.017694754505669</v>
      </c>
    </row>
    <row r="3084" spans="4:4" x14ac:dyDescent="0.25">
      <c r="D3084">
        <f t="shared" ca="1" si="61"/>
        <v>52.929546972582152</v>
      </c>
    </row>
    <row r="3085" spans="4:4" x14ac:dyDescent="0.25">
      <c r="D3085">
        <f t="shared" ca="1" si="61"/>
        <v>46.991813118588539</v>
      </c>
    </row>
    <row r="3086" spans="4:4" x14ac:dyDescent="0.25">
      <c r="D3086">
        <f t="shared" ca="1" si="61"/>
        <v>50.261256562789882</v>
      </c>
    </row>
    <row r="3087" spans="4:4" x14ac:dyDescent="0.25">
      <c r="D3087">
        <f t="shared" ca="1" si="61"/>
        <v>46.195662038198947</v>
      </c>
    </row>
    <row r="3088" spans="4:4" x14ac:dyDescent="0.25">
      <c r="D3088">
        <f t="shared" ca="1" si="61"/>
        <v>47.832734387933201</v>
      </c>
    </row>
    <row r="3089" spans="4:4" x14ac:dyDescent="0.25">
      <c r="D3089">
        <f t="shared" ca="1" si="61"/>
        <v>46.957652703652847</v>
      </c>
    </row>
    <row r="3090" spans="4:4" x14ac:dyDescent="0.25">
      <c r="D3090">
        <f t="shared" ca="1" si="61"/>
        <v>47.072591526899124</v>
      </c>
    </row>
    <row r="3091" spans="4:4" x14ac:dyDescent="0.25">
      <c r="D3091">
        <f t="shared" ca="1" si="61"/>
        <v>44.344637756715649</v>
      </c>
    </row>
    <row r="3092" spans="4:4" x14ac:dyDescent="0.25">
      <c r="D3092">
        <f t="shared" ca="1" si="61"/>
        <v>48.003925981565672</v>
      </c>
    </row>
    <row r="3093" spans="4:4" x14ac:dyDescent="0.25">
      <c r="D3093">
        <f t="shared" ca="1" si="61"/>
        <v>45.908596054264862</v>
      </c>
    </row>
    <row r="3094" spans="4:4" x14ac:dyDescent="0.25">
      <c r="D3094">
        <f t="shared" ca="1" si="61"/>
        <v>47.351464623198105</v>
      </c>
    </row>
    <row r="3095" spans="4:4" x14ac:dyDescent="0.25">
      <c r="D3095">
        <f t="shared" ca="1" si="61"/>
        <v>42.415841863879855</v>
      </c>
    </row>
    <row r="3096" spans="4:4" x14ac:dyDescent="0.25">
      <c r="D3096">
        <f t="shared" ca="1" si="61"/>
        <v>43.740547349549189</v>
      </c>
    </row>
    <row r="3097" spans="4:4" x14ac:dyDescent="0.25">
      <c r="D3097">
        <f t="shared" ca="1" si="61"/>
        <v>44.512728768546552</v>
      </c>
    </row>
    <row r="3098" spans="4:4" x14ac:dyDescent="0.25">
      <c r="D3098">
        <f t="shared" ca="1" si="61"/>
        <v>43.364504703771225</v>
      </c>
    </row>
    <row r="3099" spans="4:4" x14ac:dyDescent="0.25">
      <c r="D3099">
        <f t="shared" ca="1" si="61"/>
        <v>48.185739830919019</v>
      </c>
    </row>
    <row r="3100" spans="4:4" x14ac:dyDescent="0.25">
      <c r="D3100">
        <f t="shared" ca="1" si="61"/>
        <v>46.128902414185774</v>
      </c>
    </row>
    <row r="3101" spans="4:4" x14ac:dyDescent="0.25">
      <c r="D3101">
        <f t="shared" ca="1" si="61"/>
        <v>51.410070151461362</v>
      </c>
    </row>
    <row r="3102" spans="4:4" x14ac:dyDescent="0.25">
      <c r="D3102">
        <f t="shared" ca="1" si="61"/>
        <v>52.130046386615469</v>
      </c>
    </row>
    <row r="3103" spans="4:4" x14ac:dyDescent="0.25">
      <c r="D3103">
        <f t="shared" ca="1" si="61"/>
        <v>46.414392236746352</v>
      </c>
    </row>
    <row r="3104" spans="4:4" x14ac:dyDescent="0.25">
      <c r="D3104">
        <f t="shared" ca="1" si="61"/>
        <v>47.860593384954115</v>
      </c>
    </row>
    <row r="3105" spans="4:4" x14ac:dyDescent="0.25">
      <c r="D3105">
        <f t="shared" ca="1" si="61"/>
        <v>47.253026638789187</v>
      </c>
    </row>
    <row r="3106" spans="4:4" x14ac:dyDescent="0.25">
      <c r="D3106">
        <f t="shared" ca="1" si="61"/>
        <v>48.846286870400604</v>
      </c>
    </row>
    <row r="3107" spans="4:4" x14ac:dyDescent="0.25">
      <c r="D3107">
        <f t="shared" ca="1" si="61"/>
        <v>50.75437414961381</v>
      </c>
    </row>
    <row r="3108" spans="4:4" x14ac:dyDescent="0.25">
      <c r="D3108">
        <f t="shared" ca="1" si="61"/>
        <v>50.776640212293614</v>
      </c>
    </row>
    <row r="3109" spans="4:4" x14ac:dyDescent="0.25">
      <c r="D3109">
        <f t="shared" ca="1" si="61"/>
        <v>48.798254512269665</v>
      </c>
    </row>
    <row r="3110" spans="4:4" x14ac:dyDescent="0.25">
      <c r="D3110">
        <f t="shared" ca="1" si="61"/>
        <v>47.533506561393658</v>
      </c>
    </row>
    <row r="3111" spans="4:4" x14ac:dyDescent="0.25">
      <c r="D3111">
        <f t="shared" ca="1" si="61"/>
        <v>52.708767028056158</v>
      </c>
    </row>
    <row r="3112" spans="4:4" x14ac:dyDescent="0.25">
      <c r="D3112">
        <f t="shared" ca="1" si="61"/>
        <v>52.52596690890735</v>
      </c>
    </row>
    <row r="3113" spans="4:4" x14ac:dyDescent="0.25">
      <c r="D3113">
        <f t="shared" ca="1" si="61"/>
        <v>41.932132553859169</v>
      </c>
    </row>
    <row r="3114" spans="4:4" x14ac:dyDescent="0.25">
      <c r="D3114">
        <f t="shared" ca="1" si="61"/>
        <v>50.917872537471055</v>
      </c>
    </row>
    <row r="3115" spans="4:4" x14ac:dyDescent="0.25">
      <c r="D3115">
        <f t="shared" ca="1" si="61"/>
        <v>49.41010174508034</v>
      </c>
    </row>
    <row r="3116" spans="4:4" x14ac:dyDescent="0.25">
      <c r="D3116">
        <f t="shared" ca="1" si="61"/>
        <v>44.55356151431603</v>
      </c>
    </row>
    <row r="3117" spans="4:4" x14ac:dyDescent="0.25">
      <c r="D3117">
        <f t="shared" ca="1" si="61"/>
        <v>58.764387796933079</v>
      </c>
    </row>
    <row r="3118" spans="4:4" x14ac:dyDescent="0.25">
      <c r="D3118">
        <f t="shared" ca="1" si="61"/>
        <v>46.74029967241033</v>
      </c>
    </row>
    <row r="3119" spans="4:4" x14ac:dyDescent="0.25">
      <c r="D3119">
        <f t="shared" ca="1" si="61"/>
        <v>51.440291053909583</v>
      </c>
    </row>
    <row r="3120" spans="4:4" x14ac:dyDescent="0.25">
      <c r="D3120">
        <f t="shared" ca="1" si="61"/>
        <v>54.222028983200865</v>
      </c>
    </row>
    <row r="3121" spans="4:4" x14ac:dyDescent="0.25">
      <c r="D3121">
        <f t="shared" ca="1" si="61"/>
        <v>47.574675616729017</v>
      </c>
    </row>
    <row r="3122" spans="4:4" x14ac:dyDescent="0.25">
      <c r="D3122">
        <f t="shared" ca="1" si="61"/>
        <v>55.696382618093267</v>
      </c>
    </row>
    <row r="3123" spans="4:4" x14ac:dyDescent="0.25">
      <c r="D3123">
        <f t="shared" ca="1" si="61"/>
        <v>45.859895273623167</v>
      </c>
    </row>
    <row r="3124" spans="4:4" x14ac:dyDescent="0.25">
      <c r="D3124">
        <f t="shared" ca="1" si="61"/>
        <v>56.02806465826319</v>
      </c>
    </row>
    <row r="3125" spans="4:4" x14ac:dyDescent="0.25">
      <c r="D3125">
        <f t="shared" ca="1" si="61"/>
        <v>53.21444302198649</v>
      </c>
    </row>
    <row r="3126" spans="4:4" x14ac:dyDescent="0.25">
      <c r="D3126">
        <f t="shared" ca="1" si="61"/>
        <v>40.120264809106246</v>
      </c>
    </row>
    <row r="3127" spans="4:4" x14ac:dyDescent="0.25">
      <c r="D3127">
        <f t="shared" ca="1" si="61"/>
        <v>48.947009047957501</v>
      </c>
    </row>
    <row r="3128" spans="4:4" x14ac:dyDescent="0.25">
      <c r="D3128">
        <f t="shared" ca="1" si="61"/>
        <v>40.16074739239378</v>
      </c>
    </row>
    <row r="3129" spans="4:4" x14ac:dyDescent="0.25">
      <c r="D3129">
        <f t="shared" ca="1" si="61"/>
        <v>50.868919159569089</v>
      </c>
    </row>
    <row r="3130" spans="4:4" x14ac:dyDescent="0.25">
      <c r="D3130">
        <f t="shared" ca="1" si="61"/>
        <v>48.62600865322284</v>
      </c>
    </row>
    <row r="3131" spans="4:4" x14ac:dyDescent="0.25">
      <c r="D3131">
        <f t="shared" ca="1" si="61"/>
        <v>47.738473769795341</v>
      </c>
    </row>
    <row r="3132" spans="4:4" x14ac:dyDescent="0.25">
      <c r="D3132">
        <f t="shared" ca="1" si="61"/>
        <v>48.130685507856512</v>
      </c>
    </row>
    <row r="3133" spans="4:4" x14ac:dyDescent="0.25">
      <c r="D3133">
        <f t="shared" ca="1" si="61"/>
        <v>50.430252797974909</v>
      </c>
    </row>
    <row r="3134" spans="4:4" x14ac:dyDescent="0.25">
      <c r="D3134">
        <f t="shared" ca="1" si="61"/>
        <v>45.60237537131696</v>
      </c>
    </row>
    <row r="3135" spans="4:4" x14ac:dyDescent="0.25">
      <c r="D3135">
        <f t="shared" ca="1" si="61"/>
        <v>51.471284524505187</v>
      </c>
    </row>
    <row r="3136" spans="4:4" x14ac:dyDescent="0.25">
      <c r="D3136">
        <f t="shared" ca="1" si="61"/>
        <v>51.916520224373556</v>
      </c>
    </row>
    <row r="3137" spans="4:4" x14ac:dyDescent="0.25">
      <c r="D3137">
        <f t="shared" ca="1" si="61"/>
        <v>51.793789100713141</v>
      </c>
    </row>
    <row r="3138" spans="4:4" x14ac:dyDescent="0.25">
      <c r="D3138">
        <f t="shared" ca="1" si="61"/>
        <v>51.796956850680566</v>
      </c>
    </row>
    <row r="3139" spans="4:4" x14ac:dyDescent="0.25">
      <c r="D3139">
        <f t="shared" ref="D3139:D3202" ca="1" si="62">_xlfn.T.INV(RAND(),25)*$G$3+$F$3</f>
        <v>52.787636559966849</v>
      </c>
    </row>
    <row r="3140" spans="4:4" x14ac:dyDescent="0.25">
      <c r="D3140">
        <f t="shared" ca="1" si="62"/>
        <v>51.444066815270737</v>
      </c>
    </row>
    <row r="3141" spans="4:4" x14ac:dyDescent="0.25">
      <c r="D3141">
        <f t="shared" ca="1" si="62"/>
        <v>49.215047620281503</v>
      </c>
    </row>
    <row r="3142" spans="4:4" x14ac:dyDescent="0.25">
      <c r="D3142">
        <f t="shared" ca="1" si="62"/>
        <v>48.162605313349374</v>
      </c>
    </row>
    <row r="3143" spans="4:4" x14ac:dyDescent="0.25">
      <c r="D3143">
        <f t="shared" ca="1" si="62"/>
        <v>47.60448164889749</v>
      </c>
    </row>
    <row r="3144" spans="4:4" x14ac:dyDescent="0.25">
      <c r="D3144">
        <f t="shared" ca="1" si="62"/>
        <v>54.435216684292094</v>
      </c>
    </row>
    <row r="3145" spans="4:4" x14ac:dyDescent="0.25">
      <c r="D3145">
        <f t="shared" ca="1" si="62"/>
        <v>48.592708250830157</v>
      </c>
    </row>
    <row r="3146" spans="4:4" x14ac:dyDescent="0.25">
      <c r="D3146">
        <f t="shared" ca="1" si="62"/>
        <v>44.774532996309212</v>
      </c>
    </row>
    <row r="3147" spans="4:4" x14ac:dyDescent="0.25">
      <c r="D3147">
        <f t="shared" ca="1" si="62"/>
        <v>43.605631657386581</v>
      </c>
    </row>
    <row r="3148" spans="4:4" x14ac:dyDescent="0.25">
      <c r="D3148">
        <f t="shared" ca="1" si="62"/>
        <v>46.153597724248456</v>
      </c>
    </row>
    <row r="3149" spans="4:4" x14ac:dyDescent="0.25">
      <c r="D3149">
        <f t="shared" ca="1" si="62"/>
        <v>48.279742146246569</v>
      </c>
    </row>
    <row r="3150" spans="4:4" x14ac:dyDescent="0.25">
      <c r="D3150">
        <f t="shared" ca="1" si="62"/>
        <v>50.758346820288899</v>
      </c>
    </row>
    <row r="3151" spans="4:4" x14ac:dyDescent="0.25">
      <c r="D3151">
        <f t="shared" ca="1" si="62"/>
        <v>46.356002049873879</v>
      </c>
    </row>
    <row r="3152" spans="4:4" x14ac:dyDescent="0.25">
      <c r="D3152">
        <f t="shared" ca="1" si="62"/>
        <v>49.014790811304245</v>
      </c>
    </row>
    <row r="3153" spans="4:4" x14ac:dyDescent="0.25">
      <c r="D3153">
        <f t="shared" ca="1" si="62"/>
        <v>47.15877802990294</v>
      </c>
    </row>
    <row r="3154" spans="4:4" x14ac:dyDescent="0.25">
      <c r="D3154">
        <f t="shared" ca="1" si="62"/>
        <v>51.600535412563559</v>
      </c>
    </row>
    <row r="3155" spans="4:4" x14ac:dyDescent="0.25">
      <c r="D3155">
        <f t="shared" ca="1" si="62"/>
        <v>51.39583618026024</v>
      </c>
    </row>
    <row r="3156" spans="4:4" x14ac:dyDescent="0.25">
      <c r="D3156">
        <f t="shared" ca="1" si="62"/>
        <v>34.197138185257273</v>
      </c>
    </row>
    <row r="3157" spans="4:4" x14ac:dyDescent="0.25">
      <c r="D3157">
        <f t="shared" ca="1" si="62"/>
        <v>42.227950944080177</v>
      </c>
    </row>
    <row r="3158" spans="4:4" x14ac:dyDescent="0.25">
      <c r="D3158">
        <f t="shared" ca="1" si="62"/>
        <v>44.242005633233397</v>
      </c>
    </row>
    <row r="3159" spans="4:4" x14ac:dyDescent="0.25">
      <c r="D3159">
        <f t="shared" ca="1" si="62"/>
        <v>46.968467160443616</v>
      </c>
    </row>
    <row r="3160" spans="4:4" x14ac:dyDescent="0.25">
      <c r="D3160">
        <f t="shared" ca="1" si="62"/>
        <v>44.584289993442255</v>
      </c>
    </row>
    <row r="3161" spans="4:4" x14ac:dyDescent="0.25">
      <c r="D3161">
        <f t="shared" ca="1" si="62"/>
        <v>44.858605061541354</v>
      </c>
    </row>
    <row r="3162" spans="4:4" x14ac:dyDescent="0.25">
      <c r="D3162">
        <f t="shared" ca="1" si="62"/>
        <v>47.272590628883279</v>
      </c>
    </row>
    <row r="3163" spans="4:4" x14ac:dyDescent="0.25">
      <c r="D3163">
        <f t="shared" ca="1" si="62"/>
        <v>46.563549093037309</v>
      </c>
    </row>
    <row r="3164" spans="4:4" x14ac:dyDescent="0.25">
      <c r="D3164">
        <f t="shared" ca="1" si="62"/>
        <v>50.412941833492887</v>
      </c>
    </row>
    <row r="3165" spans="4:4" x14ac:dyDescent="0.25">
      <c r="D3165">
        <f t="shared" ca="1" si="62"/>
        <v>50.475596982159523</v>
      </c>
    </row>
    <row r="3166" spans="4:4" x14ac:dyDescent="0.25">
      <c r="D3166">
        <f t="shared" ca="1" si="62"/>
        <v>47.289453258708001</v>
      </c>
    </row>
    <row r="3167" spans="4:4" x14ac:dyDescent="0.25">
      <c r="D3167">
        <f t="shared" ca="1" si="62"/>
        <v>55.683210817655784</v>
      </c>
    </row>
    <row r="3168" spans="4:4" x14ac:dyDescent="0.25">
      <c r="D3168">
        <f t="shared" ca="1" si="62"/>
        <v>49.405690703362602</v>
      </c>
    </row>
    <row r="3169" spans="4:4" x14ac:dyDescent="0.25">
      <c r="D3169">
        <f t="shared" ca="1" si="62"/>
        <v>58.452584861635849</v>
      </c>
    </row>
    <row r="3170" spans="4:4" x14ac:dyDescent="0.25">
      <c r="D3170">
        <f t="shared" ca="1" si="62"/>
        <v>44.632550025423811</v>
      </c>
    </row>
    <row r="3171" spans="4:4" x14ac:dyDescent="0.25">
      <c r="D3171">
        <f t="shared" ca="1" si="62"/>
        <v>41.280788057529705</v>
      </c>
    </row>
    <row r="3172" spans="4:4" x14ac:dyDescent="0.25">
      <c r="D3172">
        <f t="shared" ca="1" si="62"/>
        <v>50.835386732332324</v>
      </c>
    </row>
    <row r="3173" spans="4:4" x14ac:dyDescent="0.25">
      <c r="D3173">
        <f t="shared" ca="1" si="62"/>
        <v>53.319104564598199</v>
      </c>
    </row>
    <row r="3174" spans="4:4" x14ac:dyDescent="0.25">
      <c r="D3174">
        <f t="shared" ca="1" si="62"/>
        <v>55.530131759280835</v>
      </c>
    </row>
    <row r="3175" spans="4:4" x14ac:dyDescent="0.25">
      <c r="D3175">
        <f t="shared" ca="1" si="62"/>
        <v>51.600813897765917</v>
      </c>
    </row>
    <row r="3176" spans="4:4" x14ac:dyDescent="0.25">
      <c r="D3176">
        <f t="shared" ca="1" si="62"/>
        <v>47.097139899469475</v>
      </c>
    </row>
    <row r="3177" spans="4:4" x14ac:dyDescent="0.25">
      <c r="D3177">
        <f t="shared" ca="1" si="62"/>
        <v>49.416702334827846</v>
      </c>
    </row>
    <row r="3178" spans="4:4" x14ac:dyDescent="0.25">
      <c r="D3178">
        <f t="shared" ca="1" si="62"/>
        <v>50.905238660756439</v>
      </c>
    </row>
    <row r="3179" spans="4:4" x14ac:dyDescent="0.25">
      <c r="D3179">
        <f t="shared" ca="1" si="62"/>
        <v>52.612845886676652</v>
      </c>
    </row>
    <row r="3180" spans="4:4" x14ac:dyDescent="0.25">
      <c r="D3180">
        <f t="shared" ca="1" si="62"/>
        <v>54.446131779880034</v>
      </c>
    </row>
    <row r="3181" spans="4:4" x14ac:dyDescent="0.25">
      <c r="D3181">
        <f t="shared" ca="1" si="62"/>
        <v>50.44478696694501</v>
      </c>
    </row>
    <row r="3182" spans="4:4" x14ac:dyDescent="0.25">
      <c r="D3182">
        <f t="shared" ca="1" si="62"/>
        <v>53.751861505544753</v>
      </c>
    </row>
    <row r="3183" spans="4:4" x14ac:dyDescent="0.25">
      <c r="D3183">
        <f t="shared" ca="1" si="62"/>
        <v>47.501861535601471</v>
      </c>
    </row>
    <row r="3184" spans="4:4" x14ac:dyDescent="0.25">
      <c r="D3184">
        <f t="shared" ca="1" si="62"/>
        <v>53.884955391698099</v>
      </c>
    </row>
    <row r="3185" spans="4:4" x14ac:dyDescent="0.25">
      <c r="D3185">
        <f t="shared" ca="1" si="62"/>
        <v>47.700603950648571</v>
      </c>
    </row>
    <row r="3186" spans="4:4" x14ac:dyDescent="0.25">
      <c r="D3186">
        <f t="shared" ca="1" si="62"/>
        <v>41.904599658971243</v>
      </c>
    </row>
    <row r="3187" spans="4:4" x14ac:dyDescent="0.25">
      <c r="D3187">
        <f t="shared" ca="1" si="62"/>
        <v>43.865887049165593</v>
      </c>
    </row>
    <row r="3188" spans="4:4" x14ac:dyDescent="0.25">
      <c r="D3188">
        <f t="shared" ca="1" si="62"/>
        <v>49.378830704622345</v>
      </c>
    </row>
    <row r="3189" spans="4:4" x14ac:dyDescent="0.25">
      <c r="D3189">
        <f t="shared" ca="1" si="62"/>
        <v>47.846989175396573</v>
      </c>
    </row>
    <row r="3190" spans="4:4" x14ac:dyDescent="0.25">
      <c r="D3190">
        <f t="shared" ca="1" si="62"/>
        <v>45.44944142136638</v>
      </c>
    </row>
    <row r="3191" spans="4:4" x14ac:dyDescent="0.25">
      <c r="D3191">
        <f t="shared" ca="1" si="62"/>
        <v>42.652031486242159</v>
      </c>
    </row>
    <row r="3192" spans="4:4" x14ac:dyDescent="0.25">
      <c r="D3192">
        <f t="shared" ca="1" si="62"/>
        <v>52.771625084933433</v>
      </c>
    </row>
    <row r="3193" spans="4:4" x14ac:dyDescent="0.25">
      <c r="D3193">
        <f t="shared" ca="1" si="62"/>
        <v>61.955047160205048</v>
      </c>
    </row>
    <row r="3194" spans="4:4" x14ac:dyDescent="0.25">
      <c r="D3194">
        <f t="shared" ca="1" si="62"/>
        <v>54.983045721584389</v>
      </c>
    </row>
    <row r="3195" spans="4:4" x14ac:dyDescent="0.25">
      <c r="D3195">
        <f t="shared" ca="1" si="62"/>
        <v>53.403024041446322</v>
      </c>
    </row>
    <row r="3196" spans="4:4" x14ac:dyDescent="0.25">
      <c r="D3196">
        <f t="shared" ca="1" si="62"/>
        <v>37.021080697115167</v>
      </c>
    </row>
    <row r="3197" spans="4:4" x14ac:dyDescent="0.25">
      <c r="D3197">
        <f t="shared" ca="1" si="62"/>
        <v>48.237476699599647</v>
      </c>
    </row>
    <row r="3198" spans="4:4" x14ac:dyDescent="0.25">
      <c r="D3198">
        <f t="shared" ca="1" si="62"/>
        <v>52.423686561812779</v>
      </c>
    </row>
    <row r="3199" spans="4:4" x14ac:dyDescent="0.25">
      <c r="D3199">
        <f t="shared" ca="1" si="62"/>
        <v>46.509449651543036</v>
      </c>
    </row>
    <row r="3200" spans="4:4" x14ac:dyDescent="0.25">
      <c r="D3200">
        <f t="shared" ca="1" si="62"/>
        <v>50.598069164164343</v>
      </c>
    </row>
    <row r="3201" spans="4:4" x14ac:dyDescent="0.25">
      <c r="D3201">
        <f t="shared" ca="1" si="62"/>
        <v>44.519336051449791</v>
      </c>
    </row>
    <row r="3202" spans="4:4" x14ac:dyDescent="0.25">
      <c r="D3202">
        <f t="shared" ca="1" si="62"/>
        <v>47.25564755262775</v>
      </c>
    </row>
    <row r="3203" spans="4:4" x14ac:dyDescent="0.25">
      <c r="D3203">
        <f t="shared" ref="D3203:D3266" ca="1" si="63">_xlfn.T.INV(RAND(),25)*$G$3+$F$3</f>
        <v>51.780406575816897</v>
      </c>
    </row>
    <row r="3204" spans="4:4" x14ac:dyDescent="0.25">
      <c r="D3204">
        <f t="shared" ca="1" si="63"/>
        <v>50.773290356484019</v>
      </c>
    </row>
    <row r="3205" spans="4:4" x14ac:dyDescent="0.25">
      <c r="D3205">
        <f t="shared" ca="1" si="63"/>
        <v>47.290623853511619</v>
      </c>
    </row>
    <row r="3206" spans="4:4" x14ac:dyDescent="0.25">
      <c r="D3206">
        <f t="shared" ca="1" si="63"/>
        <v>55.770387168288558</v>
      </c>
    </row>
    <row r="3207" spans="4:4" x14ac:dyDescent="0.25">
      <c r="D3207">
        <f t="shared" ca="1" si="63"/>
        <v>52.435748870808588</v>
      </c>
    </row>
    <row r="3208" spans="4:4" x14ac:dyDescent="0.25">
      <c r="D3208">
        <f t="shared" ca="1" si="63"/>
        <v>52.280280967408977</v>
      </c>
    </row>
    <row r="3209" spans="4:4" x14ac:dyDescent="0.25">
      <c r="D3209">
        <f t="shared" ca="1" si="63"/>
        <v>50.152314643814016</v>
      </c>
    </row>
    <row r="3210" spans="4:4" x14ac:dyDescent="0.25">
      <c r="D3210">
        <f t="shared" ca="1" si="63"/>
        <v>53.27831702305236</v>
      </c>
    </row>
    <row r="3211" spans="4:4" x14ac:dyDescent="0.25">
      <c r="D3211">
        <f t="shared" ca="1" si="63"/>
        <v>50.262080690564382</v>
      </c>
    </row>
    <row r="3212" spans="4:4" x14ac:dyDescent="0.25">
      <c r="D3212">
        <f t="shared" ca="1" si="63"/>
        <v>47.306418027917111</v>
      </c>
    </row>
    <row r="3213" spans="4:4" x14ac:dyDescent="0.25">
      <c r="D3213">
        <f t="shared" ca="1" si="63"/>
        <v>56.776220380311486</v>
      </c>
    </row>
    <row r="3214" spans="4:4" x14ac:dyDescent="0.25">
      <c r="D3214">
        <f t="shared" ca="1" si="63"/>
        <v>50.758507146376267</v>
      </c>
    </row>
    <row r="3215" spans="4:4" x14ac:dyDescent="0.25">
      <c r="D3215">
        <f t="shared" ca="1" si="63"/>
        <v>49.469507172203201</v>
      </c>
    </row>
    <row r="3216" spans="4:4" x14ac:dyDescent="0.25">
      <c r="D3216">
        <f t="shared" ca="1" si="63"/>
        <v>52.213895981770776</v>
      </c>
    </row>
    <row r="3217" spans="4:4" x14ac:dyDescent="0.25">
      <c r="D3217">
        <f t="shared" ca="1" si="63"/>
        <v>54.657545900165161</v>
      </c>
    </row>
    <row r="3218" spans="4:4" x14ac:dyDescent="0.25">
      <c r="D3218">
        <f t="shared" ca="1" si="63"/>
        <v>47.017876919520326</v>
      </c>
    </row>
    <row r="3219" spans="4:4" x14ac:dyDescent="0.25">
      <c r="D3219">
        <f t="shared" ca="1" si="63"/>
        <v>48.082157263328867</v>
      </c>
    </row>
    <row r="3220" spans="4:4" x14ac:dyDescent="0.25">
      <c r="D3220">
        <f t="shared" ca="1" si="63"/>
        <v>52.971209884754934</v>
      </c>
    </row>
    <row r="3221" spans="4:4" x14ac:dyDescent="0.25">
      <c r="D3221">
        <f t="shared" ca="1" si="63"/>
        <v>47.58862539477844</v>
      </c>
    </row>
    <row r="3222" spans="4:4" x14ac:dyDescent="0.25">
      <c r="D3222">
        <f t="shared" ca="1" si="63"/>
        <v>38.541079649170904</v>
      </c>
    </row>
    <row r="3223" spans="4:4" x14ac:dyDescent="0.25">
      <c r="D3223">
        <f t="shared" ca="1" si="63"/>
        <v>46.547997070412165</v>
      </c>
    </row>
    <row r="3224" spans="4:4" x14ac:dyDescent="0.25">
      <c r="D3224">
        <f t="shared" ca="1" si="63"/>
        <v>50.654466783904653</v>
      </c>
    </row>
    <row r="3225" spans="4:4" x14ac:dyDescent="0.25">
      <c r="D3225">
        <f t="shared" ca="1" si="63"/>
        <v>54.152536294541143</v>
      </c>
    </row>
    <row r="3226" spans="4:4" x14ac:dyDescent="0.25">
      <c r="D3226">
        <f t="shared" ca="1" si="63"/>
        <v>52.724354025530907</v>
      </c>
    </row>
    <row r="3227" spans="4:4" x14ac:dyDescent="0.25">
      <c r="D3227">
        <f t="shared" ca="1" si="63"/>
        <v>54.428242087968428</v>
      </c>
    </row>
    <row r="3228" spans="4:4" x14ac:dyDescent="0.25">
      <c r="D3228">
        <f t="shared" ca="1" si="63"/>
        <v>50.757229971365469</v>
      </c>
    </row>
    <row r="3229" spans="4:4" x14ac:dyDescent="0.25">
      <c r="D3229">
        <f t="shared" ca="1" si="63"/>
        <v>46.580491694294075</v>
      </c>
    </row>
    <row r="3230" spans="4:4" x14ac:dyDescent="0.25">
      <c r="D3230">
        <f t="shared" ca="1" si="63"/>
        <v>50.744253869151549</v>
      </c>
    </row>
    <row r="3231" spans="4:4" x14ac:dyDescent="0.25">
      <c r="D3231">
        <f t="shared" ca="1" si="63"/>
        <v>45.053714316323493</v>
      </c>
    </row>
    <row r="3232" spans="4:4" x14ac:dyDescent="0.25">
      <c r="D3232">
        <f t="shared" ca="1" si="63"/>
        <v>56.184181920615188</v>
      </c>
    </row>
    <row r="3233" spans="4:4" x14ac:dyDescent="0.25">
      <c r="D3233">
        <f t="shared" ca="1" si="63"/>
        <v>58.576841855535797</v>
      </c>
    </row>
    <row r="3234" spans="4:4" x14ac:dyDescent="0.25">
      <c r="D3234">
        <f t="shared" ca="1" si="63"/>
        <v>46.463992514034565</v>
      </c>
    </row>
    <row r="3235" spans="4:4" x14ac:dyDescent="0.25">
      <c r="D3235">
        <f t="shared" ca="1" si="63"/>
        <v>43.178887476625775</v>
      </c>
    </row>
    <row r="3236" spans="4:4" x14ac:dyDescent="0.25">
      <c r="D3236">
        <f t="shared" ca="1" si="63"/>
        <v>53.193309618217114</v>
      </c>
    </row>
    <row r="3237" spans="4:4" x14ac:dyDescent="0.25">
      <c r="D3237">
        <f t="shared" ca="1" si="63"/>
        <v>51.472242928875346</v>
      </c>
    </row>
    <row r="3238" spans="4:4" x14ac:dyDescent="0.25">
      <c r="D3238">
        <f t="shared" ca="1" si="63"/>
        <v>51.119999577759593</v>
      </c>
    </row>
    <row r="3239" spans="4:4" x14ac:dyDescent="0.25">
      <c r="D3239">
        <f t="shared" ca="1" si="63"/>
        <v>54.259158399972861</v>
      </c>
    </row>
    <row r="3240" spans="4:4" x14ac:dyDescent="0.25">
      <c r="D3240">
        <f t="shared" ca="1" si="63"/>
        <v>36.283518514873975</v>
      </c>
    </row>
    <row r="3241" spans="4:4" x14ac:dyDescent="0.25">
      <c r="D3241">
        <f t="shared" ca="1" si="63"/>
        <v>48.337602008046247</v>
      </c>
    </row>
    <row r="3242" spans="4:4" x14ac:dyDescent="0.25">
      <c r="D3242">
        <f t="shared" ca="1" si="63"/>
        <v>55.657024957922971</v>
      </c>
    </row>
    <row r="3243" spans="4:4" x14ac:dyDescent="0.25">
      <c r="D3243">
        <f t="shared" ca="1" si="63"/>
        <v>58.372856533135455</v>
      </c>
    </row>
    <row r="3244" spans="4:4" x14ac:dyDescent="0.25">
      <c r="D3244">
        <f t="shared" ca="1" si="63"/>
        <v>59.923788211462821</v>
      </c>
    </row>
    <row r="3245" spans="4:4" x14ac:dyDescent="0.25">
      <c r="D3245">
        <f t="shared" ca="1" si="63"/>
        <v>51.585230370667041</v>
      </c>
    </row>
    <row r="3246" spans="4:4" x14ac:dyDescent="0.25">
      <c r="D3246">
        <f t="shared" ca="1" si="63"/>
        <v>50.78639385770245</v>
      </c>
    </row>
    <row r="3247" spans="4:4" x14ac:dyDescent="0.25">
      <c r="D3247">
        <f t="shared" ca="1" si="63"/>
        <v>47.475829446381141</v>
      </c>
    </row>
    <row r="3248" spans="4:4" x14ac:dyDescent="0.25">
      <c r="D3248">
        <f t="shared" ca="1" si="63"/>
        <v>51.379325387281156</v>
      </c>
    </row>
    <row r="3249" spans="4:4" x14ac:dyDescent="0.25">
      <c r="D3249">
        <f t="shared" ca="1" si="63"/>
        <v>48.033926615052678</v>
      </c>
    </row>
    <row r="3250" spans="4:4" x14ac:dyDescent="0.25">
      <c r="D3250">
        <f t="shared" ca="1" si="63"/>
        <v>58.389923377170604</v>
      </c>
    </row>
    <row r="3251" spans="4:4" x14ac:dyDescent="0.25">
      <c r="D3251">
        <f t="shared" ca="1" si="63"/>
        <v>46.523619211822165</v>
      </c>
    </row>
    <row r="3252" spans="4:4" x14ac:dyDescent="0.25">
      <c r="D3252">
        <f t="shared" ca="1" si="63"/>
        <v>50.749392339221153</v>
      </c>
    </row>
    <row r="3253" spans="4:4" x14ac:dyDescent="0.25">
      <c r="D3253">
        <f t="shared" ca="1" si="63"/>
        <v>53.784611297786888</v>
      </c>
    </row>
    <row r="3254" spans="4:4" x14ac:dyDescent="0.25">
      <c r="D3254">
        <f t="shared" ca="1" si="63"/>
        <v>48.296929760488283</v>
      </c>
    </row>
    <row r="3255" spans="4:4" x14ac:dyDescent="0.25">
      <c r="D3255">
        <f t="shared" ca="1" si="63"/>
        <v>50.897019713233192</v>
      </c>
    </row>
    <row r="3256" spans="4:4" x14ac:dyDescent="0.25">
      <c r="D3256">
        <f t="shared" ca="1" si="63"/>
        <v>40.133749381991407</v>
      </c>
    </row>
    <row r="3257" spans="4:4" x14ac:dyDescent="0.25">
      <c r="D3257">
        <f t="shared" ca="1" si="63"/>
        <v>46.36208504573159</v>
      </c>
    </row>
    <row r="3258" spans="4:4" x14ac:dyDescent="0.25">
      <c r="D3258">
        <f t="shared" ca="1" si="63"/>
        <v>46.512219168921611</v>
      </c>
    </row>
    <row r="3259" spans="4:4" x14ac:dyDescent="0.25">
      <c r="D3259">
        <f t="shared" ca="1" si="63"/>
        <v>46.505281740581459</v>
      </c>
    </row>
    <row r="3260" spans="4:4" x14ac:dyDescent="0.25">
      <c r="D3260">
        <f t="shared" ca="1" si="63"/>
        <v>48.81926645586708</v>
      </c>
    </row>
    <row r="3261" spans="4:4" x14ac:dyDescent="0.25">
      <c r="D3261">
        <f t="shared" ca="1" si="63"/>
        <v>46.236166388259583</v>
      </c>
    </row>
    <row r="3262" spans="4:4" x14ac:dyDescent="0.25">
      <c r="D3262">
        <f t="shared" ca="1" si="63"/>
        <v>50.909309477527906</v>
      </c>
    </row>
    <row r="3263" spans="4:4" x14ac:dyDescent="0.25">
      <c r="D3263">
        <f t="shared" ca="1" si="63"/>
        <v>43.10079285093407</v>
      </c>
    </row>
    <row r="3264" spans="4:4" x14ac:dyDescent="0.25">
      <c r="D3264">
        <f t="shared" ca="1" si="63"/>
        <v>44.764597526181063</v>
      </c>
    </row>
    <row r="3265" spans="4:4" x14ac:dyDescent="0.25">
      <c r="D3265">
        <f t="shared" ca="1" si="63"/>
        <v>41.688541507647862</v>
      </c>
    </row>
    <row r="3266" spans="4:4" x14ac:dyDescent="0.25">
      <c r="D3266">
        <f t="shared" ca="1" si="63"/>
        <v>50.442611735019554</v>
      </c>
    </row>
    <row r="3267" spans="4:4" x14ac:dyDescent="0.25">
      <c r="D3267">
        <f t="shared" ref="D3267:D3330" ca="1" si="64">_xlfn.T.INV(RAND(),25)*$G$3+$F$3</f>
        <v>46.163123337654596</v>
      </c>
    </row>
    <row r="3268" spans="4:4" x14ac:dyDescent="0.25">
      <c r="D3268">
        <f t="shared" ca="1" si="64"/>
        <v>47.509982775346771</v>
      </c>
    </row>
    <row r="3269" spans="4:4" x14ac:dyDescent="0.25">
      <c r="D3269">
        <f t="shared" ca="1" si="64"/>
        <v>52.125817715304208</v>
      </c>
    </row>
    <row r="3270" spans="4:4" x14ac:dyDescent="0.25">
      <c r="D3270">
        <f t="shared" ca="1" si="64"/>
        <v>49.859371294567431</v>
      </c>
    </row>
    <row r="3271" spans="4:4" x14ac:dyDescent="0.25">
      <c r="D3271">
        <f t="shared" ca="1" si="64"/>
        <v>49.575689690716224</v>
      </c>
    </row>
    <row r="3272" spans="4:4" x14ac:dyDescent="0.25">
      <c r="D3272">
        <f t="shared" ca="1" si="64"/>
        <v>54.439678977374818</v>
      </c>
    </row>
    <row r="3273" spans="4:4" x14ac:dyDescent="0.25">
      <c r="D3273">
        <f t="shared" ca="1" si="64"/>
        <v>38.656352258819744</v>
      </c>
    </row>
    <row r="3274" spans="4:4" x14ac:dyDescent="0.25">
      <c r="D3274">
        <f t="shared" ca="1" si="64"/>
        <v>53.452744588829624</v>
      </c>
    </row>
    <row r="3275" spans="4:4" x14ac:dyDescent="0.25">
      <c r="D3275">
        <f t="shared" ca="1" si="64"/>
        <v>54.661080438075608</v>
      </c>
    </row>
    <row r="3276" spans="4:4" x14ac:dyDescent="0.25">
      <c r="D3276">
        <f t="shared" ca="1" si="64"/>
        <v>44.60547964593588</v>
      </c>
    </row>
    <row r="3277" spans="4:4" x14ac:dyDescent="0.25">
      <c r="D3277">
        <f t="shared" ca="1" si="64"/>
        <v>49.66302651712769</v>
      </c>
    </row>
    <row r="3278" spans="4:4" x14ac:dyDescent="0.25">
      <c r="D3278">
        <f t="shared" ca="1" si="64"/>
        <v>50.85400444502401</v>
      </c>
    </row>
    <row r="3279" spans="4:4" x14ac:dyDescent="0.25">
      <c r="D3279">
        <f t="shared" ca="1" si="64"/>
        <v>54.328266284654902</v>
      </c>
    </row>
    <row r="3280" spans="4:4" x14ac:dyDescent="0.25">
      <c r="D3280">
        <f t="shared" ca="1" si="64"/>
        <v>53.056985350980632</v>
      </c>
    </row>
    <row r="3281" spans="4:4" x14ac:dyDescent="0.25">
      <c r="D3281">
        <f t="shared" ca="1" si="64"/>
        <v>53.437083783602127</v>
      </c>
    </row>
    <row r="3282" spans="4:4" x14ac:dyDescent="0.25">
      <c r="D3282">
        <f t="shared" ca="1" si="64"/>
        <v>55.004354024771501</v>
      </c>
    </row>
    <row r="3283" spans="4:4" x14ac:dyDescent="0.25">
      <c r="D3283">
        <f t="shared" ca="1" si="64"/>
        <v>47.422563311860166</v>
      </c>
    </row>
    <row r="3284" spans="4:4" x14ac:dyDescent="0.25">
      <c r="D3284">
        <f t="shared" ca="1" si="64"/>
        <v>50.840937949935025</v>
      </c>
    </row>
    <row r="3285" spans="4:4" x14ac:dyDescent="0.25">
      <c r="D3285">
        <f t="shared" ca="1" si="64"/>
        <v>50.847911980180839</v>
      </c>
    </row>
    <row r="3286" spans="4:4" x14ac:dyDescent="0.25">
      <c r="D3286">
        <f t="shared" ca="1" si="64"/>
        <v>45.157822457953593</v>
      </c>
    </row>
    <row r="3287" spans="4:4" x14ac:dyDescent="0.25">
      <c r="D3287">
        <f t="shared" ca="1" si="64"/>
        <v>40.317129549130073</v>
      </c>
    </row>
    <row r="3288" spans="4:4" x14ac:dyDescent="0.25">
      <c r="D3288">
        <f t="shared" ca="1" si="64"/>
        <v>47.395654494064026</v>
      </c>
    </row>
    <row r="3289" spans="4:4" x14ac:dyDescent="0.25">
      <c r="D3289">
        <f t="shared" ca="1" si="64"/>
        <v>48.380535106072379</v>
      </c>
    </row>
    <row r="3290" spans="4:4" x14ac:dyDescent="0.25">
      <c r="D3290">
        <f t="shared" ca="1" si="64"/>
        <v>48.806206876689004</v>
      </c>
    </row>
    <row r="3291" spans="4:4" x14ac:dyDescent="0.25">
      <c r="D3291">
        <f t="shared" ca="1" si="64"/>
        <v>53.663318594257447</v>
      </c>
    </row>
    <row r="3292" spans="4:4" x14ac:dyDescent="0.25">
      <c r="D3292">
        <f t="shared" ca="1" si="64"/>
        <v>38.732866646140785</v>
      </c>
    </row>
    <row r="3293" spans="4:4" x14ac:dyDescent="0.25">
      <c r="D3293">
        <f t="shared" ca="1" si="64"/>
        <v>52.833581602520276</v>
      </c>
    </row>
    <row r="3294" spans="4:4" x14ac:dyDescent="0.25">
      <c r="D3294">
        <f t="shared" ca="1" si="64"/>
        <v>54.388479956803444</v>
      </c>
    </row>
    <row r="3295" spans="4:4" x14ac:dyDescent="0.25">
      <c r="D3295">
        <f t="shared" ca="1" si="64"/>
        <v>46.505223355162997</v>
      </c>
    </row>
    <row r="3296" spans="4:4" x14ac:dyDescent="0.25">
      <c r="D3296">
        <f t="shared" ca="1" si="64"/>
        <v>47.847576628225021</v>
      </c>
    </row>
    <row r="3297" spans="4:4" x14ac:dyDescent="0.25">
      <c r="D3297">
        <f t="shared" ca="1" si="64"/>
        <v>62.905795570803349</v>
      </c>
    </row>
    <row r="3298" spans="4:4" x14ac:dyDescent="0.25">
      <c r="D3298">
        <f t="shared" ca="1" si="64"/>
        <v>44.542515091072325</v>
      </c>
    </row>
    <row r="3299" spans="4:4" x14ac:dyDescent="0.25">
      <c r="D3299">
        <f t="shared" ca="1" si="64"/>
        <v>47.791842601551039</v>
      </c>
    </row>
    <row r="3300" spans="4:4" x14ac:dyDescent="0.25">
      <c r="D3300">
        <f t="shared" ca="1" si="64"/>
        <v>46.43355021734029</v>
      </c>
    </row>
    <row r="3301" spans="4:4" x14ac:dyDescent="0.25">
      <c r="D3301">
        <f t="shared" ca="1" si="64"/>
        <v>45.325022159223771</v>
      </c>
    </row>
    <row r="3302" spans="4:4" x14ac:dyDescent="0.25">
      <c r="D3302">
        <f t="shared" ca="1" si="64"/>
        <v>40.610641546537281</v>
      </c>
    </row>
    <row r="3303" spans="4:4" x14ac:dyDescent="0.25">
      <c r="D3303">
        <f t="shared" ca="1" si="64"/>
        <v>51.770068925534304</v>
      </c>
    </row>
    <row r="3304" spans="4:4" x14ac:dyDescent="0.25">
      <c r="D3304">
        <f t="shared" ca="1" si="64"/>
        <v>48.704114381081965</v>
      </c>
    </row>
    <row r="3305" spans="4:4" x14ac:dyDescent="0.25">
      <c r="D3305">
        <f t="shared" ca="1" si="64"/>
        <v>52.875981591055691</v>
      </c>
    </row>
    <row r="3306" spans="4:4" x14ac:dyDescent="0.25">
      <c r="D3306">
        <f t="shared" ca="1" si="64"/>
        <v>44.589863321843204</v>
      </c>
    </row>
    <row r="3307" spans="4:4" x14ac:dyDescent="0.25">
      <c r="D3307">
        <f t="shared" ca="1" si="64"/>
        <v>52.2782777984212</v>
      </c>
    </row>
    <row r="3308" spans="4:4" x14ac:dyDescent="0.25">
      <c r="D3308">
        <f t="shared" ca="1" si="64"/>
        <v>51.489151797164816</v>
      </c>
    </row>
    <row r="3309" spans="4:4" x14ac:dyDescent="0.25">
      <c r="D3309">
        <f t="shared" ca="1" si="64"/>
        <v>50.198374400661798</v>
      </c>
    </row>
    <row r="3310" spans="4:4" x14ac:dyDescent="0.25">
      <c r="D3310">
        <f t="shared" ca="1" si="64"/>
        <v>47.672026879908046</v>
      </c>
    </row>
    <row r="3311" spans="4:4" x14ac:dyDescent="0.25">
      <c r="D3311">
        <f t="shared" ca="1" si="64"/>
        <v>47.656235974596008</v>
      </c>
    </row>
    <row r="3312" spans="4:4" x14ac:dyDescent="0.25">
      <c r="D3312">
        <f t="shared" ca="1" si="64"/>
        <v>51.278965668878264</v>
      </c>
    </row>
    <row r="3313" spans="4:4" x14ac:dyDescent="0.25">
      <c r="D3313">
        <f t="shared" ca="1" si="64"/>
        <v>50.489433667259476</v>
      </c>
    </row>
    <row r="3314" spans="4:4" x14ac:dyDescent="0.25">
      <c r="D3314">
        <f t="shared" ca="1" si="64"/>
        <v>50.362613065387634</v>
      </c>
    </row>
    <row r="3315" spans="4:4" x14ac:dyDescent="0.25">
      <c r="D3315">
        <f t="shared" ca="1" si="64"/>
        <v>54.869309484210881</v>
      </c>
    </row>
    <row r="3316" spans="4:4" x14ac:dyDescent="0.25">
      <c r="D3316">
        <f t="shared" ca="1" si="64"/>
        <v>51.731303838826364</v>
      </c>
    </row>
    <row r="3317" spans="4:4" x14ac:dyDescent="0.25">
      <c r="D3317">
        <f t="shared" ca="1" si="64"/>
        <v>39.971560387815586</v>
      </c>
    </row>
    <row r="3318" spans="4:4" x14ac:dyDescent="0.25">
      <c r="D3318">
        <f t="shared" ca="1" si="64"/>
        <v>51.923224034497423</v>
      </c>
    </row>
    <row r="3319" spans="4:4" x14ac:dyDescent="0.25">
      <c r="D3319">
        <f t="shared" ca="1" si="64"/>
        <v>45.289065288244927</v>
      </c>
    </row>
    <row r="3320" spans="4:4" x14ac:dyDescent="0.25">
      <c r="D3320">
        <f t="shared" ca="1" si="64"/>
        <v>46.90414719221409</v>
      </c>
    </row>
    <row r="3321" spans="4:4" x14ac:dyDescent="0.25">
      <c r="D3321">
        <f t="shared" ca="1" si="64"/>
        <v>42.930424894302661</v>
      </c>
    </row>
    <row r="3322" spans="4:4" x14ac:dyDescent="0.25">
      <c r="D3322">
        <f t="shared" ca="1" si="64"/>
        <v>57.37341925440289</v>
      </c>
    </row>
    <row r="3323" spans="4:4" x14ac:dyDescent="0.25">
      <c r="D3323">
        <f t="shared" ca="1" si="64"/>
        <v>49.415659031971586</v>
      </c>
    </row>
    <row r="3324" spans="4:4" x14ac:dyDescent="0.25">
      <c r="D3324">
        <f t="shared" ca="1" si="64"/>
        <v>62.709506829414877</v>
      </c>
    </row>
    <row r="3325" spans="4:4" x14ac:dyDescent="0.25">
      <c r="D3325">
        <f t="shared" ca="1" si="64"/>
        <v>42.455734774276721</v>
      </c>
    </row>
    <row r="3326" spans="4:4" x14ac:dyDescent="0.25">
      <c r="D3326">
        <f t="shared" ca="1" si="64"/>
        <v>45.602336024514834</v>
      </c>
    </row>
    <row r="3327" spans="4:4" x14ac:dyDescent="0.25">
      <c r="D3327">
        <f t="shared" ca="1" si="64"/>
        <v>61.217852308173391</v>
      </c>
    </row>
    <row r="3328" spans="4:4" x14ac:dyDescent="0.25">
      <c r="D3328">
        <f t="shared" ca="1" si="64"/>
        <v>48.652274266440713</v>
      </c>
    </row>
    <row r="3329" spans="4:4" x14ac:dyDescent="0.25">
      <c r="D3329">
        <f t="shared" ca="1" si="64"/>
        <v>47.586697136980774</v>
      </c>
    </row>
    <row r="3330" spans="4:4" x14ac:dyDescent="0.25">
      <c r="D3330">
        <f t="shared" ca="1" si="64"/>
        <v>46.647607037444871</v>
      </c>
    </row>
    <row r="3331" spans="4:4" x14ac:dyDescent="0.25">
      <c r="D3331">
        <f t="shared" ref="D3331:D3394" ca="1" si="65">_xlfn.T.INV(RAND(),25)*$G$3+$F$3</f>
        <v>51.041111457079765</v>
      </c>
    </row>
    <row r="3332" spans="4:4" x14ac:dyDescent="0.25">
      <c r="D3332">
        <f t="shared" ca="1" si="65"/>
        <v>47.215644137010905</v>
      </c>
    </row>
    <row r="3333" spans="4:4" x14ac:dyDescent="0.25">
      <c r="D3333">
        <f t="shared" ca="1" si="65"/>
        <v>51.518834352347149</v>
      </c>
    </row>
    <row r="3334" spans="4:4" x14ac:dyDescent="0.25">
      <c r="D3334">
        <f t="shared" ca="1" si="65"/>
        <v>51.559926840923872</v>
      </c>
    </row>
    <row r="3335" spans="4:4" x14ac:dyDescent="0.25">
      <c r="D3335">
        <f t="shared" ca="1" si="65"/>
        <v>49.326986475264562</v>
      </c>
    </row>
    <row r="3336" spans="4:4" x14ac:dyDescent="0.25">
      <c r="D3336">
        <f t="shared" ca="1" si="65"/>
        <v>51.267999080570881</v>
      </c>
    </row>
    <row r="3337" spans="4:4" x14ac:dyDescent="0.25">
      <c r="D3337">
        <f t="shared" ca="1" si="65"/>
        <v>57.859358835802333</v>
      </c>
    </row>
    <row r="3338" spans="4:4" x14ac:dyDescent="0.25">
      <c r="D3338">
        <f t="shared" ca="1" si="65"/>
        <v>41.665634678537756</v>
      </c>
    </row>
    <row r="3339" spans="4:4" x14ac:dyDescent="0.25">
      <c r="D3339">
        <f t="shared" ca="1" si="65"/>
        <v>45.08124248883005</v>
      </c>
    </row>
    <row r="3340" spans="4:4" x14ac:dyDescent="0.25">
      <c r="D3340">
        <f t="shared" ca="1" si="65"/>
        <v>46.941688478590585</v>
      </c>
    </row>
    <row r="3341" spans="4:4" x14ac:dyDescent="0.25">
      <c r="D3341">
        <f t="shared" ca="1" si="65"/>
        <v>48.639012198585768</v>
      </c>
    </row>
    <row r="3342" spans="4:4" x14ac:dyDescent="0.25">
      <c r="D3342">
        <f t="shared" ca="1" si="65"/>
        <v>42.391794511659221</v>
      </c>
    </row>
    <row r="3343" spans="4:4" x14ac:dyDescent="0.25">
      <c r="D3343">
        <f t="shared" ca="1" si="65"/>
        <v>43.918691375843217</v>
      </c>
    </row>
    <row r="3344" spans="4:4" x14ac:dyDescent="0.25">
      <c r="D3344">
        <f t="shared" ca="1" si="65"/>
        <v>41.821827436252065</v>
      </c>
    </row>
    <row r="3345" spans="4:4" x14ac:dyDescent="0.25">
      <c r="D3345">
        <f t="shared" ca="1" si="65"/>
        <v>46.416403593170195</v>
      </c>
    </row>
    <row r="3346" spans="4:4" x14ac:dyDescent="0.25">
      <c r="D3346">
        <f t="shared" ca="1" si="65"/>
        <v>54.755974722854987</v>
      </c>
    </row>
    <row r="3347" spans="4:4" x14ac:dyDescent="0.25">
      <c r="D3347">
        <f t="shared" ca="1" si="65"/>
        <v>51.607227596291409</v>
      </c>
    </row>
    <row r="3348" spans="4:4" x14ac:dyDescent="0.25">
      <c r="D3348">
        <f t="shared" ca="1" si="65"/>
        <v>44.198774333717751</v>
      </c>
    </row>
    <row r="3349" spans="4:4" x14ac:dyDescent="0.25">
      <c r="D3349">
        <f t="shared" ca="1" si="65"/>
        <v>48.876528702506754</v>
      </c>
    </row>
    <row r="3350" spans="4:4" x14ac:dyDescent="0.25">
      <c r="D3350">
        <f t="shared" ca="1" si="65"/>
        <v>48.78846149494067</v>
      </c>
    </row>
    <row r="3351" spans="4:4" x14ac:dyDescent="0.25">
      <c r="D3351">
        <f t="shared" ca="1" si="65"/>
        <v>50.353930198088385</v>
      </c>
    </row>
    <row r="3352" spans="4:4" x14ac:dyDescent="0.25">
      <c r="D3352">
        <f t="shared" ca="1" si="65"/>
        <v>52.368912314672954</v>
      </c>
    </row>
    <row r="3353" spans="4:4" x14ac:dyDescent="0.25">
      <c r="D3353">
        <f t="shared" ca="1" si="65"/>
        <v>44.53131611922683</v>
      </c>
    </row>
    <row r="3354" spans="4:4" x14ac:dyDescent="0.25">
      <c r="D3354">
        <f t="shared" ca="1" si="65"/>
        <v>51.265208621588279</v>
      </c>
    </row>
    <row r="3355" spans="4:4" x14ac:dyDescent="0.25">
      <c r="D3355">
        <f t="shared" ca="1" si="65"/>
        <v>48.537217111327806</v>
      </c>
    </row>
    <row r="3356" spans="4:4" x14ac:dyDescent="0.25">
      <c r="D3356">
        <f t="shared" ca="1" si="65"/>
        <v>48.08964541779352</v>
      </c>
    </row>
    <row r="3357" spans="4:4" x14ac:dyDescent="0.25">
      <c r="D3357">
        <f t="shared" ca="1" si="65"/>
        <v>46.308568525324816</v>
      </c>
    </row>
    <row r="3358" spans="4:4" x14ac:dyDescent="0.25">
      <c r="D3358">
        <f t="shared" ca="1" si="65"/>
        <v>47.464013083052997</v>
      </c>
    </row>
    <row r="3359" spans="4:4" x14ac:dyDescent="0.25">
      <c r="D3359">
        <f t="shared" ca="1" si="65"/>
        <v>45.962361617478948</v>
      </c>
    </row>
    <row r="3360" spans="4:4" x14ac:dyDescent="0.25">
      <c r="D3360">
        <f t="shared" ca="1" si="65"/>
        <v>52.7533609518483</v>
      </c>
    </row>
    <row r="3361" spans="4:4" x14ac:dyDescent="0.25">
      <c r="D3361">
        <f t="shared" ca="1" si="65"/>
        <v>53.190307690227627</v>
      </c>
    </row>
    <row r="3362" spans="4:4" x14ac:dyDescent="0.25">
      <c r="D3362">
        <f t="shared" ca="1" si="65"/>
        <v>55.641575951734559</v>
      </c>
    </row>
    <row r="3363" spans="4:4" x14ac:dyDescent="0.25">
      <c r="D3363">
        <f t="shared" ca="1" si="65"/>
        <v>46.668191987777959</v>
      </c>
    </row>
    <row r="3364" spans="4:4" x14ac:dyDescent="0.25">
      <c r="D3364">
        <f t="shared" ca="1" si="65"/>
        <v>45.458792453889167</v>
      </c>
    </row>
    <row r="3365" spans="4:4" x14ac:dyDescent="0.25">
      <c r="D3365">
        <f t="shared" ca="1" si="65"/>
        <v>50.692807167224863</v>
      </c>
    </row>
    <row r="3366" spans="4:4" x14ac:dyDescent="0.25">
      <c r="D3366">
        <f t="shared" ca="1" si="65"/>
        <v>44.8108053453671</v>
      </c>
    </row>
    <row r="3367" spans="4:4" x14ac:dyDescent="0.25">
      <c r="D3367">
        <f t="shared" ca="1" si="65"/>
        <v>50.54581156985941</v>
      </c>
    </row>
    <row r="3368" spans="4:4" x14ac:dyDescent="0.25">
      <c r="D3368">
        <f t="shared" ca="1" si="65"/>
        <v>40.601872137401173</v>
      </c>
    </row>
    <row r="3369" spans="4:4" x14ac:dyDescent="0.25">
      <c r="D3369">
        <f t="shared" ca="1" si="65"/>
        <v>46.318065766937394</v>
      </c>
    </row>
    <row r="3370" spans="4:4" x14ac:dyDescent="0.25">
      <c r="D3370">
        <f t="shared" ca="1" si="65"/>
        <v>43.352823894624379</v>
      </c>
    </row>
    <row r="3371" spans="4:4" x14ac:dyDescent="0.25">
      <c r="D3371">
        <f t="shared" ca="1" si="65"/>
        <v>58.822581093717957</v>
      </c>
    </row>
    <row r="3372" spans="4:4" x14ac:dyDescent="0.25">
      <c r="D3372">
        <f t="shared" ca="1" si="65"/>
        <v>52.312551166668008</v>
      </c>
    </row>
    <row r="3373" spans="4:4" x14ac:dyDescent="0.25">
      <c r="D3373">
        <f t="shared" ca="1" si="65"/>
        <v>47.731379503461064</v>
      </c>
    </row>
    <row r="3374" spans="4:4" x14ac:dyDescent="0.25">
      <c r="D3374">
        <f t="shared" ca="1" si="65"/>
        <v>38.387877968579019</v>
      </c>
    </row>
    <row r="3375" spans="4:4" x14ac:dyDescent="0.25">
      <c r="D3375">
        <f t="shared" ca="1" si="65"/>
        <v>51.502676741277995</v>
      </c>
    </row>
    <row r="3376" spans="4:4" x14ac:dyDescent="0.25">
      <c r="D3376">
        <f t="shared" ca="1" si="65"/>
        <v>52.15005680930534</v>
      </c>
    </row>
    <row r="3377" spans="4:4" x14ac:dyDescent="0.25">
      <c r="D3377">
        <f t="shared" ca="1" si="65"/>
        <v>54.099114786268302</v>
      </c>
    </row>
    <row r="3378" spans="4:4" x14ac:dyDescent="0.25">
      <c r="D3378">
        <f t="shared" ca="1" si="65"/>
        <v>47.882772314603713</v>
      </c>
    </row>
    <row r="3379" spans="4:4" x14ac:dyDescent="0.25">
      <c r="D3379">
        <f t="shared" ca="1" si="65"/>
        <v>48.112467986413044</v>
      </c>
    </row>
    <row r="3380" spans="4:4" x14ac:dyDescent="0.25">
      <c r="D3380">
        <f t="shared" ca="1" si="65"/>
        <v>50.767558641385044</v>
      </c>
    </row>
    <row r="3381" spans="4:4" x14ac:dyDescent="0.25">
      <c r="D3381">
        <f t="shared" ca="1" si="65"/>
        <v>48.006764874710711</v>
      </c>
    </row>
    <row r="3382" spans="4:4" x14ac:dyDescent="0.25">
      <c r="D3382">
        <f t="shared" ca="1" si="65"/>
        <v>48.344300269463545</v>
      </c>
    </row>
    <row r="3383" spans="4:4" x14ac:dyDescent="0.25">
      <c r="D3383">
        <f t="shared" ca="1" si="65"/>
        <v>52.968917785630119</v>
      </c>
    </row>
    <row r="3384" spans="4:4" x14ac:dyDescent="0.25">
      <c r="D3384">
        <f t="shared" ca="1" si="65"/>
        <v>55.982842908269447</v>
      </c>
    </row>
    <row r="3385" spans="4:4" x14ac:dyDescent="0.25">
      <c r="D3385">
        <f t="shared" ca="1" si="65"/>
        <v>57.237044718114042</v>
      </c>
    </row>
    <row r="3386" spans="4:4" x14ac:dyDescent="0.25">
      <c r="D3386">
        <f t="shared" ca="1" si="65"/>
        <v>47.4516294369786</v>
      </c>
    </row>
    <row r="3387" spans="4:4" x14ac:dyDescent="0.25">
      <c r="D3387">
        <f t="shared" ca="1" si="65"/>
        <v>51.323901615817498</v>
      </c>
    </row>
    <row r="3388" spans="4:4" x14ac:dyDescent="0.25">
      <c r="D3388">
        <f t="shared" ca="1" si="65"/>
        <v>59.62220151668761</v>
      </c>
    </row>
    <row r="3389" spans="4:4" x14ac:dyDescent="0.25">
      <c r="D3389">
        <f t="shared" ca="1" si="65"/>
        <v>49.073409635807806</v>
      </c>
    </row>
    <row r="3390" spans="4:4" x14ac:dyDescent="0.25">
      <c r="D3390">
        <f t="shared" ca="1" si="65"/>
        <v>46.007035204566293</v>
      </c>
    </row>
    <row r="3391" spans="4:4" x14ac:dyDescent="0.25">
      <c r="D3391">
        <f t="shared" ca="1" si="65"/>
        <v>57.00386127260424</v>
      </c>
    </row>
    <row r="3392" spans="4:4" x14ac:dyDescent="0.25">
      <c r="D3392">
        <f t="shared" ca="1" si="65"/>
        <v>48.139065947138675</v>
      </c>
    </row>
    <row r="3393" spans="4:4" x14ac:dyDescent="0.25">
      <c r="D3393">
        <f t="shared" ca="1" si="65"/>
        <v>51.364430337918336</v>
      </c>
    </row>
    <row r="3394" spans="4:4" x14ac:dyDescent="0.25">
      <c r="D3394">
        <f t="shared" ca="1" si="65"/>
        <v>53.721715517194625</v>
      </c>
    </row>
    <row r="3395" spans="4:4" x14ac:dyDescent="0.25">
      <c r="D3395">
        <f t="shared" ref="D3395:D3458" ca="1" si="66">_xlfn.T.INV(RAND(),25)*$G$3+$F$3</f>
        <v>50.573234796189851</v>
      </c>
    </row>
    <row r="3396" spans="4:4" x14ac:dyDescent="0.25">
      <c r="D3396">
        <f t="shared" ca="1" si="66"/>
        <v>40.134494120870464</v>
      </c>
    </row>
    <row r="3397" spans="4:4" x14ac:dyDescent="0.25">
      <c r="D3397">
        <f t="shared" ca="1" si="66"/>
        <v>44.857736632470214</v>
      </c>
    </row>
    <row r="3398" spans="4:4" x14ac:dyDescent="0.25">
      <c r="D3398">
        <f t="shared" ca="1" si="66"/>
        <v>46.325555958902711</v>
      </c>
    </row>
    <row r="3399" spans="4:4" x14ac:dyDescent="0.25">
      <c r="D3399">
        <f t="shared" ca="1" si="66"/>
        <v>56.915458781789049</v>
      </c>
    </row>
    <row r="3400" spans="4:4" x14ac:dyDescent="0.25">
      <c r="D3400">
        <f t="shared" ca="1" si="66"/>
        <v>45.612919750114429</v>
      </c>
    </row>
    <row r="3401" spans="4:4" x14ac:dyDescent="0.25">
      <c r="D3401">
        <f t="shared" ca="1" si="66"/>
        <v>49.569790607799902</v>
      </c>
    </row>
    <row r="3402" spans="4:4" x14ac:dyDescent="0.25">
      <c r="D3402">
        <f t="shared" ca="1" si="66"/>
        <v>50.293246655635755</v>
      </c>
    </row>
    <row r="3403" spans="4:4" x14ac:dyDescent="0.25">
      <c r="D3403">
        <f t="shared" ca="1" si="66"/>
        <v>50.777817048598742</v>
      </c>
    </row>
    <row r="3404" spans="4:4" x14ac:dyDescent="0.25">
      <c r="D3404">
        <f t="shared" ca="1" si="66"/>
        <v>53.493215595861088</v>
      </c>
    </row>
    <row r="3405" spans="4:4" x14ac:dyDescent="0.25">
      <c r="D3405">
        <f t="shared" ca="1" si="66"/>
        <v>53.707871228548584</v>
      </c>
    </row>
    <row r="3406" spans="4:4" x14ac:dyDescent="0.25">
      <c r="D3406">
        <f t="shared" ca="1" si="66"/>
        <v>57.451176604921507</v>
      </c>
    </row>
    <row r="3407" spans="4:4" x14ac:dyDescent="0.25">
      <c r="D3407">
        <f t="shared" ca="1" si="66"/>
        <v>54.729429604891486</v>
      </c>
    </row>
    <row r="3408" spans="4:4" x14ac:dyDescent="0.25">
      <c r="D3408">
        <f t="shared" ca="1" si="66"/>
        <v>54.955546717632188</v>
      </c>
    </row>
    <row r="3409" spans="4:4" x14ac:dyDescent="0.25">
      <c r="D3409">
        <f t="shared" ca="1" si="66"/>
        <v>54.366447924948709</v>
      </c>
    </row>
    <row r="3410" spans="4:4" x14ac:dyDescent="0.25">
      <c r="D3410">
        <f t="shared" ca="1" si="66"/>
        <v>48.913534254658771</v>
      </c>
    </row>
    <row r="3411" spans="4:4" x14ac:dyDescent="0.25">
      <c r="D3411">
        <f t="shared" ca="1" si="66"/>
        <v>42.402995899458517</v>
      </c>
    </row>
    <row r="3412" spans="4:4" x14ac:dyDescent="0.25">
      <c r="D3412">
        <f t="shared" ca="1" si="66"/>
        <v>48.084326326999019</v>
      </c>
    </row>
    <row r="3413" spans="4:4" x14ac:dyDescent="0.25">
      <c r="D3413">
        <f t="shared" ca="1" si="66"/>
        <v>45.080462187276424</v>
      </c>
    </row>
    <row r="3414" spans="4:4" x14ac:dyDescent="0.25">
      <c r="D3414">
        <f t="shared" ca="1" si="66"/>
        <v>45.450715114707521</v>
      </c>
    </row>
    <row r="3415" spans="4:4" x14ac:dyDescent="0.25">
      <c r="D3415">
        <f t="shared" ca="1" si="66"/>
        <v>56.192852651017354</v>
      </c>
    </row>
    <row r="3416" spans="4:4" x14ac:dyDescent="0.25">
      <c r="D3416">
        <f t="shared" ca="1" si="66"/>
        <v>46.332201094356222</v>
      </c>
    </row>
    <row r="3417" spans="4:4" x14ac:dyDescent="0.25">
      <c r="D3417">
        <f t="shared" ca="1" si="66"/>
        <v>51.15155665186451</v>
      </c>
    </row>
    <row r="3418" spans="4:4" x14ac:dyDescent="0.25">
      <c r="D3418">
        <f t="shared" ca="1" si="66"/>
        <v>52.50741645121051</v>
      </c>
    </row>
    <row r="3419" spans="4:4" x14ac:dyDescent="0.25">
      <c r="D3419">
        <f t="shared" ca="1" si="66"/>
        <v>51.8731004957435</v>
      </c>
    </row>
    <row r="3420" spans="4:4" x14ac:dyDescent="0.25">
      <c r="D3420">
        <f t="shared" ca="1" si="66"/>
        <v>43.054320111981369</v>
      </c>
    </row>
    <row r="3421" spans="4:4" x14ac:dyDescent="0.25">
      <c r="D3421">
        <f t="shared" ca="1" si="66"/>
        <v>50.085275369417822</v>
      </c>
    </row>
    <row r="3422" spans="4:4" x14ac:dyDescent="0.25">
      <c r="D3422">
        <f t="shared" ca="1" si="66"/>
        <v>53.738941246922153</v>
      </c>
    </row>
    <row r="3423" spans="4:4" x14ac:dyDescent="0.25">
      <c r="D3423">
        <f t="shared" ca="1" si="66"/>
        <v>45.558912273812503</v>
      </c>
    </row>
    <row r="3424" spans="4:4" x14ac:dyDescent="0.25">
      <c r="D3424">
        <f t="shared" ca="1" si="66"/>
        <v>39.912208275540422</v>
      </c>
    </row>
    <row r="3425" spans="4:4" x14ac:dyDescent="0.25">
      <c r="D3425">
        <f t="shared" ca="1" si="66"/>
        <v>46.789979151086769</v>
      </c>
    </row>
    <row r="3426" spans="4:4" x14ac:dyDescent="0.25">
      <c r="D3426">
        <f t="shared" ca="1" si="66"/>
        <v>53.215353245025007</v>
      </c>
    </row>
    <row r="3427" spans="4:4" x14ac:dyDescent="0.25">
      <c r="D3427">
        <f t="shared" ca="1" si="66"/>
        <v>45.137463456648156</v>
      </c>
    </row>
    <row r="3428" spans="4:4" x14ac:dyDescent="0.25">
      <c r="D3428">
        <f t="shared" ca="1" si="66"/>
        <v>48.569249520300232</v>
      </c>
    </row>
    <row r="3429" spans="4:4" x14ac:dyDescent="0.25">
      <c r="D3429">
        <f t="shared" ca="1" si="66"/>
        <v>50.00501111746447</v>
      </c>
    </row>
    <row r="3430" spans="4:4" x14ac:dyDescent="0.25">
      <c r="D3430">
        <f t="shared" ca="1" si="66"/>
        <v>45.415312272431485</v>
      </c>
    </row>
    <row r="3431" spans="4:4" x14ac:dyDescent="0.25">
      <c r="D3431">
        <f t="shared" ca="1" si="66"/>
        <v>40.93283341822594</v>
      </c>
    </row>
    <row r="3432" spans="4:4" x14ac:dyDescent="0.25">
      <c r="D3432">
        <f t="shared" ca="1" si="66"/>
        <v>42.825389656636986</v>
      </c>
    </row>
    <row r="3433" spans="4:4" x14ac:dyDescent="0.25">
      <c r="D3433">
        <f t="shared" ca="1" si="66"/>
        <v>54.605775594032323</v>
      </c>
    </row>
    <row r="3434" spans="4:4" x14ac:dyDescent="0.25">
      <c r="D3434">
        <f t="shared" ca="1" si="66"/>
        <v>49.73283706476365</v>
      </c>
    </row>
    <row r="3435" spans="4:4" x14ac:dyDescent="0.25">
      <c r="D3435">
        <f t="shared" ca="1" si="66"/>
        <v>42.113935732288951</v>
      </c>
    </row>
    <row r="3436" spans="4:4" x14ac:dyDescent="0.25">
      <c r="D3436">
        <f t="shared" ca="1" si="66"/>
        <v>50.407085983019272</v>
      </c>
    </row>
    <row r="3437" spans="4:4" x14ac:dyDescent="0.25">
      <c r="D3437">
        <f t="shared" ca="1" si="66"/>
        <v>47.609890951572304</v>
      </c>
    </row>
    <row r="3438" spans="4:4" x14ac:dyDescent="0.25">
      <c r="D3438">
        <f t="shared" ca="1" si="66"/>
        <v>60.632468748565259</v>
      </c>
    </row>
    <row r="3439" spans="4:4" x14ac:dyDescent="0.25">
      <c r="D3439">
        <f t="shared" ca="1" si="66"/>
        <v>44.057746119985296</v>
      </c>
    </row>
    <row r="3440" spans="4:4" x14ac:dyDescent="0.25">
      <c r="D3440">
        <f t="shared" ca="1" si="66"/>
        <v>50.384984672842997</v>
      </c>
    </row>
    <row r="3441" spans="4:4" x14ac:dyDescent="0.25">
      <c r="D3441">
        <f t="shared" ca="1" si="66"/>
        <v>43.581689751968881</v>
      </c>
    </row>
    <row r="3442" spans="4:4" x14ac:dyDescent="0.25">
      <c r="D3442">
        <f t="shared" ca="1" si="66"/>
        <v>46.457383693780343</v>
      </c>
    </row>
    <row r="3443" spans="4:4" x14ac:dyDescent="0.25">
      <c r="D3443">
        <f t="shared" ca="1" si="66"/>
        <v>48.035619366231423</v>
      </c>
    </row>
    <row r="3444" spans="4:4" x14ac:dyDescent="0.25">
      <c r="D3444">
        <f t="shared" ca="1" si="66"/>
        <v>39.38266768884607</v>
      </c>
    </row>
    <row r="3445" spans="4:4" x14ac:dyDescent="0.25">
      <c r="D3445">
        <f t="shared" ca="1" si="66"/>
        <v>54.707353899485355</v>
      </c>
    </row>
    <row r="3446" spans="4:4" x14ac:dyDescent="0.25">
      <c r="D3446">
        <f t="shared" ca="1" si="66"/>
        <v>49.58811984418378</v>
      </c>
    </row>
    <row r="3447" spans="4:4" x14ac:dyDescent="0.25">
      <c r="D3447">
        <f t="shared" ca="1" si="66"/>
        <v>38.081755951942363</v>
      </c>
    </row>
    <row r="3448" spans="4:4" x14ac:dyDescent="0.25">
      <c r="D3448">
        <f t="shared" ca="1" si="66"/>
        <v>57.735222788427286</v>
      </c>
    </row>
    <row r="3449" spans="4:4" x14ac:dyDescent="0.25">
      <c r="D3449">
        <f t="shared" ca="1" si="66"/>
        <v>43.786348601674433</v>
      </c>
    </row>
    <row r="3450" spans="4:4" x14ac:dyDescent="0.25">
      <c r="D3450">
        <f t="shared" ca="1" si="66"/>
        <v>47.51075218695108</v>
      </c>
    </row>
    <row r="3451" spans="4:4" x14ac:dyDescent="0.25">
      <c r="D3451">
        <f t="shared" ca="1" si="66"/>
        <v>54.098135051560121</v>
      </c>
    </row>
    <row r="3452" spans="4:4" x14ac:dyDescent="0.25">
      <c r="D3452">
        <f t="shared" ca="1" si="66"/>
        <v>43.267334960639367</v>
      </c>
    </row>
    <row r="3453" spans="4:4" x14ac:dyDescent="0.25">
      <c r="D3453">
        <f t="shared" ca="1" si="66"/>
        <v>54.017322794981943</v>
      </c>
    </row>
    <row r="3454" spans="4:4" x14ac:dyDescent="0.25">
      <c r="D3454">
        <f t="shared" ca="1" si="66"/>
        <v>45.993588451495782</v>
      </c>
    </row>
    <row r="3455" spans="4:4" x14ac:dyDescent="0.25">
      <c r="D3455">
        <f t="shared" ca="1" si="66"/>
        <v>38.185420249616591</v>
      </c>
    </row>
    <row r="3456" spans="4:4" x14ac:dyDescent="0.25">
      <c r="D3456">
        <f t="shared" ca="1" si="66"/>
        <v>45.231267274302454</v>
      </c>
    </row>
    <row r="3457" spans="4:4" x14ac:dyDescent="0.25">
      <c r="D3457">
        <f t="shared" ca="1" si="66"/>
        <v>50.431334063956015</v>
      </c>
    </row>
    <row r="3458" spans="4:4" x14ac:dyDescent="0.25">
      <c r="D3458">
        <f t="shared" ca="1" si="66"/>
        <v>48.717240303136272</v>
      </c>
    </row>
    <row r="3459" spans="4:4" x14ac:dyDescent="0.25">
      <c r="D3459">
        <f t="shared" ref="D3459:D3522" ca="1" si="67">_xlfn.T.INV(RAND(),25)*$G$3+$F$3</f>
        <v>57.970569436970095</v>
      </c>
    </row>
    <row r="3460" spans="4:4" x14ac:dyDescent="0.25">
      <c r="D3460">
        <f t="shared" ca="1" si="67"/>
        <v>36.046302468462613</v>
      </c>
    </row>
    <row r="3461" spans="4:4" x14ac:dyDescent="0.25">
      <c r="D3461">
        <f t="shared" ca="1" si="67"/>
        <v>44.833548480193087</v>
      </c>
    </row>
    <row r="3462" spans="4:4" x14ac:dyDescent="0.25">
      <c r="D3462">
        <f t="shared" ca="1" si="67"/>
        <v>49.754996585706301</v>
      </c>
    </row>
    <row r="3463" spans="4:4" x14ac:dyDescent="0.25">
      <c r="D3463">
        <f t="shared" ca="1" si="67"/>
        <v>48.576289876966023</v>
      </c>
    </row>
    <row r="3464" spans="4:4" x14ac:dyDescent="0.25">
      <c r="D3464">
        <f t="shared" ca="1" si="67"/>
        <v>47.384197354009906</v>
      </c>
    </row>
    <row r="3465" spans="4:4" x14ac:dyDescent="0.25">
      <c r="D3465">
        <f t="shared" ca="1" si="67"/>
        <v>51.249716003886064</v>
      </c>
    </row>
    <row r="3466" spans="4:4" x14ac:dyDescent="0.25">
      <c r="D3466">
        <f t="shared" ca="1" si="67"/>
        <v>48.003430808710362</v>
      </c>
    </row>
    <row r="3467" spans="4:4" x14ac:dyDescent="0.25">
      <c r="D3467">
        <f t="shared" ca="1" si="67"/>
        <v>52.582327921455885</v>
      </c>
    </row>
    <row r="3468" spans="4:4" x14ac:dyDescent="0.25">
      <c r="D3468">
        <f t="shared" ca="1" si="67"/>
        <v>49.0036811938052</v>
      </c>
    </row>
    <row r="3469" spans="4:4" x14ac:dyDescent="0.25">
      <c r="D3469">
        <f t="shared" ca="1" si="67"/>
        <v>59.404872048530237</v>
      </c>
    </row>
    <row r="3470" spans="4:4" x14ac:dyDescent="0.25">
      <c r="D3470">
        <f t="shared" ca="1" si="67"/>
        <v>60.722124830328084</v>
      </c>
    </row>
    <row r="3471" spans="4:4" x14ac:dyDescent="0.25">
      <c r="D3471">
        <f t="shared" ca="1" si="67"/>
        <v>46.722645327236847</v>
      </c>
    </row>
    <row r="3472" spans="4:4" x14ac:dyDescent="0.25">
      <c r="D3472">
        <f t="shared" ca="1" si="67"/>
        <v>48.53490975143599</v>
      </c>
    </row>
    <row r="3473" spans="4:4" x14ac:dyDescent="0.25">
      <c r="D3473">
        <f t="shared" ca="1" si="67"/>
        <v>41.472747981942007</v>
      </c>
    </row>
    <row r="3474" spans="4:4" x14ac:dyDescent="0.25">
      <c r="D3474">
        <f t="shared" ca="1" si="67"/>
        <v>48.130973439935531</v>
      </c>
    </row>
    <row r="3475" spans="4:4" x14ac:dyDescent="0.25">
      <c r="D3475">
        <f t="shared" ca="1" si="67"/>
        <v>52.33448033646566</v>
      </c>
    </row>
    <row r="3476" spans="4:4" x14ac:dyDescent="0.25">
      <c r="D3476">
        <f t="shared" ca="1" si="67"/>
        <v>49.10092565786308</v>
      </c>
    </row>
    <row r="3477" spans="4:4" x14ac:dyDescent="0.25">
      <c r="D3477">
        <f t="shared" ca="1" si="67"/>
        <v>53.760806671375924</v>
      </c>
    </row>
    <row r="3478" spans="4:4" x14ac:dyDescent="0.25">
      <c r="D3478">
        <f t="shared" ca="1" si="67"/>
        <v>48.173807774324501</v>
      </c>
    </row>
    <row r="3479" spans="4:4" x14ac:dyDescent="0.25">
      <c r="D3479">
        <f t="shared" ca="1" si="67"/>
        <v>63.579245698276189</v>
      </c>
    </row>
    <row r="3480" spans="4:4" x14ac:dyDescent="0.25">
      <c r="D3480">
        <f t="shared" ca="1" si="67"/>
        <v>46.582488062045677</v>
      </c>
    </row>
    <row r="3481" spans="4:4" x14ac:dyDescent="0.25">
      <c r="D3481">
        <f t="shared" ca="1" si="67"/>
        <v>46.195191873503248</v>
      </c>
    </row>
    <row r="3482" spans="4:4" x14ac:dyDescent="0.25">
      <c r="D3482">
        <f t="shared" ca="1" si="67"/>
        <v>48.231901252551616</v>
      </c>
    </row>
    <row r="3483" spans="4:4" x14ac:dyDescent="0.25">
      <c r="D3483">
        <f t="shared" ca="1" si="67"/>
        <v>52.084725594156509</v>
      </c>
    </row>
    <row r="3484" spans="4:4" x14ac:dyDescent="0.25">
      <c r="D3484">
        <f t="shared" ca="1" si="67"/>
        <v>46.410565569230279</v>
      </c>
    </row>
    <row r="3485" spans="4:4" x14ac:dyDescent="0.25">
      <c r="D3485">
        <f t="shared" ca="1" si="67"/>
        <v>52.190857714883897</v>
      </c>
    </row>
    <row r="3486" spans="4:4" x14ac:dyDescent="0.25">
      <c r="D3486">
        <f t="shared" ca="1" si="67"/>
        <v>45.567245387739632</v>
      </c>
    </row>
    <row r="3487" spans="4:4" x14ac:dyDescent="0.25">
      <c r="D3487">
        <f t="shared" ca="1" si="67"/>
        <v>47.833590197522163</v>
      </c>
    </row>
    <row r="3488" spans="4:4" x14ac:dyDescent="0.25">
      <c r="D3488">
        <f t="shared" ca="1" si="67"/>
        <v>54.819087827699327</v>
      </c>
    </row>
    <row r="3489" spans="4:4" x14ac:dyDescent="0.25">
      <c r="D3489">
        <f t="shared" ca="1" si="67"/>
        <v>61.089298269719883</v>
      </c>
    </row>
    <row r="3490" spans="4:4" x14ac:dyDescent="0.25">
      <c r="D3490">
        <f t="shared" ca="1" si="67"/>
        <v>48.472882570157466</v>
      </c>
    </row>
    <row r="3491" spans="4:4" x14ac:dyDescent="0.25">
      <c r="D3491">
        <f t="shared" ca="1" si="67"/>
        <v>56.629329391620161</v>
      </c>
    </row>
    <row r="3492" spans="4:4" x14ac:dyDescent="0.25">
      <c r="D3492">
        <f t="shared" ca="1" si="67"/>
        <v>46.014812928458618</v>
      </c>
    </row>
    <row r="3493" spans="4:4" x14ac:dyDescent="0.25">
      <c r="D3493">
        <f t="shared" ca="1" si="67"/>
        <v>44.791517153396782</v>
      </c>
    </row>
    <row r="3494" spans="4:4" x14ac:dyDescent="0.25">
      <c r="D3494">
        <f t="shared" ca="1" si="67"/>
        <v>55.7914938055291</v>
      </c>
    </row>
    <row r="3495" spans="4:4" x14ac:dyDescent="0.25">
      <c r="D3495">
        <f t="shared" ca="1" si="67"/>
        <v>56.565876278362559</v>
      </c>
    </row>
    <row r="3496" spans="4:4" x14ac:dyDescent="0.25">
      <c r="D3496">
        <f t="shared" ca="1" si="67"/>
        <v>44.029013706266781</v>
      </c>
    </row>
    <row r="3497" spans="4:4" x14ac:dyDescent="0.25">
      <c r="D3497">
        <f t="shared" ca="1" si="67"/>
        <v>51.418493082509528</v>
      </c>
    </row>
    <row r="3498" spans="4:4" x14ac:dyDescent="0.25">
      <c r="D3498">
        <f t="shared" ca="1" si="67"/>
        <v>43.996148870039789</v>
      </c>
    </row>
    <row r="3499" spans="4:4" x14ac:dyDescent="0.25">
      <c r="D3499">
        <f t="shared" ca="1" si="67"/>
        <v>47.113155368938841</v>
      </c>
    </row>
    <row r="3500" spans="4:4" x14ac:dyDescent="0.25">
      <c r="D3500">
        <f t="shared" ca="1" si="67"/>
        <v>48.743813481676028</v>
      </c>
    </row>
    <row r="3501" spans="4:4" x14ac:dyDescent="0.25">
      <c r="D3501">
        <f t="shared" ca="1" si="67"/>
        <v>41.226940609516504</v>
      </c>
    </row>
    <row r="3502" spans="4:4" x14ac:dyDescent="0.25">
      <c r="D3502">
        <f t="shared" ca="1" si="67"/>
        <v>46.043804293587399</v>
      </c>
    </row>
    <row r="3503" spans="4:4" x14ac:dyDescent="0.25">
      <c r="D3503">
        <f t="shared" ca="1" si="67"/>
        <v>47.473940024609682</v>
      </c>
    </row>
    <row r="3504" spans="4:4" x14ac:dyDescent="0.25">
      <c r="D3504">
        <f t="shared" ca="1" si="67"/>
        <v>49.304772089521492</v>
      </c>
    </row>
    <row r="3505" spans="4:4" x14ac:dyDescent="0.25">
      <c r="D3505">
        <f t="shared" ca="1" si="67"/>
        <v>48.661070134154819</v>
      </c>
    </row>
    <row r="3506" spans="4:4" x14ac:dyDescent="0.25">
      <c r="D3506">
        <f t="shared" ca="1" si="67"/>
        <v>47.087145940057447</v>
      </c>
    </row>
    <row r="3507" spans="4:4" x14ac:dyDescent="0.25">
      <c r="D3507">
        <f t="shared" ca="1" si="67"/>
        <v>51.100227281498874</v>
      </c>
    </row>
    <row r="3508" spans="4:4" x14ac:dyDescent="0.25">
      <c r="D3508">
        <f t="shared" ca="1" si="67"/>
        <v>48.834902855386851</v>
      </c>
    </row>
    <row r="3509" spans="4:4" x14ac:dyDescent="0.25">
      <c r="D3509">
        <f t="shared" ca="1" si="67"/>
        <v>48.663612935850658</v>
      </c>
    </row>
    <row r="3510" spans="4:4" x14ac:dyDescent="0.25">
      <c r="D3510">
        <f t="shared" ca="1" si="67"/>
        <v>44.791404072898686</v>
      </c>
    </row>
    <row r="3511" spans="4:4" x14ac:dyDescent="0.25">
      <c r="D3511">
        <f t="shared" ca="1" si="67"/>
        <v>53.518909726099359</v>
      </c>
    </row>
    <row r="3512" spans="4:4" x14ac:dyDescent="0.25">
      <c r="D3512">
        <f t="shared" ca="1" si="67"/>
        <v>52.801921788569274</v>
      </c>
    </row>
    <row r="3513" spans="4:4" x14ac:dyDescent="0.25">
      <c r="D3513">
        <f t="shared" ca="1" si="67"/>
        <v>40.94171511268479</v>
      </c>
    </row>
    <row r="3514" spans="4:4" x14ac:dyDescent="0.25">
      <c r="D3514">
        <f t="shared" ca="1" si="67"/>
        <v>60.909086789035669</v>
      </c>
    </row>
    <row r="3515" spans="4:4" x14ac:dyDescent="0.25">
      <c r="D3515">
        <f t="shared" ca="1" si="67"/>
        <v>50.506694804808212</v>
      </c>
    </row>
    <row r="3516" spans="4:4" x14ac:dyDescent="0.25">
      <c r="D3516">
        <f t="shared" ca="1" si="67"/>
        <v>48.660140487470777</v>
      </c>
    </row>
    <row r="3517" spans="4:4" x14ac:dyDescent="0.25">
      <c r="D3517">
        <f t="shared" ca="1" si="67"/>
        <v>48.245347632247721</v>
      </c>
    </row>
    <row r="3518" spans="4:4" x14ac:dyDescent="0.25">
      <c r="D3518">
        <f t="shared" ca="1" si="67"/>
        <v>54.337539412364336</v>
      </c>
    </row>
    <row r="3519" spans="4:4" x14ac:dyDescent="0.25">
      <c r="D3519">
        <f t="shared" ca="1" si="67"/>
        <v>49.797306057412456</v>
      </c>
    </row>
    <row r="3520" spans="4:4" x14ac:dyDescent="0.25">
      <c r="D3520">
        <f t="shared" ca="1" si="67"/>
        <v>43.886298984965066</v>
      </c>
    </row>
    <row r="3521" spans="4:4" x14ac:dyDescent="0.25">
      <c r="D3521">
        <f t="shared" ca="1" si="67"/>
        <v>46.08583299309084</v>
      </c>
    </row>
    <row r="3522" spans="4:4" x14ac:dyDescent="0.25">
      <c r="D3522">
        <f t="shared" ca="1" si="67"/>
        <v>56.619480101538393</v>
      </c>
    </row>
    <row r="3523" spans="4:4" x14ac:dyDescent="0.25">
      <c r="D3523">
        <f t="shared" ref="D3523:D3586" ca="1" si="68">_xlfn.T.INV(RAND(),25)*$G$3+$F$3</f>
        <v>41.622873438610327</v>
      </c>
    </row>
    <row r="3524" spans="4:4" x14ac:dyDescent="0.25">
      <c r="D3524">
        <f t="shared" ca="1" si="68"/>
        <v>44.567013570662141</v>
      </c>
    </row>
    <row r="3525" spans="4:4" x14ac:dyDescent="0.25">
      <c r="D3525">
        <f t="shared" ca="1" si="68"/>
        <v>51.728741921688041</v>
      </c>
    </row>
    <row r="3526" spans="4:4" x14ac:dyDescent="0.25">
      <c r="D3526">
        <f t="shared" ca="1" si="68"/>
        <v>47.801653433482585</v>
      </c>
    </row>
    <row r="3527" spans="4:4" x14ac:dyDescent="0.25">
      <c r="D3527">
        <f t="shared" ca="1" si="68"/>
        <v>55.984210545452854</v>
      </c>
    </row>
    <row r="3528" spans="4:4" x14ac:dyDescent="0.25">
      <c r="D3528">
        <f t="shared" ca="1" si="68"/>
        <v>53.601495937414342</v>
      </c>
    </row>
    <row r="3529" spans="4:4" x14ac:dyDescent="0.25">
      <c r="D3529">
        <f t="shared" ca="1" si="68"/>
        <v>55.634277207577476</v>
      </c>
    </row>
    <row r="3530" spans="4:4" x14ac:dyDescent="0.25">
      <c r="D3530">
        <f t="shared" ca="1" si="68"/>
        <v>43.053534838196953</v>
      </c>
    </row>
    <row r="3531" spans="4:4" x14ac:dyDescent="0.25">
      <c r="D3531">
        <f t="shared" ca="1" si="68"/>
        <v>49.905113243323463</v>
      </c>
    </row>
    <row r="3532" spans="4:4" x14ac:dyDescent="0.25">
      <c r="D3532">
        <f t="shared" ca="1" si="68"/>
        <v>41.861596017099295</v>
      </c>
    </row>
    <row r="3533" spans="4:4" x14ac:dyDescent="0.25">
      <c r="D3533">
        <f t="shared" ca="1" si="68"/>
        <v>40.907964971296821</v>
      </c>
    </row>
    <row r="3534" spans="4:4" x14ac:dyDescent="0.25">
      <c r="D3534">
        <f t="shared" ca="1" si="68"/>
        <v>52.129350314422979</v>
      </c>
    </row>
    <row r="3535" spans="4:4" x14ac:dyDescent="0.25">
      <c r="D3535">
        <f t="shared" ca="1" si="68"/>
        <v>42.746510759943099</v>
      </c>
    </row>
    <row r="3536" spans="4:4" x14ac:dyDescent="0.25">
      <c r="D3536">
        <f t="shared" ca="1" si="68"/>
        <v>45.691251094565409</v>
      </c>
    </row>
    <row r="3537" spans="4:4" x14ac:dyDescent="0.25">
      <c r="D3537">
        <f t="shared" ca="1" si="68"/>
        <v>48.4012837167176</v>
      </c>
    </row>
    <row r="3538" spans="4:4" x14ac:dyDescent="0.25">
      <c r="D3538">
        <f t="shared" ca="1" si="68"/>
        <v>52.517306920292079</v>
      </c>
    </row>
    <row r="3539" spans="4:4" x14ac:dyDescent="0.25">
      <c r="D3539">
        <f t="shared" ca="1" si="68"/>
        <v>41.600392322772493</v>
      </c>
    </row>
    <row r="3540" spans="4:4" x14ac:dyDescent="0.25">
      <c r="D3540">
        <f t="shared" ca="1" si="68"/>
        <v>52.876865947052558</v>
      </c>
    </row>
    <row r="3541" spans="4:4" x14ac:dyDescent="0.25">
      <c r="D3541">
        <f t="shared" ca="1" si="68"/>
        <v>51.844865644710545</v>
      </c>
    </row>
    <row r="3542" spans="4:4" x14ac:dyDescent="0.25">
      <c r="D3542">
        <f t="shared" ca="1" si="68"/>
        <v>49.911995393925622</v>
      </c>
    </row>
    <row r="3543" spans="4:4" x14ac:dyDescent="0.25">
      <c r="D3543">
        <f t="shared" ca="1" si="68"/>
        <v>56.979682196804021</v>
      </c>
    </row>
    <row r="3544" spans="4:4" x14ac:dyDescent="0.25">
      <c r="D3544">
        <f t="shared" ca="1" si="68"/>
        <v>48.661268427297493</v>
      </c>
    </row>
    <row r="3545" spans="4:4" x14ac:dyDescent="0.25">
      <c r="D3545">
        <f t="shared" ca="1" si="68"/>
        <v>46.963011868765847</v>
      </c>
    </row>
    <row r="3546" spans="4:4" x14ac:dyDescent="0.25">
      <c r="D3546">
        <f t="shared" ca="1" si="68"/>
        <v>46.329978193801495</v>
      </c>
    </row>
    <row r="3547" spans="4:4" x14ac:dyDescent="0.25">
      <c r="D3547">
        <f t="shared" ca="1" si="68"/>
        <v>51.947716923182696</v>
      </c>
    </row>
    <row r="3548" spans="4:4" x14ac:dyDescent="0.25">
      <c r="D3548">
        <f t="shared" ca="1" si="68"/>
        <v>48.622739463030044</v>
      </c>
    </row>
    <row r="3549" spans="4:4" x14ac:dyDescent="0.25">
      <c r="D3549">
        <f t="shared" ca="1" si="68"/>
        <v>48.058880727618714</v>
      </c>
    </row>
    <row r="3550" spans="4:4" x14ac:dyDescent="0.25">
      <c r="D3550">
        <f t="shared" ca="1" si="68"/>
        <v>53.034806728268109</v>
      </c>
    </row>
    <row r="3551" spans="4:4" x14ac:dyDescent="0.25">
      <c r="D3551">
        <f t="shared" ca="1" si="68"/>
        <v>54.540602057300731</v>
      </c>
    </row>
    <row r="3552" spans="4:4" x14ac:dyDescent="0.25">
      <c r="D3552">
        <f t="shared" ca="1" si="68"/>
        <v>50.321172841658644</v>
      </c>
    </row>
    <row r="3553" spans="4:4" x14ac:dyDescent="0.25">
      <c r="D3553">
        <f t="shared" ca="1" si="68"/>
        <v>55.056053955138509</v>
      </c>
    </row>
    <row r="3554" spans="4:4" x14ac:dyDescent="0.25">
      <c r="D3554">
        <f t="shared" ca="1" si="68"/>
        <v>46.698119547483607</v>
      </c>
    </row>
    <row r="3555" spans="4:4" x14ac:dyDescent="0.25">
      <c r="D3555">
        <f t="shared" ca="1" si="68"/>
        <v>50.774605461263675</v>
      </c>
    </row>
    <row r="3556" spans="4:4" x14ac:dyDescent="0.25">
      <c r="D3556">
        <f t="shared" ca="1" si="68"/>
        <v>45.416607056861224</v>
      </c>
    </row>
    <row r="3557" spans="4:4" x14ac:dyDescent="0.25">
      <c r="D3557">
        <f t="shared" ca="1" si="68"/>
        <v>53.491202929608342</v>
      </c>
    </row>
    <row r="3558" spans="4:4" x14ac:dyDescent="0.25">
      <c r="D3558">
        <f t="shared" ca="1" si="68"/>
        <v>52.275570468316815</v>
      </c>
    </row>
    <row r="3559" spans="4:4" x14ac:dyDescent="0.25">
      <c r="D3559">
        <f t="shared" ca="1" si="68"/>
        <v>44.068773809982318</v>
      </c>
    </row>
    <row r="3560" spans="4:4" x14ac:dyDescent="0.25">
      <c r="D3560">
        <f t="shared" ca="1" si="68"/>
        <v>51.61078814502585</v>
      </c>
    </row>
    <row r="3561" spans="4:4" x14ac:dyDescent="0.25">
      <c r="D3561">
        <f t="shared" ca="1" si="68"/>
        <v>48.574185935705621</v>
      </c>
    </row>
    <row r="3562" spans="4:4" x14ac:dyDescent="0.25">
      <c r="D3562">
        <f t="shared" ca="1" si="68"/>
        <v>50.64140259552984</v>
      </c>
    </row>
    <row r="3563" spans="4:4" x14ac:dyDescent="0.25">
      <c r="D3563">
        <f t="shared" ca="1" si="68"/>
        <v>57.646314238914314</v>
      </c>
    </row>
    <row r="3564" spans="4:4" x14ac:dyDescent="0.25">
      <c r="D3564">
        <f t="shared" ca="1" si="68"/>
        <v>49.640609011225337</v>
      </c>
    </row>
    <row r="3565" spans="4:4" x14ac:dyDescent="0.25">
      <c r="D3565">
        <f t="shared" ca="1" si="68"/>
        <v>55.393984692628038</v>
      </c>
    </row>
    <row r="3566" spans="4:4" x14ac:dyDescent="0.25">
      <c r="D3566">
        <f t="shared" ca="1" si="68"/>
        <v>51.320598905729142</v>
      </c>
    </row>
    <row r="3567" spans="4:4" x14ac:dyDescent="0.25">
      <c r="D3567">
        <f t="shared" ca="1" si="68"/>
        <v>51.766976133750596</v>
      </c>
    </row>
    <row r="3568" spans="4:4" x14ac:dyDescent="0.25">
      <c r="D3568">
        <f t="shared" ca="1" si="68"/>
        <v>45.553126413923266</v>
      </c>
    </row>
    <row r="3569" spans="4:4" x14ac:dyDescent="0.25">
      <c r="D3569">
        <f t="shared" ca="1" si="68"/>
        <v>45.432282685355332</v>
      </c>
    </row>
    <row r="3570" spans="4:4" x14ac:dyDescent="0.25">
      <c r="D3570">
        <f t="shared" ca="1" si="68"/>
        <v>46.98708357864097</v>
      </c>
    </row>
    <row r="3571" spans="4:4" x14ac:dyDescent="0.25">
      <c r="D3571">
        <f t="shared" ca="1" si="68"/>
        <v>57.040564405552907</v>
      </c>
    </row>
    <row r="3572" spans="4:4" x14ac:dyDescent="0.25">
      <c r="D3572">
        <f t="shared" ca="1" si="68"/>
        <v>40.374110291085586</v>
      </c>
    </row>
    <row r="3573" spans="4:4" x14ac:dyDescent="0.25">
      <c r="D3573">
        <f t="shared" ca="1" si="68"/>
        <v>58.958143041427348</v>
      </c>
    </row>
    <row r="3574" spans="4:4" x14ac:dyDescent="0.25">
      <c r="D3574">
        <f t="shared" ca="1" si="68"/>
        <v>47.672119209409288</v>
      </c>
    </row>
    <row r="3575" spans="4:4" x14ac:dyDescent="0.25">
      <c r="D3575">
        <f t="shared" ca="1" si="68"/>
        <v>47.893771129569366</v>
      </c>
    </row>
    <row r="3576" spans="4:4" x14ac:dyDescent="0.25">
      <c r="D3576">
        <f t="shared" ca="1" si="68"/>
        <v>54.425326390876108</v>
      </c>
    </row>
    <row r="3577" spans="4:4" x14ac:dyDescent="0.25">
      <c r="D3577">
        <f t="shared" ca="1" si="68"/>
        <v>51.012965082227417</v>
      </c>
    </row>
    <row r="3578" spans="4:4" x14ac:dyDescent="0.25">
      <c r="D3578">
        <f t="shared" ca="1" si="68"/>
        <v>50.186665378027463</v>
      </c>
    </row>
    <row r="3579" spans="4:4" x14ac:dyDescent="0.25">
      <c r="D3579">
        <f t="shared" ca="1" si="68"/>
        <v>47.32900665833597</v>
      </c>
    </row>
    <row r="3580" spans="4:4" x14ac:dyDescent="0.25">
      <c r="D3580">
        <f t="shared" ca="1" si="68"/>
        <v>37.260125213626814</v>
      </c>
    </row>
    <row r="3581" spans="4:4" x14ac:dyDescent="0.25">
      <c r="D3581">
        <f t="shared" ca="1" si="68"/>
        <v>51.896903192692733</v>
      </c>
    </row>
    <row r="3582" spans="4:4" x14ac:dyDescent="0.25">
      <c r="D3582">
        <f t="shared" ca="1" si="68"/>
        <v>45.116499449035295</v>
      </c>
    </row>
    <row r="3583" spans="4:4" x14ac:dyDescent="0.25">
      <c r="D3583">
        <f t="shared" ca="1" si="68"/>
        <v>43.947363827551264</v>
      </c>
    </row>
    <row r="3584" spans="4:4" x14ac:dyDescent="0.25">
      <c r="D3584">
        <f t="shared" ca="1" si="68"/>
        <v>56.111275220551761</v>
      </c>
    </row>
    <row r="3585" spans="4:4" x14ac:dyDescent="0.25">
      <c r="D3585">
        <f t="shared" ca="1" si="68"/>
        <v>53.961577958286668</v>
      </c>
    </row>
    <row r="3586" spans="4:4" x14ac:dyDescent="0.25">
      <c r="D3586">
        <f t="shared" ca="1" si="68"/>
        <v>53.620706804617782</v>
      </c>
    </row>
    <row r="3587" spans="4:4" x14ac:dyDescent="0.25">
      <c r="D3587">
        <f t="shared" ref="D3587:D3650" ca="1" si="69">_xlfn.T.INV(RAND(),25)*$G$3+$F$3</f>
        <v>46.700068205196217</v>
      </c>
    </row>
    <row r="3588" spans="4:4" x14ac:dyDescent="0.25">
      <c r="D3588">
        <f t="shared" ca="1" si="69"/>
        <v>46.761964910780051</v>
      </c>
    </row>
    <row r="3589" spans="4:4" x14ac:dyDescent="0.25">
      <c r="D3589">
        <f t="shared" ca="1" si="69"/>
        <v>53.467087704137164</v>
      </c>
    </row>
    <row r="3590" spans="4:4" x14ac:dyDescent="0.25">
      <c r="D3590">
        <f t="shared" ca="1" si="69"/>
        <v>45.356876393556163</v>
      </c>
    </row>
    <row r="3591" spans="4:4" x14ac:dyDescent="0.25">
      <c r="D3591">
        <f t="shared" ca="1" si="69"/>
        <v>54.940731668718271</v>
      </c>
    </row>
    <row r="3592" spans="4:4" x14ac:dyDescent="0.25">
      <c r="D3592">
        <f t="shared" ca="1" si="69"/>
        <v>47.27284069662884</v>
      </c>
    </row>
    <row r="3593" spans="4:4" x14ac:dyDescent="0.25">
      <c r="D3593">
        <f t="shared" ca="1" si="69"/>
        <v>51.777784805793914</v>
      </c>
    </row>
    <row r="3594" spans="4:4" x14ac:dyDescent="0.25">
      <c r="D3594">
        <f t="shared" ca="1" si="69"/>
        <v>43.051927785100048</v>
      </c>
    </row>
    <row r="3595" spans="4:4" x14ac:dyDescent="0.25">
      <c r="D3595">
        <f t="shared" ca="1" si="69"/>
        <v>45.21022019337083</v>
      </c>
    </row>
    <row r="3596" spans="4:4" x14ac:dyDescent="0.25">
      <c r="D3596">
        <f t="shared" ca="1" si="69"/>
        <v>45.811568418997417</v>
      </c>
    </row>
    <row r="3597" spans="4:4" x14ac:dyDescent="0.25">
      <c r="D3597">
        <f t="shared" ca="1" si="69"/>
        <v>45.749097779649439</v>
      </c>
    </row>
    <row r="3598" spans="4:4" x14ac:dyDescent="0.25">
      <c r="D3598">
        <f t="shared" ca="1" si="69"/>
        <v>43.515893573387956</v>
      </c>
    </row>
    <row r="3599" spans="4:4" x14ac:dyDescent="0.25">
      <c r="D3599">
        <f t="shared" ca="1" si="69"/>
        <v>49.420548305617558</v>
      </c>
    </row>
    <row r="3600" spans="4:4" x14ac:dyDescent="0.25">
      <c r="D3600">
        <f t="shared" ca="1" si="69"/>
        <v>45.816358376977966</v>
      </c>
    </row>
    <row r="3601" spans="4:4" x14ac:dyDescent="0.25">
      <c r="D3601">
        <f t="shared" ca="1" si="69"/>
        <v>52.524059814576532</v>
      </c>
    </row>
    <row r="3602" spans="4:4" x14ac:dyDescent="0.25">
      <c r="D3602">
        <f t="shared" ca="1" si="69"/>
        <v>47.051792476147774</v>
      </c>
    </row>
    <row r="3603" spans="4:4" x14ac:dyDescent="0.25">
      <c r="D3603">
        <f t="shared" ca="1" si="69"/>
        <v>49.174020695519943</v>
      </c>
    </row>
    <row r="3604" spans="4:4" x14ac:dyDescent="0.25">
      <c r="D3604">
        <f t="shared" ca="1" si="69"/>
        <v>44.807850222896576</v>
      </c>
    </row>
    <row r="3605" spans="4:4" x14ac:dyDescent="0.25">
      <c r="D3605">
        <f t="shared" ca="1" si="69"/>
        <v>43.001823612160912</v>
      </c>
    </row>
    <row r="3606" spans="4:4" x14ac:dyDescent="0.25">
      <c r="D3606">
        <f t="shared" ca="1" si="69"/>
        <v>46.622054011567421</v>
      </c>
    </row>
    <row r="3607" spans="4:4" x14ac:dyDescent="0.25">
      <c r="D3607">
        <f t="shared" ca="1" si="69"/>
        <v>47.955815629219856</v>
      </c>
    </row>
    <row r="3608" spans="4:4" x14ac:dyDescent="0.25">
      <c r="D3608">
        <f t="shared" ca="1" si="69"/>
        <v>42.308191696098511</v>
      </c>
    </row>
    <row r="3609" spans="4:4" x14ac:dyDescent="0.25">
      <c r="D3609">
        <f t="shared" ca="1" si="69"/>
        <v>43.325729685891083</v>
      </c>
    </row>
    <row r="3610" spans="4:4" x14ac:dyDescent="0.25">
      <c r="D3610">
        <f t="shared" ca="1" si="69"/>
        <v>52.711490179310672</v>
      </c>
    </row>
    <row r="3611" spans="4:4" x14ac:dyDescent="0.25">
      <c r="D3611">
        <f t="shared" ca="1" si="69"/>
        <v>48.003123455186</v>
      </c>
    </row>
    <row r="3612" spans="4:4" x14ac:dyDescent="0.25">
      <c r="D3612">
        <f t="shared" ca="1" si="69"/>
        <v>43.704221557677108</v>
      </c>
    </row>
    <row r="3613" spans="4:4" x14ac:dyDescent="0.25">
      <c r="D3613">
        <f t="shared" ca="1" si="69"/>
        <v>51.013407339823786</v>
      </c>
    </row>
    <row r="3614" spans="4:4" x14ac:dyDescent="0.25">
      <c r="D3614">
        <f t="shared" ca="1" si="69"/>
        <v>35.464317230561548</v>
      </c>
    </row>
    <row r="3615" spans="4:4" x14ac:dyDescent="0.25">
      <c r="D3615">
        <f t="shared" ca="1" si="69"/>
        <v>41.089909676194836</v>
      </c>
    </row>
    <row r="3616" spans="4:4" x14ac:dyDescent="0.25">
      <c r="D3616">
        <f t="shared" ca="1" si="69"/>
        <v>50.717802612497444</v>
      </c>
    </row>
    <row r="3617" spans="4:4" x14ac:dyDescent="0.25">
      <c r="D3617">
        <f t="shared" ca="1" si="69"/>
        <v>52.642548739373439</v>
      </c>
    </row>
    <row r="3618" spans="4:4" x14ac:dyDescent="0.25">
      <c r="D3618">
        <f t="shared" ca="1" si="69"/>
        <v>51.118713906772896</v>
      </c>
    </row>
    <row r="3619" spans="4:4" x14ac:dyDescent="0.25">
      <c r="D3619">
        <f t="shared" ca="1" si="69"/>
        <v>56.134946774625384</v>
      </c>
    </row>
    <row r="3620" spans="4:4" x14ac:dyDescent="0.25">
      <c r="D3620">
        <f t="shared" ca="1" si="69"/>
        <v>44.759116083463383</v>
      </c>
    </row>
    <row r="3621" spans="4:4" x14ac:dyDescent="0.25">
      <c r="D3621">
        <f t="shared" ca="1" si="69"/>
        <v>53.080450779643591</v>
      </c>
    </row>
    <row r="3622" spans="4:4" x14ac:dyDescent="0.25">
      <c r="D3622">
        <f t="shared" ca="1" si="69"/>
        <v>40.795281483026329</v>
      </c>
    </row>
    <row r="3623" spans="4:4" x14ac:dyDescent="0.25">
      <c r="D3623">
        <f t="shared" ca="1" si="69"/>
        <v>49.319065727327484</v>
      </c>
    </row>
    <row r="3624" spans="4:4" x14ac:dyDescent="0.25">
      <c r="D3624">
        <f t="shared" ca="1" si="69"/>
        <v>45.849371020327823</v>
      </c>
    </row>
    <row r="3625" spans="4:4" x14ac:dyDescent="0.25">
      <c r="D3625">
        <f t="shared" ca="1" si="69"/>
        <v>38.865090824371187</v>
      </c>
    </row>
    <row r="3626" spans="4:4" x14ac:dyDescent="0.25">
      <c r="D3626">
        <f t="shared" ca="1" si="69"/>
        <v>54.209996987421412</v>
      </c>
    </row>
    <row r="3627" spans="4:4" x14ac:dyDescent="0.25">
      <c r="D3627">
        <f t="shared" ca="1" si="69"/>
        <v>56.193048422515375</v>
      </c>
    </row>
    <row r="3628" spans="4:4" x14ac:dyDescent="0.25">
      <c r="D3628">
        <f t="shared" ca="1" si="69"/>
        <v>49.592703150529132</v>
      </c>
    </row>
    <row r="3629" spans="4:4" x14ac:dyDescent="0.25">
      <c r="D3629">
        <f t="shared" ca="1" si="69"/>
        <v>50.084884396171304</v>
      </c>
    </row>
    <row r="3630" spans="4:4" x14ac:dyDescent="0.25">
      <c r="D3630">
        <f t="shared" ca="1" si="69"/>
        <v>40.890641595001561</v>
      </c>
    </row>
    <row r="3631" spans="4:4" x14ac:dyDescent="0.25">
      <c r="D3631">
        <f t="shared" ca="1" si="69"/>
        <v>46.990572187913799</v>
      </c>
    </row>
    <row r="3632" spans="4:4" x14ac:dyDescent="0.25">
      <c r="D3632">
        <f t="shared" ca="1" si="69"/>
        <v>57.146529109149611</v>
      </c>
    </row>
    <row r="3633" spans="4:4" x14ac:dyDescent="0.25">
      <c r="D3633">
        <f t="shared" ca="1" si="69"/>
        <v>46.841250422499556</v>
      </c>
    </row>
    <row r="3634" spans="4:4" x14ac:dyDescent="0.25">
      <c r="D3634">
        <f t="shared" ca="1" si="69"/>
        <v>36.867169571661883</v>
      </c>
    </row>
    <row r="3635" spans="4:4" x14ac:dyDescent="0.25">
      <c r="D3635">
        <f t="shared" ca="1" si="69"/>
        <v>51.541992269114971</v>
      </c>
    </row>
    <row r="3636" spans="4:4" x14ac:dyDescent="0.25">
      <c r="D3636">
        <f t="shared" ca="1" si="69"/>
        <v>50.970933566275718</v>
      </c>
    </row>
    <row r="3637" spans="4:4" x14ac:dyDescent="0.25">
      <c r="D3637">
        <f t="shared" ca="1" si="69"/>
        <v>52.137045582351497</v>
      </c>
    </row>
    <row r="3638" spans="4:4" x14ac:dyDescent="0.25">
      <c r="D3638">
        <f t="shared" ca="1" si="69"/>
        <v>50.347247258351025</v>
      </c>
    </row>
    <row r="3639" spans="4:4" x14ac:dyDescent="0.25">
      <c r="D3639">
        <f t="shared" ca="1" si="69"/>
        <v>50.737445534486525</v>
      </c>
    </row>
    <row r="3640" spans="4:4" x14ac:dyDescent="0.25">
      <c r="D3640">
        <f t="shared" ca="1" si="69"/>
        <v>51.025532151497032</v>
      </c>
    </row>
    <row r="3641" spans="4:4" x14ac:dyDescent="0.25">
      <c r="D3641">
        <f t="shared" ca="1" si="69"/>
        <v>50.720572239346993</v>
      </c>
    </row>
    <row r="3642" spans="4:4" x14ac:dyDescent="0.25">
      <c r="D3642">
        <f t="shared" ca="1" si="69"/>
        <v>50.586311063655472</v>
      </c>
    </row>
    <row r="3643" spans="4:4" x14ac:dyDescent="0.25">
      <c r="D3643">
        <f t="shared" ca="1" si="69"/>
        <v>38.475472045147335</v>
      </c>
    </row>
    <row r="3644" spans="4:4" x14ac:dyDescent="0.25">
      <c r="D3644">
        <f t="shared" ca="1" si="69"/>
        <v>49.440154781482413</v>
      </c>
    </row>
    <row r="3645" spans="4:4" x14ac:dyDescent="0.25">
      <c r="D3645">
        <f t="shared" ca="1" si="69"/>
        <v>56.442401523058322</v>
      </c>
    </row>
    <row r="3646" spans="4:4" x14ac:dyDescent="0.25">
      <c r="D3646">
        <f t="shared" ca="1" si="69"/>
        <v>45.543898045468922</v>
      </c>
    </row>
    <row r="3647" spans="4:4" x14ac:dyDescent="0.25">
      <c r="D3647">
        <f t="shared" ca="1" si="69"/>
        <v>37.408800516902105</v>
      </c>
    </row>
    <row r="3648" spans="4:4" x14ac:dyDescent="0.25">
      <c r="D3648">
        <f t="shared" ca="1" si="69"/>
        <v>34.84476807700657</v>
      </c>
    </row>
    <row r="3649" spans="4:4" x14ac:dyDescent="0.25">
      <c r="D3649">
        <f t="shared" ca="1" si="69"/>
        <v>52.682712323565177</v>
      </c>
    </row>
    <row r="3650" spans="4:4" x14ac:dyDescent="0.25">
      <c r="D3650">
        <f t="shared" ca="1" si="69"/>
        <v>51.807143325130937</v>
      </c>
    </row>
    <row r="3651" spans="4:4" x14ac:dyDescent="0.25">
      <c r="D3651">
        <f t="shared" ref="D3651:D3714" ca="1" si="70">_xlfn.T.INV(RAND(),25)*$G$3+$F$3</f>
        <v>46.253553279798837</v>
      </c>
    </row>
    <row r="3652" spans="4:4" x14ac:dyDescent="0.25">
      <c r="D3652">
        <f t="shared" ca="1" si="70"/>
        <v>44.507804171736396</v>
      </c>
    </row>
    <row r="3653" spans="4:4" x14ac:dyDescent="0.25">
      <c r="D3653">
        <f t="shared" ca="1" si="70"/>
        <v>45.420758954122469</v>
      </c>
    </row>
    <row r="3654" spans="4:4" x14ac:dyDescent="0.25">
      <c r="D3654">
        <f t="shared" ca="1" si="70"/>
        <v>51.421623594478049</v>
      </c>
    </row>
    <row r="3655" spans="4:4" x14ac:dyDescent="0.25">
      <c r="D3655">
        <f t="shared" ca="1" si="70"/>
        <v>49.392987224926351</v>
      </c>
    </row>
    <row r="3656" spans="4:4" x14ac:dyDescent="0.25">
      <c r="D3656">
        <f t="shared" ca="1" si="70"/>
        <v>46.913869196244192</v>
      </c>
    </row>
    <row r="3657" spans="4:4" x14ac:dyDescent="0.25">
      <c r="D3657">
        <f t="shared" ca="1" si="70"/>
        <v>50.320607449947296</v>
      </c>
    </row>
    <row r="3658" spans="4:4" x14ac:dyDescent="0.25">
      <c r="D3658">
        <f t="shared" ca="1" si="70"/>
        <v>45.044698284135578</v>
      </c>
    </row>
    <row r="3659" spans="4:4" x14ac:dyDescent="0.25">
      <c r="D3659">
        <f t="shared" ca="1" si="70"/>
        <v>35.558173994785356</v>
      </c>
    </row>
    <row r="3660" spans="4:4" x14ac:dyDescent="0.25">
      <c r="D3660">
        <f t="shared" ca="1" si="70"/>
        <v>48.894458618747834</v>
      </c>
    </row>
    <row r="3661" spans="4:4" x14ac:dyDescent="0.25">
      <c r="D3661">
        <f t="shared" ca="1" si="70"/>
        <v>47.405820384048951</v>
      </c>
    </row>
    <row r="3662" spans="4:4" x14ac:dyDescent="0.25">
      <c r="D3662">
        <f t="shared" ca="1" si="70"/>
        <v>49.213408938357944</v>
      </c>
    </row>
    <row r="3663" spans="4:4" x14ac:dyDescent="0.25">
      <c r="D3663">
        <f t="shared" ca="1" si="70"/>
        <v>48.569381540552008</v>
      </c>
    </row>
    <row r="3664" spans="4:4" x14ac:dyDescent="0.25">
      <c r="D3664">
        <f t="shared" ca="1" si="70"/>
        <v>55.721349834891882</v>
      </c>
    </row>
    <row r="3665" spans="4:4" x14ac:dyDescent="0.25">
      <c r="D3665">
        <f t="shared" ca="1" si="70"/>
        <v>52.790186953784541</v>
      </c>
    </row>
    <row r="3666" spans="4:4" x14ac:dyDescent="0.25">
      <c r="D3666">
        <f t="shared" ca="1" si="70"/>
        <v>54.679481057145644</v>
      </c>
    </row>
    <row r="3667" spans="4:4" x14ac:dyDescent="0.25">
      <c r="D3667">
        <f t="shared" ca="1" si="70"/>
        <v>47.277080034283422</v>
      </c>
    </row>
    <row r="3668" spans="4:4" x14ac:dyDescent="0.25">
      <c r="D3668">
        <f t="shared" ca="1" si="70"/>
        <v>48.653287541911205</v>
      </c>
    </row>
    <row r="3669" spans="4:4" x14ac:dyDescent="0.25">
      <c r="D3669">
        <f t="shared" ca="1" si="70"/>
        <v>51.640462337457961</v>
      </c>
    </row>
    <row r="3670" spans="4:4" x14ac:dyDescent="0.25">
      <c r="D3670">
        <f t="shared" ca="1" si="70"/>
        <v>49.220435287773135</v>
      </c>
    </row>
    <row r="3671" spans="4:4" x14ac:dyDescent="0.25">
      <c r="D3671">
        <f t="shared" ca="1" si="70"/>
        <v>51.487254237118087</v>
      </c>
    </row>
    <row r="3672" spans="4:4" x14ac:dyDescent="0.25">
      <c r="D3672">
        <f t="shared" ca="1" si="70"/>
        <v>56.179054169695846</v>
      </c>
    </row>
    <row r="3673" spans="4:4" x14ac:dyDescent="0.25">
      <c r="D3673">
        <f t="shared" ca="1" si="70"/>
        <v>59.075174566243241</v>
      </c>
    </row>
    <row r="3674" spans="4:4" x14ac:dyDescent="0.25">
      <c r="D3674">
        <f t="shared" ca="1" si="70"/>
        <v>42.791470831857524</v>
      </c>
    </row>
    <row r="3675" spans="4:4" x14ac:dyDescent="0.25">
      <c r="D3675">
        <f t="shared" ca="1" si="70"/>
        <v>44.777414517814208</v>
      </c>
    </row>
    <row r="3676" spans="4:4" x14ac:dyDescent="0.25">
      <c r="D3676">
        <f t="shared" ca="1" si="70"/>
        <v>49.084738925599837</v>
      </c>
    </row>
    <row r="3677" spans="4:4" x14ac:dyDescent="0.25">
      <c r="D3677">
        <f t="shared" ca="1" si="70"/>
        <v>49.86997270560628</v>
      </c>
    </row>
    <row r="3678" spans="4:4" x14ac:dyDescent="0.25">
      <c r="D3678">
        <f t="shared" ca="1" si="70"/>
        <v>46.579952867143078</v>
      </c>
    </row>
    <row r="3679" spans="4:4" x14ac:dyDescent="0.25">
      <c r="D3679">
        <f t="shared" ca="1" si="70"/>
        <v>43.318281088337557</v>
      </c>
    </row>
    <row r="3680" spans="4:4" x14ac:dyDescent="0.25">
      <c r="D3680">
        <f t="shared" ca="1" si="70"/>
        <v>54.93045328632666</v>
      </c>
    </row>
    <row r="3681" spans="4:4" x14ac:dyDescent="0.25">
      <c r="D3681">
        <f t="shared" ca="1" si="70"/>
        <v>45.963762432142424</v>
      </c>
    </row>
    <row r="3682" spans="4:4" x14ac:dyDescent="0.25">
      <c r="D3682">
        <f t="shared" ca="1" si="70"/>
        <v>39.235788771143213</v>
      </c>
    </row>
    <row r="3683" spans="4:4" x14ac:dyDescent="0.25">
      <c r="D3683">
        <f t="shared" ca="1" si="70"/>
        <v>52.109037047316683</v>
      </c>
    </row>
    <row r="3684" spans="4:4" x14ac:dyDescent="0.25">
      <c r="D3684">
        <f t="shared" ca="1" si="70"/>
        <v>46.178294046251729</v>
      </c>
    </row>
    <row r="3685" spans="4:4" x14ac:dyDescent="0.25">
      <c r="D3685">
        <f t="shared" ca="1" si="70"/>
        <v>47.939132671523119</v>
      </c>
    </row>
    <row r="3686" spans="4:4" x14ac:dyDescent="0.25">
      <c r="D3686">
        <f t="shared" ca="1" si="70"/>
        <v>42.04027211687503</v>
      </c>
    </row>
    <row r="3687" spans="4:4" x14ac:dyDescent="0.25">
      <c r="D3687">
        <f t="shared" ca="1" si="70"/>
        <v>50.827803076091641</v>
      </c>
    </row>
    <row r="3688" spans="4:4" x14ac:dyDescent="0.25">
      <c r="D3688">
        <f t="shared" ca="1" si="70"/>
        <v>49.822128107025549</v>
      </c>
    </row>
    <row r="3689" spans="4:4" x14ac:dyDescent="0.25">
      <c r="D3689">
        <f t="shared" ca="1" si="70"/>
        <v>47.988472945797497</v>
      </c>
    </row>
    <row r="3690" spans="4:4" x14ac:dyDescent="0.25">
      <c r="D3690">
        <f t="shared" ca="1" si="70"/>
        <v>50.909356453269815</v>
      </c>
    </row>
    <row r="3691" spans="4:4" x14ac:dyDescent="0.25">
      <c r="D3691">
        <f t="shared" ca="1" si="70"/>
        <v>45.326741339894568</v>
      </c>
    </row>
    <row r="3692" spans="4:4" x14ac:dyDescent="0.25">
      <c r="D3692">
        <f t="shared" ca="1" si="70"/>
        <v>62.275490996887584</v>
      </c>
    </row>
    <row r="3693" spans="4:4" x14ac:dyDescent="0.25">
      <c r="D3693">
        <f t="shared" ca="1" si="70"/>
        <v>50.593511955752895</v>
      </c>
    </row>
    <row r="3694" spans="4:4" x14ac:dyDescent="0.25">
      <c r="D3694">
        <f t="shared" ca="1" si="70"/>
        <v>49.170827446673329</v>
      </c>
    </row>
    <row r="3695" spans="4:4" x14ac:dyDescent="0.25">
      <c r="D3695">
        <f t="shared" ca="1" si="70"/>
        <v>53.772534993177501</v>
      </c>
    </row>
    <row r="3696" spans="4:4" x14ac:dyDescent="0.25">
      <c r="D3696">
        <f t="shared" ca="1" si="70"/>
        <v>48.684114737598918</v>
      </c>
    </row>
    <row r="3697" spans="4:4" x14ac:dyDescent="0.25">
      <c r="D3697">
        <f t="shared" ca="1" si="70"/>
        <v>62.840145907865463</v>
      </c>
    </row>
    <row r="3698" spans="4:4" x14ac:dyDescent="0.25">
      <c r="D3698">
        <f t="shared" ca="1" si="70"/>
        <v>53.192138607382915</v>
      </c>
    </row>
    <row r="3699" spans="4:4" x14ac:dyDescent="0.25">
      <c r="D3699">
        <f t="shared" ca="1" si="70"/>
        <v>45.876544735919119</v>
      </c>
    </row>
    <row r="3700" spans="4:4" x14ac:dyDescent="0.25">
      <c r="D3700">
        <f t="shared" ca="1" si="70"/>
        <v>49.513290772557845</v>
      </c>
    </row>
    <row r="3701" spans="4:4" x14ac:dyDescent="0.25">
      <c r="D3701">
        <f t="shared" ca="1" si="70"/>
        <v>47.405209066811082</v>
      </c>
    </row>
    <row r="3702" spans="4:4" x14ac:dyDescent="0.25">
      <c r="D3702">
        <f t="shared" ca="1" si="70"/>
        <v>47.514808502671613</v>
      </c>
    </row>
    <row r="3703" spans="4:4" x14ac:dyDescent="0.25">
      <c r="D3703">
        <f t="shared" ca="1" si="70"/>
        <v>46.447605243392914</v>
      </c>
    </row>
    <row r="3704" spans="4:4" x14ac:dyDescent="0.25">
      <c r="D3704">
        <f t="shared" ca="1" si="70"/>
        <v>48.818300164183718</v>
      </c>
    </row>
    <row r="3705" spans="4:4" x14ac:dyDescent="0.25">
      <c r="D3705">
        <f t="shared" ca="1" si="70"/>
        <v>44.104219830232161</v>
      </c>
    </row>
    <row r="3706" spans="4:4" x14ac:dyDescent="0.25">
      <c r="D3706">
        <f t="shared" ca="1" si="70"/>
        <v>40.652281822434929</v>
      </c>
    </row>
    <row r="3707" spans="4:4" x14ac:dyDescent="0.25">
      <c r="D3707">
        <f t="shared" ca="1" si="70"/>
        <v>49.36568798642346</v>
      </c>
    </row>
    <row r="3708" spans="4:4" x14ac:dyDescent="0.25">
      <c r="D3708">
        <f t="shared" ca="1" si="70"/>
        <v>56.944050654927644</v>
      </c>
    </row>
    <row r="3709" spans="4:4" x14ac:dyDescent="0.25">
      <c r="D3709">
        <f t="shared" ca="1" si="70"/>
        <v>42.735729263091962</v>
      </c>
    </row>
    <row r="3710" spans="4:4" x14ac:dyDescent="0.25">
      <c r="D3710">
        <f t="shared" ca="1" si="70"/>
        <v>45.990574407864678</v>
      </c>
    </row>
    <row r="3711" spans="4:4" x14ac:dyDescent="0.25">
      <c r="D3711">
        <f t="shared" ca="1" si="70"/>
        <v>48.844746175758445</v>
      </c>
    </row>
    <row r="3712" spans="4:4" x14ac:dyDescent="0.25">
      <c r="D3712">
        <f t="shared" ca="1" si="70"/>
        <v>57.372232988385257</v>
      </c>
    </row>
    <row r="3713" spans="4:4" x14ac:dyDescent="0.25">
      <c r="D3713">
        <f t="shared" ca="1" si="70"/>
        <v>46.576595491812093</v>
      </c>
    </row>
    <row r="3714" spans="4:4" x14ac:dyDescent="0.25">
      <c r="D3714">
        <f t="shared" ca="1" si="70"/>
        <v>53.408422500072952</v>
      </c>
    </row>
    <row r="3715" spans="4:4" x14ac:dyDescent="0.25">
      <c r="D3715">
        <f t="shared" ref="D3715:D3778" ca="1" si="71">_xlfn.T.INV(RAND(),25)*$G$3+$F$3</f>
        <v>49.157797821057706</v>
      </c>
    </row>
    <row r="3716" spans="4:4" x14ac:dyDescent="0.25">
      <c r="D3716">
        <f t="shared" ca="1" si="71"/>
        <v>51.667024565587148</v>
      </c>
    </row>
    <row r="3717" spans="4:4" x14ac:dyDescent="0.25">
      <c r="D3717">
        <f t="shared" ca="1" si="71"/>
        <v>53.405477837701021</v>
      </c>
    </row>
    <row r="3718" spans="4:4" x14ac:dyDescent="0.25">
      <c r="D3718">
        <f t="shared" ca="1" si="71"/>
        <v>54.259763715058718</v>
      </c>
    </row>
    <row r="3719" spans="4:4" x14ac:dyDescent="0.25">
      <c r="D3719">
        <f t="shared" ca="1" si="71"/>
        <v>41.396439533910069</v>
      </c>
    </row>
    <row r="3720" spans="4:4" x14ac:dyDescent="0.25">
      <c r="D3720">
        <f t="shared" ca="1" si="71"/>
        <v>52.776625789685873</v>
      </c>
    </row>
    <row r="3721" spans="4:4" x14ac:dyDescent="0.25">
      <c r="D3721">
        <f t="shared" ca="1" si="71"/>
        <v>56.167607964872879</v>
      </c>
    </row>
    <row r="3722" spans="4:4" x14ac:dyDescent="0.25">
      <c r="D3722">
        <f t="shared" ca="1" si="71"/>
        <v>43.378130073199969</v>
      </c>
    </row>
    <row r="3723" spans="4:4" x14ac:dyDescent="0.25">
      <c r="D3723">
        <f t="shared" ca="1" si="71"/>
        <v>43.365477379899936</v>
      </c>
    </row>
    <row r="3724" spans="4:4" x14ac:dyDescent="0.25">
      <c r="D3724">
        <f t="shared" ca="1" si="71"/>
        <v>45.524045955167367</v>
      </c>
    </row>
    <row r="3725" spans="4:4" x14ac:dyDescent="0.25">
      <c r="D3725">
        <f t="shared" ca="1" si="71"/>
        <v>52.268752381877746</v>
      </c>
    </row>
    <row r="3726" spans="4:4" x14ac:dyDescent="0.25">
      <c r="D3726">
        <f t="shared" ca="1" si="71"/>
        <v>59.474827594033243</v>
      </c>
    </row>
    <row r="3727" spans="4:4" x14ac:dyDescent="0.25">
      <c r="D3727">
        <f t="shared" ca="1" si="71"/>
        <v>49.655892251131228</v>
      </c>
    </row>
    <row r="3728" spans="4:4" x14ac:dyDescent="0.25">
      <c r="D3728">
        <f t="shared" ca="1" si="71"/>
        <v>45.869917290799783</v>
      </c>
    </row>
    <row r="3729" spans="4:4" x14ac:dyDescent="0.25">
      <c r="D3729">
        <f t="shared" ca="1" si="71"/>
        <v>59.777709951824775</v>
      </c>
    </row>
    <row r="3730" spans="4:4" x14ac:dyDescent="0.25">
      <c r="D3730">
        <f t="shared" ca="1" si="71"/>
        <v>52.672570031269373</v>
      </c>
    </row>
    <row r="3731" spans="4:4" x14ac:dyDescent="0.25">
      <c r="D3731">
        <f t="shared" ca="1" si="71"/>
        <v>53.396586551047861</v>
      </c>
    </row>
    <row r="3732" spans="4:4" x14ac:dyDescent="0.25">
      <c r="D3732">
        <f t="shared" ca="1" si="71"/>
        <v>39.000203553537233</v>
      </c>
    </row>
    <row r="3733" spans="4:4" x14ac:dyDescent="0.25">
      <c r="D3733">
        <f t="shared" ca="1" si="71"/>
        <v>54.285238494929111</v>
      </c>
    </row>
    <row r="3734" spans="4:4" x14ac:dyDescent="0.25">
      <c r="D3734">
        <f t="shared" ca="1" si="71"/>
        <v>55.601338654764177</v>
      </c>
    </row>
    <row r="3735" spans="4:4" x14ac:dyDescent="0.25">
      <c r="D3735">
        <f t="shared" ca="1" si="71"/>
        <v>47.841666298926071</v>
      </c>
    </row>
    <row r="3736" spans="4:4" x14ac:dyDescent="0.25">
      <c r="D3736">
        <f t="shared" ca="1" si="71"/>
        <v>46.34547858425573</v>
      </c>
    </row>
    <row r="3737" spans="4:4" x14ac:dyDescent="0.25">
      <c r="D3737">
        <f t="shared" ca="1" si="71"/>
        <v>55.371057260502475</v>
      </c>
    </row>
    <row r="3738" spans="4:4" x14ac:dyDescent="0.25">
      <c r="D3738">
        <f t="shared" ca="1" si="71"/>
        <v>47.741064530715775</v>
      </c>
    </row>
    <row r="3739" spans="4:4" x14ac:dyDescent="0.25">
      <c r="D3739">
        <f t="shared" ca="1" si="71"/>
        <v>42.934243798518473</v>
      </c>
    </row>
    <row r="3740" spans="4:4" x14ac:dyDescent="0.25">
      <c r="D3740">
        <f t="shared" ca="1" si="71"/>
        <v>52.582394795467415</v>
      </c>
    </row>
    <row r="3741" spans="4:4" x14ac:dyDescent="0.25">
      <c r="D3741">
        <f t="shared" ca="1" si="71"/>
        <v>53.029402714450221</v>
      </c>
    </row>
    <row r="3742" spans="4:4" x14ac:dyDescent="0.25">
      <c r="D3742">
        <f t="shared" ca="1" si="71"/>
        <v>57.624680077264728</v>
      </c>
    </row>
    <row r="3743" spans="4:4" x14ac:dyDescent="0.25">
      <c r="D3743">
        <f t="shared" ca="1" si="71"/>
        <v>50.174292877966195</v>
      </c>
    </row>
    <row r="3744" spans="4:4" x14ac:dyDescent="0.25">
      <c r="D3744">
        <f t="shared" ca="1" si="71"/>
        <v>53.484909012565467</v>
      </c>
    </row>
    <row r="3745" spans="4:4" x14ac:dyDescent="0.25">
      <c r="D3745">
        <f t="shared" ca="1" si="71"/>
        <v>40.415081548527944</v>
      </c>
    </row>
    <row r="3746" spans="4:4" x14ac:dyDescent="0.25">
      <c r="D3746">
        <f t="shared" ca="1" si="71"/>
        <v>54.767325210076059</v>
      </c>
    </row>
    <row r="3747" spans="4:4" x14ac:dyDescent="0.25">
      <c r="D3747">
        <f t="shared" ca="1" si="71"/>
        <v>51.353263751680771</v>
      </c>
    </row>
    <row r="3748" spans="4:4" x14ac:dyDescent="0.25">
      <c r="D3748">
        <f t="shared" ca="1" si="71"/>
        <v>47.800323085506975</v>
      </c>
    </row>
    <row r="3749" spans="4:4" x14ac:dyDescent="0.25">
      <c r="D3749">
        <f t="shared" ca="1" si="71"/>
        <v>49.841972919160725</v>
      </c>
    </row>
    <row r="3750" spans="4:4" x14ac:dyDescent="0.25">
      <c r="D3750">
        <f t="shared" ca="1" si="71"/>
        <v>50.359618590345768</v>
      </c>
    </row>
    <row r="3751" spans="4:4" x14ac:dyDescent="0.25">
      <c r="D3751">
        <f t="shared" ca="1" si="71"/>
        <v>49.146892077304621</v>
      </c>
    </row>
    <row r="3752" spans="4:4" x14ac:dyDescent="0.25">
      <c r="D3752">
        <f t="shared" ca="1" si="71"/>
        <v>42.494506868231397</v>
      </c>
    </row>
    <row r="3753" spans="4:4" x14ac:dyDescent="0.25">
      <c r="D3753">
        <f t="shared" ca="1" si="71"/>
        <v>53.545905861507379</v>
      </c>
    </row>
    <row r="3754" spans="4:4" x14ac:dyDescent="0.25">
      <c r="D3754">
        <f t="shared" ca="1" si="71"/>
        <v>52.611746157403367</v>
      </c>
    </row>
    <row r="3755" spans="4:4" x14ac:dyDescent="0.25">
      <c r="D3755">
        <f t="shared" ca="1" si="71"/>
        <v>46.270465205363109</v>
      </c>
    </row>
    <row r="3756" spans="4:4" x14ac:dyDescent="0.25">
      <c r="D3756">
        <f t="shared" ca="1" si="71"/>
        <v>49.851232117681064</v>
      </c>
    </row>
    <row r="3757" spans="4:4" x14ac:dyDescent="0.25">
      <c r="D3757">
        <f t="shared" ca="1" si="71"/>
        <v>51.521188565337489</v>
      </c>
    </row>
    <row r="3758" spans="4:4" x14ac:dyDescent="0.25">
      <c r="D3758">
        <f t="shared" ca="1" si="71"/>
        <v>51.004388523066353</v>
      </c>
    </row>
    <row r="3759" spans="4:4" x14ac:dyDescent="0.25">
      <c r="D3759">
        <f t="shared" ca="1" si="71"/>
        <v>53.377898885064383</v>
      </c>
    </row>
    <row r="3760" spans="4:4" x14ac:dyDescent="0.25">
      <c r="D3760">
        <f t="shared" ca="1" si="71"/>
        <v>49.888638819319929</v>
      </c>
    </row>
    <row r="3761" spans="4:4" x14ac:dyDescent="0.25">
      <c r="D3761">
        <f t="shared" ca="1" si="71"/>
        <v>50.616588697012446</v>
      </c>
    </row>
    <row r="3762" spans="4:4" x14ac:dyDescent="0.25">
      <c r="D3762">
        <f t="shared" ca="1" si="71"/>
        <v>53.464337339905654</v>
      </c>
    </row>
    <row r="3763" spans="4:4" x14ac:dyDescent="0.25">
      <c r="D3763">
        <f t="shared" ca="1" si="71"/>
        <v>54.408307420079602</v>
      </c>
    </row>
    <row r="3764" spans="4:4" x14ac:dyDescent="0.25">
      <c r="D3764">
        <f t="shared" ca="1" si="71"/>
        <v>44.377982609742311</v>
      </c>
    </row>
    <row r="3765" spans="4:4" x14ac:dyDescent="0.25">
      <c r="D3765">
        <f t="shared" ca="1" si="71"/>
        <v>50.723651318711418</v>
      </c>
    </row>
    <row r="3766" spans="4:4" x14ac:dyDescent="0.25">
      <c r="D3766">
        <f t="shared" ca="1" si="71"/>
        <v>51.074710383908297</v>
      </c>
    </row>
    <row r="3767" spans="4:4" x14ac:dyDescent="0.25">
      <c r="D3767">
        <f t="shared" ca="1" si="71"/>
        <v>53.496293226877143</v>
      </c>
    </row>
    <row r="3768" spans="4:4" x14ac:dyDescent="0.25">
      <c r="D3768">
        <f t="shared" ca="1" si="71"/>
        <v>48.257458969555607</v>
      </c>
    </row>
    <row r="3769" spans="4:4" x14ac:dyDescent="0.25">
      <c r="D3769">
        <f t="shared" ca="1" si="71"/>
        <v>48.783549928554152</v>
      </c>
    </row>
    <row r="3770" spans="4:4" x14ac:dyDescent="0.25">
      <c r="D3770">
        <f t="shared" ca="1" si="71"/>
        <v>47.958328307424978</v>
      </c>
    </row>
    <row r="3771" spans="4:4" x14ac:dyDescent="0.25">
      <c r="D3771">
        <f t="shared" ca="1" si="71"/>
        <v>43.436380052675979</v>
      </c>
    </row>
    <row r="3772" spans="4:4" x14ac:dyDescent="0.25">
      <c r="D3772">
        <f t="shared" ca="1" si="71"/>
        <v>41.618212845590691</v>
      </c>
    </row>
    <row r="3773" spans="4:4" x14ac:dyDescent="0.25">
      <c r="D3773">
        <f t="shared" ca="1" si="71"/>
        <v>46.361621621551173</v>
      </c>
    </row>
    <row r="3774" spans="4:4" x14ac:dyDescent="0.25">
      <c r="D3774">
        <f t="shared" ca="1" si="71"/>
        <v>45.636041877756249</v>
      </c>
    </row>
    <row r="3775" spans="4:4" x14ac:dyDescent="0.25">
      <c r="D3775">
        <f t="shared" ca="1" si="71"/>
        <v>52.104203167670498</v>
      </c>
    </row>
    <row r="3776" spans="4:4" x14ac:dyDescent="0.25">
      <c r="D3776">
        <f t="shared" ca="1" si="71"/>
        <v>47.633092016012256</v>
      </c>
    </row>
    <row r="3777" spans="4:4" x14ac:dyDescent="0.25">
      <c r="D3777">
        <f t="shared" ca="1" si="71"/>
        <v>53.64402302144795</v>
      </c>
    </row>
    <row r="3778" spans="4:4" x14ac:dyDescent="0.25">
      <c r="D3778">
        <f t="shared" ca="1" si="71"/>
        <v>50.680199846478423</v>
      </c>
    </row>
    <row r="3779" spans="4:4" x14ac:dyDescent="0.25">
      <c r="D3779">
        <f t="shared" ref="D3779:D3842" ca="1" si="72">_xlfn.T.INV(RAND(),25)*$G$3+$F$3</f>
        <v>46.630329964560126</v>
      </c>
    </row>
    <row r="3780" spans="4:4" x14ac:dyDescent="0.25">
      <c r="D3780">
        <f t="shared" ca="1" si="72"/>
        <v>45.986937597811767</v>
      </c>
    </row>
    <row r="3781" spans="4:4" x14ac:dyDescent="0.25">
      <c r="D3781">
        <f t="shared" ca="1" si="72"/>
        <v>49.603380907812969</v>
      </c>
    </row>
    <row r="3782" spans="4:4" x14ac:dyDescent="0.25">
      <c r="D3782">
        <f t="shared" ca="1" si="72"/>
        <v>50.39489940381813</v>
      </c>
    </row>
    <row r="3783" spans="4:4" x14ac:dyDescent="0.25">
      <c r="D3783">
        <f t="shared" ca="1" si="72"/>
        <v>46.66251313875339</v>
      </c>
    </row>
    <row r="3784" spans="4:4" x14ac:dyDescent="0.25">
      <c r="D3784">
        <f t="shared" ca="1" si="72"/>
        <v>40.690396032177588</v>
      </c>
    </row>
    <row r="3785" spans="4:4" x14ac:dyDescent="0.25">
      <c r="D3785">
        <f t="shared" ca="1" si="72"/>
        <v>42.538923348812339</v>
      </c>
    </row>
    <row r="3786" spans="4:4" x14ac:dyDescent="0.25">
      <c r="D3786">
        <f t="shared" ca="1" si="72"/>
        <v>49.797934148789309</v>
      </c>
    </row>
    <row r="3787" spans="4:4" x14ac:dyDescent="0.25">
      <c r="D3787">
        <f t="shared" ca="1" si="72"/>
        <v>56.734634875817939</v>
      </c>
    </row>
    <row r="3788" spans="4:4" x14ac:dyDescent="0.25">
      <c r="D3788">
        <f t="shared" ca="1" si="72"/>
        <v>45.972684120572133</v>
      </c>
    </row>
    <row r="3789" spans="4:4" x14ac:dyDescent="0.25">
      <c r="D3789">
        <f t="shared" ca="1" si="72"/>
        <v>55.958866548225913</v>
      </c>
    </row>
    <row r="3790" spans="4:4" x14ac:dyDescent="0.25">
      <c r="D3790">
        <f t="shared" ca="1" si="72"/>
        <v>46.142436080871533</v>
      </c>
    </row>
    <row r="3791" spans="4:4" x14ac:dyDescent="0.25">
      <c r="D3791">
        <f t="shared" ca="1" si="72"/>
        <v>53.960235812280601</v>
      </c>
    </row>
    <row r="3792" spans="4:4" x14ac:dyDescent="0.25">
      <c r="D3792">
        <f t="shared" ca="1" si="72"/>
        <v>48.252524281732939</v>
      </c>
    </row>
    <row r="3793" spans="4:4" x14ac:dyDescent="0.25">
      <c r="D3793">
        <f t="shared" ca="1" si="72"/>
        <v>51.180627759712863</v>
      </c>
    </row>
    <row r="3794" spans="4:4" x14ac:dyDescent="0.25">
      <c r="D3794">
        <f t="shared" ca="1" si="72"/>
        <v>49.398809651586454</v>
      </c>
    </row>
    <row r="3795" spans="4:4" x14ac:dyDescent="0.25">
      <c r="D3795">
        <f t="shared" ca="1" si="72"/>
        <v>45.581174947568847</v>
      </c>
    </row>
    <row r="3796" spans="4:4" x14ac:dyDescent="0.25">
      <c r="D3796">
        <f t="shared" ca="1" si="72"/>
        <v>54.296703214795755</v>
      </c>
    </row>
    <row r="3797" spans="4:4" x14ac:dyDescent="0.25">
      <c r="D3797">
        <f t="shared" ca="1" si="72"/>
        <v>52.152195629539861</v>
      </c>
    </row>
    <row r="3798" spans="4:4" x14ac:dyDescent="0.25">
      <c r="D3798">
        <f t="shared" ca="1" si="72"/>
        <v>47.338668332821939</v>
      </c>
    </row>
    <row r="3799" spans="4:4" x14ac:dyDescent="0.25">
      <c r="D3799">
        <f t="shared" ca="1" si="72"/>
        <v>48.52317647069578</v>
      </c>
    </row>
    <row r="3800" spans="4:4" x14ac:dyDescent="0.25">
      <c r="D3800">
        <f t="shared" ca="1" si="72"/>
        <v>49.524545873251313</v>
      </c>
    </row>
    <row r="3801" spans="4:4" x14ac:dyDescent="0.25">
      <c r="D3801">
        <f t="shared" ca="1" si="72"/>
        <v>42.164420839139552</v>
      </c>
    </row>
    <row r="3802" spans="4:4" x14ac:dyDescent="0.25">
      <c r="D3802">
        <f t="shared" ca="1" si="72"/>
        <v>40.809126109022806</v>
      </c>
    </row>
    <row r="3803" spans="4:4" x14ac:dyDescent="0.25">
      <c r="D3803">
        <f t="shared" ca="1" si="72"/>
        <v>45.41956009428408</v>
      </c>
    </row>
    <row r="3804" spans="4:4" x14ac:dyDescent="0.25">
      <c r="D3804">
        <f t="shared" ca="1" si="72"/>
        <v>56.882165936996607</v>
      </c>
    </row>
    <row r="3805" spans="4:4" x14ac:dyDescent="0.25">
      <c r="D3805">
        <f t="shared" ca="1" si="72"/>
        <v>49.763193492852288</v>
      </c>
    </row>
    <row r="3806" spans="4:4" x14ac:dyDescent="0.25">
      <c r="D3806">
        <f t="shared" ca="1" si="72"/>
        <v>48.159424194838856</v>
      </c>
    </row>
    <row r="3807" spans="4:4" x14ac:dyDescent="0.25">
      <c r="D3807">
        <f t="shared" ca="1" si="72"/>
        <v>50.628063148222459</v>
      </c>
    </row>
    <row r="3808" spans="4:4" x14ac:dyDescent="0.25">
      <c r="D3808">
        <f t="shared" ca="1" si="72"/>
        <v>44.599622728564626</v>
      </c>
    </row>
    <row r="3809" spans="4:4" x14ac:dyDescent="0.25">
      <c r="D3809">
        <f t="shared" ca="1" si="72"/>
        <v>40.40727518518095</v>
      </c>
    </row>
    <row r="3810" spans="4:4" x14ac:dyDescent="0.25">
      <c r="D3810">
        <f t="shared" ca="1" si="72"/>
        <v>51.163651565447175</v>
      </c>
    </row>
    <row r="3811" spans="4:4" x14ac:dyDescent="0.25">
      <c r="D3811">
        <f t="shared" ca="1" si="72"/>
        <v>49.980805735772933</v>
      </c>
    </row>
    <row r="3812" spans="4:4" x14ac:dyDescent="0.25">
      <c r="D3812">
        <f t="shared" ca="1" si="72"/>
        <v>50.295493206073722</v>
      </c>
    </row>
    <row r="3813" spans="4:4" x14ac:dyDescent="0.25">
      <c r="D3813">
        <f t="shared" ca="1" si="72"/>
        <v>49.511024365773565</v>
      </c>
    </row>
    <row r="3814" spans="4:4" x14ac:dyDescent="0.25">
      <c r="D3814">
        <f t="shared" ca="1" si="72"/>
        <v>46.535070384579981</v>
      </c>
    </row>
    <row r="3815" spans="4:4" x14ac:dyDescent="0.25">
      <c r="D3815">
        <f t="shared" ca="1" si="72"/>
        <v>53.447287340177148</v>
      </c>
    </row>
    <row r="3816" spans="4:4" x14ac:dyDescent="0.25">
      <c r="D3816">
        <f t="shared" ca="1" si="72"/>
        <v>48.498905999365824</v>
      </c>
    </row>
    <row r="3817" spans="4:4" x14ac:dyDescent="0.25">
      <c r="D3817">
        <f t="shared" ca="1" si="72"/>
        <v>57.499728097596133</v>
      </c>
    </row>
    <row r="3818" spans="4:4" x14ac:dyDescent="0.25">
      <c r="D3818">
        <f t="shared" ca="1" si="72"/>
        <v>43.833697072809549</v>
      </c>
    </row>
    <row r="3819" spans="4:4" x14ac:dyDescent="0.25">
      <c r="D3819">
        <f t="shared" ca="1" si="72"/>
        <v>49.090026316397619</v>
      </c>
    </row>
    <row r="3820" spans="4:4" x14ac:dyDescent="0.25">
      <c r="D3820">
        <f t="shared" ca="1" si="72"/>
        <v>49.200360412115543</v>
      </c>
    </row>
    <row r="3821" spans="4:4" x14ac:dyDescent="0.25">
      <c r="D3821">
        <f t="shared" ca="1" si="72"/>
        <v>48.780461244660238</v>
      </c>
    </row>
    <row r="3822" spans="4:4" x14ac:dyDescent="0.25">
      <c r="D3822">
        <f t="shared" ca="1" si="72"/>
        <v>54.971243354688688</v>
      </c>
    </row>
    <row r="3823" spans="4:4" x14ac:dyDescent="0.25">
      <c r="D3823">
        <f t="shared" ca="1" si="72"/>
        <v>53.913335435454798</v>
      </c>
    </row>
    <row r="3824" spans="4:4" x14ac:dyDescent="0.25">
      <c r="D3824">
        <f t="shared" ca="1" si="72"/>
        <v>50.346207468511984</v>
      </c>
    </row>
    <row r="3825" spans="4:4" x14ac:dyDescent="0.25">
      <c r="D3825">
        <f t="shared" ca="1" si="72"/>
        <v>46.886388418263692</v>
      </c>
    </row>
    <row r="3826" spans="4:4" x14ac:dyDescent="0.25">
      <c r="D3826">
        <f t="shared" ca="1" si="72"/>
        <v>55.288071880769039</v>
      </c>
    </row>
    <row r="3827" spans="4:4" x14ac:dyDescent="0.25">
      <c r="D3827">
        <f t="shared" ca="1" si="72"/>
        <v>50.406173549627553</v>
      </c>
    </row>
    <row r="3828" spans="4:4" x14ac:dyDescent="0.25">
      <c r="D3828">
        <f t="shared" ca="1" si="72"/>
        <v>48.706826508827774</v>
      </c>
    </row>
    <row r="3829" spans="4:4" x14ac:dyDescent="0.25">
      <c r="D3829">
        <f t="shared" ca="1" si="72"/>
        <v>49.361631787154423</v>
      </c>
    </row>
    <row r="3830" spans="4:4" x14ac:dyDescent="0.25">
      <c r="D3830">
        <f t="shared" ca="1" si="72"/>
        <v>52.030009189309382</v>
      </c>
    </row>
    <row r="3831" spans="4:4" x14ac:dyDescent="0.25">
      <c r="D3831">
        <f t="shared" ca="1" si="72"/>
        <v>49.013730835306042</v>
      </c>
    </row>
    <row r="3832" spans="4:4" x14ac:dyDescent="0.25">
      <c r="D3832">
        <f t="shared" ca="1" si="72"/>
        <v>40.767497372384305</v>
      </c>
    </row>
    <row r="3833" spans="4:4" x14ac:dyDescent="0.25">
      <c r="D3833">
        <f t="shared" ca="1" si="72"/>
        <v>49.056976894809537</v>
      </c>
    </row>
    <row r="3834" spans="4:4" x14ac:dyDescent="0.25">
      <c r="D3834">
        <f t="shared" ca="1" si="72"/>
        <v>46.600690435970193</v>
      </c>
    </row>
    <row r="3835" spans="4:4" x14ac:dyDescent="0.25">
      <c r="D3835">
        <f t="shared" ca="1" si="72"/>
        <v>58.009747332908589</v>
      </c>
    </row>
    <row r="3836" spans="4:4" x14ac:dyDescent="0.25">
      <c r="D3836">
        <f t="shared" ca="1" si="72"/>
        <v>51.156410274350726</v>
      </c>
    </row>
    <row r="3837" spans="4:4" x14ac:dyDescent="0.25">
      <c r="D3837">
        <f t="shared" ca="1" si="72"/>
        <v>46.940527980597238</v>
      </c>
    </row>
    <row r="3838" spans="4:4" x14ac:dyDescent="0.25">
      <c r="D3838">
        <f t="shared" ca="1" si="72"/>
        <v>46.251985250717844</v>
      </c>
    </row>
    <row r="3839" spans="4:4" x14ac:dyDescent="0.25">
      <c r="D3839">
        <f t="shared" ca="1" si="72"/>
        <v>44.594460780480254</v>
      </c>
    </row>
    <row r="3840" spans="4:4" x14ac:dyDescent="0.25">
      <c r="D3840">
        <f t="shared" ca="1" si="72"/>
        <v>45.109341229946196</v>
      </c>
    </row>
    <row r="3841" spans="4:4" x14ac:dyDescent="0.25">
      <c r="D3841">
        <f t="shared" ca="1" si="72"/>
        <v>52.54778838443255</v>
      </c>
    </row>
    <row r="3842" spans="4:4" x14ac:dyDescent="0.25">
      <c r="D3842">
        <f t="shared" ca="1" si="72"/>
        <v>50.588431317649011</v>
      </c>
    </row>
    <row r="3843" spans="4:4" x14ac:dyDescent="0.25">
      <c r="D3843">
        <f t="shared" ref="D3843:D3906" ca="1" si="73">_xlfn.T.INV(RAND(),25)*$G$3+$F$3</f>
        <v>59.506069466768125</v>
      </c>
    </row>
    <row r="3844" spans="4:4" x14ac:dyDescent="0.25">
      <c r="D3844">
        <f t="shared" ca="1" si="73"/>
        <v>52.982162351771173</v>
      </c>
    </row>
    <row r="3845" spans="4:4" x14ac:dyDescent="0.25">
      <c r="D3845">
        <f t="shared" ca="1" si="73"/>
        <v>49.437496288714279</v>
      </c>
    </row>
    <row r="3846" spans="4:4" x14ac:dyDescent="0.25">
      <c r="D3846">
        <f t="shared" ca="1" si="73"/>
        <v>49.036816636360065</v>
      </c>
    </row>
    <row r="3847" spans="4:4" x14ac:dyDescent="0.25">
      <c r="D3847">
        <f t="shared" ca="1" si="73"/>
        <v>45.610824528703077</v>
      </c>
    </row>
    <row r="3848" spans="4:4" x14ac:dyDescent="0.25">
      <c r="D3848">
        <f t="shared" ca="1" si="73"/>
        <v>48.483344334087597</v>
      </c>
    </row>
    <row r="3849" spans="4:4" x14ac:dyDescent="0.25">
      <c r="D3849">
        <f t="shared" ca="1" si="73"/>
        <v>49.173614283115477</v>
      </c>
    </row>
    <row r="3850" spans="4:4" x14ac:dyDescent="0.25">
      <c r="D3850">
        <f t="shared" ca="1" si="73"/>
        <v>48.78375193916542</v>
      </c>
    </row>
    <row r="3851" spans="4:4" x14ac:dyDescent="0.25">
      <c r="D3851">
        <f t="shared" ca="1" si="73"/>
        <v>57.70848461461123</v>
      </c>
    </row>
    <row r="3852" spans="4:4" x14ac:dyDescent="0.25">
      <c r="D3852">
        <f t="shared" ca="1" si="73"/>
        <v>45.292735174396356</v>
      </c>
    </row>
    <row r="3853" spans="4:4" x14ac:dyDescent="0.25">
      <c r="D3853">
        <f t="shared" ca="1" si="73"/>
        <v>47.609514788185493</v>
      </c>
    </row>
    <row r="3854" spans="4:4" x14ac:dyDescent="0.25">
      <c r="D3854">
        <f t="shared" ca="1" si="73"/>
        <v>43.828878673122134</v>
      </c>
    </row>
    <row r="3855" spans="4:4" x14ac:dyDescent="0.25">
      <c r="D3855">
        <f t="shared" ca="1" si="73"/>
        <v>46.251397256180759</v>
      </c>
    </row>
    <row r="3856" spans="4:4" x14ac:dyDescent="0.25">
      <c r="D3856">
        <f t="shared" ca="1" si="73"/>
        <v>50.548272659041942</v>
      </c>
    </row>
    <row r="3857" spans="4:4" x14ac:dyDescent="0.25">
      <c r="D3857">
        <f t="shared" ca="1" si="73"/>
        <v>54.353599429193991</v>
      </c>
    </row>
    <row r="3858" spans="4:4" x14ac:dyDescent="0.25">
      <c r="D3858">
        <f t="shared" ca="1" si="73"/>
        <v>50.023113252277902</v>
      </c>
    </row>
    <row r="3859" spans="4:4" x14ac:dyDescent="0.25">
      <c r="D3859">
        <f t="shared" ca="1" si="73"/>
        <v>49.208956052388196</v>
      </c>
    </row>
    <row r="3860" spans="4:4" x14ac:dyDescent="0.25">
      <c r="D3860">
        <f t="shared" ca="1" si="73"/>
        <v>47.559924548188938</v>
      </c>
    </row>
    <row r="3861" spans="4:4" x14ac:dyDescent="0.25">
      <c r="D3861">
        <f t="shared" ca="1" si="73"/>
        <v>48.441531195891699</v>
      </c>
    </row>
    <row r="3862" spans="4:4" x14ac:dyDescent="0.25">
      <c r="D3862">
        <f t="shared" ca="1" si="73"/>
        <v>51.197022706180626</v>
      </c>
    </row>
    <row r="3863" spans="4:4" x14ac:dyDescent="0.25">
      <c r="D3863">
        <f t="shared" ca="1" si="73"/>
        <v>52.308478092875255</v>
      </c>
    </row>
    <row r="3864" spans="4:4" x14ac:dyDescent="0.25">
      <c r="D3864">
        <f t="shared" ca="1" si="73"/>
        <v>48.202037417551274</v>
      </c>
    </row>
    <row r="3865" spans="4:4" x14ac:dyDescent="0.25">
      <c r="D3865">
        <f t="shared" ca="1" si="73"/>
        <v>60.338652876032164</v>
      </c>
    </row>
    <row r="3866" spans="4:4" x14ac:dyDescent="0.25">
      <c r="D3866">
        <f t="shared" ca="1" si="73"/>
        <v>45.771964086775085</v>
      </c>
    </row>
    <row r="3867" spans="4:4" x14ac:dyDescent="0.25">
      <c r="D3867">
        <f t="shared" ca="1" si="73"/>
        <v>52.221713691155543</v>
      </c>
    </row>
    <row r="3868" spans="4:4" x14ac:dyDescent="0.25">
      <c r="D3868">
        <f t="shared" ca="1" si="73"/>
        <v>48.176845067368987</v>
      </c>
    </row>
    <row r="3869" spans="4:4" x14ac:dyDescent="0.25">
      <c r="D3869">
        <f t="shared" ca="1" si="73"/>
        <v>55.684465331469887</v>
      </c>
    </row>
    <row r="3870" spans="4:4" x14ac:dyDescent="0.25">
      <c r="D3870">
        <f t="shared" ca="1" si="73"/>
        <v>53.707241390525255</v>
      </c>
    </row>
    <row r="3871" spans="4:4" x14ac:dyDescent="0.25">
      <c r="D3871">
        <f t="shared" ca="1" si="73"/>
        <v>46.882206465121442</v>
      </c>
    </row>
    <row r="3872" spans="4:4" x14ac:dyDescent="0.25">
      <c r="D3872">
        <f t="shared" ca="1" si="73"/>
        <v>48.178931957988937</v>
      </c>
    </row>
    <row r="3873" spans="4:4" x14ac:dyDescent="0.25">
      <c r="D3873">
        <f t="shared" ca="1" si="73"/>
        <v>49.612436208202524</v>
      </c>
    </row>
    <row r="3874" spans="4:4" x14ac:dyDescent="0.25">
      <c r="D3874">
        <f t="shared" ca="1" si="73"/>
        <v>49.141397214498809</v>
      </c>
    </row>
    <row r="3875" spans="4:4" x14ac:dyDescent="0.25">
      <c r="D3875">
        <f t="shared" ca="1" si="73"/>
        <v>34.99904306711008</v>
      </c>
    </row>
    <row r="3876" spans="4:4" x14ac:dyDescent="0.25">
      <c r="D3876">
        <f t="shared" ca="1" si="73"/>
        <v>48.676834252883936</v>
      </c>
    </row>
    <row r="3877" spans="4:4" x14ac:dyDescent="0.25">
      <c r="D3877">
        <f t="shared" ca="1" si="73"/>
        <v>46.064897118951805</v>
      </c>
    </row>
    <row r="3878" spans="4:4" x14ac:dyDescent="0.25">
      <c r="D3878">
        <f t="shared" ca="1" si="73"/>
        <v>49.326198979629943</v>
      </c>
    </row>
    <row r="3879" spans="4:4" x14ac:dyDescent="0.25">
      <c r="D3879">
        <f t="shared" ca="1" si="73"/>
        <v>52.168069586041405</v>
      </c>
    </row>
    <row r="3880" spans="4:4" x14ac:dyDescent="0.25">
      <c r="D3880">
        <f t="shared" ca="1" si="73"/>
        <v>47.963631833220369</v>
      </c>
    </row>
    <row r="3881" spans="4:4" x14ac:dyDescent="0.25">
      <c r="D3881">
        <f t="shared" ca="1" si="73"/>
        <v>34.56732543975923</v>
      </c>
    </row>
    <row r="3882" spans="4:4" x14ac:dyDescent="0.25">
      <c r="D3882">
        <f t="shared" ca="1" si="73"/>
        <v>47.980527253550349</v>
      </c>
    </row>
    <row r="3883" spans="4:4" x14ac:dyDescent="0.25">
      <c r="D3883">
        <f t="shared" ca="1" si="73"/>
        <v>57.390815561543647</v>
      </c>
    </row>
    <row r="3884" spans="4:4" x14ac:dyDescent="0.25">
      <c r="D3884">
        <f t="shared" ca="1" si="73"/>
        <v>50.02002105012032</v>
      </c>
    </row>
    <row r="3885" spans="4:4" x14ac:dyDescent="0.25">
      <c r="D3885">
        <f t="shared" ca="1" si="73"/>
        <v>55.282479500927423</v>
      </c>
    </row>
    <row r="3886" spans="4:4" x14ac:dyDescent="0.25">
      <c r="D3886">
        <f t="shared" ca="1" si="73"/>
        <v>47.296182585054829</v>
      </c>
    </row>
    <row r="3887" spans="4:4" x14ac:dyDescent="0.25">
      <c r="D3887">
        <f t="shared" ca="1" si="73"/>
        <v>50.680639417172252</v>
      </c>
    </row>
    <row r="3888" spans="4:4" x14ac:dyDescent="0.25">
      <c r="D3888">
        <f t="shared" ca="1" si="73"/>
        <v>50.783762417035312</v>
      </c>
    </row>
    <row r="3889" spans="4:4" x14ac:dyDescent="0.25">
      <c r="D3889">
        <f t="shared" ca="1" si="73"/>
        <v>49.437842491235799</v>
      </c>
    </row>
    <row r="3890" spans="4:4" x14ac:dyDescent="0.25">
      <c r="D3890">
        <f t="shared" ca="1" si="73"/>
        <v>52.770403300313255</v>
      </c>
    </row>
    <row r="3891" spans="4:4" x14ac:dyDescent="0.25">
      <c r="D3891">
        <f t="shared" ca="1" si="73"/>
        <v>48.644199831555859</v>
      </c>
    </row>
    <row r="3892" spans="4:4" x14ac:dyDescent="0.25">
      <c r="D3892">
        <f t="shared" ca="1" si="73"/>
        <v>49.390613052747923</v>
      </c>
    </row>
    <row r="3893" spans="4:4" x14ac:dyDescent="0.25">
      <c r="D3893">
        <f t="shared" ca="1" si="73"/>
        <v>50.370271113147055</v>
      </c>
    </row>
    <row r="3894" spans="4:4" x14ac:dyDescent="0.25">
      <c r="D3894">
        <f t="shared" ca="1" si="73"/>
        <v>48.553885095090536</v>
      </c>
    </row>
    <row r="3895" spans="4:4" x14ac:dyDescent="0.25">
      <c r="D3895">
        <f t="shared" ca="1" si="73"/>
        <v>44.28545004829661</v>
      </c>
    </row>
    <row r="3896" spans="4:4" x14ac:dyDescent="0.25">
      <c r="D3896">
        <f t="shared" ca="1" si="73"/>
        <v>47.713586277587581</v>
      </c>
    </row>
    <row r="3897" spans="4:4" x14ac:dyDescent="0.25">
      <c r="D3897">
        <f t="shared" ca="1" si="73"/>
        <v>46.197208638961762</v>
      </c>
    </row>
    <row r="3898" spans="4:4" x14ac:dyDescent="0.25">
      <c r="D3898">
        <f t="shared" ca="1" si="73"/>
        <v>46.400336396484853</v>
      </c>
    </row>
    <row r="3899" spans="4:4" x14ac:dyDescent="0.25">
      <c r="D3899">
        <f t="shared" ca="1" si="73"/>
        <v>53.910967928893122</v>
      </c>
    </row>
    <row r="3900" spans="4:4" x14ac:dyDescent="0.25">
      <c r="D3900">
        <f t="shared" ca="1" si="73"/>
        <v>49.967768408037038</v>
      </c>
    </row>
    <row r="3901" spans="4:4" x14ac:dyDescent="0.25">
      <c r="D3901">
        <f t="shared" ca="1" si="73"/>
        <v>54.31404380722222</v>
      </c>
    </row>
    <row r="3902" spans="4:4" x14ac:dyDescent="0.25">
      <c r="D3902">
        <f t="shared" ca="1" si="73"/>
        <v>56.590454398101556</v>
      </c>
    </row>
    <row r="3903" spans="4:4" x14ac:dyDescent="0.25">
      <c r="D3903">
        <f t="shared" ca="1" si="73"/>
        <v>53.183477867269723</v>
      </c>
    </row>
    <row r="3904" spans="4:4" x14ac:dyDescent="0.25">
      <c r="D3904">
        <f t="shared" ca="1" si="73"/>
        <v>48.65195259113522</v>
      </c>
    </row>
    <row r="3905" spans="4:4" x14ac:dyDescent="0.25">
      <c r="D3905">
        <f t="shared" ca="1" si="73"/>
        <v>57.50894845410842</v>
      </c>
    </row>
    <row r="3906" spans="4:4" x14ac:dyDescent="0.25">
      <c r="D3906">
        <f t="shared" ca="1" si="73"/>
        <v>49.359063632672068</v>
      </c>
    </row>
    <row r="3907" spans="4:4" x14ac:dyDescent="0.25">
      <c r="D3907">
        <f t="shared" ref="D3907:D3970" ca="1" si="74">_xlfn.T.INV(RAND(),25)*$G$3+$F$3</f>
        <v>44.401656229174982</v>
      </c>
    </row>
    <row r="3908" spans="4:4" x14ac:dyDescent="0.25">
      <c r="D3908">
        <f t="shared" ca="1" si="74"/>
        <v>55.362750381210546</v>
      </c>
    </row>
    <row r="3909" spans="4:4" x14ac:dyDescent="0.25">
      <c r="D3909">
        <f t="shared" ca="1" si="74"/>
        <v>47.922735083950464</v>
      </c>
    </row>
    <row r="3910" spans="4:4" x14ac:dyDescent="0.25">
      <c r="D3910">
        <f t="shared" ca="1" si="74"/>
        <v>52.249489893340979</v>
      </c>
    </row>
    <row r="3911" spans="4:4" x14ac:dyDescent="0.25">
      <c r="D3911">
        <f t="shared" ca="1" si="74"/>
        <v>48.871684238258702</v>
      </c>
    </row>
    <row r="3912" spans="4:4" x14ac:dyDescent="0.25">
      <c r="D3912">
        <f t="shared" ca="1" si="74"/>
        <v>48.757212289445427</v>
      </c>
    </row>
    <row r="3913" spans="4:4" x14ac:dyDescent="0.25">
      <c r="D3913">
        <f t="shared" ca="1" si="74"/>
        <v>48.565069519918779</v>
      </c>
    </row>
    <row r="3914" spans="4:4" x14ac:dyDescent="0.25">
      <c r="D3914">
        <f t="shared" ca="1" si="74"/>
        <v>43.410892991238818</v>
      </c>
    </row>
    <row r="3915" spans="4:4" x14ac:dyDescent="0.25">
      <c r="D3915">
        <f t="shared" ca="1" si="74"/>
        <v>43.666211742741289</v>
      </c>
    </row>
    <row r="3916" spans="4:4" x14ac:dyDescent="0.25">
      <c r="D3916">
        <f t="shared" ca="1" si="74"/>
        <v>43.725281155164389</v>
      </c>
    </row>
    <row r="3917" spans="4:4" x14ac:dyDescent="0.25">
      <c r="D3917">
        <f t="shared" ca="1" si="74"/>
        <v>49.355537872021195</v>
      </c>
    </row>
    <row r="3918" spans="4:4" x14ac:dyDescent="0.25">
      <c r="D3918">
        <f t="shared" ca="1" si="74"/>
        <v>51.459745250264007</v>
      </c>
    </row>
    <row r="3919" spans="4:4" x14ac:dyDescent="0.25">
      <c r="D3919">
        <f t="shared" ca="1" si="74"/>
        <v>54.409117379368965</v>
      </c>
    </row>
    <row r="3920" spans="4:4" x14ac:dyDescent="0.25">
      <c r="D3920">
        <f t="shared" ca="1" si="74"/>
        <v>54.170030097074601</v>
      </c>
    </row>
    <row r="3921" spans="4:4" x14ac:dyDescent="0.25">
      <c r="D3921">
        <f t="shared" ca="1" si="74"/>
        <v>48.301823385155693</v>
      </c>
    </row>
    <row r="3922" spans="4:4" x14ac:dyDescent="0.25">
      <c r="D3922">
        <f t="shared" ca="1" si="74"/>
        <v>45.330940963734022</v>
      </c>
    </row>
    <row r="3923" spans="4:4" x14ac:dyDescent="0.25">
      <c r="D3923">
        <f t="shared" ca="1" si="74"/>
        <v>51.427179069922026</v>
      </c>
    </row>
    <row r="3924" spans="4:4" x14ac:dyDescent="0.25">
      <c r="D3924">
        <f t="shared" ca="1" si="74"/>
        <v>48.239736639913758</v>
      </c>
    </row>
    <row r="3925" spans="4:4" x14ac:dyDescent="0.25">
      <c r="D3925">
        <f t="shared" ca="1" si="74"/>
        <v>50.746792368522932</v>
      </c>
    </row>
    <row r="3926" spans="4:4" x14ac:dyDescent="0.25">
      <c r="D3926">
        <f t="shared" ca="1" si="74"/>
        <v>49.387475275680146</v>
      </c>
    </row>
    <row r="3927" spans="4:4" x14ac:dyDescent="0.25">
      <c r="D3927">
        <f t="shared" ca="1" si="74"/>
        <v>57.431852871405198</v>
      </c>
    </row>
    <row r="3928" spans="4:4" x14ac:dyDescent="0.25">
      <c r="D3928">
        <f t="shared" ca="1" si="74"/>
        <v>45.834964227233563</v>
      </c>
    </row>
    <row r="3929" spans="4:4" x14ac:dyDescent="0.25">
      <c r="D3929">
        <f t="shared" ca="1" si="74"/>
        <v>50.208628821064863</v>
      </c>
    </row>
    <row r="3930" spans="4:4" x14ac:dyDescent="0.25">
      <c r="D3930">
        <f t="shared" ca="1" si="74"/>
        <v>53.923386631278916</v>
      </c>
    </row>
    <row r="3931" spans="4:4" x14ac:dyDescent="0.25">
      <c r="D3931">
        <f t="shared" ca="1" si="74"/>
        <v>49.867401807857384</v>
      </c>
    </row>
    <row r="3932" spans="4:4" x14ac:dyDescent="0.25">
      <c r="D3932">
        <f t="shared" ca="1" si="74"/>
        <v>44.638288387312372</v>
      </c>
    </row>
    <row r="3933" spans="4:4" x14ac:dyDescent="0.25">
      <c r="D3933">
        <f t="shared" ca="1" si="74"/>
        <v>48.886616678654931</v>
      </c>
    </row>
    <row r="3934" spans="4:4" x14ac:dyDescent="0.25">
      <c r="D3934">
        <f t="shared" ca="1" si="74"/>
        <v>46.708804740583716</v>
      </c>
    </row>
    <row r="3935" spans="4:4" x14ac:dyDescent="0.25">
      <c r="D3935">
        <f t="shared" ca="1" si="74"/>
        <v>50.259442126273065</v>
      </c>
    </row>
    <row r="3936" spans="4:4" x14ac:dyDescent="0.25">
      <c r="D3936">
        <f t="shared" ca="1" si="74"/>
        <v>51.872913856520441</v>
      </c>
    </row>
    <row r="3937" spans="4:4" x14ac:dyDescent="0.25">
      <c r="D3937">
        <f t="shared" ca="1" si="74"/>
        <v>48.607940227020457</v>
      </c>
    </row>
    <row r="3938" spans="4:4" x14ac:dyDescent="0.25">
      <c r="D3938">
        <f t="shared" ca="1" si="74"/>
        <v>51.289483267549329</v>
      </c>
    </row>
    <row r="3939" spans="4:4" x14ac:dyDescent="0.25">
      <c r="D3939">
        <f t="shared" ca="1" si="74"/>
        <v>52.31104363885752</v>
      </c>
    </row>
    <row r="3940" spans="4:4" x14ac:dyDescent="0.25">
      <c r="D3940">
        <f t="shared" ca="1" si="74"/>
        <v>49.164939415767833</v>
      </c>
    </row>
    <row r="3941" spans="4:4" x14ac:dyDescent="0.25">
      <c r="D3941">
        <f t="shared" ca="1" si="74"/>
        <v>44.456794332954409</v>
      </c>
    </row>
    <row r="3942" spans="4:4" x14ac:dyDescent="0.25">
      <c r="D3942">
        <f t="shared" ca="1" si="74"/>
        <v>52.713646440150249</v>
      </c>
    </row>
    <row r="3943" spans="4:4" x14ac:dyDescent="0.25">
      <c r="D3943">
        <f t="shared" ca="1" si="74"/>
        <v>56.394036013071556</v>
      </c>
    </row>
    <row r="3944" spans="4:4" x14ac:dyDescent="0.25">
      <c r="D3944">
        <f t="shared" ca="1" si="74"/>
        <v>52.788748507096763</v>
      </c>
    </row>
    <row r="3945" spans="4:4" x14ac:dyDescent="0.25">
      <c r="D3945">
        <f t="shared" ca="1" si="74"/>
        <v>57.988731674424599</v>
      </c>
    </row>
    <row r="3946" spans="4:4" x14ac:dyDescent="0.25">
      <c r="D3946">
        <f t="shared" ca="1" si="74"/>
        <v>41.242491444326191</v>
      </c>
    </row>
    <row r="3947" spans="4:4" x14ac:dyDescent="0.25">
      <c r="D3947">
        <f t="shared" ca="1" si="74"/>
        <v>47.87230221622238</v>
      </c>
    </row>
    <row r="3948" spans="4:4" x14ac:dyDescent="0.25">
      <c r="D3948">
        <f t="shared" ca="1" si="74"/>
        <v>46.024913157425367</v>
      </c>
    </row>
    <row r="3949" spans="4:4" x14ac:dyDescent="0.25">
      <c r="D3949">
        <f t="shared" ca="1" si="74"/>
        <v>46.32121771177124</v>
      </c>
    </row>
    <row r="3950" spans="4:4" x14ac:dyDescent="0.25">
      <c r="D3950">
        <f t="shared" ca="1" si="74"/>
        <v>47.886572419963137</v>
      </c>
    </row>
    <row r="3951" spans="4:4" x14ac:dyDescent="0.25">
      <c r="D3951">
        <f t="shared" ca="1" si="74"/>
        <v>52.659261978103416</v>
      </c>
    </row>
    <row r="3952" spans="4:4" x14ac:dyDescent="0.25">
      <c r="D3952">
        <f t="shared" ca="1" si="74"/>
        <v>52.739888189976789</v>
      </c>
    </row>
    <row r="3953" spans="4:4" x14ac:dyDescent="0.25">
      <c r="D3953">
        <f t="shared" ca="1" si="74"/>
        <v>48.036231796789814</v>
      </c>
    </row>
    <row r="3954" spans="4:4" x14ac:dyDescent="0.25">
      <c r="D3954">
        <f t="shared" ca="1" si="74"/>
        <v>44.710087689011417</v>
      </c>
    </row>
    <row r="3955" spans="4:4" x14ac:dyDescent="0.25">
      <c r="D3955">
        <f t="shared" ca="1" si="74"/>
        <v>50.25254731084901</v>
      </c>
    </row>
    <row r="3956" spans="4:4" x14ac:dyDescent="0.25">
      <c r="D3956">
        <f t="shared" ca="1" si="74"/>
        <v>44.31383695120045</v>
      </c>
    </row>
    <row r="3957" spans="4:4" x14ac:dyDescent="0.25">
      <c r="D3957">
        <f t="shared" ca="1" si="74"/>
        <v>60.126743736101972</v>
      </c>
    </row>
    <row r="3958" spans="4:4" x14ac:dyDescent="0.25">
      <c r="D3958">
        <f t="shared" ca="1" si="74"/>
        <v>53.843962185738349</v>
      </c>
    </row>
    <row r="3959" spans="4:4" x14ac:dyDescent="0.25">
      <c r="D3959">
        <f t="shared" ca="1" si="74"/>
        <v>47.804606052251316</v>
      </c>
    </row>
    <row r="3960" spans="4:4" x14ac:dyDescent="0.25">
      <c r="D3960">
        <f t="shared" ca="1" si="74"/>
        <v>51.508744484387407</v>
      </c>
    </row>
    <row r="3961" spans="4:4" x14ac:dyDescent="0.25">
      <c r="D3961">
        <f t="shared" ca="1" si="74"/>
        <v>53.826118637139743</v>
      </c>
    </row>
    <row r="3962" spans="4:4" x14ac:dyDescent="0.25">
      <c r="D3962">
        <f t="shared" ca="1" si="74"/>
        <v>50.411294303146072</v>
      </c>
    </row>
    <row r="3963" spans="4:4" x14ac:dyDescent="0.25">
      <c r="D3963">
        <f t="shared" ca="1" si="74"/>
        <v>53.567800103458801</v>
      </c>
    </row>
    <row r="3964" spans="4:4" x14ac:dyDescent="0.25">
      <c r="D3964">
        <f t="shared" ca="1" si="74"/>
        <v>52.771688543594422</v>
      </c>
    </row>
    <row r="3965" spans="4:4" x14ac:dyDescent="0.25">
      <c r="D3965">
        <f t="shared" ca="1" si="74"/>
        <v>46.253276797067102</v>
      </c>
    </row>
    <row r="3966" spans="4:4" x14ac:dyDescent="0.25">
      <c r="D3966">
        <f t="shared" ca="1" si="74"/>
        <v>53.110959692048361</v>
      </c>
    </row>
    <row r="3967" spans="4:4" x14ac:dyDescent="0.25">
      <c r="D3967">
        <f t="shared" ca="1" si="74"/>
        <v>45.211884427100301</v>
      </c>
    </row>
    <row r="3968" spans="4:4" x14ac:dyDescent="0.25">
      <c r="D3968">
        <f t="shared" ca="1" si="74"/>
        <v>49.29206231061216</v>
      </c>
    </row>
    <row r="3969" spans="4:4" x14ac:dyDescent="0.25">
      <c r="D3969">
        <f t="shared" ca="1" si="74"/>
        <v>48.685945218765191</v>
      </c>
    </row>
    <row r="3970" spans="4:4" x14ac:dyDescent="0.25">
      <c r="D3970">
        <f t="shared" ca="1" si="74"/>
        <v>56.892355827904254</v>
      </c>
    </row>
    <row r="3971" spans="4:4" x14ac:dyDescent="0.25">
      <c r="D3971">
        <f t="shared" ref="D3971:D4034" ca="1" si="75">_xlfn.T.INV(RAND(),25)*$G$3+$F$3</f>
        <v>47.464893702873248</v>
      </c>
    </row>
    <row r="3972" spans="4:4" x14ac:dyDescent="0.25">
      <c r="D3972">
        <f t="shared" ca="1" si="75"/>
        <v>50.166964916769089</v>
      </c>
    </row>
    <row r="3973" spans="4:4" x14ac:dyDescent="0.25">
      <c r="D3973">
        <f t="shared" ca="1" si="75"/>
        <v>49.931643414842021</v>
      </c>
    </row>
    <row r="3974" spans="4:4" x14ac:dyDescent="0.25">
      <c r="D3974">
        <f t="shared" ca="1" si="75"/>
        <v>48.591894639220321</v>
      </c>
    </row>
    <row r="3975" spans="4:4" x14ac:dyDescent="0.25">
      <c r="D3975">
        <f t="shared" ca="1" si="75"/>
        <v>53.171518953142581</v>
      </c>
    </row>
    <row r="3976" spans="4:4" x14ac:dyDescent="0.25">
      <c r="D3976">
        <f t="shared" ca="1" si="75"/>
        <v>45.532147675259509</v>
      </c>
    </row>
    <row r="3977" spans="4:4" x14ac:dyDescent="0.25">
      <c r="D3977">
        <f t="shared" ca="1" si="75"/>
        <v>52.298534622536621</v>
      </c>
    </row>
    <row r="3978" spans="4:4" x14ac:dyDescent="0.25">
      <c r="D3978">
        <f t="shared" ca="1" si="75"/>
        <v>49.183517835785565</v>
      </c>
    </row>
    <row r="3979" spans="4:4" x14ac:dyDescent="0.25">
      <c r="D3979">
        <f t="shared" ca="1" si="75"/>
        <v>52.357483580100414</v>
      </c>
    </row>
    <row r="3980" spans="4:4" x14ac:dyDescent="0.25">
      <c r="D3980">
        <f t="shared" ca="1" si="75"/>
        <v>47.854331170588559</v>
      </c>
    </row>
    <row r="3981" spans="4:4" x14ac:dyDescent="0.25">
      <c r="D3981">
        <f t="shared" ca="1" si="75"/>
        <v>45.93366326738618</v>
      </c>
    </row>
    <row r="3982" spans="4:4" x14ac:dyDescent="0.25">
      <c r="D3982">
        <f t="shared" ca="1" si="75"/>
        <v>55.478234835291673</v>
      </c>
    </row>
    <row r="3983" spans="4:4" x14ac:dyDescent="0.25">
      <c r="D3983">
        <f t="shared" ca="1" si="75"/>
        <v>50.379707238502156</v>
      </c>
    </row>
    <row r="3984" spans="4:4" x14ac:dyDescent="0.25">
      <c r="D3984">
        <f t="shared" ca="1" si="75"/>
        <v>42.38215038181734</v>
      </c>
    </row>
    <row r="3985" spans="4:4" x14ac:dyDescent="0.25">
      <c r="D3985">
        <f t="shared" ca="1" si="75"/>
        <v>50.93206896750295</v>
      </c>
    </row>
    <row r="3986" spans="4:4" x14ac:dyDescent="0.25">
      <c r="D3986">
        <f t="shared" ca="1" si="75"/>
        <v>41.871590192092668</v>
      </c>
    </row>
    <row r="3987" spans="4:4" x14ac:dyDescent="0.25">
      <c r="D3987">
        <f t="shared" ca="1" si="75"/>
        <v>51.467107407406303</v>
      </c>
    </row>
    <row r="3988" spans="4:4" x14ac:dyDescent="0.25">
      <c r="D3988">
        <f t="shared" ca="1" si="75"/>
        <v>50.802459627194587</v>
      </c>
    </row>
    <row r="3989" spans="4:4" x14ac:dyDescent="0.25">
      <c r="D3989">
        <f t="shared" ca="1" si="75"/>
        <v>47.563374666230438</v>
      </c>
    </row>
    <row r="3990" spans="4:4" x14ac:dyDescent="0.25">
      <c r="D3990">
        <f t="shared" ca="1" si="75"/>
        <v>46.904347987961948</v>
      </c>
    </row>
    <row r="3991" spans="4:4" x14ac:dyDescent="0.25">
      <c r="D3991">
        <f t="shared" ca="1" si="75"/>
        <v>36.677297964955194</v>
      </c>
    </row>
    <row r="3992" spans="4:4" x14ac:dyDescent="0.25">
      <c r="D3992">
        <f t="shared" ca="1" si="75"/>
        <v>59.916084934153858</v>
      </c>
    </row>
    <row r="3993" spans="4:4" x14ac:dyDescent="0.25">
      <c r="D3993">
        <f t="shared" ca="1" si="75"/>
        <v>51.497724352794378</v>
      </c>
    </row>
    <row r="3994" spans="4:4" x14ac:dyDescent="0.25">
      <c r="D3994">
        <f t="shared" ca="1" si="75"/>
        <v>51.064286807347933</v>
      </c>
    </row>
    <row r="3995" spans="4:4" x14ac:dyDescent="0.25">
      <c r="D3995">
        <f t="shared" ca="1" si="75"/>
        <v>48.13434667698526</v>
      </c>
    </row>
    <row r="3996" spans="4:4" x14ac:dyDescent="0.25">
      <c r="D3996">
        <f t="shared" ca="1" si="75"/>
        <v>48.209505880649552</v>
      </c>
    </row>
    <row r="3997" spans="4:4" x14ac:dyDescent="0.25">
      <c r="D3997">
        <f t="shared" ca="1" si="75"/>
        <v>47.245809766115642</v>
      </c>
    </row>
    <row r="3998" spans="4:4" x14ac:dyDescent="0.25">
      <c r="D3998">
        <f t="shared" ca="1" si="75"/>
        <v>45.284513507439783</v>
      </c>
    </row>
    <row r="3999" spans="4:4" x14ac:dyDescent="0.25">
      <c r="D3999">
        <f t="shared" ca="1" si="75"/>
        <v>53.335301455089969</v>
      </c>
    </row>
    <row r="4000" spans="4:4" x14ac:dyDescent="0.25">
      <c r="D4000">
        <f t="shared" ca="1" si="75"/>
        <v>43.540033945332411</v>
      </c>
    </row>
    <row r="4001" spans="4:4" x14ac:dyDescent="0.25">
      <c r="D4001">
        <f t="shared" ca="1" si="75"/>
        <v>50.855882354106015</v>
      </c>
    </row>
    <row r="4002" spans="4:4" x14ac:dyDescent="0.25">
      <c r="D4002">
        <f t="shared" ca="1" si="75"/>
        <v>46.608200502754933</v>
      </c>
    </row>
    <row r="4003" spans="4:4" x14ac:dyDescent="0.25">
      <c r="D4003">
        <f t="shared" ca="1" si="75"/>
        <v>53.071828186300209</v>
      </c>
    </row>
    <row r="4004" spans="4:4" x14ac:dyDescent="0.25">
      <c r="D4004">
        <f t="shared" ca="1" si="75"/>
        <v>49.28965101455303</v>
      </c>
    </row>
    <row r="4005" spans="4:4" x14ac:dyDescent="0.25">
      <c r="D4005">
        <f t="shared" ca="1" si="75"/>
        <v>43.330254713553821</v>
      </c>
    </row>
    <row r="4006" spans="4:4" x14ac:dyDescent="0.25">
      <c r="D4006">
        <f t="shared" ca="1" si="75"/>
        <v>45.015052449368703</v>
      </c>
    </row>
    <row r="4007" spans="4:4" x14ac:dyDescent="0.25">
      <c r="D4007">
        <f t="shared" ca="1" si="75"/>
        <v>50.248850537489517</v>
      </c>
    </row>
    <row r="4008" spans="4:4" x14ac:dyDescent="0.25">
      <c r="D4008">
        <f t="shared" ca="1" si="75"/>
        <v>50.724729744179136</v>
      </c>
    </row>
    <row r="4009" spans="4:4" x14ac:dyDescent="0.25">
      <c r="D4009">
        <f t="shared" ca="1" si="75"/>
        <v>43.581753583229556</v>
      </c>
    </row>
    <row r="4010" spans="4:4" x14ac:dyDescent="0.25">
      <c r="D4010">
        <f t="shared" ca="1" si="75"/>
        <v>54.436302816214706</v>
      </c>
    </row>
    <row r="4011" spans="4:4" x14ac:dyDescent="0.25">
      <c r="D4011">
        <f t="shared" ca="1" si="75"/>
        <v>46.467451309390071</v>
      </c>
    </row>
    <row r="4012" spans="4:4" x14ac:dyDescent="0.25">
      <c r="D4012">
        <f t="shared" ca="1" si="75"/>
        <v>44.985844326042503</v>
      </c>
    </row>
    <row r="4013" spans="4:4" x14ac:dyDescent="0.25">
      <c r="D4013">
        <f t="shared" ca="1" si="75"/>
        <v>47.480294439562073</v>
      </c>
    </row>
    <row r="4014" spans="4:4" x14ac:dyDescent="0.25">
      <c r="D4014">
        <f t="shared" ca="1" si="75"/>
        <v>52.562751405128161</v>
      </c>
    </row>
    <row r="4015" spans="4:4" x14ac:dyDescent="0.25">
      <c r="D4015">
        <f t="shared" ca="1" si="75"/>
        <v>48.474867933779912</v>
      </c>
    </row>
    <row r="4016" spans="4:4" x14ac:dyDescent="0.25">
      <c r="D4016">
        <f t="shared" ca="1" si="75"/>
        <v>46.108523220619439</v>
      </c>
    </row>
    <row r="4017" spans="4:4" x14ac:dyDescent="0.25">
      <c r="D4017">
        <f t="shared" ca="1" si="75"/>
        <v>47.007719391244677</v>
      </c>
    </row>
    <row r="4018" spans="4:4" x14ac:dyDescent="0.25">
      <c r="D4018">
        <f t="shared" ca="1" si="75"/>
        <v>49.466913465459022</v>
      </c>
    </row>
    <row r="4019" spans="4:4" x14ac:dyDescent="0.25">
      <c r="D4019">
        <f t="shared" ca="1" si="75"/>
        <v>48.426150760255389</v>
      </c>
    </row>
    <row r="4020" spans="4:4" x14ac:dyDescent="0.25">
      <c r="D4020">
        <f t="shared" ca="1" si="75"/>
        <v>48.427520786813595</v>
      </c>
    </row>
    <row r="4021" spans="4:4" x14ac:dyDescent="0.25">
      <c r="D4021">
        <f t="shared" ca="1" si="75"/>
        <v>51.471054944112247</v>
      </c>
    </row>
    <row r="4022" spans="4:4" x14ac:dyDescent="0.25">
      <c r="D4022">
        <f t="shared" ca="1" si="75"/>
        <v>52.077704352198317</v>
      </c>
    </row>
    <row r="4023" spans="4:4" x14ac:dyDescent="0.25">
      <c r="D4023">
        <f t="shared" ca="1" si="75"/>
        <v>49.279426480231514</v>
      </c>
    </row>
    <row r="4024" spans="4:4" x14ac:dyDescent="0.25">
      <c r="D4024">
        <f t="shared" ca="1" si="75"/>
        <v>47.093653918834228</v>
      </c>
    </row>
    <row r="4025" spans="4:4" x14ac:dyDescent="0.25">
      <c r="D4025">
        <f t="shared" ca="1" si="75"/>
        <v>48.726627812327195</v>
      </c>
    </row>
    <row r="4026" spans="4:4" x14ac:dyDescent="0.25">
      <c r="D4026">
        <f t="shared" ca="1" si="75"/>
        <v>58.46607338205456</v>
      </c>
    </row>
    <row r="4027" spans="4:4" x14ac:dyDescent="0.25">
      <c r="D4027">
        <f t="shared" ca="1" si="75"/>
        <v>47.528391928257427</v>
      </c>
    </row>
    <row r="4028" spans="4:4" x14ac:dyDescent="0.25">
      <c r="D4028">
        <f t="shared" ca="1" si="75"/>
        <v>53.23792539686864</v>
      </c>
    </row>
    <row r="4029" spans="4:4" x14ac:dyDescent="0.25">
      <c r="D4029">
        <f t="shared" ca="1" si="75"/>
        <v>43.812242326134196</v>
      </c>
    </row>
    <row r="4030" spans="4:4" x14ac:dyDescent="0.25">
      <c r="D4030">
        <f t="shared" ca="1" si="75"/>
        <v>51.767634050258565</v>
      </c>
    </row>
    <row r="4031" spans="4:4" x14ac:dyDescent="0.25">
      <c r="D4031">
        <f t="shared" ca="1" si="75"/>
        <v>51.904921240425509</v>
      </c>
    </row>
    <row r="4032" spans="4:4" x14ac:dyDescent="0.25">
      <c r="D4032">
        <f t="shared" ca="1" si="75"/>
        <v>49.05242362851255</v>
      </c>
    </row>
    <row r="4033" spans="4:4" x14ac:dyDescent="0.25">
      <c r="D4033">
        <f t="shared" ca="1" si="75"/>
        <v>53.906933392289282</v>
      </c>
    </row>
    <row r="4034" spans="4:4" x14ac:dyDescent="0.25">
      <c r="D4034">
        <f t="shared" ca="1" si="75"/>
        <v>44.14256538759463</v>
      </c>
    </row>
    <row r="4035" spans="4:4" x14ac:dyDescent="0.25">
      <c r="D4035">
        <f t="shared" ref="D4035:D4098" ca="1" si="76">_xlfn.T.INV(RAND(),25)*$G$3+$F$3</f>
        <v>43.993253423123591</v>
      </c>
    </row>
    <row r="4036" spans="4:4" x14ac:dyDescent="0.25">
      <c r="D4036">
        <f t="shared" ca="1" si="76"/>
        <v>46.34287538459489</v>
      </c>
    </row>
    <row r="4037" spans="4:4" x14ac:dyDescent="0.25">
      <c r="D4037">
        <f t="shared" ca="1" si="76"/>
        <v>45.22751523977238</v>
      </c>
    </row>
    <row r="4038" spans="4:4" x14ac:dyDescent="0.25">
      <c r="D4038">
        <f t="shared" ca="1" si="76"/>
        <v>52.861836497787408</v>
      </c>
    </row>
    <row r="4039" spans="4:4" x14ac:dyDescent="0.25">
      <c r="D4039">
        <f t="shared" ca="1" si="76"/>
        <v>48.834161668970232</v>
      </c>
    </row>
    <row r="4040" spans="4:4" x14ac:dyDescent="0.25">
      <c r="D4040">
        <f t="shared" ca="1" si="76"/>
        <v>58.332564398654618</v>
      </c>
    </row>
    <row r="4041" spans="4:4" x14ac:dyDescent="0.25">
      <c r="D4041">
        <f t="shared" ca="1" si="76"/>
        <v>47.155991056849167</v>
      </c>
    </row>
    <row r="4042" spans="4:4" x14ac:dyDescent="0.25">
      <c r="D4042">
        <f t="shared" ca="1" si="76"/>
        <v>50.010331005573278</v>
      </c>
    </row>
    <row r="4043" spans="4:4" x14ac:dyDescent="0.25">
      <c r="D4043">
        <f t="shared" ca="1" si="76"/>
        <v>45.191072674960871</v>
      </c>
    </row>
    <row r="4044" spans="4:4" x14ac:dyDescent="0.25">
      <c r="D4044">
        <f t="shared" ca="1" si="76"/>
        <v>51.29245671478796</v>
      </c>
    </row>
    <row r="4045" spans="4:4" x14ac:dyDescent="0.25">
      <c r="D4045">
        <f t="shared" ca="1" si="76"/>
        <v>44.300458203784885</v>
      </c>
    </row>
    <row r="4046" spans="4:4" x14ac:dyDescent="0.25">
      <c r="D4046">
        <f t="shared" ca="1" si="76"/>
        <v>47.480309935854251</v>
      </c>
    </row>
    <row r="4047" spans="4:4" x14ac:dyDescent="0.25">
      <c r="D4047">
        <f t="shared" ca="1" si="76"/>
        <v>53.041857589708428</v>
      </c>
    </row>
    <row r="4048" spans="4:4" x14ac:dyDescent="0.25">
      <c r="D4048">
        <f t="shared" ca="1" si="76"/>
        <v>52.303627986937215</v>
      </c>
    </row>
    <row r="4049" spans="4:4" x14ac:dyDescent="0.25">
      <c r="D4049">
        <f t="shared" ca="1" si="76"/>
        <v>44.398930790036339</v>
      </c>
    </row>
    <row r="4050" spans="4:4" x14ac:dyDescent="0.25">
      <c r="D4050">
        <f t="shared" ca="1" si="76"/>
        <v>45.655957333446068</v>
      </c>
    </row>
    <row r="4051" spans="4:4" x14ac:dyDescent="0.25">
      <c r="D4051">
        <f t="shared" ca="1" si="76"/>
        <v>44.837028132241407</v>
      </c>
    </row>
    <row r="4052" spans="4:4" x14ac:dyDescent="0.25">
      <c r="D4052">
        <f t="shared" ca="1" si="76"/>
        <v>48.758920208455898</v>
      </c>
    </row>
    <row r="4053" spans="4:4" x14ac:dyDescent="0.25">
      <c r="D4053">
        <f t="shared" ca="1" si="76"/>
        <v>52.877170370984786</v>
      </c>
    </row>
    <row r="4054" spans="4:4" x14ac:dyDescent="0.25">
      <c r="D4054">
        <f t="shared" ca="1" si="76"/>
        <v>54.068904825164466</v>
      </c>
    </row>
    <row r="4055" spans="4:4" x14ac:dyDescent="0.25">
      <c r="D4055">
        <f t="shared" ca="1" si="76"/>
        <v>50.813727662003593</v>
      </c>
    </row>
    <row r="4056" spans="4:4" x14ac:dyDescent="0.25">
      <c r="D4056">
        <f t="shared" ca="1" si="76"/>
        <v>50.514556951502776</v>
      </c>
    </row>
    <row r="4057" spans="4:4" x14ac:dyDescent="0.25">
      <c r="D4057">
        <f t="shared" ca="1" si="76"/>
        <v>57.457979350231369</v>
      </c>
    </row>
    <row r="4058" spans="4:4" x14ac:dyDescent="0.25">
      <c r="D4058">
        <f t="shared" ca="1" si="76"/>
        <v>47.960709322802387</v>
      </c>
    </row>
    <row r="4059" spans="4:4" x14ac:dyDescent="0.25">
      <c r="D4059">
        <f t="shared" ca="1" si="76"/>
        <v>48.079472295547198</v>
      </c>
    </row>
    <row r="4060" spans="4:4" x14ac:dyDescent="0.25">
      <c r="D4060">
        <f t="shared" ca="1" si="76"/>
        <v>36.194132117047886</v>
      </c>
    </row>
    <row r="4061" spans="4:4" x14ac:dyDescent="0.25">
      <c r="D4061">
        <f t="shared" ca="1" si="76"/>
        <v>41.419054036216757</v>
      </c>
    </row>
    <row r="4062" spans="4:4" x14ac:dyDescent="0.25">
      <c r="D4062">
        <f t="shared" ca="1" si="76"/>
        <v>51.339418248623168</v>
      </c>
    </row>
    <row r="4063" spans="4:4" x14ac:dyDescent="0.25">
      <c r="D4063">
        <f t="shared" ca="1" si="76"/>
        <v>54.514574677464708</v>
      </c>
    </row>
    <row r="4064" spans="4:4" x14ac:dyDescent="0.25">
      <c r="D4064">
        <f t="shared" ca="1" si="76"/>
        <v>55.835846417533588</v>
      </c>
    </row>
    <row r="4065" spans="4:4" x14ac:dyDescent="0.25">
      <c r="D4065">
        <f t="shared" ca="1" si="76"/>
        <v>44.634202902124102</v>
      </c>
    </row>
    <row r="4066" spans="4:4" x14ac:dyDescent="0.25">
      <c r="D4066">
        <f t="shared" ca="1" si="76"/>
        <v>48.909656948135485</v>
      </c>
    </row>
    <row r="4067" spans="4:4" x14ac:dyDescent="0.25">
      <c r="D4067">
        <f t="shared" ca="1" si="76"/>
        <v>44.871433509290455</v>
      </c>
    </row>
    <row r="4068" spans="4:4" x14ac:dyDescent="0.25">
      <c r="D4068">
        <f t="shared" ca="1" si="76"/>
        <v>49.099834319686721</v>
      </c>
    </row>
    <row r="4069" spans="4:4" x14ac:dyDescent="0.25">
      <c r="D4069">
        <f t="shared" ca="1" si="76"/>
        <v>44.789572475055358</v>
      </c>
    </row>
    <row r="4070" spans="4:4" x14ac:dyDescent="0.25">
      <c r="D4070">
        <f t="shared" ca="1" si="76"/>
        <v>43.881109756706749</v>
      </c>
    </row>
    <row r="4071" spans="4:4" x14ac:dyDescent="0.25">
      <c r="D4071">
        <f t="shared" ca="1" si="76"/>
        <v>50.63736839301518</v>
      </c>
    </row>
    <row r="4072" spans="4:4" x14ac:dyDescent="0.25">
      <c r="D4072">
        <f t="shared" ca="1" si="76"/>
        <v>51.675413105864429</v>
      </c>
    </row>
    <row r="4073" spans="4:4" x14ac:dyDescent="0.25">
      <c r="D4073">
        <f t="shared" ca="1" si="76"/>
        <v>51.880431253811246</v>
      </c>
    </row>
    <row r="4074" spans="4:4" x14ac:dyDescent="0.25">
      <c r="D4074">
        <f t="shared" ca="1" si="76"/>
        <v>47.611346654360084</v>
      </c>
    </row>
    <row r="4075" spans="4:4" x14ac:dyDescent="0.25">
      <c r="D4075">
        <f t="shared" ca="1" si="76"/>
        <v>38.363018454157555</v>
      </c>
    </row>
    <row r="4076" spans="4:4" x14ac:dyDescent="0.25">
      <c r="D4076">
        <f t="shared" ca="1" si="76"/>
        <v>46.910767550247613</v>
      </c>
    </row>
    <row r="4077" spans="4:4" x14ac:dyDescent="0.25">
      <c r="D4077">
        <f t="shared" ca="1" si="76"/>
        <v>46.063674191189335</v>
      </c>
    </row>
    <row r="4078" spans="4:4" x14ac:dyDescent="0.25">
      <c r="D4078">
        <f t="shared" ca="1" si="76"/>
        <v>54.201054518557619</v>
      </c>
    </row>
    <row r="4079" spans="4:4" x14ac:dyDescent="0.25">
      <c r="D4079">
        <f t="shared" ca="1" si="76"/>
        <v>47.090492020481037</v>
      </c>
    </row>
    <row r="4080" spans="4:4" x14ac:dyDescent="0.25">
      <c r="D4080">
        <f t="shared" ca="1" si="76"/>
        <v>53.648650379219944</v>
      </c>
    </row>
    <row r="4081" spans="4:4" x14ac:dyDescent="0.25">
      <c r="D4081">
        <f t="shared" ca="1" si="76"/>
        <v>48.239479622893484</v>
      </c>
    </row>
    <row r="4082" spans="4:4" x14ac:dyDescent="0.25">
      <c r="D4082">
        <f t="shared" ca="1" si="76"/>
        <v>46.073044004141479</v>
      </c>
    </row>
    <row r="4083" spans="4:4" x14ac:dyDescent="0.25">
      <c r="D4083">
        <f t="shared" ca="1" si="76"/>
        <v>47.810518905247172</v>
      </c>
    </row>
    <row r="4084" spans="4:4" x14ac:dyDescent="0.25">
      <c r="D4084">
        <f t="shared" ca="1" si="76"/>
        <v>41.847866405445686</v>
      </c>
    </row>
    <row r="4085" spans="4:4" x14ac:dyDescent="0.25">
      <c r="D4085">
        <f t="shared" ca="1" si="76"/>
        <v>47.868342080924094</v>
      </c>
    </row>
    <row r="4086" spans="4:4" x14ac:dyDescent="0.25">
      <c r="D4086">
        <f t="shared" ca="1" si="76"/>
        <v>43.134965429857239</v>
      </c>
    </row>
    <row r="4087" spans="4:4" x14ac:dyDescent="0.25">
      <c r="D4087">
        <f t="shared" ca="1" si="76"/>
        <v>46.592007194209344</v>
      </c>
    </row>
    <row r="4088" spans="4:4" x14ac:dyDescent="0.25">
      <c r="D4088">
        <f t="shared" ca="1" si="76"/>
        <v>52.219645966406041</v>
      </c>
    </row>
    <row r="4089" spans="4:4" x14ac:dyDescent="0.25">
      <c r="D4089">
        <f t="shared" ca="1" si="76"/>
        <v>54.875895295559395</v>
      </c>
    </row>
    <row r="4090" spans="4:4" x14ac:dyDescent="0.25">
      <c r="D4090">
        <f t="shared" ca="1" si="76"/>
        <v>53.240850539294769</v>
      </c>
    </row>
    <row r="4091" spans="4:4" x14ac:dyDescent="0.25">
      <c r="D4091">
        <f t="shared" ca="1" si="76"/>
        <v>47.225082475238302</v>
      </c>
    </row>
    <row r="4092" spans="4:4" x14ac:dyDescent="0.25">
      <c r="D4092">
        <f t="shared" ca="1" si="76"/>
        <v>55.397410935520455</v>
      </c>
    </row>
    <row r="4093" spans="4:4" x14ac:dyDescent="0.25">
      <c r="D4093">
        <f t="shared" ca="1" si="76"/>
        <v>55.162838498884064</v>
      </c>
    </row>
    <row r="4094" spans="4:4" x14ac:dyDescent="0.25">
      <c r="D4094">
        <f t="shared" ca="1" si="76"/>
        <v>47.519348567976223</v>
      </c>
    </row>
    <row r="4095" spans="4:4" x14ac:dyDescent="0.25">
      <c r="D4095">
        <f t="shared" ca="1" si="76"/>
        <v>42.998507852246149</v>
      </c>
    </row>
    <row r="4096" spans="4:4" x14ac:dyDescent="0.25">
      <c r="D4096">
        <f t="shared" ca="1" si="76"/>
        <v>47.14724601775746</v>
      </c>
    </row>
    <row r="4097" spans="4:4" x14ac:dyDescent="0.25">
      <c r="D4097">
        <f t="shared" ca="1" si="76"/>
        <v>51.726993294523005</v>
      </c>
    </row>
    <row r="4098" spans="4:4" x14ac:dyDescent="0.25">
      <c r="D4098">
        <f t="shared" ca="1" si="76"/>
        <v>49.007359839382204</v>
      </c>
    </row>
    <row r="4099" spans="4:4" x14ac:dyDescent="0.25">
      <c r="D4099">
        <f t="shared" ref="D4099:D4162" ca="1" si="77">_xlfn.T.INV(RAND(),25)*$G$3+$F$3</f>
        <v>43.851151763020397</v>
      </c>
    </row>
    <row r="4100" spans="4:4" x14ac:dyDescent="0.25">
      <c r="D4100">
        <f t="shared" ca="1" si="77"/>
        <v>47.484148359462871</v>
      </c>
    </row>
    <row r="4101" spans="4:4" x14ac:dyDescent="0.25">
      <c r="D4101">
        <f t="shared" ca="1" si="77"/>
        <v>53.282440327910223</v>
      </c>
    </row>
    <row r="4102" spans="4:4" x14ac:dyDescent="0.25">
      <c r="D4102">
        <f t="shared" ca="1" si="77"/>
        <v>43.481005318784497</v>
      </c>
    </row>
    <row r="4103" spans="4:4" x14ac:dyDescent="0.25">
      <c r="D4103">
        <f t="shared" ca="1" si="77"/>
        <v>47.431432454893439</v>
      </c>
    </row>
    <row r="4104" spans="4:4" x14ac:dyDescent="0.25">
      <c r="D4104">
        <f t="shared" ca="1" si="77"/>
        <v>43.74117347692804</v>
      </c>
    </row>
    <row r="4105" spans="4:4" x14ac:dyDescent="0.25">
      <c r="D4105">
        <f t="shared" ca="1" si="77"/>
        <v>46.075009688052845</v>
      </c>
    </row>
    <row r="4106" spans="4:4" x14ac:dyDescent="0.25">
      <c r="D4106">
        <f t="shared" ca="1" si="77"/>
        <v>52.733094614089055</v>
      </c>
    </row>
    <row r="4107" spans="4:4" x14ac:dyDescent="0.25">
      <c r="D4107">
        <f t="shared" ca="1" si="77"/>
        <v>57.252432491552128</v>
      </c>
    </row>
    <row r="4108" spans="4:4" x14ac:dyDescent="0.25">
      <c r="D4108">
        <f t="shared" ca="1" si="77"/>
        <v>51.17083743894284</v>
      </c>
    </row>
    <row r="4109" spans="4:4" x14ac:dyDescent="0.25">
      <c r="D4109">
        <f t="shared" ca="1" si="77"/>
        <v>43.751580946847476</v>
      </c>
    </row>
    <row r="4110" spans="4:4" x14ac:dyDescent="0.25">
      <c r="D4110">
        <f t="shared" ca="1" si="77"/>
        <v>44.281116967477587</v>
      </c>
    </row>
    <row r="4111" spans="4:4" x14ac:dyDescent="0.25">
      <c r="D4111">
        <f t="shared" ca="1" si="77"/>
        <v>48.272802447152756</v>
      </c>
    </row>
    <row r="4112" spans="4:4" x14ac:dyDescent="0.25">
      <c r="D4112">
        <f t="shared" ca="1" si="77"/>
        <v>45.69093533472472</v>
      </c>
    </row>
    <row r="4113" spans="4:4" x14ac:dyDescent="0.25">
      <c r="D4113">
        <f t="shared" ca="1" si="77"/>
        <v>57.689703595652283</v>
      </c>
    </row>
    <row r="4114" spans="4:4" x14ac:dyDescent="0.25">
      <c r="D4114">
        <f t="shared" ca="1" si="77"/>
        <v>46.086695271480451</v>
      </c>
    </row>
    <row r="4115" spans="4:4" x14ac:dyDescent="0.25">
      <c r="D4115">
        <f t="shared" ca="1" si="77"/>
        <v>47.894480128001668</v>
      </c>
    </row>
    <row r="4116" spans="4:4" x14ac:dyDescent="0.25">
      <c r="D4116">
        <f t="shared" ca="1" si="77"/>
        <v>50.947309232347294</v>
      </c>
    </row>
    <row r="4117" spans="4:4" x14ac:dyDescent="0.25">
      <c r="D4117">
        <f t="shared" ca="1" si="77"/>
        <v>46.051301738618747</v>
      </c>
    </row>
    <row r="4118" spans="4:4" x14ac:dyDescent="0.25">
      <c r="D4118">
        <f t="shared" ca="1" si="77"/>
        <v>43.888264844783784</v>
      </c>
    </row>
    <row r="4119" spans="4:4" x14ac:dyDescent="0.25">
      <c r="D4119">
        <f t="shared" ca="1" si="77"/>
        <v>46.897961794628614</v>
      </c>
    </row>
    <row r="4120" spans="4:4" x14ac:dyDescent="0.25">
      <c r="D4120">
        <f t="shared" ca="1" si="77"/>
        <v>53.016114559119565</v>
      </c>
    </row>
    <row r="4121" spans="4:4" x14ac:dyDescent="0.25">
      <c r="D4121">
        <f t="shared" ca="1" si="77"/>
        <v>48.936336961068079</v>
      </c>
    </row>
    <row r="4122" spans="4:4" x14ac:dyDescent="0.25">
      <c r="D4122">
        <f t="shared" ca="1" si="77"/>
        <v>50.095495912022294</v>
      </c>
    </row>
    <row r="4123" spans="4:4" x14ac:dyDescent="0.25">
      <c r="D4123">
        <f t="shared" ca="1" si="77"/>
        <v>46.594243081923594</v>
      </c>
    </row>
    <row r="4124" spans="4:4" x14ac:dyDescent="0.25">
      <c r="D4124">
        <f t="shared" ca="1" si="77"/>
        <v>52.522104675506945</v>
      </c>
    </row>
    <row r="4125" spans="4:4" x14ac:dyDescent="0.25">
      <c r="D4125">
        <f t="shared" ca="1" si="77"/>
        <v>49.071030372145778</v>
      </c>
    </row>
    <row r="4126" spans="4:4" x14ac:dyDescent="0.25">
      <c r="D4126">
        <f t="shared" ca="1" si="77"/>
        <v>55.254935309166491</v>
      </c>
    </row>
    <row r="4127" spans="4:4" x14ac:dyDescent="0.25">
      <c r="D4127">
        <f t="shared" ca="1" si="77"/>
        <v>52.41148957302903</v>
      </c>
    </row>
    <row r="4128" spans="4:4" x14ac:dyDescent="0.25">
      <c r="D4128">
        <f t="shared" ca="1" si="77"/>
        <v>52.34038354559604</v>
      </c>
    </row>
    <row r="4129" spans="4:4" x14ac:dyDescent="0.25">
      <c r="D4129">
        <f t="shared" ca="1" si="77"/>
        <v>51.485136012951855</v>
      </c>
    </row>
    <row r="4130" spans="4:4" x14ac:dyDescent="0.25">
      <c r="D4130">
        <f t="shared" ca="1" si="77"/>
        <v>54.274610257826573</v>
      </c>
    </row>
    <row r="4131" spans="4:4" x14ac:dyDescent="0.25">
      <c r="D4131">
        <f t="shared" ca="1" si="77"/>
        <v>50.639440670429344</v>
      </c>
    </row>
    <row r="4132" spans="4:4" x14ac:dyDescent="0.25">
      <c r="D4132">
        <f t="shared" ca="1" si="77"/>
        <v>50.671752779630644</v>
      </c>
    </row>
    <row r="4133" spans="4:4" x14ac:dyDescent="0.25">
      <c r="D4133">
        <f t="shared" ca="1" si="77"/>
        <v>54.211548864479347</v>
      </c>
    </row>
    <row r="4134" spans="4:4" x14ac:dyDescent="0.25">
      <c r="D4134">
        <f t="shared" ca="1" si="77"/>
        <v>58.088486574872434</v>
      </c>
    </row>
    <row r="4135" spans="4:4" x14ac:dyDescent="0.25">
      <c r="D4135">
        <f t="shared" ca="1" si="77"/>
        <v>47.953133812048094</v>
      </c>
    </row>
    <row r="4136" spans="4:4" x14ac:dyDescent="0.25">
      <c r="D4136">
        <f t="shared" ca="1" si="77"/>
        <v>49.409677229918046</v>
      </c>
    </row>
    <row r="4137" spans="4:4" x14ac:dyDescent="0.25">
      <c r="D4137">
        <f t="shared" ca="1" si="77"/>
        <v>46.075442881874977</v>
      </c>
    </row>
    <row r="4138" spans="4:4" x14ac:dyDescent="0.25">
      <c r="D4138">
        <f t="shared" ca="1" si="77"/>
        <v>47.819745785084194</v>
      </c>
    </row>
    <row r="4139" spans="4:4" x14ac:dyDescent="0.25">
      <c r="D4139">
        <f t="shared" ca="1" si="77"/>
        <v>52.548513729593566</v>
      </c>
    </row>
    <row r="4140" spans="4:4" x14ac:dyDescent="0.25">
      <c r="D4140">
        <f t="shared" ca="1" si="77"/>
        <v>53.751468174294985</v>
      </c>
    </row>
    <row r="4141" spans="4:4" x14ac:dyDescent="0.25">
      <c r="D4141">
        <f t="shared" ca="1" si="77"/>
        <v>47.573665409383771</v>
      </c>
    </row>
    <row r="4142" spans="4:4" x14ac:dyDescent="0.25">
      <c r="D4142">
        <f t="shared" ca="1" si="77"/>
        <v>59.977500410256084</v>
      </c>
    </row>
    <row r="4143" spans="4:4" x14ac:dyDescent="0.25">
      <c r="D4143">
        <f t="shared" ca="1" si="77"/>
        <v>43.521488195013688</v>
      </c>
    </row>
    <row r="4144" spans="4:4" x14ac:dyDescent="0.25">
      <c r="D4144">
        <f t="shared" ca="1" si="77"/>
        <v>43.48601913232158</v>
      </c>
    </row>
    <row r="4145" spans="4:4" x14ac:dyDescent="0.25">
      <c r="D4145">
        <f t="shared" ca="1" si="77"/>
        <v>49.283878127497701</v>
      </c>
    </row>
    <row r="4146" spans="4:4" x14ac:dyDescent="0.25">
      <c r="D4146">
        <f t="shared" ca="1" si="77"/>
        <v>49.714810939301536</v>
      </c>
    </row>
    <row r="4147" spans="4:4" x14ac:dyDescent="0.25">
      <c r="D4147">
        <f t="shared" ca="1" si="77"/>
        <v>52.911269897559436</v>
      </c>
    </row>
    <row r="4148" spans="4:4" x14ac:dyDescent="0.25">
      <c r="D4148">
        <f t="shared" ca="1" si="77"/>
        <v>49.490563699170053</v>
      </c>
    </row>
    <row r="4149" spans="4:4" x14ac:dyDescent="0.25">
      <c r="D4149">
        <f t="shared" ca="1" si="77"/>
        <v>45.997503669536044</v>
      </c>
    </row>
    <row r="4150" spans="4:4" x14ac:dyDescent="0.25">
      <c r="D4150">
        <f t="shared" ca="1" si="77"/>
        <v>48.842498504538966</v>
      </c>
    </row>
    <row r="4151" spans="4:4" x14ac:dyDescent="0.25">
      <c r="D4151">
        <f t="shared" ca="1" si="77"/>
        <v>46.220181479818329</v>
      </c>
    </row>
    <row r="4152" spans="4:4" x14ac:dyDescent="0.25">
      <c r="D4152">
        <f t="shared" ca="1" si="77"/>
        <v>47.155893475519441</v>
      </c>
    </row>
    <row r="4153" spans="4:4" x14ac:dyDescent="0.25">
      <c r="D4153">
        <f t="shared" ca="1" si="77"/>
        <v>47.89056604392993</v>
      </c>
    </row>
    <row r="4154" spans="4:4" x14ac:dyDescent="0.25">
      <c r="D4154">
        <f t="shared" ca="1" si="77"/>
        <v>42.064728599644972</v>
      </c>
    </row>
    <row r="4155" spans="4:4" x14ac:dyDescent="0.25">
      <c r="D4155">
        <f t="shared" ca="1" si="77"/>
        <v>42.202232838558317</v>
      </c>
    </row>
    <row r="4156" spans="4:4" x14ac:dyDescent="0.25">
      <c r="D4156">
        <f t="shared" ca="1" si="77"/>
        <v>49.291298572128035</v>
      </c>
    </row>
    <row r="4157" spans="4:4" x14ac:dyDescent="0.25">
      <c r="D4157">
        <f t="shared" ca="1" si="77"/>
        <v>49.095469923464385</v>
      </c>
    </row>
    <row r="4158" spans="4:4" x14ac:dyDescent="0.25">
      <c r="D4158">
        <f t="shared" ca="1" si="77"/>
        <v>55.483255661706892</v>
      </c>
    </row>
    <row r="4159" spans="4:4" x14ac:dyDescent="0.25">
      <c r="D4159">
        <f t="shared" ca="1" si="77"/>
        <v>46.123720317492776</v>
      </c>
    </row>
    <row r="4160" spans="4:4" x14ac:dyDescent="0.25">
      <c r="D4160">
        <f t="shared" ca="1" si="77"/>
        <v>39.937191123395593</v>
      </c>
    </row>
    <row r="4161" spans="4:4" x14ac:dyDescent="0.25">
      <c r="D4161">
        <f t="shared" ca="1" si="77"/>
        <v>48.095361594036014</v>
      </c>
    </row>
    <row r="4162" spans="4:4" x14ac:dyDescent="0.25">
      <c r="D4162">
        <f t="shared" ca="1" si="77"/>
        <v>44.965313153078483</v>
      </c>
    </row>
    <row r="4163" spans="4:4" x14ac:dyDescent="0.25">
      <c r="D4163">
        <f t="shared" ref="D4163:D4226" ca="1" si="78">_xlfn.T.INV(RAND(),25)*$G$3+$F$3</f>
        <v>48.378234519052533</v>
      </c>
    </row>
    <row r="4164" spans="4:4" x14ac:dyDescent="0.25">
      <c r="D4164">
        <f t="shared" ca="1" si="78"/>
        <v>47.031357066394065</v>
      </c>
    </row>
    <row r="4165" spans="4:4" x14ac:dyDescent="0.25">
      <c r="D4165">
        <f t="shared" ca="1" si="78"/>
        <v>50.273592197752059</v>
      </c>
    </row>
    <row r="4166" spans="4:4" x14ac:dyDescent="0.25">
      <c r="D4166">
        <f t="shared" ca="1" si="78"/>
        <v>51.817308301169383</v>
      </c>
    </row>
    <row r="4167" spans="4:4" x14ac:dyDescent="0.25">
      <c r="D4167">
        <f t="shared" ca="1" si="78"/>
        <v>48.140603168780345</v>
      </c>
    </row>
    <row r="4168" spans="4:4" x14ac:dyDescent="0.25">
      <c r="D4168">
        <f t="shared" ca="1" si="78"/>
        <v>46.436575219662281</v>
      </c>
    </row>
    <row r="4169" spans="4:4" x14ac:dyDescent="0.25">
      <c r="D4169">
        <f t="shared" ca="1" si="78"/>
        <v>46.505589532124006</v>
      </c>
    </row>
    <row r="4170" spans="4:4" x14ac:dyDescent="0.25">
      <c r="D4170">
        <f t="shared" ca="1" si="78"/>
        <v>47.722656942811732</v>
      </c>
    </row>
    <row r="4171" spans="4:4" x14ac:dyDescent="0.25">
      <c r="D4171">
        <f t="shared" ca="1" si="78"/>
        <v>55.581459377815662</v>
      </c>
    </row>
    <row r="4172" spans="4:4" x14ac:dyDescent="0.25">
      <c r="D4172">
        <f t="shared" ca="1" si="78"/>
        <v>54.867498778141858</v>
      </c>
    </row>
    <row r="4173" spans="4:4" x14ac:dyDescent="0.25">
      <c r="D4173">
        <f t="shared" ca="1" si="78"/>
        <v>47.531579429145552</v>
      </c>
    </row>
    <row r="4174" spans="4:4" x14ac:dyDescent="0.25">
      <c r="D4174">
        <f t="shared" ca="1" si="78"/>
        <v>40.677395256187701</v>
      </c>
    </row>
    <row r="4175" spans="4:4" x14ac:dyDescent="0.25">
      <c r="D4175">
        <f t="shared" ca="1" si="78"/>
        <v>45.980017653088851</v>
      </c>
    </row>
    <row r="4176" spans="4:4" x14ac:dyDescent="0.25">
      <c r="D4176">
        <f t="shared" ca="1" si="78"/>
        <v>52.085635255086252</v>
      </c>
    </row>
    <row r="4177" spans="4:4" x14ac:dyDescent="0.25">
      <c r="D4177">
        <f t="shared" ca="1" si="78"/>
        <v>49.326040488883713</v>
      </c>
    </row>
    <row r="4178" spans="4:4" x14ac:dyDescent="0.25">
      <c r="D4178">
        <f t="shared" ca="1" si="78"/>
        <v>46.882526526379309</v>
      </c>
    </row>
    <row r="4179" spans="4:4" x14ac:dyDescent="0.25">
      <c r="D4179">
        <f t="shared" ca="1" si="78"/>
        <v>57.772969095630543</v>
      </c>
    </row>
    <row r="4180" spans="4:4" x14ac:dyDescent="0.25">
      <c r="D4180">
        <f t="shared" ca="1" si="78"/>
        <v>54.484217872703312</v>
      </c>
    </row>
    <row r="4181" spans="4:4" x14ac:dyDescent="0.25">
      <c r="D4181">
        <f t="shared" ca="1" si="78"/>
        <v>47.710839085797097</v>
      </c>
    </row>
    <row r="4182" spans="4:4" x14ac:dyDescent="0.25">
      <c r="D4182">
        <f t="shared" ca="1" si="78"/>
        <v>47.582141093414691</v>
      </c>
    </row>
    <row r="4183" spans="4:4" x14ac:dyDescent="0.25">
      <c r="D4183">
        <f t="shared" ca="1" si="78"/>
        <v>59.654876047216234</v>
      </c>
    </row>
    <row r="4184" spans="4:4" x14ac:dyDescent="0.25">
      <c r="D4184">
        <f t="shared" ca="1" si="78"/>
        <v>57.212619228688709</v>
      </c>
    </row>
    <row r="4185" spans="4:4" x14ac:dyDescent="0.25">
      <c r="D4185">
        <f t="shared" ca="1" si="78"/>
        <v>53.863672411079065</v>
      </c>
    </row>
    <row r="4186" spans="4:4" x14ac:dyDescent="0.25">
      <c r="D4186">
        <f t="shared" ca="1" si="78"/>
        <v>40.902566971292423</v>
      </c>
    </row>
    <row r="4187" spans="4:4" x14ac:dyDescent="0.25">
      <c r="D4187">
        <f t="shared" ca="1" si="78"/>
        <v>52.123152130595422</v>
      </c>
    </row>
    <row r="4188" spans="4:4" x14ac:dyDescent="0.25">
      <c r="D4188">
        <f t="shared" ca="1" si="78"/>
        <v>49.874311478759616</v>
      </c>
    </row>
    <row r="4189" spans="4:4" x14ac:dyDescent="0.25">
      <c r="D4189">
        <f t="shared" ca="1" si="78"/>
        <v>45.79335868019573</v>
      </c>
    </row>
    <row r="4190" spans="4:4" x14ac:dyDescent="0.25">
      <c r="D4190">
        <f t="shared" ca="1" si="78"/>
        <v>39.508579771416166</v>
      </c>
    </row>
    <row r="4191" spans="4:4" x14ac:dyDescent="0.25">
      <c r="D4191">
        <f t="shared" ca="1" si="78"/>
        <v>45.345088606811657</v>
      </c>
    </row>
    <row r="4192" spans="4:4" x14ac:dyDescent="0.25">
      <c r="D4192">
        <f t="shared" ca="1" si="78"/>
        <v>48.836327963649531</v>
      </c>
    </row>
    <row r="4193" spans="4:4" x14ac:dyDescent="0.25">
      <c r="D4193">
        <f t="shared" ca="1" si="78"/>
        <v>42.301473492228965</v>
      </c>
    </row>
    <row r="4194" spans="4:4" x14ac:dyDescent="0.25">
      <c r="D4194">
        <f t="shared" ca="1" si="78"/>
        <v>58.860602763439637</v>
      </c>
    </row>
    <row r="4195" spans="4:4" x14ac:dyDescent="0.25">
      <c r="D4195">
        <f t="shared" ca="1" si="78"/>
        <v>48.958232271216076</v>
      </c>
    </row>
    <row r="4196" spans="4:4" x14ac:dyDescent="0.25">
      <c r="D4196">
        <f t="shared" ca="1" si="78"/>
        <v>53.944226026405317</v>
      </c>
    </row>
    <row r="4197" spans="4:4" x14ac:dyDescent="0.25">
      <c r="D4197">
        <f t="shared" ca="1" si="78"/>
        <v>50.710743142802635</v>
      </c>
    </row>
    <row r="4198" spans="4:4" x14ac:dyDescent="0.25">
      <c r="D4198">
        <f t="shared" ca="1" si="78"/>
        <v>41.392692889824964</v>
      </c>
    </row>
    <row r="4199" spans="4:4" x14ac:dyDescent="0.25">
      <c r="D4199">
        <f t="shared" ca="1" si="78"/>
        <v>49.34035643245754</v>
      </c>
    </row>
    <row r="4200" spans="4:4" x14ac:dyDescent="0.25">
      <c r="D4200">
        <f t="shared" ca="1" si="78"/>
        <v>55.835628369969697</v>
      </c>
    </row>
    <row r="4201" spans="4:4" x14ac:dyDescent="0.25">
      <c r="D4201">
        <f t="shared" ca="1" si="78"/>
        <v>39.209513045382941</v>
      </c>
    </row>
    <row r="4202" spans="4:4" x14ac:dyDescent="0.25">
      <c r="D4202">
        <f t="shared" ca="1" si="78"/>
        <v>51.650363812841604</v>
      </c>
    </row>
    <row r="4203" spans="4:4" x14ac:dyDescent="0.25">
      <c r="D4203">
        <f t="shared" ca="1" si="78"/>
        <v>40.754658463102281</v>
      </c>
    </row>
    <row r="4204" spans="4:4" x14ac:dyDescent="0.25">
      <c r="D4204">
        <f t="shared" ca="1" si="78"/>
        <v>54.940283495704662</v>
      </c>
    </row>
    <row r="4205" spans="4:4" x14ac:dyDescent="0.25">
      <c r="D4205">
        <f t="shared" ca="1" si="78"/>
        <v>45.331675053299989</v>
      </c>
    </row>
    <row r="4206" spans="4:4" x14ac:dyDescent="0.25">
      <c r="D4206">
        <f t="shared" ca="1" si="78"/>
        <v>56.287093815126099</v>
      </c>
    </row>
    <row r="4207" spans="4:4" x14ac:dyDescent="0.25">
      <c r="D4207">
        <f t="shared" ca="1" si="78"/>
        <v>53.606572995798274</v>
      </c>
    </row>
    <row r="4208" spans="4:4" x14ac:dyDescent="0.25">
      <c r="D4208">
        <f t="shared" ca="1" si="78"/>
        <v>50.751426119044851</v>
      </c>
    </row>
    <row r="4209" spans="4:4" x14ac:dyDescent="0.25">
      <c r="D4209">
        <f t="shared" ca="1" si="78"/>
        <v>51.992478974746184</v>
      </c>
    </row>
    <row r="4210" spans="4:4" x14ac:dyDescent="0.25">
      <c r="D4210">
        <f t="shared" ca="1" si="78"/>
        <v>43.642021891417876</v>
      </c>
    </row>
    <row r="4211" spans="4:4" x14ac:dyDescent="0.25">
      <c r="D4211">
        <f t="shared" ca="1" si="78"/>
        <v>50.999422047689762</v>
      </c>
    </row>
    <row r="4212" spans="4:4" x14ac:dyDescent="0.25">
      <c r="D4212">
        <f t="shared" ca="1" si="78"/>
        <v>51.241595752933677</v>
      </c>
    </row>
    <row r="4213" spans="4:4" x14ac:dyDescent="0.25">
      <c r="D4213">
        <f t="shared" ca="1" si="78"/>
        <v>47.862537275914882</v>
      </c>
    </row>
    <row r="4214" spans="4:4" x14ac:dyDescent="0.25">
      <c r="D4214">
        <f t="shared" ca="1" si="78"/>
        <v>51.141348996716737</v>
      </c>
    </row>
    <row r="4215" spans="4:4" x14ac:dyDescent="0.25">
      <c r="D4215">
        <f t="shared" ca="1" si="78"/>
        <v>47.615272467241397</v>
      </c>
    </row>
    <row r="4216" spans="4:4" x14ac:dyDescent="0.25">
      <c r="D4216">
        <f t="shared" ca="1" si="78"/>
        <v>45.083022283935463</v>
      </c>
    </row>
    <row r="4217" spans="4:4" x14ac:dyDescent="0.25">
      <c r="D4217">
        <f t="shared" ca="1" si="78"/>
        <v>56.711313861661083</v>
      </c>
    </row>
    <row r="4218" spans="4:4" x14ac:dyDescent="0.25">
      <c r="D4218">
        <f t="shared" ca="1" si="78"/>
        <v>49.837240187552865</v>
      </c>
    </row>
    <row r="4219" spans="4:4" x14ac:dyDescent="0.25">
      <c r="D4219">
        <f t="shared" ca="1" si="78"/>
        <v>55.053930595155173</v>
      </c>
    </row>
    <row r="4220" spans="4:4" x14ac:dyDescent="0.25">
      <c r="D4220">
        <f t="shared" ca="1" si="78"/>
        <v>53.652782915013361</v>
      </c>
    </row>
    <row r="4221" spans="4:4" x14ac:dyDescent="0.25">
      <c r="D4221">
        <f t="shared" ca="1" si="78"/>
        <v>52.427389570707852</v>
      </c>
    </row>
    <row r="4222" spans="4:4" x14ac:dyDescent="0.25">
      <c r="D4222">
        <f t="shared" ca="1" si="78"/>
        <v>38.940591209924477</v>
      </c>
    </row>
    <row r="4223" spans="4:4" x14ac:dyDescent="0.25">
      <c r="D4223">
        <f t="shared" ca="1" si="78"/>
        <v>55.346060119541406</v>
      </c>
    </row>
    <row r="4224" spans="4:4" x14ac:dyDescent="0.25">
      <c r="D4224">
        <f t="shared" ca="1" si="78"/>
        <v>51.163575867068239</v>
      </c>
    </row>
    <row r="4225" spans="4:4" x14ac:dyDescent="0.25">
      <c r="D4225">
        <f t="shared" ca="1" si="78"/>
        <v>47.842865040125311</v>
      </c>
    </row>
    <row r="4226" spans="4:4" x14ac:dyDescent="0.25">
      <c r="D4226">
        <f t="shared" ca="1" si="78"/>
        <v>40.29465073514892</v>
      </c>
    </row>
    <row r="4227" spans="4:4" x14ac:dyDescent="0.25">
      <c r="D4227">
        <f t="shared" ref="D4227:D4290" ca="1" si="79">_xlfn.T.INV(RAND(),25)*$G$3+$F$3</f>
        <v>49.759850776336286</v>
      </c>
    </row>
    <row r="4228" spans="4:4" x14ac:dyDescent="0.25">
      <c r="D4228">
        <f t="shared" ca="1" si="79"/>
        <v>43.640068659637535</v>
      </c>
    </row>
    <row r="4229" spans="4:4" x14ac:dyDescent="0.25">
      <c r="D4229">
        <f t="shared" ca="1" si="79"/>
        <v>48.815144913912775</v>
      </c>
    </row>
    <row r="4230" spans="4:4" x14ac:dyDescent="0.25">
      <c r="D4230">
        <f t="shared" ca="1" si="79"/>
        <v>44.383658726200949</v>
      </c>
    </row>
    <row r="4231" spans="4:4" x14ac:dyDescent="0.25">
      <c r="D4231">
        <f t="shared" ca="1" si="79"/>
        <v>53.230483392807244</v>
      </c>
    </row>
    <row r="4232" spans="4:4" x14ac:dyDescent="0.25">
      <c r="D4232">
        <f t="shared" ca="1" si="79"/>
        <v>46.144575076528355</v>
      </c>
    </row>
    <row r="4233" spans="4:4" x14ac:dyDescent="0.25">
      <c r="D4233">
        <f t="shared" ca="1" si="79"/>
        <v>45.892895162386552</v>
      </c>
    </row>
    <row r="4234" spans="4:4" x14ac:dyDescent="0.25">
      <c r="D4234">
        <f t="shared" ca="1" si="79"/>
        <v>48.419190785707876</v>
      </c>
    </row>
    <row r="4235" spans="4:4" x14ac:dyDescent="0.25">
      <c r="D4235">
        <f t="shared" ca="1" si="79"/>
        <v>51.390951531624516</v>
      </c>
    </row>
    <row r="4236" spans="4:4" x14ac:dyDescent="0.25">
      <c r="D4236">
        <f t="shared" ca="1" si="79"/>
        <v>50.355793365193094</v>
      </c>
    </row>
    <row r="4237" spans="4:4" x14ac:dyDescent="0.25">
      <c r="D4237">
        <f t="shared" ca="1" si="79"/>
        <v>46.984774495842927</v>
      </c>
    </row>
    <row r="4238" spans="4:4" x14ac:dyDescent="0.25">
      <c r="D4238">
        <f t="shared" ca="1" si="79"/>
        <v>56.055966262050497</v>
      </c>
    </row>
    <row r="4239" spans="4:4" x14ac:dyDescent="0.25">
      <c r="D4239">
        <f t="shared" ca="1" si="79"/>
        <v>48.386062639024118</v>
      </c>
    </row>
    <row r="4240" spans="4:4" x14ac:dyDescent="0.25">
      <c r="D4240">
        <f t="shared" ca="1" si="79"/>
        <v>49.784895153381143</v>
      </c>
    </row>
    <row r="4241" spans="4:4" x14ac:dyDescent="0.25">
      <c r="D4241">
        <f t="shared" ca="1" si="79"/>
        <v>48.542679668887381</v>
      </c>
    </row>
    <row r="4242" spans="4:4" x14ac:dyDescent="0.25">
      <c r="D4242">
        <f t="shared" ca="1" si="79"/>
        <v>55.006011091141161</v>
      </c>
    </row>
    <row r="4243" spans="4:4" x14ac:dyDescent="0.25">
      <c r="D4243">
        <f t="shared" ca="1" si="79"/>
        <v>53.094683534153148</v>
      </c>
    </row>
    <row r="4244" spans="4:4" x14ac:dyDescent="0.25">
      <c r="D4244">
        <f t="shared" ca="1" si="79"/>
        <v>44.804339685231213</v>
      </c>
    </row>
    <row r="4245" spans="4:4" x14ac:dyDescent="0.25">
      <c r="D4245">
        <f t="shared" ca="1" si="79"/>
        <v>46.18010991464309</v>
      </c>
    </row>
    <row r="4246" spans="4:4" x14ac:dyDescent="0.25">
      <c r="D4246">
        <f t="shared" ca="1" si="79"/>
        <v>45.089283605815076</v>
      </c>
    </row>
    <row r="4247" spans="4:4" x14ac:dyDescent="0.25">
      <c r="D4247">
        <f t="shared" ca="1" si="79"/>
        <v>42.0962609277084</v>
      </c>
    </row>
    <row r="4248" spans="4:4" x14ac:dyDescent="0.25">
      <c r="D4248">
        <f t="shared" ca="1" si="79"/>
        <v>49.952478385221511</v>
      </c>
    </row>
    <row r="4249" spans="4:4" x14ac:dyDescent="0.25">
      <c r="D4249">
        <f t="shared" ca="1" si="79"/>
        <v>49.294123011655969</v>
      </c>
    </row>
    <row r="4250" spans="4:4" x14ac:dyDescent="0.25">
      <c r="D4250">
        <f t="shared" ca="1" si="79"/>
        <v>44.707733806024059</v>
      </c>
    </row>
    <row r="4251" spans="4:4" x14ac:dyDescent="0.25">
      <c r="D4251">
        <f t="shared" ca="1" si="79"/>
        <v>54.765298584150422</v>
      </c>
    </row>
    <row r="4252" spans="4:4" x14ac:dyDescent="0.25">
      <c r="D4252">
        <f t="shared" ca="1" si="79"/>
        <v>39.290774828850971</v>
      </c>
    </row>
    <row r="4253" spans="4:4" x14ac:dyDescent="0.25">
      <c r="D4253">
        <f t="shared" ca="1" si="79"/>
        <v>50.660212106479335</v>
      </c>
    </row>
    <row r="4254" spans="4:4" x14ac:dyDescent="0.25">
      <c r="D4254">
        <f t="shared" ca="1" si="79"/>
        <v>43.294027767515246</v>
      </c>
    </row>
    <row r="4255" spans="4:4" x14ac:dyDescent="0.25">
      <c r="D4255">
        <f t="shared" ca="1" si="79"/>
        <v>59.258476643345091</v>
      </c>
    </row>
    <row r="4256" spans="4:4" x14ac:dyDescent="0.25">
      <c r="D4256">
        <f t="shared" ca="1" si="79"/>
        <v>48.654533031241556</v>
      </c>
    </row>
    <row r="4257" spans="4:4" x14ac:dyDescent="0.25">
      <c r="D4257">
        <f t="shared" ca="1" si="79"/>
        <v>51.27447625648378</v>
      </c>
    </row>
    <row r="4258" spans="4:4" x14ac:dyDescent="0.25">
      <c r="D4258">
        <f t="shared" ca="1" si="79"/>
        <v>50.72755638794753</v>
      </c>
    </row>
    <row r="4259" spans="4:4" x14ac:dyDescent="0.25">
      <c r="D4259">
        <f t="shared" ca="1" si="79"/>
        <v>41.595560561018786</v>
      </c>
    </row>
    <row r="4260" spans="4:4" x14ac:dyDescent="0.25">
      <c r="D4260">
        <f t="shared" ca="1" si="79"/>
        <v>37.602212565175691</v>
      </c>
    </row>
    <row r="4261" spans="4:4" x14ac:dyDescent="0.25">
      <c r="D4261">
        <f t="shared" ca="1" si="79"/>
        <v>51.629197327889862</v>
      </c>
    </row>
    <row r="4262" spans="4:4" x14ac:dyDescent="0.25">
      <c r="D4262">
        <f t="shared" ca="1" si="79"/>
        <v>47.130100383417258</v>
      </c>
    </row>
    <row r="4263" spans="4:4" x14ac:dyDescent="0.25">
      <c r="D4263">
        <f t="shared" ca="1" si="79"/>
        <v>47.16270642664616</v>
      </c>
    </row>
    <row r="4264" spans="4:4" x14ac:dyDescent="0.25">
      <c r="D4264">
        <f t="shared" ca="1" si="79"/>
        <v>45.546831282760024</v>
      </c>
    </row>
    <row r="4265" spans="4:4" x14ac:dyDescent="0.25">
      <c r="D4265">
        <f t="shared" ca="1" si="79"/>
        <v>50.861509460868888</v>
      </c>
    </row>
    <row r="4266" spans="4:4" x14ac:dyDescent="0.25">
      <c r="D4266">
        <f t="shared" ca="1" si="79"/>
        <v>53.275995265518986</v>
      </c>
    </row>
    <row r="4267" spans="4:4" x14ac:dyDescent="0.25">
      <c r="D4267">
        <f t="shared" ca="1" si="79"/>
        <v>53.37893069638892</v>
      </c>
    </row>
    <row r="4268" spans="4:4" x14ac:dyDescent="0.25">
      <c r="D4268">
        <f t="shared" ca="1" si="79"/>
        <v>51.012843551481524</v>
      </c>
    </row>
    <row r="4269" spans="4:4" x14ac:dyDescent="0.25">
      <c r="D4269">
        <f t="shared" ca="1" si="79"/>
        <v>55.810855645255629</v>
      </c>
    </row>
    <row r="4270" spans="4:4" x14ac:dyDescent="0.25">
      <c r="D4270">
        <f t="shared" ca="1" si="79"/>
        <v>56.130484323380543</v>
      </c>
    </row>
    <row r="4271" spans="4:4" x14ac:dyDescent="0.25">
      <c r="D4271">
        <f t="shared" ca="1" si="79"/>
        <v>49.027301537947942</v>
      </c>
    </row>
    <row r="4272" spans="4:4" x14ac:dyDescent="0.25">
      <c r="D4272">
        <f t="shared" ca="1" si="79"/>
        <v>49.529651208371</v>
      </c>
    </row>
    <row r="4273" spans="4:4" x14ac:dyDescent="0.25">
      <c r="D4273">
        <f t="shared" ca="1" si="79"/>
        <v>46.687601912957348</v>
      </c>
    </row>
    <row r="4274" spans="4:4" x14ac:dyDescent="0.25">
      <c r="D4274">
        <f t="shared" ca="1" si="79"/>
        <v>46.290354907027819</v>
      </c>
    </row>
    <row r="4275" spans="4:4" x14ac:dyDescent="0.25">
      <c r="D4275">
        <f t="shared" ca="1" si="79"/>
        <v>52.448063509427641</v>
      </c>
    </row>
    <row r="4276" spans="4:4" x14ac:dyDescent="0.25">
      <c r="D4276">
        <f t="shared" ca="1" si="79"/>
        <v>41.885697300093021</v>
      </c>
    </row>
    <row r="4277" spans="4:4" x14ac:dyDescent="0.25">
      <c r="D4277">
        <f t="shared" ca="1" si="79"/>
        <v>48.9231589985502</v>
      </c>
    </row>
    <row r="4278" spans="4:4" x14ac:dyDescent="0.25">
      <c r="D4278">
        <f t="shared" ca="1" si="79"/>
        <v>57.092123108207268</v>
      </c>
    </row>
    <row r="4279" spans="4:4" x14ac:dyDescent="0.25">
      <c r="D4279">
        <f t="shared" ca="1" si="79"/>
        <v>39.582564882587434</v>
      </c>
    </row>
    <row r="4280" spans="4:4" x14ac:dyDescent="0.25">
      <c r="D4280">
        <f t="shared" ca="1" si="79"/>
        <v>52.576601703234068</v>
      </c>
    </row>
    <row r="4281" spans="4:4" x14ac:dyDescent="0.25">
      <c r="D4281">
        <f t="shared" ca="1" si="79"/>
        <v>52.653763703856313</v>
      </c>
    </row>
    <row r="4282" spans="4:4" x14ac:dyDescent="0.25">
      <c r="D4282">
        <f t="shared" ca="1" si="79"/>
        <v>42.963608134705638</v>
      </c>
    </row>
    <row r="4283" spans="4:4" x14ac:dyDescent="0.25">
      <c r="D4283">
        <f t="shared" ca="1" si="79"/>
        <v>52.883852924152627</v>
      </c>
    </row>
    <row r="4284" spans="4:4" x14ac:dyDescent="0.25">
      <c r="D4284">
        <f t="shared" ca="1" si="79"/>
        <v>50.825542180705021</v>
      </c>
    </row>
    <row r="4285" spans="4:4" x14ac:dyDescent="0.25">
      <c r="D4285">
        <f t="shared" ca="1" si="79"/>
        <v>41.886587318223299</v>
      </c>
    </row>
    <row r="4286" spans="4:4" x14ac:dyDescent="0.25">
      <c r="D4286">
        <f t="shared" ca="1" si="79"/>
        <v>51.412960886695799</v>
      </c>
    </row>
    <row r="4287" spans="4:4" x14ac:dyDescent="0.25">
      <c r="D4287">
        <f t="shared" ca="1" si="79"/>
        <v>58.988731627810068</v>
      </c>
    </row>
    <row r="4288" spans="4:4" x14ac:dyDescent="0.25">
      <c r="D4288">
        <f t="shared" ca="1" si="79"/>
        <v>44.678529498623519</v>
      </c>
    </row>
    <row r="4289" spans="4:4" x14ac:dyDescent="0.25">
      <c r="D4289">
        <f t="shared" ca="1" si="79"/>
        <v>47.936418781523045</v>
      </c>
    </row>
    <row r="4290" spans="4:4" x14ac:dyDescent="0.25">
      <c r="D4290">
        <f t="shared" ca="1" si="79"/>
        <v>46.834133920780296</v>
      </c>
    </row>
    <row r="4291" spans="4:4" x14ac:dyDescent="0.25">
      <c r="D4291">
        <f t="shared" ref="D4291:D4354" ca="1" si="80">_xlfn.T.INV(RAND(),25)*$G$3+$F$3</f>
        <v>51.14587826302656</v>
      </c>
    </row>
    <row r="4292" spans="4:4" x14ac:dyDescent="0.25">
      <c r="D4292">
        <f t="shared" ca="1" si="80"/>
        <v>46.020165981316453</v>
      </c>
    </row>
    <row r="4293" spans="4:4" x14ac:dyDescent="0.25">
      <c r="D4293">
        <f t="shared" ca="1" si="80"/>
        <v>40.812134647878331</v>
      </c>
    </row>
    <row r="4294" spans="4:4" x14ac:dyDescent="0.25">
      <c r="D4294">
        <f t="shared" ca="1" si="80"/>
        <v>49.171171718590983</v>
      </c>
    </row>
    <row r="4295" spans="4:4" x14ac:dyDescent="0.25">
      <c r="D4295">
        <f t="shared" ca="1" si="80"/>
        <v>46.728714639445656</v>
      </c>
    </row>
    <row r="4296" spans="4:4" x14ac:dyDescent="0.25">
      <c r="D4296">
        <f t="shared" ca="1" si="80"/>
        <v>49.864211815751482</v>
      </c>
    </row>
    <row r="4297" spans="4:4" x14ac:dyDescent="0.25">
      <c r="D4297">
        <f t="shared" ca="1" si="80"/>
        <v>52.918868036322557</v>
      </c>
    </row>
    <row r="4298" spans="4:4" x14ac:dyDescent="0.25">
      <c r="D4298">
        <f t="shared" ca="1" si="80"/>
        <v>46.183054838105598</v>
      </c>
    </row>
    <row r="4299" spans="4:4" x14ac:dyDescent="0.25">
      <c r="D4299">
        <f t="shared" ca="1" si="80"/>
        <v>48.485306033520857</v>
      </c>
    </row>
    <row r="4300" spans="4:4" x14ac:dyDescent="0.25">
      <c r="D4300">
        <f t="shared" ca="1" si="80"/>
        <v>55.563355964416992</v>
      </c>
    </row>
    <row r="4301" spans="4:4" x14ac:dyDescent="0.25">
      <c r="D4301">
        <f t="shared" ca="1" si="80"/>
        <v>49.793603207194273</v>
      </c>
    </row>
    <row r="4302" spans="4:4" x14ac:dyDescent="0.25">
      <c r="D4302">
        <f t="shared" ca="1" si="80"/>
        <v>41.238119673802743</v>
      </c>
    </row>
    <row r="4303" spans="4:4" x14ac:dyDescent="0.25">
      <c r="D4303">
        <f t="shared" ca="1" si="80"/>
        <v>45.067305475307705</v>
      </c>
    </row>
    <row r="4304" spans="4:4" x14ac:dyDescent="0.25">
      <c r="D4304">
        <f t="shared" ca="1" si="80"/>
        <v>54.75685479872169</v>
      </c>
    </row>
    <row r="4305" spans="4:4" x14ac:dyDescent="0.25">
      <c r="D4305">
        <f t="shared" ca="1" si="80"/>
        <v>50.618035719633752</v>
      </c>
    </row>
    <row r="4306" spans="4:4" x14ac:dyDescent="0.25">
      <c r="D4306">
        <f t="shared" ca="1" si="80"/>
        <v>45.185672747522673</v>
      </c>
    </row>
    <row r="4307" spans="4:4" x14ac:dyDescent="0.25">
      <c r="D4307">
        <f t="shared" ca="1" si="80"/>
        <v>48.152799362244735</v>
      </c>
    </row>
    <row r="4308" spans="4:4" x14ac:dyDescent="0.25">
      <c r="D4308">
        <f t="shared" ca="1" si="80"/>
        <v>51.86789986959738</v>
      </c>
    </row>
    <row r="4309" spans="4:4" x14ac:dyDescent="0.25">
      <c r="D4309">
        <f t="shared" ca="1" si="80"/>
        <v>44.558048268593346</v>
      </c>
    </row>
    <row r="4310" spans="4:4" x14ac:dyDescent="0.25">
      <c r="D4310">
        <f t="shared" ca="1" si="80"/>
        <v>53.38317730042256</v>
      </c>
    </row>
    <row r="4311" spans="4:4" x14ac:dyDescent="0.25">
      <c r="D4311">
        <f t="shared" ca="1" si="80"/>
        <v>48.299306001123291</v>
      </c>
    </row>
    <row r="4312" spans="4:4" x14ac:dyDescent="0.25">
      <c r="D4312">
        <f t="shared" ca="1" si="80"/>
        <v>47.963123755693047</v>
      </c>
    </row>
    <row r="4313" spans="4:4" x14ac:dyDescent="0.25">
      <c r="D4313">
        <f t="shared" ca="1" si="80"/>
        <v>37.238366651080973</v>
      </c>
    </row>
    <row r="4314" spans="4:4" x14ac:dyDescent="0.25">
      <c r="D4314">
        <f t="shared" ca="1" si="80"/>
        <v>51.980770377171169</v>
      </c>
    </row>
    <row r="4315" spans="4:4" x14ac:dyDescent="0.25">
      <c r="D4315">
        <f t="shared" ca="1" si="80"/>
        <v>50.864207173455839</v>
      </c>
    </row>
    <row r="4316" spans="4:4" x14ac:dyDescent="0.25">
      <c r="D4316">
        <f t="shared" ca="1" si="80"/>
        <v>52.5326862472687</v>
      </c>
    </row>
    <row r="4317" spans="4:4" x14ac:dyDescent="0.25">
      <c r="D4317">
        <f t="shared" ca="1" si="80"/>
        <v>54.309167476219699</v>
      </c>
    </row>
    <row r="4318" spans="4:4" x14ac:dyDescent="0.25">
      <c r="D4318">
        <f t="shared" ca="1" si="80"/>
        <v>53.461414748741632</v>
      </c>
    </row>
    <row r="4319" spans="4:4" x14ac:dyDescent="0.25">
      <c r="D4319">
        <f t="shared" ca="1" si="80"/>
        <v>54.128864696113183</v>
      </c>
    </row>
    <row r="4320" spans="4:4" x14ac:dyDescent="0.25">
      <c r="D4320">
        <f t="shared" ca="1" si="80"/>
        <v>50.650681195651188</v>
      </c>
    </row>
    <row r="4321" spans="4:4" x14ac:dyDescent="0.25">
      <c r="D4321">
        <f t="shared" ca="1" si="80"/>
        <v>50.785341736891837</v>
      </c>
    </row>
    <row r="4322" spans="4:4" x14ac:dyDescent="0.25">
      <c r="D4322">
        <f t="shared" ca="1" si="80"/>
        <v>44.891918950075798</v>
      </c>
    </row>
    <row r="4323" spans="4:4" x14ac:dyDescent="0.25">
      <c r="D4323">
        <f t="shared" ca="1" si="80"/>
        <v>45.84177169682129</v>
      </c>
    </row>
    <row r="4324" spans="4:4" x14ac:dyDescent="0.25">
      <c r="D4324">
        <f t="shared" ca="1" si="80"/>
        <v>61.491022991973956</v>
      </c>
    </row>
    <row r="4325" spans="4:4" x14ac:dyDescent="0.25">
      <c r="D4325">
        <f t="shared" ca="1" si="80"/>
        <v>51.409124176093052</v>
      </c>
    </row>
    <row r="4326" spans="4:4" x14ac:dyDescent="0.25">
      <c r="D4326">
        <f t="shared" ca="1" si="80"/>
        <v>51.444908753912379</v>
      </c>
    </row>
    <row r="4327" spans="4:4" x14ac:dyDescent="0.25">
      <c r="D4327">
        <f t="shared" ca="1" si="80"/>
        <v>42.259221519614186</v>
      </c>
    </row>
    <row r="4328" spans="4:4" x14ac:dyDescent="0.25">
      <c r="D4328">
        <f t="shared" ca="1" si="80"/>
        <v>56.115659813068724</v>
      </c>
    </row>
    <row r="4329" spans="4:4" x14ac:dyDescent="0.25">
      <c r="D4329">
        <f t="shared" ca="1" si="80"/>
        <v>52.94772272338227</v>
      </c>
    </row>
    <row r="4330" spans="4:4" x14ac:dyDescent="0.25">
      <c r="D4330">
        <f t="shared" ca="1" si="80"/>
        <v>52.941442350619795</v>
      </c>
    </row>
    <row r="4331" spans="4:4" x14ac:dyDescent="0.25">
      <c r="D4331">
        <f t="shared" ca="1" si="80"/>
        <v>52.865372238568803</v>
      </c>
    </row>
    <row r="4332" spans="4:4" x14ac:dyDescent="0.25">
      <c r="D4332">
        <f t="shared" ca="1" si="80"/>
        <v>42.861194585964867</v>
      </c>
    </row>
    <row r="4333" spans="4:4" x14ac:dyDescent="0.25">
      <c r="D4333">
        <f t="shared" ca="1" si="80"/>
        <v>47.331365124254212</v>
      </c>
    </row>
    <row r="4334" spans="4:4" x14ac:dyDescent="0.25">
      <c r="D4334">
        <f t="shared" ca="1" si="80"/>
        <v>49.651009903769399</v>
      </c>
    </row>
    <row r="4335" spans="4:4" x14ac:dyDescent="0.25">
      <c r="D4335">
        <f t="shared" ca="1" si="80"/>
        <v>55.792786448857733</v>
      </c>
    </row>
    <row r="4336" spans="4:4" x14ac:dyDescent="0.25">
      <c r="D4336">
        <f t="shared" ca="1" si="80"/>
        <v>31.334806332885144</v>
      </c>
    </row>
    <row r="4337" spans="4:4" x14ac:dyDescent="0.25">
      <c r="D4337">
        <f t="shared" ca="1" si="80"/>
        <v>51.741421388590403</v>
      </c>
    </row>
    <row r="4338" spans="4:4" x14ac:dyDescent="0.25">
      <c r="D4338">
        <f t="shared" ca="1" si="80"/>
        <v>56.677174368263223</v>
      </c>
    </row>
    <row r="4339" spans="4:4" x14ac:dyDescent="0.25">
      <c r="D4339">
        <f t="shared" ca="1" si="80"/>
        <v>51.525467098814396</v>
      </c>
    </row>
    <row r="4340" spans="4:4" x14ac:dyDescent="0.25">
      <c r="D4340">
        <f t="shared" ca="1" si="80"/>
        <v>49.566047645250109</v>
      </c>
    </row>
    <row r="4341" spans="4:4" x14ac:dyDescent="0.25">
      <c r="D4341">
        <f t="shared" ca="1" si="80"/>
        <v>48.895634141116794</v>
      </c>
    </row>
    <row r="4342" spans="4:4" x14ac:dyDescent="0.25">
      <c r="D4342">
        <f t="shared" ca="1" si="80"/>
        <v>57.538242843265174</v>
      </c>
    </row>
    <row r="4343" spans="4:4" x14ac:dyDescent="0.25">
      <c r="D4343">
        <f t="shared" ca="1" si="80"/>
        <v>48.978868988856973</v>
      </c>
    </row>
    <row r="4344" spans="4:4" x14ac:dyDescent="0.25">
      <c r="D4344">
        <f t="shared" ca="1" si="80"/>
        <v>53.170044792502225</v>
      </c>
    </row>
    <row r="4345" spans="4:4" x14ac:dyDescent="0.25">
      <c r="D4345">
        <f t="shared" ca="1" si="80"/>
        <v>48.16895744238456</v>
      </c>
    </row>
    <row r="4346" spans="4:4" x14ac:dyDescent="0.25">
      <c r="D4346">
        <f t="shared" ca="1" si="80"/>
        <v>49.243420497763786</v>
      </c>
    </row>
    <row r="4347" spans="4:4" x14ac:dyDescent="0.25">
      <c r="D4347">
        <f t="shared" ca="1" si="80"/>
        <v>48.935365589557989</v>
      </c>
    </row>
    <row r="4348" spans="4:4" x14ac:dyDescent="0.25">
      <c r="D4348">
        <f t="shared" ca="1" si="80"/>
        <v>44.028458723722188</v>
      </c>
    </row>
    <row r="4349" spans="4:4" x14ac:dyDescent="0.25">
      <c r="D4349">
        <f t="shared" ca="1" si="80"/>
        <v>42.236734905698555</v>
      </c>
    </row>
    <row r="4350" spans="4:4" x14ac:dyDescent="0.25">
      <c r="D4350">
        <f t="shared" ca="1" si="80"/>
        <v>49.761849978008279</v>
      </c>
    </row>
    <row r="4351" spans="4:4" x14ac:dyDescent="0.25">
      <c r="D4351">
        <f t="shared" ca="1" si="80"/>
        <v>41.795288435260211</v>
      </c>
    </row>
    <row r="4352" spans="4:4" x14ac:dyDescent="0.25">
      <c r="D4352">
        <f t="shared" ca="1" si="80"/>
        <v>53.097003375796312</v>
      </c>
    </row>
    <row r="4353" spans="4:4" x14ac:dyDescent="0.25">
      <c r="D4353">
        <f t="shared" ca="1" si="80"/>
        <v>46.161038491414004</v>
      </c>
    </row>
    <row r="4354" spans="4:4" x14ac:dyDescent="0.25">
      <c r="D4354">
        <f t="shared" ca="1" si="80"/>
        <v>48.493055272166032</v>
      </c>
    </row>
    <row r="4355" spans="4:4" x14ac:dyDescent="0.25">
      <c r="D4355">
        <f t="shared" ref="D4355:D4418" ca="1" si="81">_xlfn.T.INV(RAND(),25)*$G$3+$F$3</f>
        <v>54.235078875203897</v>
      </c>
    </row>
    <row r="4356" spans="4:4" x14ac:dyDescent="0.25">
      <c r="D4356">
        <f t="shared" ca="1" si="81"/>
        <v>55.279405970806174</v>
      </c>
    </row>
    <row r="4357" spans="4:4" x14ac:dyDescent="0.25">
      <c r="D4357">
        <f t="shared" ca="1" si="81"/>
        <v>52.486477465431157</v>
      </c>
    </row>
    <row r="4358" spans="4:4" x14ac:dyDescent="0.25">
      <c r="D4358">
        <f t="shared" ca="1" si="81"/>
        <v>51.988747623920787</v>
      </c>
    </row>
    <row r="4359" spans="4:4" x14ac:dyDescent="0.25">
      <c r="D4359">
        <f t="shared" ca="1" si="81"/>
        <v>49.416546355300014</v>
      </c>
    </row>
    <row r="4360" spans="4:4" x14ac:dyDescent="0.25">
      <c r="D4360">
        <f t="shared" ca="1" si="81"/>
        <v>49.734870039657409</v>
      </c>
    </row>
    <row r="4361" spans="4:4" x14ac:dyDescent="0.25">
      <c r="D4361">
        <f t="shared" ca="1" si="81"/>
        <v>45.06373882630178</v>
      </c>
    </row>
    <row r="4362" spans="4:4" x14ac:dyDescent="0.25">
      <c r="D4362">
        <f t="shared" ca="1" si="81"/>
        <v>50.584127154137583</v>
      </c>
    </row>
    <row r="4363" spans="4:4" x14ac:dyDescent="0.25">
      <c r="D4363">
        <f t="shared" ca="1" si="81"/>
        <v>53.667193351074403</v>
      </c>
    </row>
    <row r="4364" spans="4:4" x14ac:dyDescent="0.25">
      <c r="D4364">
        <f t="shared" ca="1" si="81"/>
        <v>50.728888019536967</v>
      </c>
    </row>
    <row r="4365" spans="4:4" x14ac:dyDescent="0.25">
      <c r="D4365">
        <f t="shared" ca="1" si="81"/>
        <v>54.627129194389269</v>
      </c>
    </row>
    <row r="4366" spans="4:4" x14ac:dyDescent="0.25">
      <c r="D4366">
        <f t="shared" ca="1" si="81"/>
        <v>46.981113746077135</v>
      </c>
    </row>
    <row r="4367" spans="4:4" x14ac:dyDescent="0.25">
      <c r="D4367">
        <f t="shared" ca="1" si="81"/>
        <v>52.957527474704762</v>
      </c>
    </row>
    <row r="4368" spans="4:4" x14ac:dyDescent="0.25">
      <c r="D4368">
        <f t="shared" ca="1" si="81"/>
        <v>45.994082354702151</v>
      </c>
    </row>
    <row r="4369" spans="4:4" x14ac:dyDescent="0.25">
      <c r="D4369">
        <f t="shared" ca="1" si="81"/>
        <v>50.691212306446772</v>
      </c>
    </row>
    <row r="4370" spans="4:4" x14ac:dyDescent="0.25">
      <c r="D4370">
        <f t="shared" ca="1" si="81"/>
        <v>51.716807763426075</v>
      </c>
    </row>
    <row r="4371" spans="4:4" x14ac:dyDescent="0.25">
      <c r="D4371">
        <f t="shared" ca="1" si="81"/>
        <v>43.42462387816002</v>
      </c>
    </row>
    <row r="4372" spans="4:4" x14ac:dyDescent="0.25">
      <c r="D4372">
        <f t="shared" ca="1" si="81"/>
        <v>52.405296264058606</v>
      </c>
    </row>
    <row r="4373" spans="4:4" x14ac:dyDescent="0.25">
      <c r="D4373">
        <f t="shared" ca="1" si="81"/>
        <v>53.499374967920552</v>
      </c>
    </row>
    <row r="4374" spans="4:4" x14ac:dyDescent="0.25">
      <c r="D4374">
        <f t="shared" ca="1" si="81"/>
        <v>50.130413968413357</v>
      </c>
    </row>
    <row r="4375" spans="4:4" x14ac:dyDescent="0.25">
      <c r="D4375">
        <f t="shared" ca="1" si="81"/>
        <v>57.071533922445184</v>
      </c>
    </row>
    <row r="4376" spans="4:4" x14ac:dyDescent="0.25">
      <c r="D4376">
        <f t="shared" ca="1" si="81"/>
        <v>45.241047179061695</v>
      </c>
    </row>
    <row r="4377" spans="4:4" x14ac:dyDescent="0.25">
      <c r="D4377">
        <f t="shared" ca="1" si="81"/>
        <v>44.506944388360417</v>
      </c>
    </row>
    <row r="4378" spans="4:4" x14ac:dyDescent="0.25">
      <c r="D4378">
        <f t="shared" ca="1" si="81"/>
        <v>56.533684866778131</v>
      </c>
    </row>
    <row r="4379" spans="4:4" x14ac:dyDescent="0.25">
      <c r="D4379">
        <f t="shared" ca="1" si="81"/>
        <v>57.172460389217136</v>
      </c>
    </row>
    <row r="4380" spans="4:4" x14ac:dyDescent="0.25">
      <c r="D4380">
        <f t="shared" ca="1" si="81"/>
        <v>54.042354234184359</v>
      </c>
    </row>
    <row r="4381" spans="4:4" x14ac:dyDescent="0.25">
      <c r="D4381">
        <f t="shared" ca="1" si="81"/>
        <v>53.636838617296945</v>
      </c>
    </row>
    <row r="4382" spans="4:4" x14ac:dyDescent="0.25">
      <c r="D4382">
        <f t="shared" ca="1" si="81"/>
        <v>47.155343182573866</v>
      </c>
    </row>
    <row r="4383" spans="4:4" x14ac:dyDescent="0.25">
      <c r="D4383">
        <f t="shared" ca="1" si="81"/>
        <v>50.159887783549195</v>
      </c>
    </row>
    <row r="4384" spans="4:4" x14ac:dyDescent="0.25">
      <c r="D4384">
        <f t="shared" ca="1" si="81"/>
        <v>47.861271124237128</v>
      </c>
    </row>
    <row r="4385" spans="4:4" x14ac:dyDescent="0.25">
      <c r="D4385">
        <f t="shared" ca="1" si="81"/>
        <v>48.449198640090472</v>
      </c>
    </row>
    <row r="4386" spans="4:4" x14ac:dyDescent="0.25">
      <c r="D4386">
        <f t="shared" ca="1" si="81"/>
        <v>49.665247359938363</v>
      </c>
    </row>
    <row r="4387" spans="4:4" x14ac:dyDescent="0.25">
      <c r="D4387">
        <f t="shared" ca="1" si="81"/>
        <v>50.817997071170041</v>
      </c>
    </row>
    <row r="4388" spans="4:4" x14ac:dyDescent="0.25">
      <c r="D4388">
        <f t="shared" ca="1" si="81"/>
        <v>54.899471335563511</v>
      </c>
    </row>
    <row r="4389" spans="4:4" x14ac:dyDescent="0.25">
      <c r="D4389">
        <f t="shared" ca="1" si="81"/>
        <v>49.017409896706567</v>
      </c>
    </row>
    <row r="4390" spans="4:4" x14ac:dyDescent="0.25">
      <c r="D4390">
        <f t="shared" ca="1" si="81"/>
        <v>56.401982638113672</v>
      </c>
    </row>
    <row r="4391" spans="4:4" x14ac:dyDescent="0.25">
      <c r="D4391">
        <f t="shared" ca="1" si="81"/>
        <v>42.601226207235186</v>
      </c>
    </row>
    <row r="4392" spans="4:4" x14ac:dyDescent="0.25">
      <c r="D4392">
        <f t="shared" ca="1" si="81"/>
        <v>48.413253315317597</v>
      </c>
    </row>
    <row r="4393" spans="4:4" x14ac:dyDescent="0.25">
      <c r="D4393">
        <f t="shared" ca="1" si="81"/>
        <v>46.230004813762065</v>
      </c>
    </row>
    <row r="4394" spans="4:4" x14ac:dyDescent="0.25">
      <c r="D4394">
        <f t="shared" ca="1" si="81"/>
        <v>41.336049472602966</v>
      </c>
    </row>
    <row r="4395" spans="4:4" x14ac:dyDescent="0.25">
      <c r="D4395">
        <f t="shared" ca="1" si="81"/>
        <v>49.163041646777728</v>
      </c>
    </row>
    <row r="4396" spans="4:4" x14ac:dyDescent="0.25">
      <c r="D4396">
        <f t="shared" ca="1" si="81"/>
        <v>49.907658320626261</v>
      </c>
    </row>
    <row r="4397" spans="4:4" x14ac:dyDescent="0.25">
      <c r="D4397">
        <f t="shared" ca="1" si="81"/>
        <v>54.963428510951303</v>
      </c>
    </row>
    <row r="4398" spans="4:4" x14ac:dyDescent="0.25">
      <c r="D4398">
        <f t="shared" ca="1" si="81"/>
        <v>48.421563566426677</v>
      </c>
    </row>
    <row r="4399" spans="4:4" x14ac:dyDescent="0.25">
      <c r="D4399">
        <f t="shared" ca="1" si="81"/>
        <v>49.616139082610097</v>
      </c>
    </row>
    <row r="4400" spans="4:4" x14ac:dyDescent="0.25">
      <c r="D4400">
        <f t="shared" ca="1" si="81"/>
        <v>46.330077514496516</v>
      </c>
    </row>
    <row r="4401" spans="4:4" x14ac:dyDescent="0.25">
      <c r="D4401">
        <f t="shared" ca="1" si="81"/>
        <v>57.929059287808734</v>
      </c>
    </row>
    <row r="4402" spans="4:4" x14ac:dyDescent="0.25">
      <c r="D4402">
        <f t="shared" ca="1" si="81"/>
        <v>54.758959080234774</v>
      </c>
    </row>
    <row r="4403" spans="4:4" x14ac:dyDescent="0.25">
      <c r="D4403">
        <f t="shared" ca="1" si="81"/>
        <v>47.078594844723554</v>
      </c>
    </row>
    <row r="4404" spans="4:4" x14ac:dyDescent="0.25">
      <c r="D4404">
        <f t="shared" ca="1" si="81"/>
        <v>47.962446898380698</v>
      </c>
    </row>
    <row r="4405" spans="4:4" x14ac:dyDescent="0.25">
      <c r="D4405">
        <f t="shared" ca="1" si="81"/>
        <v>46.716297107876244</v>
      </c>
    </row>
    <row r="4406" spans="4:4" x14ac:dyDescent="0.25">
      <c r="D4406">
        <f t="shared" ca="1" si="81"/>
        <v>51.439091407325471</v>
      </c>
    </row>
    <row r="4407" spans="4:4" x14ac:dyDescent="0.25">
      <c r="D4407">
        <f t="shared" ca="1" si="81"/>
        <v>45.657065965692205</v>
      </c>
    </row>
    <row r="4408" spans="4:4" x14ac:dyDescent="0.25">
      <c r="D4408">
        <f t="shared" ca="1" si="81"/>
        <v>54.803852523336744</v>
      </c>
    </row>
    <row r="4409" spans="4:4" x14ac:dyDescent="0.25">
      <c r="D4409">
        <f t="shared" ca="1" si="81"/>
        <v>50.974156261595084</v>
      </c>
    </row>
    <row r="4410" spans="4:4" x14ac:dyDescent="0.25">
      <c r="D4410">
        <f t="shared" ca="1" si="81"/>
        <v>53.846932247590097</v>
      </c>
    </row>
    <row r="4411" spans="4:4" x14ac:dyDescent="0.25">
      <c r="D4411">
        <f t="shared" ca="1" si="81"/>
        <v>47.034975422233096</v>
      </c>
    </row>
    <row r="4412" spans="4:4" x14ac:dyDescent="0.25">
      <c r="D4412">
        <f t="shared" ca="1" si="81"/>
        <v>49.966094036461293</v>
      </c>
    </row>
    <row r="4413" spans="4:4" x14ac:dyDescent="0.25">
      <c r="D4413">
        <f t="shared" ca="1" si="81"/>
        <v>47.884100506811635</v>
      </c>
    </row>
    <row r="4414" spans="4:4" x14ac:dyDescent="0.25">
      <c r="D4414">
        <f t="shared" ca="1" si="81"/>
        <v>50.120967997740053</v>
      </c>
    </row>
    <row r="4415" spans="4:4" x14ac:dyDescent="0.25">
      <c r="D4415">
        <f t="shared" ca="1" si="81"/>
        <v>48.40589482894422</v>
      </c>
    </row>
    <row r="4416" spans="4:4" x14ac:dyDescent="0.25">
      <c r="D4416">
        <f t="shared" ca="1" si="81"/>
        <v>52.08192257553484</v>
      </c>
    </row>
    <row r="4417" spans="4:4" x14ac:dyDescent="0.25">
      <c r="D4417">
        <f t="shared" ca="1" si="81"/>
        <v>43.696764732595163</v>
      </c>
    </row>
    <row r="4418" spans="4:4" x14ac:dyDescent="0.25">
      <c r="D4418">
        <f t="shared" ca="1" si="81"/>
        <v>46.591279969688003</v>
      </c>
    </row>
    <row r="4419" spans="4:4" x14ac:dyDescent="0.25">
      <c r="D4419">
        <f t="shared" ref="D4419:D4482" ca="1" si="82">_xlfn.T.INV(RAND(),25)*$G$3+$F$3</f>
        <v>49.241941344144543</v>
      </c>
    </row>
    <row r="4420" spans="4:4" x14ac:dyDescent="0.25">
      <c r="D4420">
        <f t="shared" ca="1" si="82"/>
        <v>53.616520897999244</v>
      </c>
    </row>
    <row r="4421" spans="4:4" x14ac:dyDescent="0.25">
      <c r="D4421">
        <f t="shared" ca="1" si="82"/>
        <v>48.657255148164396</v>
      </c>
    </row>
    <row r="4422" spans="4:4" x14ac:dyDescent="0.25">
      <c r="D4422">
        <f t="shared" ca="1" si="82"/>
        <v>45.254053875634845</v>
      </c>
    </row>
    <row r="4423" spans="4:4" x14ac:dyDescent="0.25">
      <c r="D4423">
        <f t="shared" ca="1" si="82"/>
        <v>54.077993315480327</v>
      </c>
    </row>
    <row r="4424" spans="4:4" x14ac:dyDescent="0.25">
      <c r="D4424">
        <f t="shared" ca="1" si="82"/>
        <v>42.560646773147134</v>
      </c>
    </row>
    <row r="4425" spans="4:4" x14ac:dyDescent="0.25">
      <c r="D4425">
        <f t="shared" ca="1" si="82"/>
        <v>45.03311439623053</v>
      </c>
    </row>
    <row r="4426" spans="4:4" x14ac:dyDescent="0.25">
      <c r="D4426">
        <f t="shared" ca="1" si="82"/>
        <v>50.476872097489419</v>
      </c>
    </row>
    <row r="4427" spans="4:4" x14ac:dyDescent="0.25">
      <c r="D4427">
        <f t="shared" ca="1" si="82"/>
        <v>56.57189536652168</v>
      </c>
    </row>
    <row r="4428" spans="4:4" x14ac:dyDescent="0.25">
      <c r="D4428">
        <f t="shared" ca="1" si="82"/>
        <v>40.506489319721936</v>
      </c>
    </row>
    <row r="4429" spans="4:4" x14ac:dyDescent="0.25">
      <c r="D4429">
        <f t="shared" ca="1" si="82"/>
        <v>52.386978753741026</v>
      </c>
    </row>
    <row r="4430" spans="4:4" x14ac:dyDescent="0.25">
      <c r="D4430">
        <f t="shared" ca="1" si="82"/>
        <v>44.163701701155688</v>
      </c>
    </row>
    <row r="4431" spans="4:4" x14ac:dyDescent="0.25">
      <c r="D4431">
        <f t="shared" ca="1" si="82"/>
        <v>53.845106965115647</v>
      </c>
    </row>
    <row r="4432" spans="4:4" x14ac:dyDescent="0.25">
      <c r="D4432">
        <f t="shared" ca="1" si="82"/>
        <v>42.198233428033099</v>
      </c>
    </row>
    <row r="4433" spans="4:4" x14ac:dyDescent="0.25">
      <c r="D4433">
        <f t="shared" ca="1" si="82"/>
        <v>46.290175147982332</v>
      </c>
    </row>
    <row r="4434" spans="4:4" x14ac:dyDescent="0.25">
      <c r="D4434">
        <f t="shared" ca="1" si="82"/>
        <v>50.569121230926235</v>
      </c>
    </row>
    <row r="4435" spans="4:4" x14ac:dyDescent="0.25">
      <c r="D4435">
        <f t="shared" ca="1" si="82"/>
        <v>50.451688104804205</v>
      </c>
    </row>
    <row r="4436" spans="4:4" x14ac:dyDescent="0.25">
      <c r="D4436">
        <f t="shared" ca="1" si="82"/>
        <v>50.06283438875252</v>
      </c>
    </row>
    <row r="4437" spans="4:4" x14ac:dyDescent="0.25">
      <c r="D4437">
        <f t="shared" ca="1" si="82"/>
        <v>54.468351896881209</v>
      </c>
    </row>
    <row r="4438" spans="4:4" x14ac:dyDescent="0.25">
      <c r="D4438">
        <f t="shared" ca="1" si="82"/>
        <v>53.333209772435971</v>
      </c>
    </row>
    <row r="4439" spans="4:4" x14ac:dyDescent="0.25">
      <c r="D4439">
        <f t="shared" ca="1" si="82"/>
        <v>51.104748856350817</v>
      </c>
    </row>
    <row r="4440" spans="4:4" x14ac:dyDescent="0.25">
      <c r="D4440">
        <f t="shared" ca="1" si="82"/>
        <v>49.958945380011436</v>
      </c>
    </row>
    <row r="4441" spans="4:4" x14ac:dyDescent="0.25">
      <c r="D4441">
        <f t="shared" ca="1" si="82"/>
        <v>53.082360796598017</v>
      </c>
    </row>
    <row r="4442" spans="4:4" x14ac:dyDescent="0.25">
      <c r="D4442">
        <f t="shared" ca="1" si="82"/>
        <v>47.947280747636952</v>
      </c>
    </row>
    <row r="4443" spans="4:4" x14ac:dyDescent="0.25">
      <c r="D4443">
        <f t="shared" ca="1" si="82"/>
        <v>51.179078701404428</v>
      </c>
    </row>
    <row r="4444" spans="4:4" x14ac:dyDescent="0.25">
      <c r="D4444">
        <f t="shared" ca="1" si="82"/>
        <v>43.070877032877839</v>
      </c>
    </row>
    <row r="4445" spans="4:4" x14ac:dyDescent="0.25">
      <c r="D4445">
        <f t="shared" ca="1" si="82"/>
        <v>45.773576929335178</v>
      </c>
    </row>
    <row r="4446" spans="4:4" x14ac:dyDescent="0.25">
      <c r="D4446">
        <f t="shared" ca="1" si="82"/>
        <v>55.079821496614848</v>
      </c>
    </row>
    <row r="4447" spans="4:4" x14ac:dyDescent="0.25">
      <c r="D4447">
        <f t="shared" ca="1" si="82"/>
        <v>51.721056450254657</v>
      </c>
    </row>
    <row r="4448" spans="4:4" x14ac:dyDescent="0.25">
      <c r="D4448">
        <f t="shared" ca="1" si="82"/>
        <v>45.166500364414063</v>
      </c>
    </row>
    <row r="4449" spans="4:4" x14ac:dyDescent="0.25">
      <c r="D4449">
        <f t="shared" ca="1" si="82"/>
        <v>46.109271057798942</v>
      </c>
    </row>
    <row r="4450" spans="4:4" x14ac:dyDescent="0.25">
      <c r="D4450">
        <f t="shared" ca="1" si="82"/>
        <v>51.764452002668349</v>
      </c>
    </row>
    <row r="4451" spans="4:4" x14ac:dyDescent="0.25">
      <c r="D4451">
        <f t="shared" ca="1" si="82"/>
        <v>43.783905025403108</v>
      </c>
    </row>
    <row r="4452" spans="4:4" x14ac:dyDescent="0.25">
      <c r="D4452">
        <f t="shared" ca="1" si="82"/>
        <v>43.782381912059165</v>
      </c>
    </row>
    <row r="4453" spans="4:4" x14ac:dyDescent="0.25">
      <c r="D4453">
        <f t="shared" ca="1" si="82"/>
        <v>42.842709992879087</v>
      </c>
    </row>
    <row r="4454" spans="4:4" x14ac:dyDescent="0.25">
      <c r="D4454">
        <f t="shared" ca="1" si="82"/>
        <v>52.846426904711606</v>
      </c>
    </row>
    <row r="4455" spans="4:4" x14ac:dyDescent="0.25">
      <c r="D4455">
        <f t="shared" ca="1" si="82"/>
        <v>46.788601991482587</v>
      </c>
    </row>
    <row r="4456" spans="4:4" x14ac:dyDescent="0.25">
      <c r="D4456">
        <f t="shared" ca="1" si="82"/>
        <v>53.918127834771354</v>
      </c>
    </row>
    <row r="4457" spans="4:4" x14ac:dyDescent="0.25">
      <c r="D4457">
        <f t="shared" ca="1" si="82"/>
        <v>42.098455480049829</v>
      </c>
    </row>
    <row r="4458" spans="4:4" x14ac:dyDescent="0.25">
      <c r="D4458">
        <f t="shared" ca="1" si="82"/>
        <v>52.892259611630877</v>
      </c>
    </row>
    <row r="4459" spans="4:4" x14ac:dyDescent="0.25">
      <c r="D4459">
        <f t="shared" ca="1" si="82"/>
        <v>50.678230856147387</v>
      </c>
    </row>
    <row r="4460" spans="4:4" x14ac:dyDescent="0.25">
      <c r="D4460">
        <f t="shared" ca="1" si="82"/>
        <v>68.812033866530356</v>
      </c>
    </row>
    <row r="4461" spans="4:4" x14ac:dyDescent="0.25">
      <c r="D4461">
        <f t="shared" ca="1" si="82"/>
        <v>50.253322529597064</v>
      </c>
    </row>
    <row r="4462" spans="4:4" x14ac:dyDescent="0.25">
      <c r="D4462">
        <f t="shared" ca="1" si="82"/>
        <v>53.55880191724944</v>
      </c>
    </row>
    <row r="4463" spans="4:4" x14ac:dyDescent="0.25">
      <c r="D4463">
        <f t="shared" ca="1" si="82"/>
        <v>46.398295979923979</v>
      </c>
    </row>
    <row r="4464" spans="4:4" x14ac:dyDescent="0.25">
      <c r="D4464">
        <f t="shared" ca="1" si="82"/>
        <v>52.101272489267004</v>
      </c>
    </row>
    <row r="4465" spans="4:4" x14ac:dyDescent="0.25">
      <c r="D4465">
        <f t="shared" ca="1" si="82"/>
        <v>55.020571246770508</v>
      </c>
    </row>
    <row r="4466" spans="4:4" x14ac:dyDescent="0.25">
      <c r="D4466">
        <f t="shared" ca="1" si="82"/>
        <v>51.992066138156495</v>
      </c>
    </row>
    <row r="4467" spans="4:4" x14ac:dyDescent="0.25">
      <c r="D4467">
        <f t="shared" ca="1" si="82"/>
        <v>48.382952806064189</v>
      </c>
    </row>
    <row r="4468" spans="4:4" x14ac:dyDescent="0.25">
      <c r="D4468">
        <f t="shared" ca="1" si="82"/>
        <v>51.027577931714433</v>
      </c>
    </row>
    <row r="4469" spans="4:4" x14ac:dyDescent="0.25">
      <c r="D4469">
        <f t="shared" ca="1" si="82"/>
        <v>48.803450073529618</v>
      </c>
    </row>
    <row r="4470" spans="4:4" x14ac:dyDescent="0.25">
      <c r="D4470">
        <f t="shared" ca="1" si="82"/>
        <v>44.949729299302533</v>
      </c>
    </row>
    <row r="4471" spans="4:4" x14ac:dyDescent="0.25">
      <c r="D4471">
        <f t="shared" ca="1" si="82"/>
        <v>52.277537119537548</v>
      </c>
    </row>
    <row r="4472" spans="4:4" x14ac:dyDescent="0.25">
      <c r="D4472">
        <f t="shared" ca="1" si="82"/>
        <v>41.261703729557894</v>
      </c>
    </row>
    <row r="4473" spans="4:4" x14ac:dyDescent="0.25">
      <c r="D4473">
        <f t="shared" ca="1" si="82"/>
        <v>57.162890724810019</v>
      </c>
    </row>
    <row r="4474" spans="4:4" x14ac:dyDescent="0.25">
      <c r="D4474">
        <f t="shared" ca="1" si="82"/>
        <v>52.342460887374379</v>
      </c>
    </row>
    <row r="4475" spans="4:4" x14ac:dyDescent="0.25">
      <c r="D4475">
        <f t="shared" ca="1" si="82"/>
        <v>49.660559941747287</v>
      </c>
    </row>
    <row r="4476" spans="4:4" x14ac:dyDescent="0.25">
      <c r="D4476">
        <f t="shared" ca="1" si="82"/>
        <v>46.550214809644636</v>
      </c>
    </row>
    <row r="4477" spans="4:4" x14ac:dyDescent="0.25">
      <c r="D4477">
        <f t="shared" ca="1" si="82"/>
        <v>49.07237940298689</v>
      </c>
    </row>
    <row r="4478" spans="4:4" x14ac:dyDescent="0.25">
      <c r="D4478">
        <f t="shared" ca="1" si="82"/>
        <v>49.805728945127832</v>
      </c>
    </row>
    <row r="4479" spans="4:4" x14ac:dyDescent="0.25">
      <c r="D4479">
        <f t="shared" ca="1" si="82"/>
        <v>55.891851819549842</v>
      </c>
    </row>
    <row r="4480" spans="4:4" x14ac:dyDescent="0.25">
      <c r="D4480">
        <f t="shared" ca="1" si="82"/>
        <v>54.714540963714235</v>
      </c>
    </row>
    <row r="4481" spans="4:4" x14ac:dyDescent="0.25">
      <c r="D4481">
        <f t="shared" ca="1" si="82"/>
        <v>51.690345113890793</v>
      </c>
    </row>
    <row r="4482" spans="4:4" x14ac:dyDescent="0.25">
      <c r="D4482">
        <f t="shared" ca="1" si="82"/>
        <v>51.911178150655537</v>
      </c>
    </row>
    <row r="4483" spans="4:4" x14ac:dyDescent="0.25">
      <c r="D4483">
        <f t="shared" ref="D4483:D4546" ca="1" si="83">_xlfn.T.INV(RAND(),25)*$G$3+$F$3</f>
        <v>51.754374670225346</v>
      </c>
    </row>
    <row r="4484" spans="4:4" x14ac:dyDescent="0.25">
      <c r="D4484">
        <f t="shared" ca="1" si="83"/>
        <v>43.182391295838471</v>
      </c>
    </row>
    <row r="4485" spans="4:4" x14ac:dyDescent="0.25">
      <c r="D4485">
        <f t="shared" ca="1" si="83"/>
        <v>49.089769750153138</v>
      </c>
    </row>
    <row r="4486" spans="4:4" x14ac:dyDescent="0.25">
      <c r="D4486">
        <f t="shared" ca="1" si="83"/>
        <v>48.229663849683639</v>
      </c>
    </row>
    <row r="4487" spans="4:4" x14ac:dyDescent="0.25">
      <c r="D4487">
        <f t="shared" ca="1" si="83"/>
        <v>45.505530877886962</v>
      </c>
    </row>
    <row r="4488" spans="4:4" x14ac:dyDescent="0.25">
      <c r="D4488">
        <f t="shared" ca="1" si="83"/>
        <v>50.395803454309508</v>
      </c>
    </row>
    <row r="4489" spans="4:4" x14ac:dyDescent="0.25">
      <c r="D4489">
        <f t="shared" ca="1" si="83"/>
        <v>49.72947277908105</v>
      </c>
    </row>
    <row r="4490" spans="4:4" x14ac:dyDescent="0.25">
      <c r="D4490">
        <f t="shared" ca="1" si="83"/>
        <v>59.959057724625865</v>
      </c>
    </row>
    <row r="4491" spans="4:4" x14ac:dyDescent="0.25">
      <c r="D4491">
        <f t="shared" ca="1" si="83"/>
        <v>51.812885304282034</v>
      </c>
    </row>
    <row r="4492" spans="4:4" x14ac:dyDescent="0.25">
      <c r="D4492">
        <f t="shared" ca="1" si="83"/>
        <v>47.670563825587429</v>
      </c>
    </row>
    <row r="4493" spans="4:4" x14ac:dyDescent="0.25">
      <c r="D4493">
        <f t="shared" ca="1" si="83"/>
        <v>47.81296603386226</v>
      </c>
    </row>
    <row r="4494" spans="4:4" x14ac:dyDescent="0.25">
      <c r="D4494">
        <f t="shared" ca="1" si="83"/>
        <v>52.154315201723897</v>
      </c>
    </row>
    <row r="4495" spans="4:4" x14ac:dyDescent="0.25">
      <c r="D4495">
        <f t="shared" ca="1" si="83"/>
        <v>46.770055204478354</v>
      </c>
    </row>
    <row r="4496" spans="4:4" x14ac:dyDescent="0.25">
      <c r="D4496">
        <f t="shared" ca="1" si="83"/>
        <v>51.202234138618202</v>
      </c>
    </row>
    <row r="4497" spans="4:4" x14ac:dyDescent="0.25">
      <c r="D4497">
        <f t="shared" ca="1" si="83"/>
        <v>45.723455170993695</v>
      </c>
    </row>
    <row r="4498" spans="4:4" x14ac:dyDescent="0.25">
      <c r="D4498">
        <f t="shared" ca="1" si="83"/>
        <v>49.168891704776193</v>
      </c>
    </row>
    <row r="4499" spans="4:4" x14ac:dyDescent="0.25">
      <c r="D4499">
        <f t="shared" ca="1" si="83"/>
        <v>43.965612312115248</v>
      </c>
    </row>
    <row r="4500" spans="4:4" x14ac:dyDescent="0.25">
      <c r="D4500">
        <f t="shared" ca="1" si="83"/>
        <v>46.922784298275587</v>
      </c>
    </row>
    <row r="4501" spans="4:4" x14ac:dyDescent="0.25">
      <c r="D4501">
        <f t="shared" ca="1" si="83"/>
        <v>49.890504489355628</v>
      </c>
    </row>
    <row r="4502" spans="4:4" x14ac:dyDescent="0.25">
      <c r="D4502">
        <f t="shared" ca="1" si="83"/>
        <v>47.910712640673978</v>
      </c>
    </row>
    <row r="4503" spans="4:4" x14ac:dyDescent="0.25">
      <c r="D4503">
        <f t="shared" ca="1" si="83"/>
        <v>49.41561163287637</v>
      </c>
    </row>
    <row r="4504" spans="4:4" x14ac:dyDescent="0.25">
      <c r="D4504">
        <f t="shared" ca="1" si="83"/>
        <v>50.907573567399076</v>
      </c>
    </row>
    <row r="4505" spans="4:4" x14ac:dyDescent="0.25">
      <c r="D4505">
        <f t="shared" ca="1" si="83"/>
        <v>42.52753776114443</v>
      </c>
    </row>
    <row r="4506" spans="4:4" x14ac:dyDescent="0.25">
      <c r="D4506">
        <f t="shared" ca="1" si="83"/>
        <v>50.101781876720239</v>
      </c>
    </row>
    <row r="4507" spans="4:4" x14ac:dyDescent="0.25">
      <c r="D4507">
        <f t="shared" ca="1" si="83"/>
        <v>58.559934472759842</v>
      </c>
    </row>
    <row r="4508" spans="4:4" x14ac:dyDescent="0.25">
      <c r="D4508">
        <f t="shared" ca="1" si="83"/>
        <v>45.818270881207148</v>
      </c>
    </row>
    <row r="4509" spans="4:4" x14ac:dyDescent="0.25">
      <c r="D4509">
        <f t="shared" ca="1" si="83"/>
        <v>51.149133517492238</v>
      </c>
    </row>
    <row r="4510" spans="4:4" x14ac:dyDescent="0.25">
      <c r="D4510">
        <f t="shared" ca="1" si="83"/>
        <v>39.767525474227895</v>
      </c>
    </row>
    <row r="4511" spans="4:4" x14ac:dyDescent="0.25">
      <c r="D4511">
        <f t="shared" ca="1" si="83"/>
        <v>52.065523503127658</v>
      </c>
    </row>
    <row r="4512" spans="4:4" x14ac:dyDescent="0.25">
      <c r="D4512">
        <f t="shared" ca="1" si="83"/>
        <v>53.93758712570714</v>
      </c>
    </row>
    <row r="4513" spans="4:4" x14ac:dyDescent="0.25">
      <c r="D4513">
        <f t="shared" ca="1" si="83"/>
        <v>49.833634186014081</v>
      </c>
    </row>
    <row r="4514" spans="4:4" x14ac:dyDescent="0.25">
      <c r="D4514">
        <f t="shared" ca="1" si="83"/>
        <v>51.822543313802633</v>
      </c>
    </row>
    <row r="4515" spans="4:4" x14ac:dyDescent="0.25">
      <c r="D4515">
        <f t="shared" ca="1" si="83"/>
        <v>59.96989935958451</v>
      </c>
    </row>
    <row r="4516" spans="4:4" x14ac:dyDescent="0.25">
      <c r="D4516">
        <f t="shared" ca="1" si="83"/>
        <v>47.469647235031836</v>
      </c>
    </row>
    <row r="4517" spans="4:4" x14ac:dyDescent="0.25">
      <c r="D4517">
        <f t="shared" ca="1" si="83"/>
        <v>50.553168504071991</v>
      </c>
    </row>
    <row r="4518" spans="4:4" x14ac:dyDescent="0.25">
      <c r="D4518">
        <f t="shared" ca="1" si="83"/>
        <v>54.249613266095601</v>
      </c>
    </row>
    <row r="4519" spans="4:4" x14ac:dyDescent="0.25">
      <c r="D4519">
        <f t="shared" ca="1" si="83"/>
        <v>48.794674709916379</v>
      </c>
    </row>
    <row r="4520" spans="4:4" x14ac:dyDescent="0.25">
      <c r="D4520">
        <f t="shared" ca="1" si="83"/>
        <v>41.98462514067198</v>
      </c>
    </row>
    <row r="4521" spans="4:4" x14ac:dyDescent="0.25">
      <c r="D4521">
        <f t="shared" ca="1" si="83"/>
        <v>47.093713502990184</v>
      </c>
    </row>
    <row r="4522" spans="4:4" x14ac:dyDescent="0.25">
      <c r="D4522">
        <f t="shared" ca="1" si="83"/>
        <v>51.835976361789676</v>
      </c>
    </row>
    <row r="4523" spans="4:4" x14ac:dyDescent="0.25">
      <c r="D4523">
        <f t="shared" ca="1" si="83"/>
        <v>44.624416557961702</v>
      </c>
    </row>
    <row r="4524" spans="4:4" x14ac:dyDescent="0.25">
      <c r="D4524">
        <f t="shared" ca="1" si="83"/>
        <v>48.85333168890925</v>
      </c>
    </row>
    <row r="4525" spans="4:4" x14ac:dyDescent="0.25">
      <c r="D4525">
        <f t="shared" ca="1" si="83"/>
        <v>52.207196601327325</v>
      </c>
    </row>
    <row r="4526" spans="4:4" x14ac:dyDescent="0.25">
      <c r="D4526">
        <f t="shared" ca="1" si="83"/>
        <v>48.403123901564264</v>
      </c>
    </row>
    <row r="4527" spans="4:4" x14ac:dyDescent="0.25">
      <c r="D4527">
        <f t="shared" ca="1" si="83"/>
        <v>54.396528582229855</v>
      </c>
    </row>
    <row r="4528" spans="4:4" x14ac:dyDescent="0.25">
      <c r="D4528">
        <f t="shared" ca="1" si="83"/>
        <v>47.029379303507604</v>
      </c>
    </row>
    <row r="4529" spans="4:4" x14ac:dyDescent="0.25">
      <c r="D4529">
        <f t="shared" ca="1" si="83"/>
        <v>46.486736421528533</v>
      </c>
    </row>
    <row r="4530" spans="4:4" x14ac:dyDescent="0.25">
      <c r="D4530">
        <f t="shared" ca="1" si="83"/>
        <v>49.372242436381043</v>
      </c>
    </row>
    <row r="4531" spans="4:4" x14ac:dyDescent="0.25">
      <c r="D4531">
        <f t="shared" ca="1" si="83"/>
        <v>48.652858021786557</v>
      </c>
    </row>
    <row r="4532" spans="4:4" x14ac:dyDescent="0.25">
      <c r="D4532">
        <f t="shared" ca="1" si="83"/>
        <v>45.254398754193616</v>
      </c>
    </row>
    <row r="4533" spans="4:4" x14ac:dyDescent="0.25">
      <c r="D4533">
        <f t="shared" ca="1" si="83"/>
        <v>48.77273158277049</v>
      </c>
    </row>
    <row r="4534" spans="4:4" x14ac:dyDescent="0.25">
      <c r="D4534">
        <f t="shared" ca="1" si="83"/>
        <v>58.414414790083669</v>
      </c>
    </row>
    <row r="4535" spans="4:4" x14ac:dyDescent="0.25">
      <c r="D4535">
        <f t="shared" ca="1" si="83"/>
        <v>56.217325059318568</v>
      </c>
    </row>
    <row r="4536" spans="4:4" x14ac:dyDescent="0.25">
      <c r="D4536">
        <f t="shared" ca="1" si="83"/>
        <v>50.310461406831109</v>
      </c>
    </row>
    <row r="4537" spans="4:4" x14ac:dyDescent="0.25">
      <c r="D4537">
        <f t="shared" ca="1" si="83"/>
        <v>55.784450491089238</v>
      </c>
    </row>
    <row r="4538" spans="4:4" x14ac:dyDescent="0.25">
      <c r="D4538">
        <f t="shared" ca="1" si="83"/>
        <v>51.449889542215303</v>
      </c>
    </row>
    <row r="4539" spans="4:4" x14ac:dyDescent="0.25">
      <c r="D4539">
        <f t="shared" ca="1" si="83"/>
        <v>50.49149638718697</v>
      </c>
    </row>
    <row r="4540" spans="4:4" x14ac:dyDescent="0.25">
      <c r="D4540">
        <f t="shared" ca="1" si="83"/>
        <v>48.120641930130127</v>
      </c>
    </row>
    <row r="4541" spans="4:4" x14ac:dyDescent="0.25">
      <c r="D4541">
        <f t="shared" ca="1" si="83"/>
        <v>49.661334240159036</v>
      </c>
    </row>
    <row r="4542" spans="4:4" x14ac:dyDescent="0.25">
      <c r="D4542">
        <f t="shared" ca="1" si="83"/>
        <v>53.002821937012691</v>
      </c>
    </row>
    <row r="4543" spans="4:4" x14ac:dyDescent="0.25">
      <c r="D4543">
        <f t="shared" ca="1" si="83"/>
        <v>43.304072505349126</v>
      </c>
    </row>
    <row r="4544" spans="4:4" x14ac:dyDescent="0.25">
      <c r="D4544">
        <f t="shared" ca="1" si="83"/>
        <v>49.138152050037455</v>
      </c>
    </row>
    <row r="4545" spans="4:4" x14ac:dyDescent="0.25">
      <c r="D4545">
        <f t="shared" ca="1" si="83"/>
        <v>51.23678167986224</v>
      </c>
    </row>
    <row r="4546" spans="4:4" x14ac:dyDescent="0.25">
      <c r="D4546">
        <f t="shared" ca="1" si="83"/>
        <v>47.665863719690591</v>
      </c>
    </row>
    <row r="4547" spans="4:4" x14ac:dyDescent="0.25">
      <c r="D4547">
        <f t="shared" ref="D4547:D4610" ca="1" si="84">_xlfn.T.INV(RAND(),25)*$G$3+$F$3</f>
        <v>49.968217762649402</v>
      </c>
    </row>
    <row r="4548" spans="4:4" x14ac:dyDescent="0.25">
      <c r="D4548">
        <f t="shared" ca="1" si="84"/>
        <v>49.901051557846401</v>
      </c>
    </row>
    <row r="4549" spans="4:4" x14ac:dyDescent="0.25">
      <c r="D4549">
        <f t="shared" ca="1" si="84"/>
        <v>50.868030205571614</v>
      </c>
    </row>
    <row r="4550" spans="4:4" x14ac:dyDescent="0.25">
      <c r="D4550">
        <f t="shared" ca="1" si="84"/>
        <v>55.897945483534102</v>
      </c>
    </row>
    <row r="4551" spans="4:4" x14ac:dyDescent="0.25">
      <c r="D4551">
        <f t="shared" ca="1" si="84"/>
        <v>42.799917711441786</v>
      </c>
    </row>
    <row r="4552" spans="4:4" x14ac:dyDescent="0.25">
      <c r="D4552">
        <f t="shared" ca="1" si="84"/>
        <v>42.4069963464041</v>
      </c>
    </row>
    <row r="4553" spans="4:4" x14ac:dyDescent="0.25">
      <c r="D4553">
        <f t="shared" ca="1" si="84"/>
        <v>44.376985049387919</v>
      </c>
    </row>
    <row r="4554" spans="4:4" x14ac:dyDescent="0.25">
      <c r="D4554">
        <f t="shared" ca="1" si="84"/>
        <v>50.544854519347943</v>
      </c>
    </row>
    <row r="4555" spans="4:4" x14ac:dyDescent="0.25">
      <c r="D4555">
        <f t="shared" ca="1" si="84"/>
        <v>56.289127984492119</v>
      </c>
    </row>
    <row r="4556" spans="4:4" x14ac:dyDescent="0.25">
      <c r="D4556">
        <f t="shared" ca="1" si="84"/>
        <v>54.750201758618537</v>
      </c>
    </row>
    <row r="4557" spans="4:4" x14ac:dyDescent="0.25">
      <c r="D4557">
        <f t="shared" ca="1" si="84"/>
        <v>53.374191945275911</v>
      </c>
    </row>
    <row r="4558" spans="4:4" x14ac:dyDescent="0.25">
      <c r="D4558">
        <f t="shared" ca="1" si="84"/>
        <v>52.369215119251884</v>
      </c>
    </row>
    <row r="4559" spans="4:4" x14ac:dyDescent="0.25">
      <c r="D4559">
        <f t="shared" ca="1" si="84"/>
        <v>50.566303993716581</v>
      </c>
    </row>
    <row r="4560" spans="4:4" x14ac:dyDescent="0.25">
      <c r="D4560">
        <f t="shared" ca="1" si="84"/>
        <v>49.515181830760547</v>
      </c>
    </row>
    <row r="4561" spans="4:4" x14ac:dyDescent="0.25">
      <c r="D4561">
        <f t="shared" ca="1" si="84"/>
        <v>47.33275726624143</v>
      </c>
    </row>
    <row r="4562" spans="4:4" x14ac:dyDescent="0.25">
      <c r="D4562">
        <f t="shared" ca="1" si="84"/>
        <v>48.035775693763071</v>
      </c>
    </row>
    <row r="4563" spans="4:4" x14ac:dyDescent="0.25">
      <c r="D4563">
        <f t="shared" ca="1" si="84"/>
        <v>43.796519780652659</v>
      </c>
    </row>
    <row r="4564" spans="4:4" x14ac:dyDescent="0.25">
      <c r="D4564">
        <f t="shared" ca="1" si="84"/>
        <v>49.685561532982504</v>
      </c>
    </row>
    <row r="4565" spans="4:4" x14ac:dyDescent="0.25">
      <c r="D4565">
        <f t="shared" ca="1" si="84"/>
        <v>52.696391410122565</v>
      </c>
    </row>
    <row r="4566" spans="4:4" x14ac:dyDescent="0.25">
      <c r="D4566">
        <f t="shared" ca="1" si="84"/>
        <v>48.225683922290727</v>
      </c>
    </row>
    <row r="4567" spans="4:4" x14ac:dyDescent="0.25">
      <c r="D4567">
        <f t="shared" ca="1" si="84"/>
        <v>49.644060524202253</v>
      </c>
    </row>
    <row r="4568" spans="4:4" x14ac:dyDescent="0.25">
      <c r="D4568">
        <f t="shared" ca="1" si="84"/>
        <v>55.026562369908305</v>
      </c>
    </row>
    <row r="4569" spans="4:4" x14ac:dyDescent="0.25">
      <c r="D4569">
        <f t="shared" ca="1" si="84"/>
        <v>57.391983586026271</v>
      </c>
    </row>
    <row r="4570" spans="4:4" x14ac:dyDescent="0.25">
      <c r="D4570">
        <f t="shared" ca="1" si="84"/>
        <v>50.352684301414882</v>
      </c>
    </row>
    <row r="4571" spans="4:4" x14ac:dyDescent="0.25">
      <c r="D4571">
        <f t="shared" ca="1" si="84"/>
        <v>51.274873189241823</v>
      </c>
    </row>
    <row r="4572" spans="4:4" x14ac:dyDescent="0.25">
      <c r="D4572">
        <f t="shared" ca="1" si="84"/>
        <v>41.098924985786994</v>
      </c>
    </row>
    <row r="4573" spans="4:4" x14ac:dyDescent="0.25">
      <c r="D4573">
        <f t="shared" ca="1" si="84"/>
        <v>48.39558637136976</v>
      </c>
    </row>
    <row r="4574" spans="4:4" x14ac:dyDescent="0.25">
      <c r="D4574">
        <f t="shared" ca="1" si="84"/>
        <v>50.153160983397996</v>
      </c>
    </row>
    <row r="4575" spans="4:4" x14ac:dyDescent="0.25">
      <c r="D4575">
        <f t="shared" ca="1" si="84"/>
        <v>51.91197756534936</v>
      </c>
    </row>
    <row r="4576" spans="4:4" x14ac:dyDescent="0.25">
      <c r="D4576">
        <f t="shared" ca="1" si="84"/>
        <v>39.687070228509917</v>
      </c>
    </row>
    <row r="4577" spans="4:4" x14ac:dyDescent="0.25">
      <c r="D4577">
        <f t="shared" ca="1" si="84"/>
        <v>42.930994229716369</v>
      </c>
    </row>
    <row r="4578" spans="4:4" x14ac:dyDescent="0.25">
      <c r="D4578">
        <f t="shared" ca="1" si="84"/>
        <v>51.211652726511119</v>
      </c>
    </row>
    <row r="4579" spans="4:4" x14ac:dyDescent="0.25">
      <c r="D4579">
        <f t="shared" ca="1" si="84"/>
        <v>54.755606155347728</v>
      </c>
    </row>
    <row r="4580" spans="4:4" x14ac:dyDescent="0.25">
      <c r="D4580">
        <f t="shared" ca="1" si="84"/>
        <v>46.178115943038087</v>
      </c>
    </row>
    <row r="4581" spans="4:4" x14ac:dyDescent="0.25">
      <c r="D4581">
        <f t="shared" ca="1" si="84"/>
        <v>44.659582924004937</v>
      </c>
    </row>
    <row r="4582" spans="4:4" x14ac:dyDescent="0.25">
      <c r="D4582">
        <f t="shared" ca="1" si="84"/>
        <v>43.597273769951343</v>
      </c>
    </row>
    <row r="4583" spans="4:4" x14ac:dyDescent="0.25">
      <c r="D4583">
        <f t="shared" ca="1" si="84"/>
        <v>44.279851093613132</v>
      </c>
    </row>
    <row r="4584" spans="4:4" x14ac:dyDescent="0.25">
      <c r="D4584">
        <f t="shared" ca="1" si="84"/>
        <v>46.503000714662029</v>
      </c>
    </row>
    <row r="4585" spans="4:4" x14ac:dyDescent="0.25">
      <c r="D4585">
        <f t="shared" ca="1" si="84"/>
        <v>51.297896151210551</v>
      </c>
    </row>
    <row r="4586" spans="4:4" x14ac:dyDescent="0.25">
      <c r="D4586">
        <f t="shared" ca="1" si="84"/>
        <v>59.774102482063455</v>
      </c>
    </row>
    <row r="4587" spans="4:4" x14ac:dyDescent="0.25">
      <c r="D4587">
        <f t="shared" ca="1" si="84"/>
        <v>49.796557521616315</v>
      </c>
    </row>
    <row r="4588" spans="4:4" x14ac:dyDescent="0.25">
      <c r="D4588">
        <f t="shared" ca="1" si="84"/>
        <v>52.001067186692921</v>
      </c>
    </row>
    <row r="4589" spans="4:4" x14ac:dyDescent="0.25">
      <c r="D4589">
        <f t="shared" ca="1" si="84"/>
        <v>46.622857911568431</v>
      </c>
    </row>
    <row r="4590" spans="4:4" x14ac:dyDescent="0.25">
      <c r="D4590">
        <f t="shared" ca="1" si="84"/>
        <v>49.943867493897429</v>
      </c>
    </row>
    <row r="4591" spans="4:4" x14ac:dyDescent="0.25">
      <c r="D4591">
        <f t="shared" ca="1" si="84"/>
        <v>58.319210733275149</v>
      </c>
    </row>
    <row r="4592" spans="4:4" x14ac:dyDescent="0.25">
      <c r="D4592">
        <f t="shared" ca="1" si="84"/>
        <v>52.147261567109673</v>
      </c>
    </row>
    <row r="4593" spans="4:4" x14ac:dyDescent="0.25">
      <c r="D4593">
        <f t="shared" ca="1" si="84"/>
        <v>40.97155928654005</v>
      </c>
    </row>
    <row r="4594" spans="4:4" x14ac:dyDescent="0.25">
      <c r="D4594">
        <f t="shared" ca="1" si="84"/>
        <v>39.319639025966026</v>
      </c>
    </row>
    <row r="4595" spans="4:4" x14ac:dyDescent="0.25">
      <c r="D4595">
        <f t="shared" ca="1" si="84"/>
        <v>50.869420635772443</v>
      </c>
    </row>
    <row r="4596" spans="4:4" x14ac:dyDescent="0.25">
      <c r="D4596">
        <f t="shared" ca="1" si="84"/>
        <v>43.975786243095385</v>
      </c>
    </row>
    <row r="4597" spans="4:4" x14ac:dyDescent="0.25">
      <c r="D4597">
        <f t="shared" ca="1" si="84"/>
        <v>53.645815828221473</v>
      </c>
    </row>
    <row r="4598" spans="4:4" x14ac:dyDescent="0.25">
      <c r="D4598">
        <f t="shared" ca="1" si="84"/>
        <v>51.766419189423253</v>
      </c>
    </row>
    <row r="4599" spans="4:4" x14ac:dyDescent="0.25">
      <c r="D4599">
        <f t="shared" ca="1" si="84"/>
        <v>48.396810341381169</v>
      </c>
    </row>
    <row r="4600" spans="4:4" x14ac:dyDescent="0.25">
      <c r="D4600">
        <f t="shared" ca="1" si="84"/>
        <v>46.183866656519825</v>
      </c>
    </row>
    <row r="4601" spans="4:4" x14ac:dyDescent="0.25">
      <c r="D4601">
        <f t="shared" ca="1" si="84"/>
        <v>59.096183762521854</v>
      </c>
    </row>
    <row r="4602" spans="4:4" x14ac:dyDescent="0.25">
      <c r="D4602">
        <f t="shared" ca="1" si="84"/>
        <v>49.980192969972975</v>
      </c>
    </row>
    <row r="4603" spans="4:4" x14ac:dyDescent="0.25">
      <c r="D4603">
        <f t="shared" ca="1" si="84"/>
        <v>56.857643152108004</v>
      </c>
    </row>
    <row r="4604" spans="4:4" x14ac:dyDescent="0.25">
      <c r="D4604">
        <f t="shared" ca="1" si="84"/>
        <v>43.555854731500347</v>
      </c>
    </row>
    <row r="4605" spans="4:4" x14ac:dyDescent="0.25">
      <c r="D4605">
        <f t="shared" ca="1" si="84"/>
        <v>52.919391477233724</v>
      </c>
    </row>
    <row r="4606" spans="4:4" x14ac:dyDescent="0.25">
      <c r="D4606">
        <f t="shared" ca="1" si="84"/>
        <v>60.638409830431925</v>
      </c>
    </row>
    <row r="4607" spans="4:4" x14ac:dyDescent="0.25">
      <c r="D4607">
        <f t="shared" ca="1" si="84"/>
        <v>51.346927144993948</v>
      </c>
    </row>
    <row r="4608" spans="4:4" x14ac:dyDescent="0.25">
      <c r="D4608">
        <f t="shared" ca="1" si="84"/>
        <v>61.548219569594607</v>
      </c>
    </row>
    <row r="4609" spans="4:4" x14ac:dyDescent="0.25">
      <c r="D4609">
        <f t="shared" ca="1" si="84"/>
        <v>49.98472915658963</v>
      </c>
    </row>
    <row r="4610" spans="4:4" x14ac:dyDescent="0.25">
      <c r="D4610">
        <f t="shared" ca="1" si="84"/>
        <v>43.767501625391482</v>
      </c>
    </row>
    <row r="4611" spans="4:4" x14ac:dyDescent="0.25">
      <c r="D4611">
        <f t="shared" ref="D4611:D4674" ca="1" si="85">_xlfn.T.INV(RAND(),25)*$G$3+$F$3</f>
        <v>53.939557153335286</v>
      </c>
    </row>
    <row r="4612" spans="4:4" x14ac:dyDescent="0.25">
      <c r="D4612">
        <f t="shared" ca="1" si="85"/>
        <v>48.592557102879049</v>
      </c>
    </row>
    <row r="4613" spans="4:4" x14ac:dyDescent="0.25">
      <c r="D4613">
        <f t="shared" ca="1" si="85"/>
        <v>37.972081036426637</v>
      </c>
    </row>
    <row r="4614" spans="4:4" x14ac:dyDescent="0.25">
      <c r="D4614">
        <f t="shared" ca="1" si="85"/>
        <v>51.084765748038699</v>
      </c>
    </row>
    <row r="4615" spans="4:4" x14ac:dyDescent="0.25">
      <c r="D4615">
        <f t="shared" ca="1" si="85"/>
        <v>53.632278253209293</v>
      </c>
    </row>
    <row r="4616" spans="4:4" x14ac:dyDescent="0.25">
      <c r="D4616">
        <f t="shared" ca="1" si="85"/>
        <v>57.912407772141137</v>
      </c>
    </row>
    <row r="4617" spans="4:4" x14ac:dyDescent="0.25">
      <c r="D4617">
        <f t="shared" ca="1" si="85"/>
        <v>45.811456723573109</v>
      </c>
    </row>
    <row r="4618" spans="4:4" x14ac:dyDescent="0.25">
      <c r="D4618">
        <f t="shared" ca="1" si="85"/>
        <v>48.090770674008063</v>
      </c>
    </row>
    <row r="4619" spans="4:4" x14ac:dyDescent="0.25">
      <c r="D4619">
        <f t="shared" ca="1" si="85"/>
        <v>48.204697005117247</v>
      </c>
    </row>
    <row r="4620" spans="4:4" x14ac:dyDescent="0.25">
      <c r="D4620">
        <f t="shared" ca="1" si="85"/>
        <v>52.296639780848402</v>
      </c>
    </row>
    <row r="4621" spans="4:4" x14ac:dyDescent="0.25">
      <c r="D4621">
        <f t="shared" ca="1" si="85"/>
        <v>47.917013495685119</v>
      </c>
    </row>
    <row r="4622" spans="4:4" x14ac:dyDescent="0.25">
      <c r="D4622">
        <f t="shared" ca="1" si="85"/>
        <v>50.376063244974674</v>
      </c>
    </row>
    <row r="4623" spans="4:4" x14ac:dyDescent="0.25">
      <c r="D4623">
        <f t="shared" ca="1" si="85"/>
        <v>49.769227042142035</v>
      </c>
    </row>
    <row r="4624" spans="4:4" x14ac:dyDescent="0.25">
      <c r="D4624">
        <f t="shared" ca="1" si="85"/>
        <v>53.58629303176842</v>
      </c>
    </row>
    <row r="4625" spans="4:4" x14ac:dyDescent="0.25">
      <c r="D4625">
        <f t="shared" ca="1" si="85"/>
        <v>50.234849680246064</v>
      </c>
    </row>
    <row r="4626" spans="4:4" x14ac:dyDescent="0.25">
      <c r="D4626">
        <f t="shared" ca="1" si="85"/>
        <v>42.494212886310379</v>
      </c>
    </row>
    <row r="4627" spans="4:4" x14ac:dyDescent="0.25">
      <c r="D4627">
        <f t="shared" ca="1" si="85"/>
        <v>49.906382529301524</v>
      </c>
    </row>
    <row r="4628" spans="4:4" x14ac:dyDescent="0.25">
      <c r="D4628">
        <f t="shared" ca="1" si="85"/>
        <v>40.996944185442288</v>
      </c>
    </row>
    <row r="4629" spans="4:4" x14ac:dyDescent="0.25">
      <c r="D4629">
        <f t="shared" ca="1" si="85"/>
        <v>49.509781161525424</v>
      </c>
    </row>
    <row r="4630" spans="4:4" x14ac:dyDescent="0.25">
      <c r="D4630">
        <f t="shared" ca="1" si="85"/>
        <v>50.314567640726217</v>
      </c>
    </row>
    <row r="4631" spans="4:4" x14ac:dyDescent="0.25">
      <c r="D4631">
        <f t="shared" ca="1" si="85"/>
        <v>56.566151994827713</v>
      </c>
    </row>
    <row r="4632" spans="4:4" x14ac:dyDescent="0.25">
      <c r="D4632">
        <f t="shared" ca="1" si="85"/>
        <v>51.488910184343418</v>
      </c>
    </row>
    <row r="4633" spans="4:4" x14ac:dyDescent="0.25">
      <c r="D4633">
        <f t="shared" ca="1" si="85"/>
        <v>48.575606338392895</v>
      </c>
    </row>
    <row r="4634" spans="4:4" x14ac:dyDescent="0.25">
      <c r="D4634">
        <f t="shared" ca="1" si="85"/>
        <v>45.731581471726997</v>
      </c>
    </row>
    <row r="4635" spans="4:4" x14ac:dyDescent="0.25">
      <c r="D4635">
        <f t="shared" ca="1" si="85"/>
        <v>53.490212109688194</v>
      </c>
    </row>
    <row r="4636" spans="4:4" x14ac:dyDescent="0.25">
      <c r="D4636">
        <f t="shared" ca="1" si="85"/>
        <v>53.277217156379081</v>
      </c>
    </row>
    <row r="4637" spans="4:4" x14ac:dyDescent="0.25">
      <c r="D4637">
        <f t="shared" ca="1" si="85"/>
        <v>48.83873589213745</v>
      </c>
    </row>
    <row r="4638" spans="4:4" x14ac:dyDescent="0.25">
      <c r="D4638">
        <f t="shared" ca="1" si="85"/>
        <v>42.277892390999249</v>
      </c>
    </row>
    <row r="4639" spans="4:4" x14ac:dyDescent="0.25">
      <c r="D4639">
        <f t="shared" ca="1" si="85"/>
        <v>48.857308598626055</v>
      </c>
    </row>
    <row r="4640" spans="4:4" x14ac:dyDescent="0.25">
      <c r="D4640">
        <f t="shared" ca="1" si="85"/>
        <v>50.570437201369188</v>
      </c>
    </row>
    <row r="4641" spans="4:4" x14ac:dyDescent="0.25">
      <c r="D4641">
        <f t="shared" ca="1" si="85"/>
        <v>48.445188984848329</v>
      </c>
    </row>
    <row r="4642" spans="4:4" x14ac:dyDescent="0.25">
      <c r="D4642">
        <f t="shared" ca="1" si="85"/>
        <v>48.772209075691691</v>
      </c>
    </row>
    <row r="4643" spans="4:4" x14ac:dyDescent="0.25">
      <c r="D4643">
        <f t="shared" ca="1" si="85"/>
        <v>49.547778986044463</v>
      </c>
    </row>
    <row r="4644" spans="4:4" x14ac:dyDescent="0.25">
      <c r="D4644">
        <f t="shared" ca="1" si="85"/>
        <v>49.887833834880354</v>
      </c>
    </row>
    <row r="4645" spans="4:4" x14ac:dyDescent="0.25">
      <c r="D4645">
        <f t="shared" ca="1" si="85"/>
        <v>42.892276269942883</v>
      </c>
    </row>
    <row r="4646" spans="4:4" x14ac:dyDescent="0.25">
      <c r="D4646">
        <f t="shared" ca="1" si="85"/>
        <v>49.123744027383651</v>
      </c>
    </row>
    <row r="4647" spans="4:4" x14ac:dyDescent="0.25">
      <c r="D4647">
        <f t="shared" ca="1" si="85"/>
        <v>59.293998676975292</v>
      </c>
    </row>
    <row r="4648" spans="4:4" x14ac:dyDescent="0.25">
      <c r="D4648">
        <f t="shared" ca="1" si="85"/>
        <v>50.001957018198212</v>
      </c>
    </row>
    <row r="4649" spans="4:4" x14ac:dyDescent="0.25">
      <c r="D4649">
        <f t="shared" ca="1" si="85"/>
        <v>42.780279037048231</v>
      </c>
    </row>
    <row r="4650" spans="4:4" x14ac:dyDescent="0.25">
      <c r="D4650">
        <f t="shared" ca="1" si="85"/>
        <v>48.647220798387053</v>
      </c>
    </row>
    <row r="4651" spans="4:4" x14ac:dyDescent="0.25">
      <c r="D4651">
        <f t="shared" ca="1" si="85"/>
        <v>46.540007729448014</v>
      </c>
    </row>
    <row r="4652" spans="4:4" x14ac:dyDescent="0.25">
      <c r="D4652">
        <f t="shared" ca="1" si="85"/>
        <v>45.970012734856716</v>
      </c>
    </row>
    <row r="4653" spans="4:4" x14ac:dyDescent="0.25">
      <c r="D4653">
        <f t="shared" ca="1" si="85"/>
        <v>51.30755379550483</v>
      </c>
    </row>
    <row r="4654" spans="4:4" x14ac:dyDescent="0.25">
      <c r="D4654">
        <f t="shared" ca="1" si="85"/>
        <v>47.489241524014567</v>
      </c>
    </row>
    <row r="4655" spans="4:4" x14ac:dyDescent="0.25">
      <c r="D4655">
        <f t="shared" ca="1" si="85"/>
        <v>50.743773256780976</v>
      </c>
    </row>
    <row r="4656" spans="4:4" x14ac:dyDescent="0.25">
      <c r="D4656">
        <f t="shared" ca="1" si="85"/>
        <v>53.277974809249272</v>
      </c>
    </row>
    <row r="4657" spans="4:4" x14ac:dyDescent="0.25">
      <c r="D4657">
        <f t="shared" ca="1" si="85"/>
        <v>48.143411609285387</v>
      </c>
    </row>
    <row r="4658" spans="4:4" x14ac:dyDescent="0.25">
      <c r="D4658">
        <f t="shared" ca="1" si="85"/>
        <v>56.692388088353837</v>
      </c>
    </row>
    <row r="4659" spans="4:4" x14ac:dyDescent="0.25">
      <c r="D4659">
        <f t="shared" ca="1" si="85"/>
        <v>49.93512168084672</v>
      </c>
    </row>
    <row r="4660" spans="4:4" x14ac:dyDescent="0.25">
      <c r="D4660">
        <f t="shared" ca="1" si="85"/>
        <v>50.178184712955265</v>
      </c>
    </row>
    <row r="4661" spans="4:4" x14ac:dyDescent="0.25">
      <c r="D4661">
        <f t="shared" ca="1" si="85"/>
        <v>46.234523483205471</v>
      </c>
    </row>
    <row r="4662" spans="4:4" x14ac:dyDescent="0.25">
      <c r="D4662">
        <f t="shared" ca="1" si="85"/>
        <v>54.037545482050795</v>
      </c>
    </row>
    <row r="4663" spans="4:4" x14ac:dyDescent="0.25">
      <c r="D4663">
        <f t="shared" ca="1" si="85"/>
        <v>52.381521647904222</v>
      </c>
    </row>
    <row r="4664" spans="4:4" x14ac:dyDescent="0.25">
      <c r="D4664">
        <f t="shared" ca="1" si="85"/>
        <v>43.113273793147336</v>
      </c>
    </row>
    <row r="4665" spans="4:4" x14ac:dyDescent="0.25">
      <c r="D4665">
        <f t="shared" ca="1" si="85"/>
        <v>42.681003585940253</v>
      </c>
    </row>
    <row r="4666" spans="4:4" x14ac:dyDescent="0.25">
      <c r="D4666">
        <f t="shared" ca="1" si="85"/>
        <v>51.590488341706255</v>
      </c>
    </row>
    <row r="4667" spans="4:4" x14ac:dyDescent="0.25">
      <c r="D4667">
        <f t="shared" ca="1" si="85"/>
        <v>52.472301087922659</v>
      </c>
    </row>
    <row r="4668" spans="4:4" x14ac:dyDescent="0.25">
      <c r="D4668">
        <f t="shared" ca="1" si="85"/>
        <v>53.610475506080611</v>
      </c>
    </row>
    <row r="4669" spans="4:4" x14ac:dyDescent="0.25">
      <c r="D4669">
        <f t="shared" ca="1" si="85"/>
        <v>42.940292070080197</v>
      </c>
    </row>
    <row r="4670" spans="4:4" x14ac:dyDescent="0.25">
      <c r="D4670">
        <f t="shared" ca="1" si="85"/>
        <v>50.83597488935937</v>
      </c>
    </row>
    <row r="4671" spans="4:4" x14ac:dyDescent="0.25">
      <c r="D4671">
        <f t="shared" ca="1" si="85"/>
        <v>49.791788514810378</v>
      </c>
    </row>
    <row r="4672" spans="4:4" x14ac:dyDescent="0.25">
      <c r="D4672">
        <f t="shared" ca="1" si="85"/>
        <v>49.344997410931889</v>
      </c>
    </row>
    <row r="4673" spans="4:4" x14ac:dyDescent="0.25">
      <c r="D4673">
        <f t="shared" ca="1" si="85"/>
        <v>45.803571323686718</v>
      </c>
    </row>
    <row r="4674" spans="4:4" x14ac:dyDescent="0.25">
      <c r="D4674">
        <f t="shared" ca="1" si="85"/>
        <v>47.863849635818667</v>
      </c>
    </row>
    <row r="4675" spans="4:4" x14ac:dyDescent="0.25">
      <c r="D4675">
        <f t="shared" ref="D4675:D4738" ca="1" si="86">_xlfn.T.INV(RAND(),25)*$G$3+$F$3</f>
        <v>50.978468287005242</v>
      </c>
    </row>
    <row r="4676" spans="4:4" x14ac:dyDescent="0.25">
      <c r="D4676">
        <f t="shared" ca="1" si="86"/>
        <v>44.684195297805282</v>
      </c>
    </row>
    <row r="4677" spans="4:4" x14ac:dyDescent="0.25">
      <c r="D4677">
        <f t="shared" ca="1" si="86"/>
        <v>55.366534115329173</v>
      </c>
    </row>
    <row r="4678" spans="4:4" x14ac:dyDescent="0.25">
      <c r="D4678">
        <f t="shared" ca="1" si="86"/>
        <v>50.770542776322955</v>
      </c>
    </row>
    <row r="4679" spans="4:4" x14ac:dyDescent="0.25">
      <c r="D4679">
        <f t="shared" ca="1" si="86"/>
        <v>51.088467461314558</v>
      </c>
    </row>
    <row r="4680" spans="4:4" x14ac:dyDescent="0.25">
      <c r="D4680">
        <f t="shared" ca="1" si="86"/>
        <v>51.11255082265172</v>
      </c>
    </row>
    <row r="4681" spans="4:4" x14ac:dyDescent="0.25">
      <c r="D4681">
        <f t="shared" ca="1" si="86"/>
        <v>55.944106969021362</v>
      </c>
    </row>
    <row r="4682" spans="4:4" x14ac:dyDescent="0.25">
      <c r="D4682">
        <f t="shared" ca="1" si="86"/>
        <v>52.815888437810173</v>
      </c>
    </row>
    <row r="4683" spans="4:4" x14ac:dyDescent="0.25">
      <c r="D4683">
        <f t="shared" ca="1" si="86"/>
        <v>51.747141767240137</v>
      </c>
    </row>
    <row r="4684" spans="4:4" x14ac:dyDescent="0.25">
      <c r="D4684">
        <f t="shared" ca="1" si="86"/>
        <v>43.991737477234324</v>
      </c>
    </row>
    <row r="4685" spans="4:4" x14ac:dyDescent="0.25">
      <c r="D4685">
        <f t="shared" ca="1" si="86"/>
        <v>52.134324451515589</v>
      </c>
    </row>
    <row r="4686" spans="4:4" x14ac:dyDescent="0.25">
      <c r="D4686">
        <f t="shared" ca="1" si="86"/>
        <v>44.565010238097038</v>
      </c>
    </row>
    <row r="4687" spans="4:4" x14ac:dyDescent="0.25">
      <c r="D4687">
        <f t="shared" ca="1" si="86"/>
        <v>56.006560630460065</v>
      </c>
    </row>
    <row r="4688" spans="4:4" x14ac:dyDescent="0.25">
      <c r="D4688">
        <f t="shared" ca="1" si="86"/>
        <v>53.634340305239157</v>
      </c>
    </row>
    <row r="4689" spans="4:4" x14ac:dyDescent="0.25">
      <c r="D4689">
        <f t="shared" ca="1" si="86"/>
        <v>51.886593201024368</v>
      </c>
    </row>
    <row r="4690" spans="4:4" x14ac:dyDescent="0.25">
      <c r="D4690">
        <f t="shared" ca="1" si="86"/>
        <v>48.861091337825158</v>
      </c>
    </row>
    <row r="4691" spans="4:4" x14ac:dyDescent="0.25">
      <c r="D4691">
        <f t="shared" ca="1" si="86"/>
        <v>60.419350054453069</v>
      </c>
    </row>
    <row r="4692" spans="4:4" x14ac:dyDescent="0.25">
      <c r="D4692">
        <f t="shared" ca="1" si="86"/>
        <v>45.574910438079982</v>
      </c>
    </row>
    <row r="4693" spans="4:4" x14ac:dyDescent="0.25">
      <c r="D4693">
        <f t="shared" ca="1" si="86"/>
        <v>50.320421623393372</v>
      </c>
    </row>
    <row r="4694" spans="4:4" x14ac:dyDescent="0.25">
      <c r="D4694">
        <f t="shared" ca="1" si="86"/>
        <v>48.114136373461427</v>
      </c>
    </row>
    <row r="4695" spans="4:4" x14ac:dyDescent="0.25">
      <c r="D4695">
        <f t="shared" ca="1" si="86"/>
        <v>49.026249680639154</v>
      </c>
    </row>
    <row r="4696" spans="4:4" x14ac:dyDescent="0.25">
      <c r="D4696">
        <f t="shared" ca="1" si="86"/>
        <v>53.578606962773677</v>
      </c>
    </row>
    <row r="4697" spans="4:4" x14ac:dyDescent="0.25">
      <c r="D4697">
        <f t="shared" ca="1" si="86"/>
        <v>41.889271082100755</v>
      </c>
    </row>
    <row r="4698" spans="4:4" x14ac:dyDescent="0.25">
      <c r="D4698">
        <f t="shared" ca="1" si="86"/>
        <v>44.372263070168131</v>
      </c>
    </row>
    <row r="4699" spans="4:4" x14ac:dyDescent="0.25">
      <c r="D4699">
        <f t="shared" ca="1" si="86"/>
        <v>54.377759868149681</v>
      </c>
    </row>
    <row r="4700" spans="4:4" x14ac:dyDescent="0.25">
      <c r="D4700">
        <f t="shared" ca="1" si="86"/>
        <v>54.306355949673943</v>
      </c>
    </row>
    <row r="4701" spans="4:4" x14ac:dyDescent="0.25">
      <c r="D4701">
        <f t="shared" ca="1" si="86"/>
        <v>50.45584364919651</v>
      </c>
    </row>
    <row r="4702" spans="4:4" x14ac:dyDescent="0.25">
      <c r="D4702">
        <f t="shared" ca="1" si="86"/>
        <v>51.932520038044643</v>
      </c>
    </row>
    <row r="4703" spans="4:4" x14ac:dyDescent="0.25">
      <c r="D4703">
        <f t="shared" ca="1" si="86"/>
        <v>45.193921129413994</v>
      </c>
    </row>
    <row r="4704" spans="4:4" x14ac:dyDescent="0.25">
      <c r="D4704">
        <f t="shared" ca="1" si="86"/>
        <v>51.913150010258853</v>
      </c>
    </row>
    <row r="4705" spans="4:4" x14ac:dyDescent="0.25">
      <c r="D4705">
        <f t="shared" ca="1" si="86"/>
        <v>47.341728097766207</v>
      </c>
    </row>
    <row r="4706" spans="4:4" x14ac:dyDescent="0.25">
      <c r="D4706">
        <f t="shared" ca="1" si="86"/>
        <v>59.417065613304402</v>
      </c>
    </row>
    <row r="4707" spans="4:4" x14ac:dyDescent="0.25">
      <c r="D4707">
        <f t="shared" ca="1" si="86"/>
        <v>49.813994512437965</v>
      </c>
    </row>
    <row r="4708" spans="4:4" x14ac:dyDescent="0.25">
      <c r="D4708">
        <f t="shared" ca="1" si="86"/>
        <v>48.289750741336256</v>
      </c>
    </row>
    <row r="4709" spans="4:4" x14ac:dyDescent="0.25">
      <c r="D4709">
        <f t="shared" ca="1" si="86"/>
        <v>49.746690403088465</v>
      </c>
    </row>
    <row r="4710" spans="4:4" x14ac:dyDescent="0.25">
      <c r="D4710">
        <f t="shared" ca="1" si="86"/>
        <v>47.384375647433494</v>
      </c>
    </row>
    <row r="4711" spans="4:4" x14ac:dyDescent="0.25">
      <c r="D4711">
        <f t="shared" ca="1" si="86"/>
        <v>44.966454552597398</v>
      </c>
    </row>
    <row r="4712" spans="4:4" x14ac:dyDescent="0.25">
      <c r="D4712">
        <f t="shared" ca="1" si="86"/>
        <v>46.112384799002676</v>
      </c>
    </row>
    <row r="4713" spans="4:4" x14ac:dyDescent="0.25">
      <c r="D4713">
        <f t="shared" ca="1" si="86"/>
        <v>49.611265676137343</v>
      </c>
    </row>
    <row r="4714" spans="4:4" x14ac:dyDescent="0.25">
      <c r="D4714">
        <f t="shared" ca="1" si="86"/>
        <v>55.66762018785662</v>
      </c>
    </row>
    <row r="4715" spans="4:4" x14ac:dyDescent="0.25">
      <c r="D4715">
        <f t="shared" ca="1" si="86"/>
        <v>47.497628625251409</v>
      </c>
    </row>
    <row r="4716" spans="4:4" x14ac:dyDescent="0.25">
      <c r="D4716">
        <f t="shared" ca="1" si="86"/>
        <v>44.502860257333097</v>
      </c>
    </row>
    <row r="4717" spans="4:4" x14ac:dyDescent="0.25">
      <c r="D4717">
        <f t="shared" ca="1" si="86"/>
        <v>55.167203012475355</v>
      </c>
    </row>
    <row r="4718" spans="4:4" x14ac:dyDescent="0.25">
      <c r="D4718">
        <f t="shared" ca="1" si="86"/>
        <v>54.572529819612171</v>
      </c>
    </row>
    <row r="4719" spans="4:4" x14ac:dyDescent="0.25">
      <c r="D4719">
        <f t="shared" ca="1" si="86"/>
        <v>58.474904023974503</v>
      </c>
    </row>
    <row r="4720" spans="4:4" x14ac:dyDescent="0.25">
      <c r="D4720">
        <f t="shared" ca="1" si="86"/>
        <v>45.912981848082289</v>
      </c>
    </row>
    <row r="4721" spans="4:4" x14ac:dyDescent="0.25">
      <c r="D4721">
        <f t="shared" ca="1" si="86"/>
        <v>46.374247088751346</v>
      </c>
    </row>
    <row r="4722" spans="4:4" x14ac:dyDescent="0.25">
      <c r="D4722">
        <f t="shared" ca="1" si="86"/>
        <v>53.158250433271668</v>
      </c>
    </row>
    <row r="4723" spans="4:4" x14ac:dyDescent="0.25">
      <c r="D4723">
        <f t="shared" ca="1" si="86"/>
        <v>45.444202836886738</v>
      </c>
    </row>
    <row r="4724" spans="4:4" x14ac:dyDescent="0.25">
      <c r="D4724">
        <f t="shared" ca="1" si="86"/>
        <v>53.360213236381036</v>
      </c>
    </row>
    <row r="4725" spans="4:4" x14ac:dyDescent="0.25">
      <c r="D4725">
        <f t="shared" ca="1" si="86"/>
        <v>52.218006617137114</v>
      </c>
    </row>
    <row r="4726" spans="4:4" x14ac:dyDescent="0.25">
      <c r="D4726">
        <f t="shared" ca="1" si="86"/>
        <v>51.868969849136604</v>
      </c>
    </row>
    <row r="4727" spans="4:4" x14ac:dyDescent="0.25">
      <c r="D4727">
        <f t="shared" ca="1" si="86"/>
        <v>55.105140586196335</v>
      </c>
    </row>
    <row r="4728" spans="4:4" x14ac:dyDescent="0.25">
      <c r="D4728">
        <f t="shared" ca="1" si="86"/>
        <v>46.519282679975284</v>
      </c>
    </row>
    <row r="4729" spans="4:4" x14ac:dyDescent="0.25">
      <c r="D4729">
        <f t="shared" ca="1" si="86"/>
        <v>52.202891344997823</v>
      </c>
    </row>
    <row r="4730" spans="4:4" x14ac:dyDescent="0.25">
      <c r="D4730">
        <f t="shared" ca="1" si="86"/>
        <v>50.264443526091974</v>
      </c>
    </row>
    <row r="4731" spans="4:4" x14ac:dyDescent="0.25">
      <c r="D4731">
        <f t="shared" ca="1" si="86"/>
        <v>41.821781707652619</v>
      </c>
    </row>
    <row r="4732" spans="4:4" x14ac:dyDescent="0.25">
      <c r="D4732">
        <f t="shared" ca="1" si="86"/>
        <v>51.593481453529677</v>
      </c>
    </row>
    <row r="4733" spans="4:4" x14ac:dyDescent="0.25">
      <c r="D4733">
        <f t="shared" ca="1" si="86"/>
        <v>52.009295551993326</v>
      </c>
    </row>
    <row r="4734" spans="4:4" x14ac:dyDescent="0.25">
      <c r="D4734">
        <f t="shared" ca="1" si="86"/>
        <v>54.686719864931263</v>
      </c>
    </row>
    <row r="4735" spans="4:4" x14ac:dyDescent="0.25">
      <c r="D4735">
        <f t="shared" ca="1" si="86"/>
        <v>48.643224184204151</v>
      </c>
    </row>
    <row r="4736" spans="4:4" x14ac:dyDescent="0.25">
      <c r="D4736">
        <f t="shared" ca="1" si="86"/>
        <v>48.986641918114643</v>
      </c>
    </row>
    <row r="4737" spans="4:4" x14ac:dyDescent="0.25">
      <c r="D4737">
        <f t="shared" ca="1" si="86"/>
        <v>49.336250992279815</v>
      </c>
    </row>
    <row r="4738" spans="4:4" x14ac:dyDescent="0.25">
      <c r="D4738">
        <f t="shared" ca="1" si="86"/>
        <v>53.504499561458132</v>
      </c>
    </row>
    <row r="4739" spans="4:4" x14ac:dyDescent="0.25">
      <c r="D4739">
        <f t="shared" ref="D4739:D4802" ca="1" si="87">_xlfn.T.INV(RAND(),25)*$G$3+$F$3</f>
        <v>46.277237636680368</v>
      </c>
    </row>
    <row r="4740" spans="4:4" x14ac:dyDescent="0.25">
      <c r="D4740">
        <f t="shared" ca="1" si="87"/>
        <v>48.680972334762927</v>
      </c>
    </row>
    <row r="4741" spans="4:4" x14ac:dyDescent="0.25">
      <c r="D4741">
        <f t="shared" ca="1" si="87"/>
        <v>49.262627217614863</v>
      </c>
    </row>
    <row r="4742" spans="4:4" x14ac:dyDescent="0.25">
      <c r="D4742">
        <f t="shared" ca="1" si="87"/>
        <v>52.398623994660184</v>
      </c>
    </row>
    <row r="4743" spans="4:4" x14ac:dyDescent="0.25">
      <c r="D4743">
        <f t="shared" ca="1" si="87"/>
        <v>47.101608494446545</v>
      </c>
    </row>
    <row r="4744" spans="4:4" x14ac:dyDescent="0.25">
      <c r="D4744">
        <f t="shared" ca="1" si="87"/>
        <v>51.398023654608608</v>
      </c>
    </row>
    <row r="4745" spans="4:4" x14ac:dyDescent="0.25">
      <c r="D4745">
        <f t="shared" ca="1" si="87"/>
        <v>48.734319664471279</v>
      </c>
    </row>
    <row r="4746" spans="4:4" x14ac:dyDescent="0.25">
      <c r="D4746">
        <f t="shared" ca="1" si="87"/>
        <v>50.660669443197236</v>
      </c>
    </row>
    <row r="4747" spans="4:4" x14ac:dyDescent="0.25">
      <c r="D4747">
        <f t="shared" ca="1" si="87"/>
        <v>43.832524089079484</v>
      </c>
    </row>
    <row r="4748" spans="4:4" x14ac:dyDescent="0.25">
      <c r="D4748">
        <f t="shared" ca="1" si="87"/>
        <v>46.59003027897856</v>
      </c>
    </row>
    <row r="4749" spans="4:4" x14ac:dyDescent="0.25">
      <c r="D4749">
        <f t="shared" ca="1" si="87"/>
        <v>52.41382917958299</v>
      </c>
    </row>
    <row r="4750" spans="4:4" x14ac:dyDescent="0.25">
      <c r="D4750">
        <f t="shared" ca="1" si="87"/>
        <v>48.089614721560061</v>
      </c>
    </row>
    <row r="4751" spans="4:4" x14ac:dyDescent="0.25">
      <c r="D4751">
        <f t="shared" ca="1" si="87"/>
        <v>49.274988549831058</v>
      </c>
    </row>
    <row r="4752" spans="4:4" x14ac:dyDescent="0.25">
      <c r="D4752">
        <f t="shared" ca="1" si="87"/>
        <v>44.733704968195994</v>
      </c>
    </row>
    <row r="4753" spans="4:4" x14ac:dyDescent="0.25">
      <c r="D4753">
        <f t="shared" ca="1" si="87"/>
        <v>53.467959966998436</v>
      </c>
    </row>
    <row r="4754" spans="4:4" x14ac:dyDescent="0.25">
      <c r="D4754">
        <f t="shared" ca="1" si="87"/>
        <v>48.287071845317655</v>
      </c>
    </row>
    <row r="4755" spans="4:4" x14ac:dyDescent="0.25">
      <c r="D4755">
        <f t="shared" ca="1" si="87"/>
        <v>53.116592851343086</v>
      </c>
    </row>
    <row r="4756" spans="4:4" x14ac:dyDescent="0.25">
      <c r="D4756">
        <f t="shared" ca="1" si="87"/>
        <v>45.498285229245397</v>
      </c>
    </row>
    <row r="4757" spans="4:4" x14ac:dyDescent="0.25">
      <c r="D4757">
        <f t="shared" ca="1" si="87"/>
        <v>48.000520932962417</v>
      </c>
    </row>
    <row r="4758" spans="4:4" x14ac:dyDescent="0.25">
      <c r="D4758">
        <f t="shared" ca="1" si="87"/>
        <v>50.209711639516073</v>
      </c>
    </row>
    <row r="4759" spans="4:4" x14ac:dyDescent="0.25">
      <c r="D4759">
        <f t="shared" ca="1" si="87"/>
        <v>54.463912924722791</v>
      </c>
    </row>
    <row r="4760" spans="4:4" x14ac:dyDescent="0.25">
      <c r="D4760">
        <f t="shared" ca="1" si="87"/>
        <v>49.123916748602454</v>
      </c>
    </row>
    <row r="4761" spans="4:4" x14ac:dyDescent="0.25">
      <c r="D4761">
        <f t="shared" ca="1" si="87"/>
        <v>46.661095704125231</v>
      </c>
    </row>
    <row r="4762" spans="4:4" x14ac:dyDescent="0.25">
      <c r="D4762">
        <f t="shared" ca="1" si="87"/>
        <v>55.110538840741164</v>
      </c>
    </row>
    <row r="4763" spans="4:4" x14ac:dyDescent="0.25">
      <c r="D4763">
        <f t="shared" ca="1" si="87"/>
        <v>48.381118412326195</v>
      </c>
    </row>
    <row r="4764" spans="4:4" x14ac:dyDescent="0.25">
      <c r="D4764">
        <f t="shared" ca="1" si="87"/>
        <v>45.155153453069467</v>
      </c>
    </row>
    <row r="4765" spans="4:4" x14ac:dyDescent="0.25">
      <c r="D4765">
        <f t="shared" ca="1" si="87"/>
        <v>51.269921027459986</v>
      </c>
    </row>
    <row r="4766" spans="4:4" x14ac:dyDescent="0.25">
      <c r="D4766">
        <f t="shared" ca="1" si="87"/>
        <v>55.549928301410908</v>
      </c>
    </row>
    <row r="4767" spans="4:4" x14ac:dyDescent="0.25">
      <c r="D4767">
        <f t="shared" ca="1" si="87"/>
        <v>54.828543138898148</v>
      </c>
    </row>
    <row r="4768" spans="4:4" x14ac:dyDescent="0.25">
      <c r="D4768">
        <f t="shared" ca="1" si="87"/>
        <v>46.928397649976603</v>
      </c>
    </row>
    <row r="4769" spans="4:4" x14ac:dyDescent="0.25">
      <c r="D4769">
        <f t="shared" ca="1" si="87"/>
        <v>50.366211902739899</v>
      </c>
    </row>
    <row r="4770" spans="4:4" x14ac:dyDescent="0.25">
      <c r="D4770">
        <f t="shared" ca="1" si="87"/>
        <v>45.663391333048175</v>
      </c>
    </row>
    <row r="4771" spans="4:4" x14ac:dyDescent="0.25">
      <c r="D4771">
        <f t="shared" ca="1" si="87"/>
        <v>50.347920127058529</v>
      </c>
    </row>
    <row r="4772" spans="4:4" x14ac:dyDescent="0.25">
      <c r="D4772">
        <f t="shared" ca="1" si="87"/>
        <v>44.883592029815361</v>
      </c>
    </row>
    <row r="4773" spans="4:4" x14ac:dyDescent="0.25">
      <c r="D4773">
        <f t="shared" ca="1" si="87"/>
        <v>52.341775301050845</v>
      </c>
    </row>
    <row r="4774" spans="4:4" x14ac:dyDescent="0.25">
      <c r="D4774">
        <f t="shared" ca="1" si="87"/>
        <v>37.883611686889125</v>
      </c>
    </row>
    <row r="4775" spans="4:4" x14ac:dyDescent="0.25">
      <c r="D4775">
        <f t="shared" ca="1" si="87"/>
        <v>50.468127960612492</v>
      </c>
    </row>
    <row r="4776" spans="4:4" x14ac:dyDescent="0.25">
      <c r="D4776">
        <f t="shared" ca="1" si="87"/>
        <v>47.209175733355188</v>
      </c>
    </row>
    <row r="4777" spans="4:4" x14ac:dyDescent="0.25">
      <c r="D4777">
        <f t="shared" ca="1" si="87"/>
        <v>52.391101385696487</v>
      </c>
    </row>
    <row r="4778" spans="4:4" x14ac:dyDescent="0.25">
      <c r="D4778">
        <f t="shared" ca="1" si="87"/>
        <v>47.110024866394845</v>
      </c>
    </row>
    <row r="4779" spans="4:4" x14ac:dyDescent="0.25">
      <c r="D4779">
        <f t="shared" ca="1" si="87"/>
        <v>49.613307298503834</v>
      </c>
    </row>
    <row r="4780" spans="4:4" x14ac:dyDescent="0.25">
      <c r="D4780">
        <f t="shared" ca="1" si="87"/>
        <v>55.952295158253456</v>
      </c>
    </row>
    <row r="4781" spans="4:4" x14ac:dyDescent="0.25">
      <c r="D4781">
        <f t="shared" ca="1" si="87"/>
        <v>51.051774941526006</v>
      </c>
    </row>
    <row r="4782" spans="4:4" x14ac:dyDescent="0.25">
      <c r="D4782">
        <f t="shared" ca="1" si="87"/>
        <v>57.802997621775688</v>
      </c>
    </row>
    <row r="4783" spans="4:4" x14ac:dyDescent="0.25">
      <c r="D4783">
        <f t="shared" ca="1" si="87"/>
        <v>46.871125768192094</v>
      </c>
    </row>
    <row r="4784" spans="4:4" x14ac:dyDescent="0.25">
      <c r="D4784">
        <f t="shared" ca="1" si="87"/>
        <v>51.181215981224675</v>
      </c>
    </row>
    <row r="4785" spans="4:4" x14ac:dyDescent="0.25">
      <c r="D4785">
        <f t="shared" ca="1" si="87"/>
        <v>52.227577001649109</v>
      </c>
    </row>
    <row r="4786" spans="4:4" x14ac:dyDescent="0.25">
      <c r="D4786">
        <f t="shared" ca="1" si="87"/>
        <v>47.302506779510935</v>
      </c>
    </row>
    <row r="4787" spans="4:4" x14ac:dyDescent="0.25">
      <c r="D4787">
        <f t="shared" ca="1" si="87"/>
        <v>44.354056786194562</v>
      </c>
    </row>
    <row r="4788" spans="4:4" x14ac:dyDescent="0.25">
      <c r="D4788">
        <f t="shared" ca="1" si="87"/>
        <v>47.278181832619616</v>
      </c>
    </row>
    <row r="4789" spans="4:4" x14ac:dyDescent="0.25">
      <c r="D4789">
        <f t="shared" ca="1" si="87"/>
        <v>47.727591106391401</v>
      </c>
    </row>
    <row r="4790" spans="4:4" x14ac:dyDescent="0.25">
      <c r="D4790">
        <f t="shared" ca="1" si="87"/>
        <v>47.346264873282351</v>
      </c>
    </row>
    <row r="4791" spans="4:4" x14ac:dyDescent="0.25">
      <c r="D4791">
        <f t="shared" ca="1" si="87"/>
        <v>50.29536907593895</v>
      </c>
    </row>
    <row r="4792" spans="4:4" x14ac:dyDescent="0.25">
      <c r="D4792">
        <f t="shared" ca="1" si="87"/>
        <v>46.110982401786089</v>
      </c>
    </row>
    <row r="4793" spans="4:4" x14ac:dyDescent="0.25">
      <c r="D4793">
        <f t="shared" ca="1" si="87"/>
        <v>56.36279359383559</v>
      </c>
    </row>
    <row r="4794" spans="4:4" x14ac:dyDescent="0.25">
      <c r="D4794">
        <f t="shared" ca="1" si="87"/>
        <v>50.057464709986789</v>
      </c>
    </row>
    <row r="4795" spans="4:4" x14ac:dyDescent="0.25">
      <c r="D4795">
        <f t="shared" ca="1" si="87"/>
        <v>52.934488783204692</v>
      </c>
    </row>
    <row r="4796" spans="4:4" x14ac:dyDescent="0.25">
      <c r="D4796">
        <f t="shared" ca="1" si="87"/>
        <v>47.417495698868549</v>
      </c>
    </row>
    <row r="4797" spans="4:4" x14ac:dyDescent="0.25">
      <c r="D4797">
        <f t="shared" ca="1" si="87"/>
        <v>41.958991814532354</v>
      </c>
    </row>
    <row r="4798" spans="4:4" x14ac:dyDescent="0.25">
      <c r="D4798">
        <f t="shared" ca="1" si="87"/>
        <v>58.988479119130346</v>
      </c>
    </row>
    <row r="4799" spans="4:4" x14ac:dyDescent="0.25">
      <c r="D4799">
        <f t="shared" ca="1" si="87"/>
        <v>48.121912645781563</v>
      </c>
    </row>
    <row r="4800" spans="4:4" x14ac:dyDescent="0.25">
      <c r="D4800">
        <f t="shared" ca="1" si="87"/>
        <v>52.048080658835417</v>
      </c>
    </row>
    <row r="4801" spans="4:4" x14ac:dyDescent="0.25">
      <c r="D4801">
        <f t="shared" ca="1" si="87"/>
        <v>44.557334049525714</v>
      </c>
    </row>
    <row r="4802" spans="4:4" x14ac:dyDescent="0.25">
      <c r="D4802">
        <f t="shared" ca="1" si="87"/>
        <v>45.395206255659076</v>
      </c>
    </row>
    <row r="4803" spans="4:4" x14ac:dyDescent="0.25">
      <c r="D4803">
        <f t="shared" ref="D4803:D4866" ca="1" si="88">_xlfn.T.INV(RAND(),25)*$G$3+$F$3</f>
        <v>55.943895322845194</v>
      </c>
    </row>
    <row r="4804" spans="4:4" x14ac:dyDescent="0.25">
      <c r="D4804">
        <f t="shared" ca="1" si="88"/>
        <v>52.914755600183945</v>
      </c>
    </row>
    <row r="4805" spans="4:4" x14ac:dyDescent="0.25">
      <c r="D4805">
        <f t="shared" ca="1" si="88"/>
        <v>51.506625778601524</v>
      </c>
    </row>
    <row r="4806" spans="4:4" x14ac:dyDescent="0.25">
      <c r="D4806">
        <f t="shared" ca="1" si="88"/>
        <v>45.637615609407412</v>
      </c>
    </row>
    <row r="4807" spans="4:4" x14ac:dyDescent="0.25">
      <c r="D4807">
        <f t="shared" ca="1" si="88"/>
        <v>45.660122947632821</v>
      </c>
    </row>
    <row r="4808" spans="4:4" x14ac:dyDescent="0.25">
      <c r="D4808">
        <f t="shared" ca="1" si="88"/>
        <v>47.876972664021054</v>
      </c>
    </row>
    <row r="4809" spans="4:4" x14ac:dyDescent="0.25">
      <c r="D4809">
        <f t="shared" ca="1" si="88"/>
        <v>49.471219189821504</v>
      </c>
    </row>
    <row r="4810" spans="4:4" x14ac:dyDescent="0.25">
      <c r="D4810">
        <f t="shared" ca="1" si="88"/>
        <v>52.98779240470467</v>
      </c>
    </row>
    <row r="4811" spans="4:4" x14ac:dyDescent="0.25">
      <c r="D4811">
        <f t="shared" ca="1" si="88"/>
        <v>49.664929421114088</v>
      </c>
    </row>
    <row r="4812" spans="4:4" x14ac:dyDescent="0.25">
      <c r="D4812">
        <f t="shared" ca="1" si="88"/>
        <v>46.636663196078288</v>
      </c>
    </row>
    <row r="4813" spans="4:4" x14ac:dyDescent="0.25">
      <c r="D4813">
        <f t="shared" ca="1" si="88"/>
        <v>48.505141902277515</v>
      </c>
    </row>
    <row r="4814" spans="4:4" x14ac:dyDescent="0.25">
      <c r="D4814">
        <f t="shared" ca="1" si="88"/>
        <v>44.232850044839743</v>
      </c>
    </row>
    <row r="4815" spans="4:4" x14ac:dyDescent="0.25">
      <c r="D4815">
        <f t="shared" ca="1" si="88"/>
        <v>49.058931849799627</v>
      </c>
    </row>
    <row r="4816" spans="4:4" x14ac:dyDescent="0.25">
      <c r="D4816">
        <f t="shared" ca="1" si="88"/>
        <v>49.93454894389302</v>
      </c>
    </row>
    <row r="4817" spans="4:4" x14ac:dyDescent="0.25">
      <c r="D4817">
        <f t="shared" ca="1" si="88"/>
        <v>51.149904666057338</v>
      </c>
    </row>
    <row r="4818" spans="4:4" x14ac:dyDescent="0.25">
      <c r="D4818">
        <f t="shared" ca="1" si="88"/>
        <v>51.120667538576107</v>
      </c>
    </row>
    <row r="4819" spans="4:4" x14ac:dyDescent="0.25">
      <c r="D4819">
        <f t="shared" ca="1" si="88"/>
        <v>51.176736797597172</v>
      </c>
    </row>
    <row r="4820" spans="4:4" x14ac:dyDescent="0.25">
      <c r="D4820">
        <f t="shared" ca="1" si="88"/>
        <v>50.50235457681022</v>
      </c>
    </row>
    <row r="4821" spans="4:4" x14ac:dyDescent="0.25">
      <c r="D4821">
        <f t="shared" ca="1" si="88"/>
        <v>50.12799695120205</v>
      </c>
    </row>
    <row r="4822" spans="4:4" x14ac:dyDescent="0.25">
      <c r="D4822">
        <f t="shared" ca="1" si="88"/>
        <v>49.991757154030935</v>
      </c>
    </row>
    <row r="4823" spans="4:4" x14ac:dyDescent="0.25">
      <c r="D4823">
        <f t="shared" ca="1" si="88"/>
        <v>53.250901447772272</v>
      </c>
    </row>
    <row r="4824" spans="4:4" x14ac:dyDescent="0.25">
      <c r="D4824">
        <f t="shared" ca="1" si="88"/>
        <v>51.136117726718119</v>
      </c>
    </row>
    <row r="4825" spans="4:4" x14ac:dyDescent="0.25">
      <c r="D4825">
        <f t="shared" ca="1" si="88"/>
        <v>39.767224400196262</v>
      </c>
    </row>
    <row r="4826" spans="4:4" x14ac:dyDescent="0.25">
      <c r="D4826">
        <f t="shared" ca="1" si="88"/>
        <v>41.417863956479167</v>
      </c>
    </row>
    <row r="4827" spans="4:4" x14ac:dyDescent="0.25">
      <c r="D4827">
        <f t="shared" ca="1" si="88"/>
        <v>48.709930292079633</v>
      </c>
    </row>
    <row r="4828" spans="4:4" x14ac:dyDescent="0.25">
      <c r="D4828">
        <f t="shared" ca="1" si="88"/>
        <v>47.424193742355897</v>
      </c>
    </row>
    <row r="4829" spans="4:4" x14ac:dyDescent="0.25">
      <c r="D4829">
        <f t="shared" ca="1" si="88"/>
        <v>41.558232804021756</v>
      </c>
    </row>
    <row r="4830" spans="4:4" x14ac:dyDescent="0.25">
      <c r="D4830">
        <f t="shared" ca="1" si="88"/>
        <v>45.275250577457015</v>
      </c>
    </row>
    <row r="4831" spans="4:4" x14ac:dyDescent="0.25">
      <c r="D4831">
        <f t="shared" ca="1" si="88"/>
        <v>48.255540346493063</v>
      </c>
    </row>
    <row r="4832" spans="4:4" x14ac:dyDescent="0.25">
      <c r="D4832">
        <f t="shared" ca="1" si="88"/>
        <v>50.707195718613519</v>
      </c>
    </row>
    <row r="4833" spans="4:4" x14ac:dyDescent="0.25">
      <c r="D4833">
        <f t="shared" ca="1" si="88"/>
        <v>47.884736440145957</v>
      </c>
    </row>
    <row r="4834" spans="4:4" x14ac:dyDescent="0.25">
      <c r="D4834">
        <f t="shared" ca="1" si="88"/>
        <v>41.214037870042006</v>
      </c>
    </row>
    <row r="4835" spans="4:4" x14ac:dyDescent="0.25">
      <c r="D4835">
        <f t="shared" ca="1" si="88"/>
        <v>45.192756563764711</v>
      </c>
    </row>
    <row r="4836" spans="4:4" x14ac:dyDescent="0.25">
      <c r="D4836">
        <f t="shared" ca="1" si="88"/>
        <v>51.334259546647829</v>
      </c>
    </row>
    <row r="4837" spans="4:4" x14ac:dyDescent="0.25">
      <c r="D4837">
        <f t="shared" ca="1" si="88"/>
        <v>50.639528833345913</v>
      </c>
    </row>
    <row r="4838" spans="4:4" x14ac:dyDescent="0.25">
      <c r="D4838">
        <f t="shared" ca="1" si="88"/>
        <v>50.678465429793548</v>
      </c>
    </row>
    <row r="4839" spans="4:4" x14ac:dyDescent="0.25">
      <c r="D4839">
        <f t="shared" ca="1" si="88"/>
        <v>51.794937259437937</v>
      </c>
    </row>
    <row r="4840" spans="4:4" x14ac:dyDescent="0.25">
      <c r="D4840">
        <f t="shared" ca="1" si="88"/>
        <v>48.342969003244349</v>
      </c>
    </row>
    <row r="4841" spans="4:4" x14ac:dyDescent="0.25">
      <c r="D4841">
        <f t="shared" ca="1" si="88"/>
        <v>55.519377199304387</v>
      </c>
    </row>
    <row r="4842" spans="4:4" x14ac:dyDescent="0.25">
      <c r="D4842">
        <f t="shared" ca="1" si="88"/>
        <v>45.168768392598381</v>
      </c>
    </row>
    <row r="4843" spans="4:4" x14ac:dyDescent="0.25">
      <c r="D4843">
        <f t="shared" ca="1" si="88"/>
        <v>45.858656259670155</v>
      </c>
    </row>
    <row r="4844" spans="4:4" x14ac:dyDescent="0.25">
      <c r="D4844">
        <f t="shared" ca="1" si="88"/>
        <v>46.762597425419756</v>
      </c>
    </row>
    <row r="4845" spans="4:4" x14ac:dyDescent="0.25">
      <c r="D4845">
        <f t="shared" ca="1" si="88"/>
        <v>42.919332377672987</v>
      </c>
    </row>
    <row r="4846" spans="4:4" x14ac:dyDescent="0.25">
      <c r="D4846">
        <f t="shared" ca="1" si="88"/>
        <v>47.109126623821787</v>
      </c>
    </row>
    <row r="4847" spans="4:4" x14ac:dyDescent="0.25">
      <c r="D4847">
        <f t="shared" ca="1" si="88"/>
        <v>48.756019664766193</v>
      </c>
    </row>
    <row r="4848" spans="4:4" x14ac:dyDescent="0.25">
      <c r="D4848">
        <f t="shared" ca="1" si="88"/>
        <v>50.370241494803558</v>
      </c>
    </row>
    <row r="4849" spans="4:4" x14ac:dyDescent="0.25">
      <c r="D4849">
        <f t="shared" ca="1" si="88"/>
        <v>49.769724918601639</v>
      </c>
    </row>
    <row r="4850" spans="4:4" x14ac:dyDescent="0.25">
      <c r="D4850">
        <f t="shared" ca="1" si="88"/>
        <v>43.746950646678407</v>
      </c>
    </row>
    <row r="4851" spans="4:4" x14ac:dyDescent="0.25">
      <c r="D4851">
        <f t="shared" ca="1" si="88"/>
        <v>51.002305465858917</v>
      </c>
    </row>
    <row r="4852" spans="4:4" x14ac:dyDescent="0.25">
      <c r="D4852">
        <f t="shared" ca="1" si="88"/>
        <v>57.769671436555988</v>
      </c>
    </row>
    <row r="4853" spans="4:4" x14ac:dyDescent="0.25">
      <c r="D4853">
        <f t="shared" ca="1" si="88"/>
        <v>53.329155538436865</v>
      </c>
    </row>
    <row r="4854" spans="4:4" x14ac:dyDescent="0.25">
      <c r="D4854">
        <f t="shared" ca="1" si="88"/>
        <v>56.68897286034148</v>
      </c>
    </row>
    <row r="4855" spans="4:4" x14ac:dyDescent="0.25">
      <c r="D4855">
        <f t="shared" ca="1" si="88"/>
        <v>48.697064319918802</v>
      </c>
    </row>
    <row r="4856" spans="4:4" x14ac:dyDescent="0.25">
      <c r="D4856">
        <f t="shared" ca="1" si="88"/>
        <v>39.489235966173162</v>
      </c>
    </row>
    <row r="4857" spans="4:4" x14ac:dyDescent="0.25">
      <c r="D4857">
        <f t="shared" ca="1" si="88"/>
        <v>48.380784046105397</v>
      </c>
    </row>
    <row r="4858" spans="4:4" x14ac:dyDescent="0.25">
      <c r="D4858">
        <f t="shared" ca="1" si="88"/>
        <v>43.076415964403523</v>
      </c>
    </row>
    <row r="4859" spans="4:4" x14ac:dyDescent="0.25">
      <c r="D4859">
        <f t="shared" ca="1" si="88"/>
        <v>50.111946620290894</v>
      </c>
    </row>
    <row r="4860" spans="4:4" x14ac:dyDescent="0.25">
      <c r="D4860">
        <f t="shared" ca="1" si="88"/>
        <v>46.640454457520107</v>
      </c>
    </row>
    <row r="4861" spans="4:4" x14ac:dyDescent="0.25">
      <c r="D4861">
        <f t="shared" ca="1" si="88"/>
        <v>49.01021074438269</v>
      </c>
    </row>
    <row r="4862" spans="4:4" x14ac:dyDescent="0.25">
      <c r="D4862">
        <f t="shared" ca="1" si="88"/>
        <v>48.233938111307666</v>
      </c>
    </row>
    <row r="4863" spans="4:4" x14ac:dyDescent="0.25">
      <c r="D4863">
        <f t="shared" ca="1" si="88"/>
        <v>44.434636482308314</v>
      </c>
    </row>
    <row r="4864" spans="4:4" x14ac:dyDescent="0.25">
      <c r="D4864">
        <f t="shared" ca="1" si="88"/>
        <v>45.573403529448512</v>
      </c>
    </row>
    <row r="4865" spans="4:4" x14ac:dyDescent="0.25">
      <c r="D4865">
        <f t="shared" ca="1" si="88"/>
        <v>46.22461210314917</v>
      </c>
    </row>
    <row r="4866" spans="4:4" x14ac:dyDescent="0.25">
      <c r="D4866">
        <f t="shared" ca="1" si="88"/>
        <v>56.299026482702388</v>
      </c>
    </row>
    <row r="4867" spans="4:4" x14ac:dyDescent="0.25">
      <c r="D4867">
        <f t="shared" ref="D4867:D4930" ca="1" si="89">_xlfn.T.INV(RAND(),25)*$G$3+$F$3</f>
        <v>49.146944627475484</v>
      </c>
    </row>
    <row r="4868" spans="4:4" x14ac:dyDescent="0.25">
      <c r="D4868">
        <f t="shared" ca="1" si="89"/>
        <v>49.156355011966696</v>
      </c>
    </row>
    <row r="4869" spans="4:4" x14ac:dyDescent="0.25">
      <c r="D4869">
        <f t="shared" ca="1" si="89"/>
        <v>45.481573173841277</v>
      </c>
    </row>
    <row r="4870" spans="4:4" x14ac:dyDescent="0.25">
      <c r="D4870">
        <f t="shared" ca="1" si="89"/>
        <v>58.960929416463337</v>
      </c>
    </row>
    <row r="4871" spans="4:4" x14ac:dyDescent="0.25">
      <c r="D4871">
        <f t="shared" ca="1" si="89"/>
        <v>53.103730746570008</v>
      </c>
    </row>
    <row r="4872" spans="4:4" x14ac:dyDescent="0.25">
      <c r="D4872">
        <f t="shared" ca="1" si="89"/>
        <v>50.194499025151842</v>
      </c>
    </row>
    <row r="4873" spans="4:4" x14ac:dyDescent="0.25">
      <c r="D4873">
        <f t="shared" ca="1" si="89"/>
        <v>50.466155323397842</v>
      </c>
    </row>
    <row r="4874" spans="4:4" x14ac:dyDescent="0.25">
      <c r="D4874">
        <f t="shared" ca="1" si="89"/>
        <v>54.140898884481466</v>
      </c>
    </row>
    <row r="4875" spans="4:4" x14ac:dyDescent="0.25">
      <c r="D4875">
        <f t="shared" ca="1" si="89"/>
        <v>50.086663726046226</v>
      </c>
    </row>
    <row r="4876" spans="4:4" x14ac:dyDescent="0.25">
      <c r="D4876">
        <f t="shared" ca="1" si="89"/>
        <v>51.089506772518703</v>
      </c>
    </row>
    <row r="4877" spans="4:4" x14ac:dyDescent="0.25">
      <c r="D4877">
        <f t="shared" ca="1" si="89"/>
        <v>54.298700030120472</v>
      </c>
    </row>
    <row r="4878" spans="4:4" x14ac:dyDescent="0.25">
      <c r="D4878">
        <f t="shared" ca="1" si="89"/>
        <v>55.42896391066067</v>
      </c>
    </row>
    <row r="4879" spans="4:4" x14ac:dyDescent="0.25">
      <c r="D4879">
        <f t="shared" ca="1" si="89"/>
        <v>55.429531392902774</v>
      </c>
    </row>
    <row r="4880" spans="4:4" x14ac:dyDescent="0.25">
      <c r="D4880">
        <f t="shared" ca="1" si="89"/>
        <v>48.944829104773518</v>
      </c>
    </row>
    <row r="4881" spans="4:4" x14ac:dyDescent="0.25">
      <c r="D4881">
        <f t="shared" ca="1" si="89"/>
        <v>47.701521511489936</v>
      </c>
    </row>
    <row r="4882" spans="4:4" x14ac:dyDescent="0.25">
      <c r="D4882">
        <f t="shared" ca="1" si="89"/>
        <v>52.484273710674046</v>
      </c>
    </row>
    <row r="4883" spans="4:4" x14ac:dyDescent="0.25">
      <c r="D4883">
        <f t="shared" ca="1" si="89"/>
        <v>50.074729150479293</v>
      </c>
    </row>
    <row r="4884" spans="4:4" x14ac:dyDescent="0.25">
      <c r="D4884">
        <f t="shared" ca="1" si="89"/>
        <v>49.501396569144418</v>
      </c>
    </row>
    <row r="4885" spans="4:4" x14ac:dyDescent="0.25">
      <c r="D4885">
        <f t="shared" ca="1" si="89"/>
        <v>51.254443141953061</v>
      </c>
    </row>
    <row r="4886" spans="4:4" x14ac:dyDescent="0.25">
      <c r="D4886">
        <f t="shared" ca="1" si="89"/>
        <v>57.390326821429134</v>
      </c>
    </row>
    <row r="4887" spans="4:4" x14ac:dyDescent="0.25">
      <c r="D4887">
        <f t="shared" ca="1" si="89"/>
        <v>49.208128647589007</v>
      </c>
    </row>
    <row r="4888" spans="4:4" x14ac:dyDescent="0.25">
      <c r="D4888">
        <f t="shared" ca="1" si="89"/>
        <v>49.247839292589475</v>
      </c>
    </row>
    <row r="4889" spans="4:4" x14ac:dyDescent="0.25">
      <c r="D4889">
        <f t="shared" ca="1" si="89"/>
        <v>54.332485032575335</v>
      </c>
    </row>
    <row r="4890" spans="4:4" x14ac:dyDescent="0.25">
      <c r="D4890">
        <f t="shared" ca="1" si="89"/>
        <v>52.740463273832759</v>
      </c>
    </row>
    <row r="4891" spans="4:4" x14ac:dyDescent="0.25">
      <c r="D4891">
        <f t="shared" ca="1" si="89"/>
        <v>53.819698160207672</v>
      </c>
    </row>
    <row r="4892" spans="4:4" x14ac:dyDescent="0.25">
      <c r="D4892">
        <f t="shared" ca="1" si="89"/>
        <v>51.146864520165963</v>
      </c>
    </row>
    <row r="4893" spans="4:4" x14ac:dyDescent="0.25">
      <c r="D4893">
        <f t="shared" ca="1" si="89"/>
        <v>45.635163166009328</v>
      </c>
    </row>
    <row r="4894" spans="4:4" x14ac:dyDescent="0.25">
      <c r="D4894">
        <f t="shared" ca="1" si="89"/>
        <v>54.735512724560301</v>
      </c>
    </row>
    <row r="4895" spans="4:4" x14ac:dyDescent="0.25">
      <c r="D4895">
        <f t="shared" ca="1" si="89"/>
        <v>47.955669245632542</v>
      </c>
    </row>
    <row r="4896" spans="4:4" x14ac:dyDescent="0.25">
      <c r="D4896">
        <f t="shared" ca="1" si="89"/>
        <v>47.332748026900703</v>
      </c>
    </row>
    <row r="4897" spans="4:4" x14ac:dyDescent="0.25">
      <c r="D4897">
        <f t="shared" ca="1" si="89"/>
        <v>46.250056750981493</v>
      </c>
    </row>
    <row r="4898" spans="4:4" x14ac:dyDescent="0.25">
      <c r="D4898">
        <f t="shared" ca="1" si="89"/>
        <v>45.372862413126242</v>
      </c>
    </row>
    <row r="4899" spans="4:4" x14ac:dyDescent="0.25">
      <c r="D4899">
        <f t="shared" ca="1" si="89"/>
        <v>48.134793029241145</v>
      </c>
    </row>
    <row r="4900" spans="4:4" x14ac:dyDescent="0.25">
      <c r="D4900">
        <f t="shared" ca="1" si="89"/>
        <v>42.845210707718252</v>
      </c>
    </row>
    <row r="4901" spans="4:4" x14ac:dyDescent="0.25">
      <c r="D4901">
        <f t="shared" ca="1" si="89"/>
        <v>52.741632582481401</v>
      </c>
    </row>
    <row r="4902" spans="4:4" x14ac:dyDescent="0.25">
      <c r="D4902">
        <f t="shared" ca="1" si="89"/>
        <v>48.920666283706005</v>
      </c>
    </row>
    <row r="4903" spans="4:4" x14ac:dyDescent="0.25">
      <c r="D4903">
        <f t="shared" ca="1" si="89"/>
        <v>48.699421773386298</v>
      </c>
    </row>
    <row r="4904" spans="4:4" x14ac:dyDescent="0.25">
      <c r="D4904">
        <f t="shared" ca="1" si="89"/>
        <v>51.808224205220256</v>
      </c>
    </row>
    <row r="4905" spans="4:4" x14ac:dyDescent="0.25">
      <c r="D4905">
        <f t="shared" ca="1" si="89"/>
        <v>46.102965121250051</v>
      </c>
    </row>
    <row r="4906" spans="4:4" x14ac:dyDescent="0.25">
      <c r="D4906">
        <f t="shared" ca="1" si="89"/>
        <v>42.714479825601302</v>
      </c>
    </row>
    <row r="4907" spans="4:4" x14ac:dyDescent="0.25">
      <c r="D4907">
        <f t="shared" ca="1" si="89"/>
        <v>58.709850135086718</v>
      </c>
    </row>
    <row r="4908" spans="4:4" x14ac:dyDescent="0.25">
      <c r="D4908">
        <f t="shared" ca="1" si="89"/>
        <v>50.46447696103445</v>
      </c>
    </row>
    <row r="4909" spans="4:4" x14ac:dyDescent="0.25">
      <c r="D4909">
        <f t="shared" ca="1" si="89"/>
        <v>49.793066300451045</v>
      </c>
    </row>
    <row r="4910" spans="4:4" x14ac:dyDescent="0.25">
      <c r="D4910">
        <f t="shared" ca="1" si="89"/>
        <v>63.838264524412729</v>
      </c>
    </row>
    <row r="4911" spans="4:4" x14ac:dyDescent="0.25">
      <c r="D4911">
        <f t="shared" ca="1" si="89"/>
        <v>53.489640762307801</v>
      </c>
    </row>
    <row r="4912" spans="4:4" x14ac:dyDescent="0.25">
      <c r="D4912">
        <f t="shared" ca="1" si="89"/>
        <v>47.056980408929299</v>
      </c>
    </row>
    <row r="4913" spans="4:4" x14ac:dyDescent="0.25">
      <c r="D4913">
        <f t="shared" ca="1" si="89"/>
        <v>51.918499873861826</v>
      </c>
    </row>
    <row r="4914" spans="4:4" x14ac:dyDescent="0.25">
      <c r="D4914">
        <f t="shared" ca="1" si="89"/>
        <v>55.602909104824128</v>
      </c>
    </row>
    <row r="4915" spans="4:4" x14ac:dyDescent="0.25">
      <c r="D4915">
        <f t="shared" ca="1" si="89"/>
        <v>52.293319908139324</v>
      </c>
    </row>
    <row r="4916" spans="4:4" x14ac:dyDescent="0.25">
      <c r="D4916">
        <f t="shared" ca="1" si="89"/>
        <v>54.491107523849628</v>
      </c>
    </row>
    <row r="4917" spans="4:4" x14ac:dyDescent="0.25">
      <c r="D4917">
        <f t="shared" ca="1" si="89"/>
        <v>45.08556931435605</v>
      </c>
    </row>
    <row r="4918" spans="4:4" x14ac:dyDescent="0.25">
      <c r="D4918">
        <f t="shared" ca="1" si="89"/>
        <v>49.488428439535951</v>
      </c>
    </row>
    <row r="4919" spans="4:4" x14ac:dyDescent="0.25">
      <c r="D4919">
        <f t="shared" ca="1" si="89"/>
        <v>54.327184743524327</v>
      </c>
    </row>
    <row r="4920" spans="4:4" x14ac:dyDescent="0.25">
      <c r="D4920">
        <f t="shared" ca="1" si="89"/>
        <v>46.675348470115857</v>
      </c>
    </row>
    <row r="4921" spans="4:4" x14ac:dyDescent="0.25">
      <c r="D4921">
        <f t="shared" ca="1" si="89"/>
        <v>53.523271473054592</v>
      </c>
    </row>
    <row r="4922" spans="4:4" x14ac:dyDescent="0.25">
      <c r="D4922">
        <f t="shared" ca="1" si="89"/>
        <v>52.814290146037671</v>
      </c>
    </row>
    <row r="4923" spans="4:4" x14ac:dyDescent="0.25">
      <c r="D4923">
        <f t="shared" ca="1" si="89"/>
        <v>56.07325690432549</v>
      </c>
    </row>
    <row r="4924" spans="4:4" x14ac:dyDescent="0.25">
      <c r="D4924">
        <f t="shared" ca="1" si="89"/>
        <v>45.359737021296226</v>
      </c>
    </row>
    <row r="4925" spans="4:4" x14ac:dyDescent="0.25">
      <c r="D4925">
        <f t="shared" ca="1" si="89"/>
        <v>49.321631829046638</v>
      </c>
    </row>
    <row r="4926" spans="4:4" x14ac:dyDescent="0.25">
      <c r="D4926">
        <f t="shared" ca="1" si="89"/>
        <v>45.759505793594272</v>
      </c>
    </row>
    <row r="4927" spans="4:4" x14ac:dyDescent="0.25">
      <c r="D4927">
        <f t="shared" ca="1" si="89"/>
        <v>48.420473784156599</v>
      </c>
    </row>
    <row r="4928" spans="4:4" x14ac:dyDescent="0.25">
      <c r="D4928">
        <f t="shared" ca="1" si="89"/>
        <v>48.609488272494595</v>
      </c>
    </row>
    <row r="4929" spans="4:4" x14ac:dyDescent="0.25">
      <c r="D4929">
        <f t="shared" ca="1" si="89"/>
        <v>46.050160182805264</v>
      </c>
    </row>
    <row r="4930" spans="4:4" x14ac:dyDescent="0.25">
      <c r="D4930">
        <f t="shared" ca="1" si="89"/>
        <v>51.774312148947388</v>
      </c>
    </row>
    <row r="4931" spans="4:4" x14ac:dyDescent="0.25">
      <c r="D4931">
        <f t="shared" ref="D4931:D4994" ca="1" si="90">_xlfn.T.INV(RAND(),25)*$G$3+$F$3</f>
        <v>44.706748805471932</v>
      </c>
    </row>
    <row r="4932" spans="4:4" x14ac:dyDescent="0.25">
      <c r="D4932">
        <f t="shared" ca="1" si="90"/>
        <v>46.927648730668771</v>
      </c>
    </row>
    <row r="4933" spans="4:4" x14ac:dyDescent="0.25">
      <c r="D4933">
        <f t="shared" ca="1" si="90"/>
        <v>43.15288361944031</v>
      </c>
    </row>
    <row r="4934" spans="4:4" x14ac:dyDescent="0.25">
      <c r="D4934">
        <f t="shared" ca="1" si="90"/>
        <v>49.883565150727179</v>
      </c>
    </row>
    <row r="4935" spans="4:4" x14ac:dyDescent="0.25">
      <c r="D4935">
        <f t="shared" ca="1" si="90"/>
        <v>53.095737335690011</v>
      </c>
    </row>
    <row r="4936" spans="4:4" x14ac:dyDescent="0.25">
      <c r="D4936">
        <f t="shared" ca="1" si="90"/>
        <v>43.130990229008901</v>
      </c>
    </row>
    <row r="4937" spans="4:4" x14ac:dyDescent="0.25">
      <c r="D4937">
        <f t="shared" ca="1" si="90"/>
        <v>42.527411564237475</v>
      </c>
    </row>
    <row r="4938" spans="4:4" x14ac:dyDescent="0.25">
      <c r="D4938">
        <f t="shared" ca="1" si="90"/>
        <v>42.651338772782864</v>
      </c>
    </row>
    <row r="4939" spans="4:4" x14ac:dyDescent="0.25">
      <c r="D4939">
        <f t="shared" ca="1" si="90"/>
        <v>49.121867081593429</v>
      </c>
    </row>
    <row r="4940" spans="4:4" x14ac:dyDescent="0.25">
      <c r="D4940">
        <f t="shared" ca="1" si="90"/>
        <v>51.486545445447121</v>
      </c>
    </row>
    <row r="4941" spans="4:4" x14ac:dyDescent="0.25">
      <c r="D4941">
        <f t="shared" ca="1" si="90"/>
        <v>51.537718549777935</v>
      </c>
    </row>
    <row r="4942" spans="4:4" x14ac:dyDescent="0.25">
      <c r="D4942">
        <f t="shared" ca="1" si="90"/>
        <v>52.813634771961176</v>
      </c>
    </row>
    <row r="4943" spans="4:4" x14ac:dyDescent="0.25">
      <c r="D4943">
        <f t="shared" ca="1" si="90"/>
        <v>56.485476953417063</v>
      </c>
    </row>
    <row r="4944" spans="4:4" x14ac:dyDescent="0.25">
      <c r="D4944">
        <f t="shared" ca="1" si="90"/>
        <v>55.599421856443179</v>
      </c>
    </row>
    <row r="4945" spans="4:4" x14ac:dyDescent="0.25">
      <c r="D4945">
        <f t="shared" ca="1" si="90"/>
        <v>43.689950633728088</v>
      </c>
    </row>
    <row r="4946" spans="4:4" x14ac:dyDescent="0.25">
      <c r="D4946">
        <f t="shared" ca="1" si="90"/>
        <v>44.606368801742462</v>
      </c>
    </row>
    <row r="4947" spans="4:4" x14ac:dyDescent="0.25">
      <c r="D4947">
        <f t="shared" ca="1" si="90"/>
        <v>53.387573059252041</v>
      </c>
    </row>
    <row r="4948" spans="4:4" x14ac:dyDescent="0.25">
      <c r="D4948">
        <f t="shared" ca="1" si="90"/>
        <v>45.602334322279006</v>
      </c>
    </row>
    <row r="4949" spans="4:4" x14ac:dyDescent="0.25">
      <c r="D4949">
        <f t="shared" ca="1" si="90"/>
        <v>46.277221783544711</v>
      </c>
    </row>
    <row r="4950" spans="4:4" x14ac:dyDescent="0.25">
      <c r="D4950">
        <f t="shared" ca="1" si="90"/>
        <v>49.277363616159661</v>
      </c>
    </row>
    <row r="4951" spans="4:4" x14ac:dyDescent="0.25">
      <c r="D4951">
        <f t="shared" ca="1" si="90"/>
        <v>50.934887229085057</v>
      </c>
    </row>
    <row r="4952" spans="4:4" x14ac:dyDescent="0.25">
      <c r="D4952">
        <f t="shared" ca="1" si="90"/>
        <v>47.432129112555629</v>
      </c>
    </row>
    <row r="4953" spans="4:4" x14ac:dyDescent="0.25">
      <c r="D4953">
        <f t="shared" ca="1" si="90"/>
        <v>52.783849675445438</v>
      </c>
    </row>
    <row r="4954" spans="4:4" x14ac:dyDescent="0.25">
      <c r="D4954">
        <f t="shared" ca="1" si="90"/>
        <v>53.939857204907113</v>
      </c>
    </row>
    <row r="4955" spans="4:4" x14ac:dyDescent="0.25">
      <c r="D4955">
        <f t="shared" ca="1" si="90"/>
        <v>51.741344553029286</v>
      </c>
    </row>
    <row r="4956" spans="4:4" x14ac:dyDescent="0.25">
      <c r="D4956">
        <f t="shared" ca="1" si="90"/>
        <v>47.623289102284673</v>
      </c>
    </row>
    <row r="4957" spans="4:4" x14ac:dyDescent="0.25">
      <c r="D4957">
        <f t="shared" ca="1" si="90"/>
        <v>44.237088160687492</v>
      </c>
    </row>
    <row r="4958" spans="4:4" x14ac:dyDescent="0.25">
      <c r="D4958">
        <f t="shared" ca="1" si="90"/>
        <v>47.739165533286098</v>
      </c>
    </row>
    <row r="4959" spans="4:4" x14ac:dyDescent="0.25">
      <c r="D4959">
        <f t="shared" ca="1" si="90"/>
        <v>49.110709591081623</v>
      </c>
    </row>
    <row r="4960" spans="4:4" x14ac:dyDescent="0.25">
      <c r="D4960">
        <f t="shared" ca="1" si="90"/>
        <v>45.928436683988593</v>
      </c>
    </row>
    <row r="4961" spans="4:4" x14ac:dyDescent="0.25">
      <c r="D4961">
        <f t="shared" ca="1" si="90"/>
        <v>48.793965953940337</v>
      </c>
    </row>
    <row r="4962" spans="4:4" x14ac:dyDescent="0.25">
      <c r="D4962">
        <f t="shared" ca="1" si="90"/>
        <v>53.095790534337155</v>
      </c>
    </row>
    <row r="4963" spans="4:4" x14ac:dyDescent="0.25">
      <c r="D4963">
        <f t="shared" ca="1" si="90"/>
        <v>47.182978300146587</v>
      </c>
    </row>
    <row r="4964" spans="4:4" x14ac:dyDescent="0.25">
      <c r="D4964">
        <f t="shared" ca="1" si="90"/>
        <v>50.6095409566624</v>
      </c>
    </row>
    <row r="4965" spans="4:4" x14ac:dyDescent="0.25">
      <c r="D4965">
        <f t="shared" ca="1" si="90"/>
        <v>50.238003402734769</v>
      </c>
    </row>
    <row r="4966" spans="4:4" x14ac:dyDescent="0.25">
      <c r="D4966">
        <f t="shared" ca="1" si="90"/>
        <v>52.887035272032215</v>
      </c>
    </row>
    <row r="4967" spans="4:4" x14ac:dyDescent="0.25">
      <c r="D4967">
        <f t="shared" ca="1" si="90"/>
        <v>49.51995935876247</v>
      </c>
    </row>
    <row r="4968" spans="4:4" x14ac:dyDescent="0.25">
      <c r="D4968">
        <f t="shared" ca="1" si="90"/>
        <v>51.710202041478446</v>
      </c>
    </row>
    <row r="4969" spans="4:4" x14ac:dyDescent="0.25">
      <c r="D4969">
        <f t="shared" ca="1" si="90"/>
        <v>46.539551071756321</v>
      </c>
    </row>
    <row r="4970" spans="4:4" x14ac:dyDescent="0.25">
      <c r="D4970">
        <f t="shared" ca="1" si="90"/>
        <v>43.032917599863794</v>
      </c>
    </row>
    <row r="4971" spans="4:4" x14ac:dyDescent="0.25">
      <c r="D4971">
        <f t="shared" ca="1" si="90"/>
        <v>49.314296610242984</v>
      </c>
    </row>
    <row r="4972" spans="4:4" x14ac:dyDescent="0.25">
      <c r="D4972">
        <f t="shared" ca="1" si="90"/>
        <v>53.431327128631942</v>
      </c>
    </row>
    <row r="4973" spans="4:4" x14ac:dyDescent="0.25">
      <c r="D4973">
        <f t="shared" ca="1" si="90"/>
        <v>44.708256053611386</v>
      </c>
    </row>
    <row r="4974" spans="4:4" x14ac:dyDescent="0.25">
      <c r="D4974">
        <f t="shared" ca="1" si="90"/>
        <v>47.312790724664715</v>
      </c>
    </row>
    <row r="4975" spans="4:4" x14ac:dyDescent="0.25">
      <c r="D4975">
        <f t="shared" ca="1" si="90"/>
        <v>57.541489281561979</v>
      </c>
    </row>
    <row r="4976" spans="4:4" x14ac:dyDescent="0.25">
      <c r="D4976">
        <f t="shared" ca="1" si="90"/>
        <v>51.225250930703751</v>
      </c>
    </row>
    <row r="4977" spans="4:4" x14ac:dyDescent="0.25">
      <c r="D4977">
        <f t="shared" ca="1" si="90"/>
        <v>40.630573684596911</v>
      </c>
    </row>
    <row r="4978" spans="4:4" x14ac:dyDescent="0.25">
      <c r="D4978">
        <f t="shared" ca="1" si="90"/>
        <v>49.711114290282488</v>
      </c>
    </row>
    <row r="4979" spans="4:4" x14ac:dyDescent="0.25">
      <c r="D4979">
        <f t="shared" ca="1" si="90"/>
        <v>53.781032137045074</v>
      </c>
    </row>
    <row r="4980" spans="4:4" x14ac:dyDescent="0.25">
      <c r="D4980">
        <f t="shared" ca="1" si="90"/>
        <v>41.930175362845191</v>
      </c>
    </row>
    <row r="4981" spans="4:4" x14ac:dyDescent="0.25">
      <c r="D4981">
        <f t="shared" ca="1" si="90"/>
        <v>49.83278108558536</v>
      </c>
    </row>
    <row r="4982" spans="4:4" x14ac:dyDescent="0.25">
      <c r="D4982">
        <f t="shared" ca="1" si="90"/>
        <v>54.031223443982896</v>
      </c>
    </row>
    <row r="4983" spans="4:4" x14ac:dyDescent="0.25">
      <c r="D4983">
        <f t="shared" ca="1" si="90"/>
        <v>50.820030528118785</v>
      </c>
    </row>
    <row r="4984" spans="4:4" x14ac:dyDescent="0.25">
      <c r="D4984">
        <f t="shared" ca="1" si="90"/>
        <v>48.42794782751794</v>
      </c>
    </row>
    <row r="4985" spans="4:4" x14ac:dyDescent="0.25">
      <c r="D4985">
        <f t="shared" ca="1" si="90"/>
        <v>49.811224915478611</v>
      </c>
    </row>
    <row r="4986" spans="4:4" x14ac:dyDescent="0.25">
      <c r="D4986">
        <f t="shared" ca="1" si="90"/>
        <v>54.814586161380468</v>
      </c>
    </row>
    <row r="4987" spans="4:4" x14ac:dyDescent="0.25">
      <c r="D4987">
        <f t="shared" ca="1" si="90"/>
        <v>51.080865433374619</v>
      </c>
    </row>
    <row r="4988" spans="4:4" x14ac:dyDescent="0.25">
      <c r="D4988">
        <f t="shared" ca="1" si="90"/>
        <v>45.84703017652005</v>
      </c>
    </row>
    <row r="4989" spans="4:4" x14ac:dyDescent="0.25">
      <c r="D4989">
        <f t="shared" ca="1" si="90"/>
        <v>53.648919541664476</v>
      </c>
    </row>
    <row r="4990" spans="4:4" x14ac:dyDescent="0.25">
      <c r="D4990">
        <f t="shared" ca="1" si="90"/>
        <v>53.036243420322826</v>
      </c>
    </row>
    <row r="4991" spans="4:4" x14ac:dyDescent="0.25">
      <c r="D4991">
        <f t="shared" ca="1" si="90"/>
        <v>47.727697861195132</v>
      </c>
    </row>
    <row r="4992" spans="4:4" x14ac:dyDescent="0.25">
      <c r="D4992">
        <f t="shared" ca="1" si="90"/>
        <v>47.178253418400644</v>
      </c>
    </row>
    <row r="4993" spans="4:4" x14ac:dyDescent="0.25">
      <c r="D4993">
        <f t="shared" ca="1" si="90"/>
        <v>31.744004198913192</v>
      </c>
    </row>
    <row r="4994" spans="4:4" x14ac:dyDescent="0.25">
      <c r="D4994">
        <f t="shared" ca="1" si="90"/>
        <v>48.603306092152984</v>
      </c>
    </row>
    <row r="4995" spans="4:4" x14ac:dyDescent="0.25">
      <c r="D4995">
        <f t="shared" ref="D4995:D5000" ca="1" si="91">_xlfn.T.INV(RAND(),25)*$G$3+$F$3</f>
        <v>54.778036282140242</v>
      </c>
    </row>
    <row r="4996" spans="4:4" x14ac:dyDescent="0.25">
      <c r="D4996">
        <f t="shared" ca="1" si="91"/>
        <v>45.245165297524018</v>
      </c>
    </row>
    <row r="4997" spans="4:4" x14ac:dyDescent="0.25">
      <c r="D4997">
        <f t="shared" ca="1" si="91"/>
        <v>43.494529547588485</v>
      </c>
    </row>
    <row r="4998" spans="4:4" x14ac:dyDescent="0.25">
      <c r="D4998">
        <f t="shared" ca="1" si="91"/>
        <v>46.730921772068271</v>
      </c>
    </row>
    <row r="4999" spans="4:4" x14ac:dyDescent="0.25">
      <c r="D4999">
        <f t="shared" ca="1" si="91"/>
        <v>48.763759092652563</v>
      </c>
    </row>
    <row r="5000" spans="4:4" x14ac:dyDescent="0.25">
      <c r="D5000">
        <f t="shared" ca="1" si="91"/>
        <v>53.118115495559962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04B8E-E34F-43DF-8A98-96096E5DFC6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Historical Trends</vt:lpstr>
      <vt:lpstr>Polling Correlations - ALP</vt:lpstr>
      <vt:lpstr>Polling Correlations - LNP</vt:lpstr>
      <vt:lpstr>Polling Correlations - GRN</vt:lpstr>
      <vt:lpstr>Polling Correlations - xOTH</vt:lpstr>
      <vt:lpstr>Polling Correlations - OTH</vt:lpstr>
      <vt:lpstr>Polling Correlations - Misc</vt:lpstr>
      <vt:lpstr>Results Distribution Analysis</vt:lpstr>
      <vt:lpstr>Simulated Lines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</dc:creator>
  <cp:lastModifiedBy>danny</cp:lastModifiedBy>
  <dcterms:created xsi:type="dcterms:W3CDTF">2015-06-05T18:17:20Z</dcterms:created>
  <dcterms:modified xsi:type="dcterms:W3CDTF">2021-01-12T10:14:26Z</dcterms:modified>
</cp:coreProperties>
</file>