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jhir\source\repos\Polling Analyser\"/>
    </mc:Choice>
  </mc:AlternateContent>
  <xr:revisionPtr revIDLastSave="0" documentId="13_ncr:1_{76B0BD15-C827-4083-A5B0-B4CCBC46AFC6}" xr6:coauthVersionLast="47" xr6:coauthVersionMax="47" xr10:uidLastSave="{00000000-0000-0000-0000-000000000000}"/>
  <bookViews>
    <workbookView xWindow="17385" yWindow="4005" windowWidth="28800" windowHeight="15435" xr2:uid="{00000000-000D-0000-FFFF-FFFF00000000}"/>
  </bookViews>
  <sheets>
    <sheet name="Calc" sheetId="1" r:id="rId1"/>
    <sheet name="Archiv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  <c r="C26" i="1" l="1"/>
  <c r="D26" i="1"/>
  <c r="E26" i="1"/>
  <c r="F26" i="1"/>
  <c r="G26" i="1"/>
  <c r="C21" i="1"/>
  <c r="G20" i="1"/>
  <c r="F20" i="1"/>
  <c r="E20" i="1"/>
  <c r="D20" i="1"/>
  <c r="C20" i="1"/>
  <c r="G19" i="1"/>
  <c r="F19" i="1"/>
  <c r="E19" i="1"/>
  <c r="D19" i="1"/>
  <c r="C19" i="1"/>
  <c r="C28" i="1" s="1"/>
  <c r="Q6" i="1"/>
  <c r="A37" i="1"/>
  <c r="A36" i="1"/>
  <c r="G25" i="1"/>
  <c r="F25" i="1"/>
  <c r="E25" i="1"/>
  <c r="D25" i="1"/>
  <c r="C25" i="1"/>
  <c r="G24" i="1"/>
  <c r="F24" i="1"/>
  <c r="E24" i="1"/>
  <c r="D24" i="1"/>
  <c r="C24" i="1"/>
  <c r="K19" i="1"/>
  <c r="J19" i="1"/>
  <c r="L20" i="1"/>
  <c r="Q17" i="1"/>
  <c r="H22" i="1"/>
  <c r="H23" i="1"/>
  <c r="D21" i="1"/>
  <c r="E21" i="1"/>
  <c r="C22" i="1"/>
  <c r="D22" i="1"/>
  <c r="E22" i="1"/>
  <c r="C23" i="1"/>
  <c r="D23" i="1"/>
  <c r="E23" i="1"/>
  <c r="C18" i="1"/>
  <c r="D18" i="1"/>
  <c r="E18" i="1"/>
  <c r="F18" i="1"/>
  <c r="G18" i="1"/>
  <c r="D17" i="1"/>
  <c r="E17" i="1"/>
  <c r="F17" i="1"/>
  <c r="G17" i="1"/>
  <c r="C17" i="1"/>
  <c r="D28" i="1" l="1"/>
  <c r="D29" i="1" s="1"/>
  <c r="E28" i="1"/>
  <c r="E29" i="1" s="1"/>
  <c r="H26" i="1"/>
  <c r="H21" i="1"/>
  <c r="H19" i="1"/>
  <c r="H20" i="1"/>
  <c r="H25" i="1"/>
  <c r="C29" i="1"/>
  <c r="H24" i="1"/>
  <c r="B37" i="1"/>
  <c r="H18" i="1"/>
  <c r="H17" i="1"/>
  <c r="F23" i="1" l="1"/>
  <c r="G21" i="1"/>
  <c r="F22" i="1"/>
  <c r="G23" i="1"/>
  <c r="F21" i="1"/>
  <c r="G22" i="1"/>
  <c r="F28" i="1" l="1"/>
  <c r="F29" i="1" s="1"/>
  <c r="G28" i="1"/>
  <c r="G29" i="1" s="1"/>
</calcChain>
</file>

<file path=xl/sharedStrings.xml><?xml version="1.0" encoding="utf-8"?>
<sst xmlns="http://schemas.openxmlformats.org/spreadsheetml/2006/main" count="72" uniqueCount="37">
  <si>
    <t>NSW</t>
  </si>
  <si>
    <t>VIC</t>
  </si>
  <si>
    <t>QLD</t>
  </si>
  <si>
    <t>SA</t>
  </si>
  <si>
    <t>WA</t>
  </si>
  <si>
    <t>National</t>
  </si>
  <si>
    <t>SA+WA+etc</t>
  </si>
  <si>
    <t>Latest Newspoll -&gt;</t>
  </si>
  <si>
    <t>Latest Morgan -&gt;</t>
  </si>
  <si>
    <t>Second Morgan -&gt;</t>
  </si>
  <si>
    <t>Third Morgan -&gt;</t>
  </si>
  <si>
    <t>ResolvePM -&gt;</t>
  </si>
  <si>
    <t>ResolvePM 2PP conversions</t>
  </si>
  <si>
    <t>LNP</t>
  </si>
  <si>
    <t>ALP</t>
  </si>
  <si>
    <t>GRN</t>
  </si>
  <si>
    <t>ONP</t>
  </si>
  <si>
    <t>IND</t>
  </si>
  <si>
    <t>OTH</t>
  </si>
  <si>
    <t>Second ResolvePM -&gt;</t>
  </si>
  <si>
    <t>Third ResolvePM -&gt;</t>
  </si>
  <si>
    <t>Raw numbers</t>
  </si>
  <si>
    <t>Swing deviations</t>
  </si>
  <si>
    <t>Previous election results</t>
  </si>
  <si>
    <t>Newspoll Jul-Sep 2021</t>
  </si>
  <si>
    <t>Morgan 2021-09-18 to 2021-09-26</t>
  </si>
  <si>
    <t>Morgan 2021-10-02 to 2021-10-10</t>
  </si>
  <si>
    <t>Morgan 2021-10-16 to 2021-10-24</t>
  </si>
  <si>
    <t>ResolvePM Sep 2021</t>
  </si>
  <si>
    <t>ResolvePM Aug 2021</t>
  </si>
  <si>
    <t>ResolvePM Jul 2021</t>
  </si>
  <si>
    <t>Latest Essential -&gt;</t>
  </si>
  <si>
    <t>Second Essential -&gt;</t>
  </si>
  <si>
    <t>Latest Essential (3 avg.) -&gt;</t>
  </si>
  <si>
    <t>Second Essential (3 avg.) -&gt;</t>
  </si>
  <si>
    <t>UAP</t>
  </si>
  <si>
    <t>First Ipsos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</si>
</sst>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workbookViewId="0">
      <selection activeCell="H6" sqref="H6"/>
    </sheetView>
  </sheetViews>
  <sheetFormatPr defaultRowHeight="15" x14ac:dyDescent="0.25"/>
  <cols>
    <col min="1" max="1" width="27.28515625" customWidth="1"/>
    <col min="8" max="8" width="11.42578125" customWidth="1"/>
  </cols>
  <sheetData>
    <row r="1" spans="1:17" x14ac:dyDescent="0.25">
      <c r="A1" s="1" t="s">
        <v>23</v>
      </c>
      <c r="B1" t="s">
        <v>5</v>
      </c>
      <c r="C1" t="s">
        <v>0</v>
      </c>
      <c r="D1" t="s">
        <v>1</v>
      </c>
      <c r="E1" t="s">
        <v>2</v>
      </c>
      <c r="F1" t="s">
        <v>4</v>
      </c>
      <c r="G1" t="s">
        <v>3</v>
      </c>
      <c r="H1" t="s">
        <v>6</v>
      </c>
      <c r="J1" s="3" t="s">
        <v>12</v>
      </c>
      <c r="K1" s="3"/>
      <c r="L1" s="3"/>
    </row>
    <row r="2" spans="1:17" x14ac:dyDescent="0.25">
      <c r="B2">
        <v>48.47</v>
      </c>
      <c r="C2">
        <v>48.22</v>
      </c>
      <c r="D2">
        <v>53.14</v>
      </c>
      <c r="E2">
        <v>41.56</v>
      </c>
      <c r="F2">
        <v>44.45</v>
      </c>
      <c r="G2">
        <v>50.71</v>
      </c>
      <c r="H2">
        <v>49.554498799658013</v>
      </c>
      <c r="J2" t="s">
        <v>13</v>
      </c>
      <c r="K2" t="s">
        <v>14</v>
      </c>
      <c r="L2" t="s">
        <v>15</v>
      </c>
      <c r="M2" t="s">
        <v>16</v>
      </c>
      <c r="N2" t="s">
        <v>35</v>
      </c>
      <c r="O2" t="s">
        <v>17</v>
      </c>
      <c r="P2" t="s">
        <v>18</v>
      </c>
    </row>
    <row r="3" spans="1:17" x14ac:dyDescent="0.25">
      <c r="J3">
        <v>38.71</v>
      </c>
      <c r="K3">
        <v>37.630000000000003</v>
      </c>
      <c r="L3">
        <v>9.68</v>
      </c>
      <c r="M3">
        <v>4.3</v>
      </c>
      <c r="N3">
        <v>3.23</v>
      </c>
      <c r="O3">
        <v>0</v>
      </c>
      <c r="P3">
        <v>6.45</v>
      </c>
      <c r="Q3">
        <f>(K3+L3*0.822+M3*0.348+N3*0.352+(O3+P3)*(0.507))*100/SUM(J3:P3)</f>
        <v>51.490469999999995</v>
      </c>
    </row>
    <row r="4" spans="1:17" x14ac:dyDescent="0.25">
      <c r="A4" s="1" t="s">
        <v>21</v>
      </c>
      <c r="B4" t="s">
        <v>5</v>
      </c>
      <c r="C4" t="s">
        <v>0</v>
      </c>
      <c r="D4" t="s">
        <v>1</v>
      </c>
      <c r="E4" t="s">
        <v>2</v>
      </c>
      <c r="F4" t="s">
        <v>4</v>
      </c>
      <c r="G4" t="s">
        <v>3</v>
      </c>
      <c r="H4" t="s">
        <v>6</v>
      </c>
    </row>
    <row r="5" spans="1:17" x14ac:dyDescent="0.25">
      <c r="A5" t="s">
        <v>7</v>
      </c>
      <c r="B5">
        <v>51.9</v>
      </c>
      <c r="C5">
        <v>52.38</v>
      </c>
      <c r="D5">
        <v>53.39</v>
      </c>
      <c r="E5">
        <v>46.85</v>
      </c>
      <c r="F5">
        <v>51.64</v>
      </c>
      <c r="G5">
        <v>53.69</v>
      </c>
      <c r="J5" t="s">
        <v>13</v>
      </c>
      <c r="K5" t="s">
        <v>14</v>
      </c>
      <c r="L5" t="s">
        <v>15</v>
      </c>
      <c r="M5" t="s">
        <v>16</v>
      </c>
      <c r="O5" t="s">
        <v>17</v>
      </c>
      <c r="P5" t="s">
        <v>18</v>
      </c>
    </row>
    <row r="6" spans="1:17" x14ac:dyDescent="0.25">
      <c r="A6" t="s">
        <v>8</v>
      </c>
      <c r="B6">
        <v>53</v>
      </c>
      <c r="C6">
        <v>46.5</v>
      </c>
      <c r="D6">
        <v>60.5</v>
      </c>
      <c r="E6">
        <v>50</v>
      </c>
      <c r="F6">
        <v>50.5</v>
      </c>
      <c r="G6">
        <v>60.5</v>
      </c>
      <c r="J6">
        <v>29.951599999999999</v>
      </c>
      <c r="K6">
        <v>31.023900000000001</v>
      </c>
      <c r="L6">
        <v>4.0398100000000001</v>
      </c>
      <c r="M6">
        <v>0</v>
      </c>
      <c r="O6">
        <v>0</v>
      </c>
      <c r="P6">
        <v>27.469200000000001</v>
      </c>
      <c r="Q6">
        <f>K6+L6*0.83+M6*0.348+(O6+P6)*(0.44)</f>
        <v>46.4633903</v>
      </c>
    </row>
    <row r="7" spans="1:17" x14ac:dyDescent="0.25">
      <c r="A7" t="s">
        <v>9</v>
      </c>
      <c r="B7">
        <v>53</v>
      </c>
      <c r="C7">
        <v>52</v>
      </c>
      <c r="D7">
        <v>57</v>
      </c>
      <c r="E7">
        <v>47</v>
      </c>
      <c r="F7">
        <v>54.5</v>
      </c>
      <c r="G7">
        <v>49</v>
      </c>
    </row>
    <row r="8" spans="1:17" x14ac:dyDescent="0.25">
      <c r="A8" t="s">
        <v>10</v>
      </c>
      <c r="B8">
        <v>54.5</v>
      </c>
      <c r="C8">
        <v>51.5</v>
      </c>
      <c r="D8">
        <v>61</v>
      </c>
      <c r="E8">
        <v>46.5</v>
      </c>
      <c r="F8">
        <v>57.5</v>
      </c>
      <c r="G8">
        <v>62.5</v>
      </c>
    </row>
    <row r="9" spans="1:17" x14ac:dyDescent="0.25">
      <c r="A9" t="s">
        <v>11</v>
      </c>
      <c r="B9">
        <v>51.589898989898984</v>
      </c>
      <c r="C9">
        <v>47.675510204081633</v>
      </c>
      <c r="D9">
        <v>52.043999999999997</v>
      </c>
      <c r="E9">
        <v>51.463000000000001</v>
      </c>
      <c r="H9">
        <v>56.785858585858591</v>
      </c>
    </row>
    <row r="10" spans="1:17" x14ac:dyDescent="0.25">
      <c r="A10" t="s">
        <v>19</v>
      </c>
      <c r="B10">
        <v>53.885999999999996</v>
      </c>
      <c r="C10">
        <v>57.556999999999995</v>
      </c>
      <c r="D10">
        <v>53.905000000000001</v>
      </c>
      <c r="E10">
        <v>47.676000000000002</v>
      </c>
      <c r="H10">
        <v>53.067999999999998</v>
      </c>
    </row>
    <row r="11" spans="1:17" x14ac:dyDescent="0.25">
      <c r="A11" t="s">
        <v>20</v>
      </c>
      <c r="B11">
        <v>52.433000000000007</v>
      </c>
      <c r="C11">
        <v>52.417999999999992</v>
      </c>
      <c r="D11">
        <v>51.266999999999996</v>
      </c>
      <c r="E11">
        <v>51.446999999999996</v>
      </c>
      <c r="H11">
        <v>53.558999999999997</v>
      </c>
    </row>
    <row r="12" spans="1:17" x14ac:dyDescent="0.25">
      <c r="A12" t="s">
        <v>33</v>
      </c>
      <c r="B12">
        <v>51.245551601423493</v>
      </c>
      <c r="C12">
        <v>49.824561403508781</v>
      </c>
      <c r="D12">
        <v>51.798561151079141</v>
      </c>
      <c r="E12">
        <v>50.724637681159415</v>
      </c>
      <c r="F12">
        <v>52.688172043010752</v>
      </c>
      <c r="G12">
        <v>53.125</v>
      </c>
    </row>
    <row r="13" spans="1:17" x14ac:dyDescent="0.25">
      <c r="A13" t="s">
        <v>34</v>
      </c>
      <c r="B13">
        <v>52.499999999999993</v>
      </c>
      <c r="C13">
        <v>49.110320284697515</v>
      </c>
      <c r="D13">
        <v>51.449275362318851</v>
      </c>
      <c r="E13">
        <v>52.158273381294968</v>
      </c>
      <c r="F13">
        <v>53.191489361702125</v>
      </c>
      <c r="G13">
        <v>52.631578947368418</v>
      </c>
    </row>
    <row r="14" spans="1:17" x14ac:dyDescent="0.25">
      <c r="A14" t="s">
        <v>36</v>
      </c>
      <c r="B14">
        <v>55</v>
      </c>
      <c r="C14">
        <v>52</v>
      </c>
      <c r="D14">
        <v>58</v>
      </c>
      <c r="E14">
        <v>50</v>
      </c>
      <c r="F14">
        <v>59</v>
      </c>
      <c r="G14">
        <v>55</v>
      </c>
    </row>
    <row r="16" spans="1:17" x14ac:dyDescent="0.25">
      <c r="A16" s="1" t="s">
        <v>22</v>
      </c>
      <c r="B16" t="s">
        <v>5</v>
      </c>
      <c r="C16" t="s">
        <v>0</v>
      </c>
      <c r="D16" t="s">
        <v>1</v>
      </c>
      <c r="E16" t="s">
        <v>2</v>
      </c>
      <c r="F16" t="s">
        <v>4</v>
      </c>
      <c r="G16" t="s">
        <v>3</v>
      </c>
      <c r="H16" t="s">
        <v>6</v>
      </c>
    </row>
    <row r="17" spans="1:17" x14ac:dyDescent="0.25">
      <c r="A17" t="s">
        <v>7</v>
      </c>
      <c r="C17">
        <f t="shared" ref="C17:G20" si="0">(C5-C$2)-($B5-$B$2)</f>
        <v>0.73000000000000398</v>
      </c>
      <c r="D17">
        <f t="shared" si="0"/>
        <v>-3.1799999999999997</v>
      </c>
      <c r="E17">
        <f t="shared" si="0"/>
        <v>1.8599999999999994</v>
      </c>
      <c r="F17">
        <f t="shared" si="0"/>
        <v>3.759999999999998</v>
      </c>
      <c r="G17">
        <f t="shared" si="0"/>
        <v>-0.45000000000000284</v>
      </c>
      <c r="H17" s="2">
        <f>F17*0.439183+G17*0.336042</f>
        <v>1.5001091799999982</v>
      </c>
      <c r="J17">
        <v>44.45</v>
      </c>
      <c r="K17">
        <v>50.71</v>
      </c>
      <c r="L17">
        <v>55.96</v>
      </c>
      <c r="M17">
        <v>61.61</v>
      </c>
      <c r="O17">
        <v>54.2</v>
      </c>
      <c r="Q17">
        <f>(J17*J18+K17*K18+L17*L18+M17*M18+O17*O18)/SUM(J18:O18)</f>
        <v>49.554498799658013</v>
      </c>
    </row>
    <row r="18" spans="1:17" x14ac:dyDescent="0.25">
      <c r="A18" t="s">
        <v>8</v>
      </c>
      <c r="C18">
        <f t="shared" si="0"/>
        <v>-6.25</v>
      </c>
      <c r="D18">
        <f t="shared" si="0"/>
        <v>2.8299999999999983</v>
      </c>
      <c r="E18">
        <f t="shared" si="0"/>
        <v>3.9099999999999966</v>
      </c>
      <c r="F18">
        <f t="shared" si="0"/>
        <v>1.519999999999996</v>
      </c>
      <c r="G18">
        <f t="shared" si="0"/>
        <v>5.259999999999998</v>
      </c>
      <c r="H18" s="2">
        <f>F18*0.439183+G18*0.336042</f>
        <v>2.4351390799999977</v>
      </c>
      <c r="J18">
        <v>1401874</v>
      </c>
      <c r="K18">
        <v>1072648</v>
      </c>
      <c r="L18">
        <v>347992</v>
      </c>
      <c r="M18">
        <v>265975</v>
      </c>
      <c r="O18">
        <v>103518</v>
      </c>
    </row>
    <row r="19" spans="1:17" x14ac:dyDescent="0.25">
      <c r="A19" t="s">
        <v>9</v>
      </c>
      <c r="C19">
        <f t="shared" si="0"/>
        <v>-0.75</v>
      </c>
      <c r="D19">
        <f t="shared" si="0"/>
        <v>-0.67000000000000171</v>
      </c>
      <c r="E19">
        <f t="shared" si="0"/>
        <v>0.90999999999999659</v>
      </c>
      <c r="F19">
        <f t="shared" si="0"/>
        <v>5.519999999999996</v>
      </c>
      <c r="G19">
        <f t="shared" si="0"/>
        <v>-6.240000000000002</v>
      </c>
      <c r="H19" s="2">
        <f>F19*0.439183+G19*0.336042</f>
        <v>0.32738807999999731</v>
      </c>
      <c r="J19">
        <f>J18/SUM($J18:$O18)</f>
        <v>0.43918262084011722</v>
      </c>
      <c r="K19">
        <f>K18/SUM($J18:$O18)</f>
        <v>0.3360418695823662</v>
      </c>
    </row>
    <row r="20" spans="1:17" x14ac:dyDescent="0.25">
      <c r="A20" t="s">
        <v>10</v>
      </c>
      <c r="C20">
        <f t="shared" si="0"/>
        <v>-2.75</v>
      </c>
      <c r="D20">
        <f t="shared" si="0"/>
        <v>1.8299999999999983</v>
      </c>
      <c r="E20">
        <f t="shared" si="0"/>
        <v>-1.0900000000000034</v>
      </c>
      <c r="F20">
        <f t="shared" si="0"/>
        <v>7.019999999999996</v>
      </c>
      <c r="G20">
        <f t="shared" si="0"/>
        <v>5.759999999999998</v>
      </c>
      <c r="H20" s="2">
        <f>F20*0.439183+G20*0.336042</f>
        <v>5.0186665799999979</v>
      </c>
      <c r="L20">
        <f>(J18+K18)/SUM(J18:O18)</f>
        <v>0.77522449042248343</v>
      </c>
    </row>
    <row r="21" spans="1:17" x14ac:dyDescent="0.25">
      <c r="A21" t="s">
        <v>11</v>
      </c>
      <c r="C21">
        <f t="shared" ref="C21:E26" si="1">(C9-C$2)-($B9-$B$2)</f>
        <v>-3.6643887858173514</v>
      </c>
      <c r="D21">
        <f t="shared" si="1"/>
        <v>-4.2158989898989887</v>
      </c>
      <c r="E21">
        <f t="shared" si="1"/>
        <v>6.7831010101010136</v>
      </c>
      <c r="F21" s="2">
        <f t="shared" ref="F21:G23" si="2">AVERAGE(F$17,F$17,F$17,F$17,F$17,F$17,F$18,F$19,F$20)+($H21-AVERAGE($H$17,$H$17,$H$17,$H$17,$H$17,$H$17,$H$18,$H$19,$H$20))</f>
        <v>6.3156998163015921</v>
      </c>
      <c r="G21" s="2">
        <f t="shared" si="2"/>
        <v>2.4779220385238148</v>
      </c>
      <c r="H21">
        <f>(H9-H$2)-($B9-$B$2)</f>
        <v>4.1114607963015928</v>
      </c>
    </row>
    <row r="22" spans="1:17" x14ac:dyDescent="0.25">
      <c r="A22" t="s">
        <v>19</v>
      </c>
      <c r="C22">
        <f t="shared" si="1"/>
        <v>3.9209999999999994</v>
      </c>
      <c r="D22">
        <f t="shared" si="1"/>
        <v>-4.6509999999999962</v>
      </c>
      <c r="E22">
        <f t="shared" si="1"/>
        <v>0.70000000000000284</v>
      </c>
      <c r="F22" s="2">
        <f t="shared" si="2"/>
        <v>0.30174022034198744</v>
      </c>
      <c r="G22" s="2">
        <f t="shared" si="2"/>
        <v>-3.5360375574357903</v>
      </c>
      <c r="H22">
        <f>(H10-H$2)-($B10-$B$2)</f>
        <v>-1.9024987996580123</v>
      </c>
    </row>
    <row r="23" spans="1:17" x14ac:dyDescent="0.25">
      <c r="A23" t="s">
        <v>20</v>
      </c>
      <c r="C23">
        <f t="shared" si="1"/>
        <v>0.23499999999998522</v>
      </c>
      <c r="D23">
        <f t="shared" si="1"/>
        <v>-5.8360000000000127</v>
      </c>
      <c r="E23">
        <f t="shared" si="1"/>
        <v>5.9239999999999853</v>
      </c>
      <c r="F23" s="2">
        <f t="shared" si="2"/>
        <v>2.2457402203419758</v>
      </c>
      <c r="G23" s="2">
        <f t="shared" si="2"/>
        <v>-1.5920375574358019</v>
      </c>
      <c r="H23">
        <f>(H11-H$2)-($B11-$B$2)</f>
        <v>4.150120034197613E-2</v>
      </c>
    </row>
    <row r="24" spans="1:17" x14ac:dyDescent="0.25">
      <c r="A24" t="s">
        <v>31</v>
      </c>
      <c r="C24">
        <f t="shared" si="1"/>
        <v>-1.1709901979147119</v>
      </c>
      <c r="D24">
        <f t="shared" si="1"/>
        <v>-4.1169904503443533</v>
      </c>
      <c r="E24">
        <f t="shared" si="1"/>
        <v>6.3890860797359181</v>
      </c>
      <c r="F24">
        <f t="shared" ref="F24:G26" si="3">(F12-F$2)-($B12-$B$2)</f>
        <v>5.462620441587255</v>
      </c>
      <c r="G24">
        <f t="shared" si="3"/>
        <v>-0.36055160142349507</v>
      </c>
      <c r="H24" s="2">
        <f>F24*0.439183+G24*0.336042</f>
        <v>2.2779295521520613</v>
      </c>
    </row>
    <row r="25" spans="1:17" x14ac:dyDescent="0.25">
      <c r="A25" t="s">
        <v>32</v>
      </c>
      <c r="C25">
        <f t="shared" si="1"/>
        <v>-3.1396797153024778</v>
      </c>
      <c r="D25">
        <f t="shared" si="1"/>
        <v>-5.720724637681144</v>
      </c>
      <c r="E25">
        <f t="shared" si="1"/>
        <v>6.5682733812949721</v>
      </c>
      <c r="F25">
        <f t="shared" si="3"/>
        <v>4.7114893617021281</v>
      </c>
      <c r="G25">
        <f t="shared" si="3"/>
        <v>-2.1084210526315772</v>
      </c>
      <c r="H25" s="2">
        <f>F25*0.439183+G25*0.336042</f>
        <v>1.3606880049720051</v>
      </c>
    </row>
    <row r="26" spans="1:17" x14ac:dyDescent="0.25">
      <c r="A26" t="s">
        <v>36</v>
      </c>
      <c r="C26">
        <f t="shared" si="1"/>
        <v>-2.75</v>
      </c>
      <c r="D26">
        <f t="shared" si="1"/>
        <v>-1.6700000000000017</v>
      </c>
      <c r="E26">
        <f t="shared" si="1"/>
        <v>1.9099999999999966</v>
      </c>
      <c r="F26">
        <f t="shared" si="3"/>
        <v>8.019999999999996</v>
      </c>
      <c r="G26">
        <f t="shared" si="3"/>
        <v>-2.240000000000002</v>
      </c>
      <c r="H26" s="2">
        <f>F26*0.439183+G26*0.336042</f>
        <v>2.7695135799999977</v>
      </c>
    </row>
    <row r="28" spans="1:17" x14ac:dyDescent="0.25">
      <c r="C28">
        <f>AVERAGE(C17,C17,AVERAGE(C18,C19,C20),AVERAGE(C21,C22,C23),AVERAGE(C24,C25),AVERAGE(C26,C17,C17,AVERAGE(C18,C19,C20),AVERAGE(C21,C22,C23),AVERAGE(C24,C25),C17,C17,AVERAGE(C18,C19,C20),AVERAGE(C21,C22,C23),AVERAGE(C24,C25)))</f>
        <v>-0.7865005935523266</v>
      </c>
      <c r="D28">
        <f>AVERAGE(D17,D17,AVERAGE(D18,D19,D20),AVERAGE(D21,D22,D23),AVERAGE(D24,D25),AVERAGE(D26,D17,D17,AVERAGE(D18,D19,D20),AVERAGE(D21,D22,D23),AVERAGE(D24,D25),D17,D17,AVERAGE(D18,D19,D20),AVERAGE(D21,D22,D23),AVERAGE(D24,D25)))</f>
        <v>-2.950268338814062</v>
      </c>
      <c r="E28">
        <f>AVERAGE(E17,E17,AVERAGE(E18,E19,E20),AVERAGE(E21,E22,E23),AVERAGE(E24,E25),AVERAGE(E26,E17,E17,AVERAGE(E18,E19,E20),AVERAGE(E21,E22,E23),AVERAGE(E24,E25),E17,E17,AVERAGE(E18,E19,E20),AVERAGE(E21,E22,E23),AVERAGE(E24,E25)))</f>
        <v>3.1629334475829047</v>
      </c>
      <c r="F28">
        <f>AVERAGE(F17,F17,AVERAGE(F18,F19,F20),AVERAGE(F21,F22,F23),AVERAGE(F24,F25),AVERAGE(F26,F17,F17,AVERAGE(F18,F19,F20),AVERAGE(F21,F22,F23),AVERAGE(F24,F25),F17,F17,AVERAGE(F18,F19,F20),AVERAGE(F21,F22,F23),AVERAGE(F24,F25)))</f>
        <v>4.109780224772499</v>
      </c>
      <c r="G28">
        <f>AVERAGE(G17,G17,AVERAGE(G18,G19,G20),AVERAGE(G21,G22,G23),AVERAGE(G24,G25),AVERAGE(G26,G17,G17,AVERAGE(G18,G19,G20),AVERAGE(G21,G22,G23),AVERAGE(G24,G25),G17,G17,AVERAGE(G18,G19,G20),AVERAGE(G21,G22,G23),AVERAGE(G24,G25)))</f>
        <v>-0.31453008457876425</v>
      </c>
    </row>
    <row r="29" spans="1:17" x14ac:dyDescent="0.25">
      <c r="C29">
        <f>48.22+C28</f>
        <v>47.433499406447673</v>
      </c>
      <c r="D29">
        <f>53.14+D28</f>
        <v>50.189731661185938</v>
      </c>
      <c r="E29">
        <f>41.56+E28</f>
        <v>44.722933447582903</v>
      </c>
      <c r="F29">
        <f>44.45+F28</f>
        <v>48.559780224772503</v>
      </c>
      <c r="G29">
        <f>50.71+G28</f>
        <v>50.395469915421238</v>
      </c>
    </row>
    <row r="36" spans="1:2" x14ac:dyDescent="0.25">
      <c r="A36">
        <f>9.26*0.832</f>
        <v>7.7043199999999992</v>
      </c>
    </row>
    <row r="37" spans="1:2" x14ac:dyDescent="0.25">
      <c r="A37">
        <f>20.48*0.619</f>
        <v>12.67712</v>
      </c>
      <c r="B37">
        <f>(A37-A36)/(20.48-9.26)</f>
        <v>0.4432085561497327</v>
      </c>
    </row>
  </sheetData>
  <mergeCells count="1">
    <mergeCell ref="J1:L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CE2E-97B7-4D41-BE0A-1C4179B14DD8}">
  <dimension ref="A1:H8"/>
  <sheetViews>
    <sheetView workbookViewId="0">
      <selection activeCell="F15" sqref="F15"/>
    </sheetView>
  </sheetViews>
  <sheetFormatPr defaultRowHeight="15" x14ac:dyDescent="0.25"/>
  <cols>
    <col min="1" max="1" width="33.85546875" customWidth="1"/>
  </cols>
  <sheetData>
    <row r="1" spans="1:8" x14ac:dyDescent="0.25">
      <c r="B1" t="s">
        <v>5</v>
      </c>
      <c r="C1" t="s">
        <v>0</v>
      </c>
      <c r="D1" t="s">
        <v>1</v>
      </c>
      <c r="E1" t="s">
        <v>2</v>
      </c>
      <c r="F1" t="s">
        <v>4</v>
      </c>
      <c r="G1" t="s">
        <v>3</v>
      </c>
      <c r="H1" t="s">
        <v>6</v>
      </c>
    </row>
    <row r="2" spans="1:8" x14ac:dyDescent="0.25">
      <c r="A2" t="s">
        <v>27</v>
      </c>
      <c r="B2">
        <v>54</v>
      </c>
      <c r="C2">
        <v>55.5</v>
      </c>
      <c r="D2">
        <v>56.5</v>
      </c>
      <c r="E2">
        <v>48.5</v>
      </c>
      <c r="F2">
        <v>55</v>
      </c>
      <c r="G2">
        <v>48.5</v>
      </c>
    </row>
    <row r="3" spans="1:8" x14ac:dyDescent="0.25">
      <c r="A3" t="s">
        <v>26</v>
      </c>
      <c r="B3">
        <v>53</v>
      </c>
      <c r="C3">
        <v>53.5</v>
      </c>
      <c r="D3">
        <v>56</v>
      </c>
      <c r="E3">
        <v>45</v>
      </c>
      <c r="F3">
        <v>55</v>
      </c>
      <c r="G3">
        <v>54.5</v>
      </c>
    </row>
    <row r="4" spans="1:8" x14ac:dyDescent="0.25">
      <c r="A4" t="s">
        <v>28</v>
      </c>
      <c r="B4">
        <v>51.183999999999997</v>
      </c>
      <c r="C4">
        <v>50.647000000000006</v>
      </c>
      <c r="D4">
        <v>52.652999999999999</v>
      </c>
      <c r="E4">
        <v>50.433000000000007</v>
      </c>
      <c r="H4">
        <v>54.046999999999997</v>
      </c>
    </row>
    <row r="5" spans="1:8" x14ac:dyDescent="0.25">
      <c r="A5" t="s">
        <v>24</v>
      </c>
      <c r="B5">
        <v>53</v>
      </c>
      <c r="C5">
        <v>52</v>
      </c>
      <c r="D5">
        <v>58</v>
      </c>
      <c r="E5">
        <v>45</v>
      </c>
      <c r="F5">
        <v>54</v>
      </c>
      <c r="G5">
        <v>53</v>
      </c>
    </row>
    <row r="6" spans="1:8" x14ac:dyDescent="0.25">
      <c r="A6" t="s">
        <v>25</v>
      </c>
      <c r="B6">
        <v>53</v>
      </c>
      <c r="C6">
        <v>53.5</v>
      </c>
      <c r="D6">
        <v>56</v>
      </c>
      <c r="E6">
        <v>45</v>
      </c>
      <c r="F6">
        <v>55</v>
      </c>
      <c r="G6">
        <v>54.5</v>
      </c>
    </row>
    <row r="7" spans="1:8" x14ac:dyDescent="0.25">
      <c r="A7" t="s">
        <v>29</v>
      </c>
      <c r="B7">
        <v>48.724000000000004</v>
      </c>
      <c r="C7">
        <v>47.013999999999996</v>
      </c>
      <c r="D7">
        <v>51.356999999999999</v>
      </c>
      <c r="E7">
        <v>48.769999999999996</v>
      </c>
      <c r="H7">
        <v>49.924999999999997</v>
      </c>
    </row>
    <row r="8" spans="1:8" x14ac:dyDescent="0.25">
      <c r="A8" t="s">
        <v>30</v>
      </c>
      <c r="B8">
        <v>49.150999999999996</v>
      </c>
      <c r="C8">
        <v>49.635999999999996</v>
      </c>
      <c r="D8">
        <v>51.798000000000002</v>
      </c>
      <c r="E8">
        <v>43.37</v>
      </c>
      <c r="H8">
        <v>52.665999999999997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</vt:lpstr>
      <vt:lpstr>Archives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Daniel Hirst</cp:lastModifiedBy>
  <dcterms:created xsi:type="dcterms:W3CDTF">2015-06-05T18:17:20Z</dcterms:created>
  <dcterms:modified xsi:type="dcterms:W3CDTF">2022-06-22T01:56:31Z</dcterms:modified>
</cp:coreProperties>
</file>