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anny\source\repos\Polling Analyser\"/>
    </mc:Choice>
  </mc:AlternateContent>
  <xr:revisionPtr revIDLastSave="0" documentId="8_{C6C797F2-2D9D-4B0C-89C0-0C66016B7D27}" xr6:coauthVersionLast="47" xr6:coauthVersionMax="47" xr10:uidLastSave="{00000000-0000-0000-0000-000000000000}"/>
  <bookViews>
    <workbookView xWindow="1020" yWindow="5415" windowWidth="19800" windowHeight="11475" xr2:uid="{00000000-000D-0000-FFFF-FFFF00000000}"/>
  </bookViews>
  <sheets>
    <sheet name="Calc" sheetId="1" r:id="rId1"/>
    <sheet name="Archives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F19" i="1"/>
  <c r="E19" i="1"/>
  <c r="D19" i="1"/>
  <c r="C19" i="1"/>
  <c r="G18" i="1"/>
  <c r="F18" i="1"/>
  <c r="E18" i="1"/>
  <c r="D18" i="1"/>
  <c r="C18" i="1"/>
  <c r="Q3" i="1"/>
  <c r="Q6" i="1"/>
  <c r="C20" i="1"/>
  <c r="A35" i="1"/>
  <c r="A34" i="1"/>
  <c r="G24" i="1"/>
  <c r="F24" i="1"/>
  <c r="E24" i="1"/>
  <c r="D24" i="1"/>
  <c r="C24" i="1"/>
  <c r="G23" i="1"/>
  <c r="F23" i="1"/>
  <c r="E23" i="1"/>
  <c r="D23" i="1"/>
  <c r="C23" i="1"/>
  <c r="K18" i="1"/>
  <c r="J18" i="1"/>
  <c r="L19" i="1"/>
  <c r="Q16" i="1"/>
  <c r="H21" i="1"/>
  <c r="H22" i="1"/>
  <c r="H20" i="1"/>
  <c r="D20" i="1"/>
  <c r="E20" i="1"/>
  <c r="C21" i="1"/>
  <c r="D21" i="1"/>
  <c r="E21" i="1"/>
  <c r="C22" i="1"/>
  <c r="D22" i="1"/>
  <c r="E22" i="1"/>
  <c r="C17" i="1"/>
  <c r="D17" i="1"/>
  <c r="E17" i="1"/>
  <c r="F17" i="1"/>
  <c r="G17" i="1"/>
  <c r="D16" i="1"/>
  <c r="E16" i="1"/>
  <c r="F16" i="1"/>
  <c r="G16" i="1"/>
  <c r="C16" i="1"/>
  <c r="H18" i="1" l="1"/>
  <c r="H19" i="1"/>
  <c r="H24" i="1"/>
  <c r="E26" i="1"/>
  <c r="E27" i="1" s="1"/>
  <c r="D26" i="1"/>
  <c r="D27" i="1" s="1"/>
  <c r="C26" i="1"/>
  <c r="C27" i="1" s="1"/>
  <c r="H23" i="1"/>
  <c r="B35" i="1"/>
  <c r="H17" i="1"/>
  <c r="H16" i="1"/>
  <c r="F22" i="1" l="1"/>
  <c r="G20" i="1"/>
  <c r="F21" i="1"/>
  <c r="G22" i="1"/>
  <c r="F20" i="1"/>
  <c r="G21" i="1"/>
  <c r="F26" i="1" l="1"/>
  <c r="F27" i="1" s="1"/>
  <c r="G26" i="1"/>
  <c r="G27" i="1" s="1"/>
</calcChain>
</file>

<file path=xl/sharedStrings.xml><?xml version="1.0" encoding="utf-8"?>
<sst xmlns="http://schemas.openxmlformats.org/spreadsheetml/2006/main" count="70" uniqueCount="36">
  <si>
    <t>NSW</t>
  </si>
  <si>
    <t>VIC</t>
  </si>
  <si>
    <t>QLD</t>
  </si>
  <si>
    <t>SA</t>
  </si>
  <si>
    <t>WA</t>
  </si>
  <si>
    <t>National</t>
  </si>
  <si>
    <t>SA+WA+etc</t>
  </si>
  <si>
    <t>Latest Newspoll -&gt;</t>
  </si>
  <si>
    <t>Latest Morgan -&gt;</t>
  </si>
  <si>
    <t>Second Morgan -&gt;</t>
  </si>
  <si>
    <t>Third Morgan -&gt;</t>
  </si>
  <si>
    <t>ResolvePM -&gt;</t>
  </si>
  <si>
    <t>ResolvePM 2PP conversions</t>
  </si>
  <si>
    <t>LNP</t>
  </si>
  <si>
    <t>ALP</t>
  </si>
  <si>
    <t>GRN</t>
  </si>
  <si>
    <t>ONP</t>
  </si>
  <si>
    <t>IND</t>
  </si>
  <si>
    <t>OTH</t>
  </si>
  <si>
    <t>Second ResolvePM -&gt;</t>
  </si>
  <si>
    <t>Third ResolvePM -&gt;</t>
  </si>
  <si>
    <t>Raw numbers</t>
  </si>
  <si>
    <t>Swing deviations</t>
  </si>
  <si>
    <t>Previous election results</t>
  </si>
  <si>
    <t>Newspoll Jul-Sep 2021</t>
  </si>
  <si>
    <t>Morgan 2021-09-18 to 2021-09-26</t>
  </si>
  <si>
    <t>Morgan 2021-10-02 to 2021-10-10</t>
  </si>
  <si>
    <t>Morgan 2021-10-16 to 2021-10-24</t>
  </si>
  <si>
    <t>ResolvePM Sep 2021</t>
  </si>
  <si>
    <t>ResolvePM Aug 2021</t>
  </si>
  <si>
    <t>ResolvePM Jul 2021</t>
  </si>
  <si>
    <t>Latest Essential -&gt;</t>
  </si>
  <si>
    <t>Second Essential -&gt;</t>
  </si>
  <si>
    <t>Latest Essential (3 avg.) -&gt;</t>
  </si>
  <si>
    <t>Second Essential (3 avg.) -&gt;</t>
  </si>
  <si>
    <t>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</si>
</sst>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"/>
  <sheetViews>
    <sheetView tabSelected="1" workbookViewId="0">
      <selection activeCell="I18" sqref="I18"/>
    </sheetView>
  </sheetViews>
  <sheetFormatPr defaultRowHeight="15" x14ac:dyDescent="0.25"/>
  <cols>
    <col min="1" max="1" width="27.28515625" customWidth="1"/>
    <col min="8" max="8" width="11.42578125" customWidth="1"/>
  </cols>
  <sheetData>
    <row r="1" spans="1:17" x14ac:dyDescent="0.25">
      <c r="A1" s="1" t="s">
        <v>23</v>
      </c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  <c r="J1" s="3" t="s">
        <v>12</v>
      </c>
      <c r="K1" s="3"/>
      <c r="L1" s="3"/>
    </row>
    <row r="2" spans="1:17" x14ac:dyDescent="0.25">
      <c r="B2">
        <v>48.47</v>
      </c>
      <c r="C2">
        <v>48.22</v>
      </c>
      <c r="D2">
        <v>53.14</v>
      </c>
      <c r="E2">
        <v>41.56</v>
      </c>
      <c r="F2">
        <v>44.45</v>
      </c>
      <c r="G2">
        <v>50.71</v>
      </c>
      <c r="H2">
        <v>49.554498799658013</v>
      </c>
      <c r="J2" t="s">
        <v>13</v>
      </c>
      <c r="K2" t="s">
        <v>14</v>
      </c>
      <c r="L2" t="s">
        <v>15</v>
      </c>
      <c r="M2" t="s">
        <v>16</v>
      </c>
      <c r="N2" t="s">
        <v>35</v>
      </c>
      <c r="O2" t="s">
        <v>17</v>
      </c>
      <c r="P2" t="s">
        <v>18</v>
      </c>
    </row>
    <row r="3" spans="1:17" x14ac:dyDescent="0.25">
      <c r="J3">
        <v>30</v>
      </c>
      <c r="K3">
        <v>47</v>
      </c>
      <c r="L3">
        <v>9</v>
      </c>
      <c r="M3">
        <v>3</v>
      </c>
      <c r="N3">
        <v>1</v>
      </c>
      <c r="O3">
        <v>8</v>
      </c>
      <c r="P3">
        <v>2</v>
      </c>
      <c r="Q3">
        <f>K3+L3*0.822+M3*0.348+N3*0.352+(O3+P3)*(0.507)</f>
        <v>60.86399999999999</v>
      </c>
    </row>
    <row r="4" spans="1:17" x14ac:dyDescent="0.25">
      <c r="A4" s="1" t="s">
        <v>21</v>
      </c>
      <c r="B4" t="s">
        <v>5</v>
      </c>
      <c r="C4" t="s">
        <v>0</v>
      </c>
      <c r="D4" t="s">
        <v>1</v>
      </c>
      <c r="E4" t="s">
        <v>2</v>
      </c>
      <c r="F4" t="s">
        <v>4</v>
      </c>
      <c r="G4" t="s">
        <v>3</v>
      </c>
      <c r="H4" t="s">
        <v>6</v>
      </c>
    </row>
    <row r="5" spans="1:17" x14ac:dyDescent="0.25">
      <c r="A5" t="s">
        <v>7</v>
      </c>
      <c r="B5">
        <v>55</v>
      </c>
      <c r="C5">
        <v>54</v>
      </c>
      <c r="D5">
        <v>58</v>
      </c>
      <c r="E5">
        <v>46</v>
      </c>
      <c r="F5">
        <v>53</v>
      </c>
      <c r="G5">
        <v>59</v>
      </c>
      <c r="J5" t="s">
        <v>13</v>
      </c>
      <c r="K5" t="s">
        <v>14</v>
      </c>
      <c r="L5" t="s">
        <v>15</v>
      </c>
      <c r="M5" t="s">
        <v>16</v>
      </c>
      <c r="O5" t="s">
        <v>17</v>
      </c>
      <c r="P5" t="s">
        <v>18</v>
      </c>
    </row>
    <row r="6" spans="1:17" x14ac:dyDescent="0.25">
      <c r="A6" t="s">
        <v>8</v>
      </c>
      <c r="B6">
        <v>57</v>
      </c>
      <c r="C6">
        <v>55</v>
      </c>
      <c r="D6">
        <v>58</v>
      </c>
      <c r="E6">
        <v>50.5</v>
      </c>
      <c r="F6">
        <v>63.5</v>
      </c>
      <c r="G6">
        <v>53</v>
      </c>
      <c r="J6">
        <v>29.951599999999999</v>
      </c>
      <c r="K6">
        <v>31.023900000000001</v>
      </c>
      <c r="L6">
        <v>4.0398100000000001</v>
      </c>
      <c r="M6">
        <v>0</v>
      </c>
      <c r="O6">
        <v>0</v>
      </c>
      <c r="P6">
        <v>27.469200000000001</v>
      </c>
      <c r="Q6">
        <f>K6+L6*0.83+M6*0.348+(O6+P6)*(0.44)</f>
        <v>46.4633903</v>
      </c>
    </row>
    <row r="7" spans="1:17" x14ac:dyDescent="0.25">
      <c r="A7" t="s">
        <v>9</v>
      </c>
      <c r="B7">
        <v>57</v>
      </c>
      <c r="C7">
        <v>55</v>
      </c>
      <c r="D7">
        <v>60.5</v>
      </c>
      <c r="E7">
        <v>50.5</v>
      </c>
      <c r="F7">
        <v>59</v>
      </c>
      <c r="G7">
        <v>56</v>
      </c>
    </row>
    <row r="8" spans="1:17" x14ac:dyDescent="0.25">
      <c r="A8" t="s">
        <v>10</v>
      </c>
      <c r="B8">
        <v>55.5</v>
      </c>
      <c r="C8">
        <v>53</v>
      </c>
      <c r="D8">
        <v>60</v>
      </c>
      <c r="E8">
        <v>49</v>
      </c>
      <c r="F8">
        <v>57</v>
      </c>
      <c r="G8">
        <v>63.5</v>
      </c>
    </row>
    <row r="9" spans="1:17" x14ac:dyDescent="0.25">
      <c r="A9" t="s">
        <v>11</v>
      </c>
      <c r="B9">
        <v>54.878</v>
      </c>
      <c r="C9">
        <v>52.726999999999997</v>
      </c>
      <c r="D9">
        <v>53.233999999999995</v>
      </c>
      <c r="E9">
        <v>53.542999999999999</v>
      </c>
      <c r="H9">
        <v>60.86399999999999</v>
      </c>
    </row>
    <row r="10" spans="1:17" x14ac:dyDescent="0.25">
      <c r="A10" t="s">
        <v>19</v>
      </c>
      <c r="B10">
        <v>53.277000000000001</v>
      </c>
      <c r="C10">
        <v>53.266999999999996</v>
      </c>
      <c r="D10">
        <v>53.224000000000004</v>
      </c>
      <c r="E10">
        <v>52.902000000000001</v>
      </c>
      <c r="H10">
        <v>54.402999999999992</v>
      </c>
    </row>
    <row r="11" spans="1:17" x14ac:dyDescent="0.25">
      <c r="A11" t="s">
        <v>20</v>
      </c>
      <c r="B11">
        <v>53.704999999999998</v>
      </c>
      <c r="C11">
        <v>52.332000000000001</v>
      </c>
      <c r="D11">
        <v>58.515999999999998</v>
      </c>
      <c r="E11">
        <v>48.938000000000002</v>
      </c>
      <c r="H11">
        <v>54.055999999999997</v>
      </c>
    </row>
    <row r="12" spans="1:17" x14ac:dyDescent="0.25">
      <c r="A12" t="s">
        <v>33</v>
      </c>
      <c r="B12">
        <v>52.499999999999993</v>
      </c>
      <c r="C12">
        <v>51.236749116607776</v>
      </c>
      <c r="D12">
        <v>51.27272727272728</v>
      </c>
      <c r="E12">
        <v>52.158273381294968</v>
      </c>
      <c r="F12">
        <v>53.191489361702125</v>
      </c>
      <c r="G12">
        <v>52.631578947368418</v>
      </c>
    </row>
    <row r="13" spans="1:17" x14ac:dyDescent="0.25">
      <c r="A13" t="s">
        <v>34</v>
      </c>
      <c r="B13">
        <v>52.142857142857139</v>
      </c>
      <c r="C13">
        <v>49.635036496350367</v>
      </c>
      <c r="D13">
        <v>52.857142857142861</v>
      </c>
      <c r="E13">
        <v>51.957295373665481</v>
      </c>
      <c r="F13">
        <v>54.255319148936174</v>
      </c>
      <c r="G13">
        <v>50</v>
      </c>
    </row>
    <row r="15" spans="1:17" x14ac:dyDescent="0.25">
      <c r="A15" s="1" t="s">
        <v>22</v>
      </c>
      <c r="B15" t="s">
        <v>5</v>
      </c>
      <c r="C15" t="s">
        <v>0</v>
      </c>
      <c r="D15" t="s">
        <v>1</v>
      </c>
      <c r="E15" t="s">
        <v>2</v>
      </c>
      <c r="F15" t="s">
        <v>4</v>
      </c>
      <c r="G15" t="s">
        <v>3</v>
      </c>
      <c r="H15" t="s">
        <v>6</v>
      </c>
    </row>
    <row r="16" spans="1:17" x14ac:dyDescent="0.25">
      <c r="A16" t="s">
        <v>7</v>
      </c>
      <c r="C16">
        <f t="shared" ref="C16:G19" si="0">(C5-C$2)-($B5-$B$2)</f>
        <v>-0.75</v>
      </c>
      <c r="D16">
        <f t="shared" si="0"/>
        <v>-1.6700000000000017</v>
      </c>
      <c r="E16">
        <f t="shared" si="0"/>
        <v>-2.0900000000000034</v>
      </c>
      <c r="F16">
        <f t="shared" si="0"/>
        <v>2.019999999999996</v>
      </c>
      <c r="G16">
        <f t="shared" si="0"/>
        <v>1.759999999999998</v>
      </c>
      <c r="H16" s="2">
        <f>F16*0.439183+G16*0.336042</f>
        <v>1.4785835799999978</v>
      </c>
      <c r="J16">
        <v>44.45</v>
      </c>
      <c r="K16">
        <v>50.71</v>
      </c>
      <c r="L16">
        <v>55.96</v>
      </c>
      <c r="M16">
        <v>61.61</v>
      </c>
      <c r="O16">
        <v>54.2</v>
      </c>
      <c r="Q16">
        <f>(J16*J17+K16*K17+L16*L17+M16*M17+O16*O17)/SUM(J17:O17)</f>
        <v>49.554498799658013</v>
      </c>
    </row>
    <row r="17" spans="1:15" x14ac:dyDescent="0.25">
      <c r="A17" t="s">
        <v>8</v>
      </c>
      <c r="C17">
        <f t="shared" si="0"/>
        <v>-1.75</v>
      </c>
      <c r="D17">
        <f t="shared" si="0"/>
        <v>-3.6700000000000017</v>
      </c>
      <c r="E17">
        <f t="shared" si="0"/>
        <v>0.40999999999999659</v>
      </c>
      <c r="F17">
        <f t="shared" si="0"/>
        <v>10.519999999999996</v>
      </c>
      <c r="G17">
        <f t="shared" si="0"/>
        <v>-6.240000000000002</v>
      </c>
      <c r="H17" s="2">
        <f>F17*0.439183+G17*0.336042</f>
        <v>2.5233030799999976</v>
      </c>
      <c r="J17">
        <v>1401874</v>
      </c>
      <c r="K17">
        <v>1072648</v>
      </c>
      <c r="L17">
        <v>347992</v>
      </c>
      <c r="M17">
        <v>265975</v>
      </c>
      <c r="O17">
        <v>103518</v>
      </c>
    </row>
    <row r="18" spans="1:15" x14ac:dyDescent="0.25">
      <c r="A18" t="s">
        <v>9</v>
      </c>
      <c r="C18">
        <f t="shared" si="0"/>
        <v>-1.75</v>
      </c>
      <c r="D18">
        <f t="shared" si="0"/>
        <v>-1.1700000000000017</v>
      </c>
      <c r="E18">
        <f t="shared" si="0"/>
        <v>0.40999999999999659</v>
      </c>
      <c r="F18">
        <f t="shared" si="0"/>
        <v>6.019999999999996</v>
      </c>
      <c r="G18">
        <f t="shared" si="0"/>
        <v>-3.240000000000002</v>
      </c>
      <c r="H18" s="2">
        <f>F18*0.439183+G18*0.336042</f>
        <v>1.5551055799999975</v>
      </c>
      <c r="J18">
        <f>J17/SUM($J17:$O17)</f>
        <v>0.43918262084011722</v>
      </c>
      <c r="K18">
        <f>K17/SUM($J17:$O17)</f>
        <v>0.3360418695823662</v>
      </c>
    </row>
    <row r="19" spans="1:15" x14ac:dyDescent="0.25">
      <c r="A19" t="s">
        <v>10</v>
      </c>
      <c r="C19">
        <f t="shared" si="0"/>
        <v>-2.25</v>
      </c>
      <c r="D19">
        <f t="shared" si="0"/>
        <v>-0.17000000000000171</v>
      </c>
      <c r="E19">
        <f t="shared" si="0"/>
        <v>0.40999999999999659</v>
      </c>
      <c r="F19">
        <f t="shared" si="0"/>
        <v>5.519999999999996</v>
      </c>
      <c r="G19">
        <f t="shared" si="0"/>
        <v>5.759999999999998</v>
      </c>
      <c r="H19" s="2">
        <f>F19*0.439183+G19*0.336042</f>
        <v>4.3598920799999981</v>
      </c>
      <c r="L19">
        <f>(J17+K17)/SUM(J17:O17)</f>
        <v>0.77522449042248343</v>
      </c>
    </row>
    <row r="20" spans="1:15" x14ac:dyDescent="0.25">
      <c r="A20" t="s">
        <v>11</v>
      </c>
      <c r="C20">
        <f t="shared" ref="C20:E24" si="1">(C9-C$2)-($B9-$B$2)</f>
        <v>-1.9010000000000034</v>
      </c>
      <c r="D20">
        <f t="shared" si="1"/>
        <v>-6.3140000000000072</v>
      </c>
      <c r="E20">
        <f t="shared" si="1"/>
        <v>5.5749999999999957</v>
      </c>
      <c r="F20" s="2">
        <f t="shared" ref="F20:G22" si="2">AVERAGE(F$16,F$16,F$16,F$16,F$16,F$16,F$17,F$18,F$19)+($H20-AVERAGE($H$16,$H$16,$H$16,$H$16,$H$16,$H$16,$H$17,$H$18,$H$19))</f>
        <v>6.7759676203419739</v>
      </c>
      <c r="G20" s="2">
        <f t="shared" si="2"/>
        <v>3.7381898425641982</v>
      </c>
      <c r="H20">
        <f>(H9-H$2)-($B9-$B$2)</f>
        <v>4.9015012003419756</v>
      </c>
    </row>
    <row r="21" spans="1:15" x14ac:dyDescent="0.25">
      <c r="A21" t="s">
        <v>19</v>
      </c>
      <c r="C21">
        <f t="shared" si="1"/>
        <v>0.23999999999999488</v>
      </c>
      <c r="D21">
        <f t="shared" si="1"/>
        <v>-4.722999999999999</v>
      </c>
      <c r="E21">
        <f t="shared" si="1"/>
        <v>6.5349999999999966</v>
      </c>
      <c r="F21" s="2">
        <f t="shared" si="2"/>
        <v>1.9159676203419742</v>
      </c>
      <c r="G21" s="2">
        <f t="shared" si="2"/>
        <v>-1.1218101574358015</v>
      </c>
      <c r="H21">
        <f>(H10-H$2)-($B10-$B$2)</f>
        <v>4.150120034197613E-2</v>
      </c>
    </row>
    <row r="22" spans="1:15" x14ac:dyDescent="0.25">
      <c r="A22" t="s">
        <v>20</v>
      </c>
      <c r="C22">
        <f t="shared" si="1"/>
        <v>-1.1229999999999976</v>
      </c>
      <c r="D22">
        <f t="shared" si="1"/>
        <v>0.14099999999999824</v>
      </c>
      <c r="E22">
        <f t="shared" si="1"/>
        <v>2.1430000000000007</v>
      </c>
      <c r="F22" s="2">
        <f t="shared" si="2"/>
        <v>1.140967620341983</v>
      </c>
      <c r="G22" s="2">
        <f t="shared" si="2"/>
        <v>-1.8968101574357927</v>
      </c>
      <c r="H22">
        <f>(H11-H$2)-($B11-$B$2)</f>
        <v>-0.73349879965801534</v>
      </c>
    </row>
    <row r="23" spans="1:15" x14ac:dyDescent="0.25">
      <c r="A23" t="s">
        <v>31</v>
      </c>
      <c r="C23">
        <f t="shared" si="1"/>
        <v>-1.0132508833922174</v>
      </c>
      <c r="D23">
        <f t="shared" si="1"/>
        <v>-5.8972727272727141</v>
      </c>
      <c r="E23">
        <f t="shared" si="1"/>
        <v>6.5682733812949721</v>
      </c>
      <c r="F23">
        <f>(F12-F$2)-($B12-$B$2)</f>
        <v>4.7114893617021281</v>
      </c>
      <c r="G23">
        <f>(G12-G$2)-($B12-$B$2)</f>
        <v>-2.1084210526315772</v>
      </c>
      <c r="H23" s="2">
        <f>F23*0.439183+G23*0.336042</f>
        <v>1.3606880049720051</v>
      </c>
    </row>
    <row r="24" spans="1:15" x14ac:dyDescent="0.25">
      <c r="A24" t="s">
        <v>32</v>
      </c>
      <c r="C24">
        <f t="shared" si="1"/>
        <v>-2.2578206465067723</v>
      </c>
      <c r="D24">
        <f t="shared" si="1"/>
        <v>-3.9557142857142793</v>
      </c>
      <c r="E24">
        <f t="shared" si="1"/>
        <v>6.7244382308083388</v>
      </c>
      <c r="F24">
        <f>(F13-F$2)-($B13-$B$2)</f>
        <v>6.1324620060790309</v>
      </c>
      <c r="G24">
        <f>(G13-G$2)-($B13-$B$2)</f>
        <v>-4.3828571428571408</v>
      </c>
      <c r="H24" s="2">
        <f>F24*0.439183+G24*0.336042</f>
        <v>1.2204489812158077</v>
      </c>
    </row>
    <row r="26" spans="1:15" x14ac:dyDescent="0.25">
      <c r="C26">
        <f>AVERAGE(C16,C16,AVERAGE(C17,C18,C19),AVERAGE(C20,C21,C22),AVERAGE(C23,C24))</f>
        <v>-1.1960404863232328</v>
      </c>
      <c r="D26">
        <f>AVERAGE(D16,D16,AVERAGE(D17,D18,D19),AVERAGE(D20,D21,D22),AVERAGE(D23,D24))</f>
        <v>-2.7136987012987008</v>
      </c>
      <c r="E26">
        <f>AVERAGE(E16,E16,AVERAGE(E17,E18,E19),AVERAGE(E20,E21,E22),AVERAGE(E23,E24))</f>
        <v>1.5254711612103287</v>
      </c>
      <c r="F26">
        <f>AVERAGE(F16,F16,AVERAGE(F17,F18,F19),AVERAGE(F20,F21,F22),AVERAGE(F23,F24))</f>
        <v>4.0185886608465085</v>
      </c>
      <c r="G26">
        <f>AVERAGE(G16,G16,AVERAGE(G17,G18,G19),AVERAGE(G20,G21,G22),AVERAGE(G23,G24))</f>
        <v>-0.14515651770269936</v>
      </c>
    </row>
    <row r="27" spans="1:15" x14ac:dyDescent="0.25">
      <c r="C27">
        <f>48.22+C26</f>
        <v>47.023959513676765</v>
      </c>
      <c r="D27">
        <f>53.14+D26</f>
        <v>50.426301298701297</v>
      </c>
      <c r="E27">
        <f>41.56+E26</f>
        <v>43.085471161210329</v>
      </c>
      <c r="F27">
        <f>44.45+F26</f>
        <v>48.468588660846514</v>
      </c>
      <c r="G27">
        <f>50.71+G26</f>
        <v>50.564843482297299</v>
      </c>
    </row>
    <row r="34" spans="1:2" x14ac:dyDescent="0.25">
      <c r="A34">
        <f>9.26*0.832</f>
        <v>7.7043199999999992</v>
      </c>
    </row>
    <row r="35" spans="1:2" x14ac:dyDescent="0.25">
      <c r="A35">
        <f>20.48*0.619</f>
        <v>12.67712</v>
      </c>
      <c r="B35">
        <f>(A35-A34)/(20.48-9.26)</f>
        <v>0.4432085561497327</v>
      </c>
    </row>
  </sheetData>
  <mergeCells count="1">
    <mergeCell ref="J1:L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8CE2E-97B7-4D41-BE0A-1C4179B14DD8}">
  <dimension ref="A1:H8"/>
  <sheetViews>
    <sheetView workbookViewId="0">
      <selection activeCell="F15" sqref="F15"/>
    </sheetView>
  </sheetViews>
  <sheetFormatPr defaultRowHeight="15" x14ac:dyDescent="0.25"/>
  <cols>
    <col min="1" max="1" width="33.85546875" customWidth="1"/>
  </cols>
  <sheetData>
    <row r="1" spans="1:8" x14ac:dyDescent="0.25">
      <c r="B1" t="s">
        <v>5</v>
      </c>
      <c r="C1" t="s">
        <v>0</v>
      </c>
      <c r="D1" t="s">
        <v>1</v>
      </c>
      <c r="E1" t="s">
        <v>2</v>
      </c>
      <c r="F1" t="s">
        <v>4</v>
      </c>
      <c r="G1" t="s">
        <v>3</v>
      </c>
      <c r="H1" t="s">
        <v>6</v>
      </c>
    </row>
    <row r="2" spans="1:8" x14ac:dyDescent="0.25">
      <c r="A2" t="s">
        <v>27</v>
      </c>
      <c r="B2">
        <v>54</v>
      </c>
      <c r="C2">
        <v>55.5</v>
      </c>
      <c r="D2">
        <v>56.5</v>
      </c>
      <c r="E2">
        <v>48.5</v>
      </c>
      <c r="F2">
        <v>55</v>
      </c>
      <c r="G2">
        <v>48.5</v>
      </c>
    </row>
    <row r="3" spans="1:8" x14ac:dyDescent="0.25">
      <c r="A3" t="s">
        <v>26</v>
      </c>
      <c r="B3">
        <v>53</v>
      </c>
      <c r="C3">
        <v>53.5</v>
      </c>
      <c r="D3">
        <v>56</v>
      </c>
      <c r="E3">
        <v>45</v>
      </c>
      <c r="F3">
        <v>55</v>
      </c>
      <c r="G3">
        <v>54.5</v>
      </c>
    </row>
    <row r="4" spans="1:8" x14ac:dyDescent="0.25">
      <c r="A4" t="s">
        <v>28</v>
      </c>
      <c r="B4">
        <v>51.183999999999997</v>
      </c>
      <c r="C4">
        <v>50.647000000000006</v>
      </c>
      <c r="D4">
        <v>52.652999999999999</v>
      </c>
      <c r="E4">
        <v>50.433000000000007</v>
      </c>
      <c r="H4">
        <v>54.046999999999997</v>
      </c>
    </row>
    <row r="5" spans="1:8" x14ac:dyDescent="0.25">
      <c r="A5" t="s">
        <v>24</v>
      </c>
      <c r="B5">
        <v>53</v>
      </c>
      <c r="C5">
        <v>52</v>
      </c>
      <c r="D5">
        <v>58</v>
      </c>
      <c r="E5">
        <v>45</v>
      </c>
      <c r="F5">
        <v>54</v>
      </c>
      <c r="G5">
        <v>53</v>
      </c>
    </row>
    <row r="6" spans="1:8" x14ac:dyDescent="0.25">
      <c r="A6" t="s">
        <v>25</v>
      </c>
      <c r="B6">
        <v>53</v>
      </c>
      <c r="C6">
        <v>53.5</v>
      </c>
      <c r="D6">
        <v>56</v>
      </c>
      <c r="E6">
        <v>45</v>
      </c>
      <c r="F6">
        <v>55</v>
      </c>
      <c r="G6">
        <v>54.5</v>
      </c>
    </row>
    <row r="7" spans="1:8" x14ac:dyDescent="0.25">
      <c r="A7" t="s">
        <v>29</v>
      </c>
      <c r="B7">
        <v>48.724000000000004</v>
      </c>
      <c r="C7">
        <v>47.013999999999996</v>
      </c>
      <c r="D7">
        <v>51.356999999999999</v>
      </c>
      <c r="E7">
        <v>48.769999999999996</v>
      </c>
      <c r="H7">
        <v>49.924999999999997</v>
      </c>
    </row>
    <row r="8" spans="1:8" x14ac:dyDescent="0.25">
      <c r="A8" t="s">
        <v>30</v>
      </c>
      <c r="B8">
        <v>49.150999999999996</v>
      </c>
      <c r="C8">
        <v>49.635999999999996</v>
      </c>
      <c r="D8">
        <v>51.798000000000002</v>
      </c>
      <c r="E8">
        <v>43.37</v>
      </c>
      <c r="H8">
        <v>52.665999999999997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</vt:lpstr>
      <vt:lpstr>Archives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2015-06-05T18:17:20Z</dcterms:created>
  <dcterms:modified xsi:type="dcterms:W3CDTF">2022-04-15T13:51:19Z</dcterms:modified>
</cp:coreProperties>
</file>