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6735975D-26F9-4DF3-8708-CB3D24BC01C1}" xr6:coauthVersionLast="47" xr6:coauthVersionMax="47" xr10:uidLastSave="{00000000-0000-0000-0000-000000000000}"/>
  <bookViews>
    <workbookView minimized="1" xWindow="585" yWindow="3285" windowWidth="25035" windowHeight="16320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GRN'!$BM$14</definedName>
    <definedName name="solver_opt" localSheetId="2" hidden="1">'Polling Correlations - LNP'!$BN$13</definedName>
    <definedName name="solver_opt" localSheetId="6" hidden="1">'Polling Correlations - Misc'!$BN$13</definedName>
    <definedName name="solver_opt" localSheetId="5" hidden="1">'Polling Correlations - OTH'!$BN$17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99" i="1" l="1"/>
  <c r="AV99" i="1"/>
  <c r="AW99" i="1"/>
  <c r="AX99" i="1"/>
  <c r="AY99" i="1"/>
  <c r="AZ99" i="1"/>
  <c r="BA99" i="1"/>
  <c r="BB99" i="1"/>
  <c r="BC99" i="1"/>
  <c r="AU100" i="1"/>
  <c r="AV100" i="1"/>
  <c r="AW100" i="1"/>
  <c r="AX100" i="1"/>
  <c r="AY100" i="1"/>
  <c r="AZ100" i="1"/>
  <c r="BA100" i="1"/>
  <c r="BB100" i="1"/>
  <c r="BC100" i="1"/>
  <c r="AU101" i="1"/>
  <c r="AV101" i="1"/>
  <c r="AW101" i="1"/>
  <c r="AX101" i="1"/>
  <c r="AY101" i="1"/>
  <c r="AZ101" i="1"/>
  <c r="BA101" i="1"/>
  <c r="BB101" i="1"/>
  <c r="BC101" i="1"/>
  <c r="AU102" i="1"/>
  <c r="AV102" i="1"/>
  <c r="AW102" i="1"/>
  <c r="AX102" i="1"/>
  <c r="AY102" i="1"/>
  <c r="AZ102" i="1"/>
  <c r="BA102" i="1"/>
  <c r="BB102" i="1"/>
  <c r="BC102" i="1"/>
  <c r="AU103" i="1"/>
  <c r="AV103" i="1"/>
  <c r="AW103" i="1"/>
  <c r="AX103" i="1"/>
  <c r="AY103" i="1"/>
  <c r="AZ103" i="1"/>
  <c r="BA103" i="1"/>
  <c r="BB103" i="1"/>
  <c r="BC103" i="1"/>
  <c r="AR103" i="1"/>
  <c r="AT103" i="1" s="1"/>
  <c r="AS103" i="1"/>
  <c r="AT100" i="1"/>
  <c r="AT101" i="1"/>
  <c r="AT102" i="1"/>
  <c r="AT99" i="1"/>
  <c r="AS102" i="1"/>
  <c r="AR102" i="1"/>
  <c r="AS101" i="1"/>
  <c r="AR101" i="1"/>
  <c r="AS100" i="1"/>
  <c r="AR100" i="1"/>
  <c r="AS99" i="1"/>
  <c r="AR99" i="1"/>
  <c r="BC98" i="1"/>
  <c r="BB98" i="1"/>
  <c r="BA98" i="1"/>
  <c r="AZ98" i="1"/>
  <c r="AY98" i="1"/>
  <c r="AX98" i="1"/>
  <c r="AW98" i="1"/>
  <c r="AV98" i="1"/>
  <c r="AU98" i="1"/>
  <c r="AT98" i="1"/>
  <c r="AU82" i="1"/>
  <c r="AV82" i="1"/>
  <c r="AW82" i="1"/>
  <c r="AX82" i="1"/>
  <c r="AY82" i="1"/>
  <c r="AZ82" i="1"/>
  <c r="BA82" i="1"/>
  <c r="BB82" i="1"/>
  <c r="BC82" i="1"/>
  <c r="AU83" i="1"/>
  <c r="AV83" i="1"/>
  <c r="AW83" i="1"/>
  <c r="AX83" i="1"/>
  <c r="AY83" i="1"/>
  <c r="AZ83" i="1"/>
  <c r="BA83" i="1"/>
  <c r="BB83" i="1"/>
  <c r="BC83" i="1"/>
  <c r="AU84" i="1"/>
  <c r="AV84" i="1"/>
  <c r="AW84" i="1"/>
  <c r="AX84" i="1"/>
  <c r="AY84" i="1"/>
  <c r="AZ84" i="1"/>
  <c r="BA84" i="1"/>
  <c r="BB84" i="1"/>
  <c r="BC84" i="1"/>
  <c r="AU85" i="1"/>
  <c r="AV85" i="1"/>
  <c r="AW85" i="1"/>
  <c r="AX85" i="1"/>
  <c r="AY85" i="1"/>
  <c r="AZ85" i="1"/>
  <c r="BA85" i="1"/>
  <c r="BB85" i="1"/>
  <c r="BC85" i="1"/>
  <c r="AT83" i="1"/>
  <c r="AT84" i="1"/>
  <c r="AT85" i="1"/>
  <c r="AT82" i="1"/>
  <c r="AS85" i="1"/>
  <c r="AR85" i="1"/>
  <c r="AS84" i="1"/>
  <c r="AR84" i="1"/>
  <c r="AS83" i="1"/>
  <c r="AR83" i="1"/>
  <c r="AS82" i="1"/>
  <c r="AR82" i="1"/>
  <c r="BC81" i="1"/>
  <c r="BB81" i="1"/>
  <c r="BA81" i="1"/>
  <c r="AZ81" i="1"/>
  <c r="AY81" i="1"/>
  <c r="AX81" i="1"/>
  <c r="AW81" i="1"/>
  <c r="AV81" i="1"/>
  <c r="AU81" i="1"/>
  <c r="AT81" i="1"/>
  <c r="AU64" i="1"/>
  <c r="AV64" i="1"/>
  <c r="AW64" i="1"/>
  <c r="AX64" i="1"/>
  <c r="AY64" i="1"/>
  <c r="AZ64" i="1"/>
  <c r="BA64" i="1"/>
  <c r="BB64" i="1"/>
  <c r="BC64" i="1"/>
  <c r="AU65" i="1"/>
  <c r="AV65" i="1"/>
  <c r="AW65" i="1"/>
  <c r="AX65" i="1"/>
  <c r="AY65" i="1"/>
  <c r="AZ65" i="1"/>
  <c r="BA65" i="1"/>
  <c r="BB65" i="1"/>
  <c r="BC65" i="1"/>
  <c r="AU66" i="1"/>
  <c r="AV66" i="1"/>
  <c r="AW66" i="1"/>
  <c r="AX66" i="1"/>
  <c r="AY66" i="1"/>
  <c r="AZ66" i="1"/>
  <c r="BA66" i="1"/>
  <c r="BB66" i="1"/>
  <c r="BC66" i="1"/>
  <c r="AU67" i="1"/>
  <c r="AV67" i="1"/>
  <c r="AW67" i="1"/>
  <c r="AX67" i="1"/>
  <c r="AY67" i="1"/>
  <c r="AZ67" i="1"/>
  <c r="BA67" i="1"/>
  <c r="BB67" i="1"/>
  <c r="BC67" i="1"/>
  <c r="AU68" i="1"/>
  <c r="AV68" i="1"/>
  <c r="AW68" i="1"/>
  <c r="AX68" i="1"/>
  <c r="AY68" i="1"/>
  <c r="AZ68" i="1"/>
  <c r="BA68" i="1"/>
  <c r="BB68" i="1"/>
  <c r="BC68" i="1"/>
  <c r="AT65" i="1"/>
  <c r="AT66" i="1"/>
  <c r="AT67" i="1"/>
  <c r="AT68" i="1"/>
  <c r="AT64" i="1"/>
  <c r="AS68" i="1"/>
  <c r="AR68" i="1"/>
  <c r="AS67" i="1"/>
  <c r="AR67" i="1"/>
  <c r="AS66" i="1"/>
  <c r="AR66" i="1"/>
  <c r="AS65" i="1"/>
  <c r="AR65" i="1"/>
  <c r="AS64" i="1"/>
  <c r="AR64" i="1"/>
  <c r="BC63" i="1"/>
  <c r="BB63" i="1"/>
  <c r="BA63" i="1"/>
  <c r="AZ63" i="1"/>
  <c r="AY63" i="1"/>
  <c r="AX63" i="1"/>
  <c r="AW63" i="1"/>
  <c r="AV63" i="1"/>
  <c r="AU63" i="1"/>
  <c r="AT63" i="1"/>
  <c r="AU46" i="1"/>
  <c r="AV46" i="1"/>
  <c r="AW46" i="1"/>
  <c r="AX46" i="1"/>
  <c r="AY46" i="1"/>
  <c r="AZ46" i="1"/>
  <c r="BA46" i="1"/>
  <c r="BB46" i="1"/>
  <c r="BC46" i="1"/>
  <c r="AU47" i="1"/>
  <c r="AV47" i="1"/>
  <c r="AW47" i="1"/>
  <c r="AX47" i="1"/>
  <c r="AY47" i="1"/>
  <c r="AZ47" i="1"/>
  <c r="BA47" i="1"/>
  <c r="BB47" i="1"/>
  <c r="BC47" i="1"/>
  <c r="AU48" i="1"/>
  <c r="AV48" i="1"/>
  <c r="AW48" i="1"/>
  <c r="AX48" i="1"/>
  <c r="AY48" i="1"/>
  <c r="AZ48" i="1"/>
  <c r="BA48" i="1"/>
  <c r="BB48" i="1"/>
  <c r="BC48" i="1"/>
  <c r="AU49" i="1"/>
  <c r="AV49" i="1"/>
  <c r="AW49" i="1"/>
  <c r="AX49" i="1"/>
  <c r="AY49" i="1"/>
  <c r="AZ49" i="1"/>
  <c r="BA49" i="1"/>
  <c r="BB49" i="1"/>
  <c r="BC49" i="1"/>
  <c r="AU50" i="1"/>
  <c r="AV50" i="1"/>
  <c r="AW50" i="1"/>
  <c r="AX50" i="1"/>
  <c r="AY50" i="1"/>
  <c r="AZ50" i="1"/>
  <c r="BA50" i="1"/>
  <c r="BB50" i="1"/>
  <c r="BC50" i="1"/>
  <c r="AT47" i="1"/>
  <c r="AT48" i="1"/>
  <c r="AT49" i="1"/>
  <c r="AT50" i="1"/>
  <c r="AT46" i="1"/>
  <c r="AS50" i="1"/>
  <c r="AR50" i="1"/>
  <c r="AS49" i="1"/>
  <c r="AR49" i="1"/>
  <c r="AS48" i="1"/>
  <c r="AR48" i="1"/>
  <c r="AS47" i="1"/>
  <c r="AR47" i="1"/>
  <c r="AS46" i="1"/>
  <c r="AR46" i="1"/>
  <c r="BC45" i="1"/>
  <c r="BB45" i="1"/>
  <c r="BA45" i="1"/>
  <c r="AZ45" i="1"/>
  <c r="AY45" i="1"/>
  <c r="AX45" i="1"/>
  <c r="AW45" i="1"/>
  <c r="AV45" i="1"/>
  <c r="AU45" i="1"/>
  <c r="AT45" i="1"/>
  <c r="AU26" i="1"/>
  <c r="AV26" i="1"/>
  <c r="AW26" i="1"/>
  <c r="AX26" i="1"/>
  <c r="AY26" i="1"/>
  <c r="AZ26" i="1"/>
  <c r="BA26" i="1"/>
  <c r="BB26" i="1"/>
  <c r="BC26" i="1"/>
  <c r="AU27" i="1"/>
  <c r="AV27" i="1"/>
  <c r="AW27" i="1"/>
  <c r="AX27" i="1"/>
  <c r="AY27" i="1"/>
  <c r="AZ27" i="1"/>
  <c r="BA27" i="1"/>
  <c r="BB27" i="1"/>
  <c r="BC27" i="1"/>
  <c r="AU28" i="1"/>
  <c r="AV28" i="1"/>
  <c r="AW28" i="1"/>
  <c r="AX28" i="1"/>
  <c r="AY28" i="1"/>
  <c r="AZ28" i="1"/>
  <c r="BA28" i="1"/>
  <c r="BB28" i="1"/>
  <c r="BC28" i="1"/>
  <c r="AU29" i="1"/>
  <c r="AV29" i="1"/>
  <c r="AW29" i="1"/>
  <c r="AX29" i="1"/>
  <c r="AY29" i="1"/>
  <c r="AZ29" i="1"/>
  <c r="BA29" i="1"/>
  <c r="BB29" i="1"/>
  <c r="BC29" i="1"/>
  <c r="AU30" i="1"/>
  <c r="AV30" i="1"/>
  <c r="AW30" i="1"/>
  <c r="AX30" i="1"/>
  <c r="AY30" i="1"/>
  <c r="AZ30" i="1"/>
  <c r="BA30" i="1"/>
  <c r="BB30" i="1"/>
  <c r="BC30" i="1"/>
  <c r="AU31" i="1"/>
  <c r="AV31" i="1"/>
  <c r="AW31" i="1"/>
  <c r="AX31" i="1"/>
  <c r="AY31" i="1"/>
  <c r="AZ31" i="1"/>
  <c r="BA31" i="1"/>
  <c r="BB31" i="1"/>
  <c r="BC31" i="1"/>
  <c r="AU32" i="1"/>
  <c r="AV32" i="1"/>
  <c r="AW32" i="1"/>
  <c r="AX32" i="1"/>
  <c r="AY32" i="1"/>
  <c r="AZ32" i="1"/>
  <c r="BA32" i="1"/>
  <c r="BB32" i="1"/>
  <c r="BC32" i="1"/>
  <c r="AT27" i="1"/>
  <c r="AT28" i="1"/>
  <c r="AT29" i="1"/>
  <c r="AT30" i="1"/>
  <c r="AT31" i="1"/>
  <c r="AT32" i="1"/>
  <c r="AT26" i="1"/>
  <c r="AR32" i="1"/>
  <c r="AR31" i="1"/>
  <c r="AR30" i="1"/>
  <c r="AR29" i="1"/>
  <c r="AR28" i="1"/>
  <c r="AR27" i="1"/>
  <c r="AR26" i="1"/>
  <c r="AS32" i="1"/>
  <c r="AS31" i="1"/>
  <c r="AS30" i="1"/>
  <c r="AS29" i="1"/>
  <c r="AS28" i="1"/>
  <c r="AS27" i="1"/>
  <c r="AS26" i="1"/>
  <c r="BC25" i="1"/>
  <c r="BB25" i="1"/>
  <c r="BA25" i="1"/>
  <c r="AZ25" i="1"/>
  <c r="AY25" i="1"/>
  <c r="AX25" i="1"/>
  <c r="AW25" i="1"/>
  <c r="AV25" i="1"/>
  <c r="AU25" i="1"/>
  <c r="AT25" i="1"/>
  <c r="BH3" i="1"/>
  <c r="BI3" i="1" s="1"/>
  <c r="BJ3" i="1" s="1"/>
  <c r="BK3" i="1" s="1"/>
  <c r="BL3" i="1" s="1"/>
  <c r="BM3" i="1" s="1"/>
  <c r="BG3" i="1"/>
  <c r="BE6" i="1"/>
  <c r="BE7" i="1" s="1"/>
  <c r="BE8" i="1" s="1"/>
  <c r="BE9" i="1" s="1"/>
  <c r="BE10" i="1" s="1"/>
  <c r="BE5" i="1"/>
  <c r="AR5" i="1"/>
  <c r="AS5" i="1"/>
  <c r="AT5" i="1"/>
  <c r="AU5" i="1"/>
  <c r="AV5" i="1"/>
  <c r="AW5" i="1"/>
  <c r="AX5" i="1"/>
  <c r="AY5" i="1"/>
  <c r="AZ5" i="1"/>
  <c r="BA5" i="1"/>
  <c r="BB5" i="1"/>
  <c r="BC5" i="1"/>
  <c r="AR6" i="1"/>
  <c r="AV6" i="1" s="1"/>
  <c r="AS6" i="1"/>
  <c r="AX6" i="1" s="1"/>
  <c r="AT6" i="1"/>
  <c r="AU6" i="1"/>
  <c r="AY6" i="1"/>
  <c r="BA6" i="1"/>
  <c r="BB6" i="1"/>
  <c r="BC6" i="1"/>
  <c r="AR7" i="1"/>
  <c r="AS7" i="1"/>
  <c r="AT7" i="1"/>
  <c r="AU7" i="1"/>
  <c r="AV7" i="1"/>
  <c r="AW7" i="1"/>
  <c r="AX7" i="1"/>
  <c r="AY7" i="1"/>
  <c r="AZ7" i="1"/>
  <c r="BA7" i="1"/>
  <c r="BB7" i="1"/>
  <c r="BC7" i="1"/>
  <c r="AR8" i="1"/>
  <c r="AV8" i="1" s="1"/>
  <c r="AS8" i="1"/>
  <c r="AX8" i="1" s="1"/>
  <c r="AT8" i="1"/>
  <c r="AU8" i="1"/>
  <c r="AY8" i="1"/>
  <c r="BB8" i="1"/>
  <c r="BC8" i="1"/>
  <c r="AR9" i="1"/>
  <c r="AS9" i="1"/>
  <c r="AZ9" i="1" s="1"/>
  <c r="AT9" i="1"/>
  <c r="AU9" i="1"/>
  <c r="AV9" i="1"/>
  <c r="AW9" i="1"/>
  <c r="AX9" i="1"/>
  <c r="AY9" i="1"/>
  <c r="BB9" i="1"/>
  <c r="BC9" i="1"/>
  <c r="AR10" i="1"/>
  <c r="AV10" i="1" s="1"/>
  <c r="AS10" i="1"/>
  <c r="AX10" i="1" s="1"/>
  <c r="AT10" i="1"/>
  <c r="AU10" i="1"/>
  <c r="AY10" i="1"/>
  <c r="BA10" i="1"/>
  <c r="BB10" i="1"/>
  <c r="BC10" i="1"/>
  <c r="AU4" i="1"/>
  <c r="AV4" i="1"/>
  <c r="AW4" i="1"/>
  <c r="AX4" i="1"/>
  <c r="AY4" i="1"/>
  <c r="AZ4" i="1"/>
  <c r="BA4" i="1"/>
  <c r="BB4" i="1"/>
  <c r="BC4" i="1"/>
  <c r="AT4" i="1"/>
  <c r="AS4" i="1"/>
  <c r="AR4" i="1"/>
  <c r="AU3" i="1"/>
  <c r="AV3" i="1"/>
  <c r="AW3" i="1"/>
  <c r="AX3" i="1"/>
  <c r="AY3" i="1"/>
  <c r="AZ3" i="1"/>
  <c r="BA3" i="1"/>
  <c r="BB3" i="1"/>
  <c r="BC3" i="1"/>
  <c r="AT3" i="1"/>
  <c r="BA8" i="1" l="1"/>
  <c r="AZ10" i="1"/>
  <c r="AZ8" i="1"/>
  <c r="AZ6" i="1"/>
  <c r="AW6" i="1"/>
  <c r="AW10" i="1"/>
  <c r="BA9" i="1"/>
  <c r="AW8" i="1"/>
  <c r="D84" i="1"/>
  <c r="D85" i="1"/>
  <c r="D86" i="1"/>
  <c r="D87" i="1"/>
  <c r="D88" i="1"/>
  <c r="D89" i="1"/>
  <c r="D90" i="1"/>
  <c r="D91" i="1"/>
  <c r="D95" i="1"/>
  <c r="D96" i="1"/>
  <c r="D83" i="1"/>
  <c r="BR25" i="7"/>
  <c r="AC20" i="9"/>
  <c r="AP17" i="9"/>
  <c r="AO17" i="9"/>
  <c r="AN17" i="9"/>
  <c r="AM17" i="9"/>
  <c r="AR16" i="9"/>
  <c r="AQ16" i="9"/>
  <c r="P20" i="9"/>
  <c r="O20" i="9"/>
  <c r="N20" i="9"/>
  <c r="M20" i="9"/>
  <c r="L20" i="9"/>
  <c r="K20" i="9"/>
  <c r="E20" i="9"/>
  <c r="F20" i="9"/>
  <c r="G20" i="9"/>
  <c r="H20" i="9"/>
  <c r="AJ20" i="9" s="1"/>
  <c r="I20" i="9"/>
  <c r="AK20" i="9" s="1"/>
  <c r="J20" i="9"/>
  <c r="D20" i="9"/>
  <c r="E19" i="9"/>
  <c r="F19" i="9"/>
  <c r="G19" i="9"/>
  <c r="H19" i="9"/>
  <c r="I19" i="9"/>
  <c r="J19" i="9"/>
  <c r="D19" i="9"/>
  <c r="E18" i="9"/>
  <c r="F18" i="9"/>
  <c r="G18" i="9"/>
  <c r="H18" i="9"/>
  <c r="I18" i="9"/>
  <c r="J18" i="9"/>
  <c r="D18" i="9"/>
  <c r="E17" i="9"/>
  <c r="F17" i="9"/>
  <c r="G17" i="9"/>
  <c r="H17" i="9"/>
  <c r="I17" i="9"/>
  <c r="J17" i="9"/>
  <c r="D17" i="9"/>
  <c r="E15" i="9"/>
  <c r="F15" i="9"/>
  <c r="G15" i="9"/>
  <c r="H15" i="9"/>
  <c r="I15" i="9"/>
  <c r="J15" i="9"/>
  <c r="D15" i="9"/>
  <c r="E14" i="9"/>
  <c r="F14" i="9"/>
  <c r="G14" i="9"/>
  <c r="H14" i="9"/>
  <c r="I14" i="9"/>
  <c r="J14" i="9"/>
  <c r="D14" i="9"/>
  <c r="E13" i="9"/>
  <c r="F13" i="9"/>
  <c r="G13" i="9"/>
  <c r="H13" i="9"/>
  <c r="I13" i="9"/>
  <c r="J13" i="9"/>
  <c r="D13" i="9"/>
  <c r="E12" i="9"/>
  <c r="F12" i="9"/>
  <c r="G12" i="9"/>
  <c r="H12" i="9"/>
  <c r="I12" i="9"/>
  <c r="J12" i="9"/>
  <c r="D12" i="9"/>
  <c r="E11" i="9"/>
  <c r="F11" i="9"/>
  <c r="G11" i="9"/>
  <c r="H11" i="9"/>
  <c r="I11" i="9"/>
  <c r="J11" i="9"/>
  <c r="D11" i="9"/>
  <c r="E10" i="9"/>
  <c r="F10" i="9"/>
  <c r="G10" i="9"/>
  <c r="H10" i="9"/>
  <c r="I10" i="9"/>
  <c r="J10" i="9"/>
  <c r="D10" i="9"/>
  <c r="E9" i="9"/>
  <c r="F9" i="9"/>
  <c r="G9" i="9"/>
  <c r="H9" i="9"/>
  <c r="I9" i="9"/>
  <c r="J9" i="9"/>
  <c r="D9" i="9"/>
  <c r="E8" i="9"/>
  <c r="F8" i="9"/>
  <c r="G8" i="9"/>
  <c r="H8" i="9"/>
  <c r="I8" i="9"/>
  <c r="J8" i="9"/>
  <c r="D8" i="9"/>
  <c r="E7" i="9"/>
  <c r="F7" i="9"/>
  <c r="G7" i="9"/>
  <c r="H7" i="9"/>
  <c r="I7" i="9"/>
  <c r="J7" i="9"/>
  <c r="D7" i="9"/>
  <c r="E6" i="9"/>
  <c r="F6" i="9"/>
  <c r="G6" i="9"/>
  <c r="H6" i="9"/>
  <c r="I6" i="9"/>
  <c r="J6" i="9"/>
  <c r="D6" i="9"/>
  <c r="E5" i="9"/>
  <c r="F5" i="9"/>
  <c r="G5" i="9"/>
  <c r="H5" i="9"/>
  <c r="I5" i="9"/>
  <c r="J5" i="9"/>
  <c r="D5" i="9"/>
  <c r="AC11" i="8"/>
  <c r="AR11" i="8" s="1"/>
  <c r="K11" i="8"/>
  <c r="L11" i="8"/>
  <c r="M11" i="8"/>
  <c r="N11" i="8"/>
  <c r="O11" i="8"/>
  <c r="P11" i="8"/>
  <c r="B12" i="8"/>
  <c r="AC11" i="7"/>
  <c r="AM11" i="7" s="1"/>
  <c r="K11" i="7"/>
  <c r="L11" i="7"/>
  <c r="M11" i="7"/>
  <c r="N11" i="7"/>
  <c r="O11" i="7"/>
  <c r="P11" i="7"/>
  <c r="B12" i="7"/>
  <c r="AC11" i="6"/>
  <c r="K11" i="6"/>
  <c r="L11" i="6"/>
  <c r="M11" i="6"/>
  <c r="N11" i="6"/>
  <c r="O11" i="6"/>
  <c r="P11" i="6"/>
  <c r="D11" i="6"/>
  <c r="E11" i="6"/>
  <c r="F11" i="6"/>
  <c r="G11" i="6"/>
  <c r="H11" i="6"/>
  <c r="I11" i="6"/>
  <c r="J11" i="6"/>
  <c r="B12" i="6"/>
  <c r="N11" i="3"/>
  <c r="K11" i="3"/>
  <c r="L11" i="3"/>
  <c r="M11" i="3"/>
  <c r="AC11" i="3"/>
  <c r="AQ11" i="3" s="1"/>
  <c r="O11" i="3"/>
  <c r="P11" i="3"/>
  <c r="D11" i="3"/>
  <c r="B12" i="3"/>
  <c r="B12" i="5"/>
  <c r="K11" i="5"/>
  <c r="L11" i="5"/>
  <c r="M11" i="5"/>
  <c r="N11" i="5"/>
  <c r="O11" i="5"/>
  <c r="P11" i="5"/>
  <c r="AC11" i="5"/>
  <c r="D11" i="5"/>
  <c r="E11" i="5"/>
  <c r="F11" i="5"/>
  <c r="G11" i="5"/>
  <c r="H11" i="5"/>
  <c r="I11" i="5"/>
  <c r="J11" i="5"/>
  <c r="BW2" i="7"/>
  <c r="AN11" i="7" l="1"/>
  <c r="AN11" i="8"/>
  <c r="AG11" i="5"/>
  <c r="AM11" i="8"/>
  <c r="AI20" i="9"/>
  <c r="AG20" i="9"/>
  <c r="AF11" i="5"/>
  <c r="AH20" i="9"/>
  <c r="AQ11" i="8"/>
  <c r="AP11" i="8"/>
  <c r="AO11" i="7"/>
  <c r="AO11" i="8"/>
  <c r="AL20" i="9"/>
  <c r="AP11" i="3"/>
  <c r="AR11" i="7"/>
  <c r="AF11" i="3"/>
  <c r="AR11" i="3"/>
  <c r="AQ11" i="7"/>
  <c r="AP11" i="7"/>
  <c r="AO11" i="3"/>
  <c r="AN11" i="3"/>
  <c r="AM11" i="3"/>
  <c r="AF20" i="9"/>
  <c r="AK11" i="6"/>
  <c r="AQ11" i="6"/>
  <c r="AL11" i="6"/>
  <c r="AR11" i="6"/>
  <c r="AJ11" i="6"/>
  <c r="AP11" i="6"/>
  <c r="AI11" i="6"/>
  <c r="AO11" i="6"/>
  <c r="AN11" i="6"/>
  <c r="AG11" i="6"/>
  <c r="AH11" i="6"/>
  <c r="AF11" i="6"/>
  <c r="AM11" i="6"/>
  <c r="AR11" i="5"/>
  <c r="AL11" i="5"/>
  <c r="AK11" i="5"/>
  <c r="AQ11" i="5"/>
  <c r="AJ11" i="5"/>
  <c r="AP11" i="5"/>
  <c r="AI11" i="5"/>
  <c r="AO11" i="5"/>
  <c r="AH11" i="5"/>
  <c r="AN11" i="5"/>
  <c r="AM11" i="5"/>
  <c r="BV97" i="8"/>
  <c r="BV97" i="7"/>
  <c r="BV97" i="6"/>
  <c r="BV97" i="3"/>
  <c r="BV97" i="5"/>
  <c r="BH12" i="9"/>
  <c r="BI12" i="9"/>
  <c r="BJ12" i="9"/>
  <c r="BK12" i="9"/>
  <c r="BL12" i="9"/>
  <c r="BM12" i="9"/>
  <c r="BG12" i="9"/>
  <c r="BM38" i="5" l="1"/>
  <c r="CI7" i="9" l="1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C15" i="9" l="1"/>
  <c r="AQ15" i="9" s="1"/>
  <c r="O15" i="9"/>
  <c r="P15" i="9"/>
  <c r="K14" i="9"/>
  <c r="L14" i="9"/>
  <c r="M14" i="9"/>
  <c r="N14" i="9"/>
  <c r="O14" i="9"/>
  <c r="P14" i="9"/>
  <c r="AC14" i="9"/>
  <c r="AM14" i="9" s="1"/>
  <c r="N13" i="9"/>
  <c r="O13" i="9"/>
  <c r="P13" i="9"/>
  <c r="AC13" i="9"/>
  <c r="AQ13" i="9" s="1"/>
  <c r="L12" i="9"/>
  <c r="M12" i="9"/>
  <c r="N12" i="9"/>
  <c r="O12" i="9"/>
  <c r="P12" i="9"/>
  <c r="AC12" i="9"/>
  <c r="AN12" i="9" s="1"/>
  <c r="M11" i="9"/>
  <c r="N11" i="9"/>
  <c r="O11" i="9"/>
  <c r="P11" i="9"/>
  <c r="AC11" i="9"/>
  <c r="AQ11" i="9" s="1"/>
  <c r="O10" i="9"/>
  <c r="P10" i="9"/>
  <c r="AC10" i="9"/>
  <c r="AR10" i="9" s="1"/>
  <c r="AQ9" i="9"/>
  <c r="L9" i="9"/>
  <c r="M9" i="9"/>
  <c r="N9" i="9"/>
  <c r="O9" i="9"/>
  <c r="P9" i="9"/>
  <c r="AC9" i="9"/>
  <c r="AN9" i="9" s="1"/>
  <c r="L8" i="9"/>
  <c r="M8" i="9"/>
  <c r="N8" i="9"/>
  <c r="O8" i="9"/>
  <c r="P8" i="9"/>
  <c r="AC8" i="9"/>
  <c r="AR8" i="9" s="1"/>
  <c r="O7" i="9"/>
  <c r="P7" i="9"/>
  <c r="AC7" i="9"/>
  <c r="AQ7" i="9" s="1"/>
  <c r="P6" i="9"/>
  <c r="AC6" i="9"/>
  <c r="K5" i="9"/>
  <c r="L5" i="9"/>
  <c r="M5" i="9"/>
  <c r="N5" i="9"/>
  <c r="O5" i="9"/>
  <c r="P5" i="9"/>
  <c r="AP14" i="9" l="1"/>
  <c r="AQ10" i="9"/>
  <c r="AP13" i="9"/>
  <c r="AR9" i="9"/>
  <c r="AQ14" i="9"/>
  <c r="AP11" i="9"/>
  <c r="AR14" i="9"/>
  <c r="AO11" i="9"/>
  <c r="AQ12" i="9"/>
  <c r="AR13" i="9"/>
  <c r="AR12" i="9"/>
  <c r="AP9" i="9"/>
  <c r="AO9" i="9"/>
  <c r="AP12" i="9"/>
  <c r="AP8" i="9"/>
  <c r="AN8" i="9"/>
  <c r="AO12" i="9"/>
  <c r="CF7" i="9"/>
  <c r="CG7" i="9"/>
  <c r="CH7" i="9"/>
  <c r="CD7" i="9"/>
  <c r="CE7" i="9"/>
  <c r="CI6" i="9"/>
  <c r="CI8" i="9"/>
  <c r="AO8" i="9"/>
  <c r="AR7" i="9"/>
  <c r="AR11" i="9"/>
  <c r="CD8" i="9"/>
  <c r="CD6" i="9"/>
  <c r="AN14" i="9"/>
  <c r="AR15" i="9"/>
  <c r="CE6" i="9"/>
  <c r="CF6" i="9"/>
  <c r="CG6" i="9"/>
  <c r="CE8" i="9"/>
  <c r="CH8" i="9"/>
  <c r="CF8" i="9"/>
  <c r="CG8" i="9"/>
  <c r="CH6" i="9"/>
  <c r="AR6" i="9"/>
  <c r="AQ8" i="9"/>
  <c r="AO14" i="9"/>
  <c r="BV97" i="9"/>
  <c r="BU23" i="9"/>
  <c r="BV23" i="9" s="1"/>
  <c r="BP23" i="9"/>
  <c r="BP24" i="9" s="1"/>
  <c r="BV22" i="9"/>
  <c r="BU22" i="9"/>
  <c r="BR22" i="9"/>
  <c r="BS22" i="9" s="1"/>
  <c r="BQ22" i="9"/>
  <c r="AL16" i="9"/>
  <c r="AK16" i="9"/>
  <c r="AJ16" i="9"/>
  <c r="AI16" i="9"/>
  <c r="AH16" i="9"/>
  <c r="AG16" i="9"/>
  <c r="AF16" i="9"/>
  <c r="AL12" i="9"/>
  <c r="AK12" i="9"/>
  <c r="AL11" i="9"/>
  <c r="AK11" i="9"/>
  <c r="AJ11" i="9"/>
  <c r="AI11" i="9"/>
  <c r="AH11" i="9"/>
  <c r="AG11" i="9"/>
  <c r="AF11" i="9"/>
  <c r="BM10" i="9"/>
  <c r="BM11" i="9" s="1"/>
  <c r="BK10" i="9"/>
  <c r="BJ10" i="9"/>
  <c r="BI10" i="9"/>
  <c r="BH10" i="9"/>
  <c r="BG10" i="9"/>
  <c r="BG11" i="9" s="1"/>
  <c r="AI7" i="9"/>
  <c r="AG7" i="9"/>
  <c r="AJ13" i="9"/>
  <c r="BM6" i="9"/>
  <c r="BK6" i="9"/>
  <c r="BJ6" i="9"/>
  <c r="BI6" i="9"/>
  <c r="BH6" i="9"/>
  <c r="BG6" i="9"/>
  <c r="AJ6" i="9"/>
  <c r="AG12" i="9"/>
  <c r="BM5" i="9"/>
  <c r="BK5" i="9"/>
  <c r="BJ5" i="9"/>
  <c r="BI5" i="9"/>
  <c r="BH5" i="9"/>
  <c r="BG5" i="9"/>
  <c r="AO5" i="9"/>
  <c r="AM5" i="9"/>
  <c r="AR5" i="9"/>
  <c r="AQ5" i="9"/>
  <c r="AP5" i="9"/>
  <c r="AL5" i="9"/>
  <c r="AJ5" i="9"/>
  <c r="AI5" i="9"/>
  <c r="AH5" i="9"/>
  <c r="AG5" i="9"/>
  <c r="AF5" i="9"/>
  <c r="L16" i="8"/>
  <c r="M16" i="8"/>
  <c r="BM10" i="8"/>
  <c r="BM11" i="8" s="1"/>
  <c r="BK10" i="8"/>
  <c r="BJ10" i="8"/>
  <c r="BI10" i="8"/>
  <c r="BH10" i="8"/>
  <c r="BG10" i="8"/>
  <c r="BM6" i="8"/>
  <c r="BK6" i="8"/>
  <c r="BJ6" i="8"/>
  <c r="BI6" i="8"/>
  <c r="BI12" i="8" s="1"/>
  <c r="BH6" i="8"/>
  <c r="BH12" i="8" s="1"/>
  <c r="BG6" i="8"/>
  <c r="BG12" i="8" s="1"/>
  <c r="BM5" i="8"/>
  <c r="BK5" i="8"/>
  <c r="BJ5" i="8"/>
  <c r="BI5" i="8"/>
  <c r="BH5" i="8"/>
  <c r="BG5" i="8"/>
  <c r="BM10" i="7"/>
  <c r="BM11" i="7" s="1"/>
  <c r="BK10" i="7"/>
  <c r="BJ10" i="7"/>
  <c r="BI10" i="7"/>
  <c r="BH10" i="7"/>
  <c r="BG10" i="7"/>
  <c r="BM6" i="7"/>
  <c r="BK6" i="7"/>
  <c r="BJ6" i="7"/>
  <c r="BI6" i="7"/>
  <c r="BH6" i="7"/>
  <c r="BG6" i="7"/>
  <c r="BG12" i="7" s="1"/>
  <c r="BM5" i="7"/>
  <c r="BK5" i="7"/>
  <c r="BJ5" i="7"/>
  <c r="BI5" i="7"/>
  <c r="BH5" i="7"/>
  <c r="BG5" i="7"/>
  <c r="BM10" i="6"/>
  <c r="BM11" i="6" s="1"/>
  <c r="BK10" i="6"/>
  <c r="BJ10" i="6"/>
  <c r="BI10" i="6"/>
  <c r="BH10" i="6"/>
  <c r="BG10" i="6"/>
  <c r="BM6" i="6"/>
  <c r="BK6" i="6"/>
  <c r="BJ6" i="6"/>
  <c r="BI6" i="6"/>
  <c r="BH6" i="6"/>
  <c r="BH12" i="6" s="1"/>
  <c r="BH13" i="6" s="1"/>
  <c r="BG6" i="6"/>
  <c r="BG12" i="6" s="1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M6" i="3"/>
  <c r="BK6" i="3"/>
  <c r="BJ6" i="3"/>
  <c r="BI6" i="3"/>
  <c r="BI12" i="3" s="1"/>
  <c r="BH6" i="3"/>
  <c r="BG6" i="3"/>
  <c r="BG12" i="3" s="1"/>
  <c r="BM5" i="3"/>
  <c r="BK5" i="3"/>
  <c r="BJ5" i="3"/>
  <c r="BI5" i="3"/>
  <c r="BH5" i="3"/>
  <c r="BG5" i="3"/>
  <c r="BM5" i="5"/>
  <c r="BH5" i="5"/>
  <c r="BI5" i="5"/>
  <c r="BJ5" i="5"/>
  <c r="BK5" i="5"/>
  <c r="BG5" i="5"/>
  <c r="T17" i="9" l="1"/>
  <c r="AV17" i="9" s="1"/>
  <c r="T19" i="9"/>
  <c r="AV19" i="9" s="1"/>
  <c r="T18" i="9"/>
  <c r="AV18" i="9" s="1"/>
  <c r="T20" i="9"/>
  <c r="T4" i="9"/>
  <c r="BJ38" i="9" s="1"/>
  <c r="U20" i="9"/>
  <c r="U18" i="9"/>
  <c r="AW18" i="9" s="1"/>
  <c r="U4" i="9"/>
  <c r="BK38" i="9" s="1"/>
  <c r="BL38" i="9" s="1"/>
  <c r="V20" i="9"/>
  <c r="V18" i="9"/>
  <c r="AX18" i="9" s="1"/>
  <c r="V4" i="9"/>
  <c r="BM38" i="9" s="1"/>
  <c r="Q17" i="9"/>
  <c r="AS17" i="9" s="1"/>
  <c r="Q20" i="9"/>
  <c r="Q18" i="9"/>
  <c r="AS18" i="9" s="1"/>
  <c r="Q4" i="9"/>
  <c r="BG38" i="9" s="1"/>
  <c r="S17" i="9"/>
  <c r="AU17" i="9" s="1"/>
  <c r="S19" i="9"/>
  <c r="AU19" i="9" s="1"/>
  <c r="S18" i="9"/>
  <c r="AU18" i="9" s="1"/>
  <c r="S20" i="9"/>
  <c r="S4" i="9"/>
  <c r="BI38" i="9" s="1"/>
  <c r="BG13" i="9"/>
  <c r="BL10" i="8"/>
  <c r="BH13" i="8"/>
  <c r="BG13" i="8"/>
  <c r="BJ11" i="8"/>
  <c r="BM12" i="8"/>
  <c r="BM13" i="8" s="1"/>
  <c r="BK11" i="8"/>
  <c r="BL11" i="8" s="1"/>
  <c r="BJ12" i="8"/>
  <c r="BJ13" i="8" s="1"/>
  <c r="BK12" i="8"/>
  <c r="BK13" i="8" s="1"/>
  <c r="BH11" i="7"/>
  <c r="BG13" i="7"/>
  <c r="BL10" i="7"/>
  <c r="BK11" i="7" s="1"/>
  <c r="BL11" i="7" s="1"/>
  <c r="BI12" i="7"/>
  <c r="BI13" i="7" s="1"/>
  <c r="BJ12" i="7"/>
  <c r="BJ13" i="7" s="1"/>
  <c r="BG11" i="7"/>
  <c r="BH12" i="7"/>
  <c r="BH13" i="7" s="1"/>
  <c r="BK12" i="7"/>
  <c r="BK13" i="7" s="1"/>
  <c r="BM12" i="7"/>
  <c r="BM13" i="7" s="1"/>
  <c r="BI11" i="7"/>
  <c r="BJ11" i="7"/>
  <c r="BH11" i="6"/>
  <c r="BG11" i="6"/>
  <c r="BI11" i="6"/>
  <c r="BG13" i="6"/>
  <c r="BJ11" i="6"/>
  <c r="BJ12" i="6"/>
  <c r="BJ13" i="6" s="1"/>
  <c r="BI12" i="6"/>
  <c r="BI13" i="6" s="1"/>
  <c r="BM12" i="6"/>
  <c r="BM13" i="6" s="1"/>
  <c r="BK12" i="6"/>
  <c r="BK13" i="6" s="1"/>
  <c r="BL10" i="6"/>
  <c r="BK11" i="6" s="1"/>
  <c r="BL11" i="6" s="1"/>
  <c r="BH11" i="3"/>
  <c r="BH12" i="3"/>
  <c r="BH13" i="3" s="1"/>
  <c r="BM12" i="3"/>
  <c r="BM13" i="3" s="1"/>
  <c r="BK12" i="3"/>
  <c r="BK13" i="3" s="1"/>
  <c r="BJ12" i="3"/>
  <c r="BJ13" i="3" s="1"/>
  <c r="BJ13" i="9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AW16" i="9" s="1"/>
  <c r="U15" i="9"/>
  <c r="AW15" i="9" s="1"/>
  <c r="V16" i="9"/>
  <c r="AX16" i="9" s="1"/>
  <c r="V15" i="9"/>
  <c r="AX15" i="9" s="1"/>
  <c r="AK5" i="9"/>
  <c r="AK6" i="9"/>
  <c r="AL6" i="9"/>
  <c r="AF7" i="9"/>
  <c r="AF13" i="9"/>
  <c r="AG17" i="9"/>
  <c r="AF17" i="9"/>
  <c r="AL17" i="9"/>
  <c r="AK17" i="9"/>
  <c r="AI17" i="9"/>
  <c r="AJ12" i="9"/>
  <c r="AI12" i="9"/>
  <c r="AH6" i="9"/>
  <c r="AH12" i="9"/>
  <c r="AG6" i="9"/>
  <c r="AF12" i="9"/>
  <c r="AL7" i="9"/>
  <c r="AH17" i="9"/>
  <c r="AF6" i="9"/>
  <c r="AG13" i="9"/>
  <c r="AJ17" i="9"/>
  <c r="BL6" i="9"/>
  <c r="BK13" i="9"/>
  <c r="AI6" i="9"/>
  <c r="BM13" i="9"/>
  <c r="BL10" i="9"/>
  <c r="BK11" i="9" s="1"/>
  <c r="BL11" i="9" s="1"/>
  <c r="BI11" i="9"/>
  <c r="AI18" i="9"/>
  <c r="AH18" i="9"/>
  <c r="AG18" i="9"/>
  <c r="AF18" i="9"/>
  <c r="AL18" i="9"/>
  <c r="AK18" i="9"/>
  <c r="AH13" i="9"/>
  <c r="AJ18" i="9"/>
  <c r="AL13" i="9"/>
  <c r="AK7" i="9"/>
  <c r="AK13" i="9"/>
  <c r="AJ7" i="9"/>
  <c r="AI13" i="9"/>
  <c r="AH7" i="9"/>
  <c r="AN5" i="9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6" i="8"/>
  <c r="BL6" i="7"/>
  <c r="BL6" i="6"/>
  <c r="BL6" i="3"/>
  <c r="AW20" i="9" l="1"/>
  <c r="AA20" i="9"/>
  <c r="BC20" i="9" s="1"/>
  <c r="AS20" i="9"/>
  <c r="W20" i="9"/>
  <c r="AY20" i="9" s="1"/>
  <c r="AV20" i="9"/>
  <c r="Z20" i="9"/>
  <c r="BB20" i="9" s="1"/>
  <c r="R17" i="9"/>
  <c r="AT17" i="9" s="1"/>
  <c r="R18" i="9"/>
  <c r="AT18" i="9" s="1"/>
  <c r="R20" i="9"/>
  <c r="R4" i="9"/>
  <c r="BH38" i="9" s="1"/>
  <c r="AU20" i="9"/>
  <c r="Y20" i="9"/>
  <c r="BA20" i="9" s="1"/>
  <c r="AX20" i="9"/>
  <c r="AB20" i="9"/>
  <c r="BD20" i="9" s="1"/>
  <c r="BL12" i="8"/>
  <c r="BL13" i="8" s="1"/>
  <c r="BN13" i="8" s="1"/>
  <c r="BL12" i="7"/>
  <c r="BL13" i="7" s="1"/>
  <c r="BN13" i="7" s="1"/>
  <c r="BL12" i="6"/>
  <c r="BL13" i="6" s="1"/>
  <c r="BN13" i="6" s="1"/>
  <c r="BL12" i="3"/>
  <c r="BL13" i="3" s="1"/>
  <c r="BN13" i="3" s="1"/>
  <c r="V7" i="9"/>
  <c r="AX7" i="9" s="1"/>
  <c r="Q5" i="9"/>
  <c r="W5" i="9" s="1"/>
  <c r="AY5" i="9" s="1"/>
  <c r="AB18" i="9"/>
  <c r="BD18" i="9" s="1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AK19" i="9"/>
  <c r="AJ19" i="9"/>
  <c r="AI19" i="9"/>
  <c r="AH19" i="9"/>
  <c r="AG19" i="9"/>
  <c r="AL19" i="9"/>
  <c r="AJ14" i="9"/>
  <c r="AG14" i="9"/>
  <c r="AF14" i="9"/>
  <c r="AF8" i="9"/>
  <c r="AK14" i="9"/>
  <c r="AK8" i="9"/>
  <c r="AI14" i="9"/>
  <c r="AH14" i="9"/>
  <c r="AH8" i="9"/>
  <c r="AL8" i="9"/>
  <c r="AJ8" i="9"/>
  <c r="AI8" i="9"/>
  <c r="AL14" i="9"/>
  <c r="AG8" i="9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AT20" i="9" l="1"/>
  <c r="X20" i="9"/>
  <c r="AZ20" i="9" s="1"/>
  <c r="Z17" i="9"/>
  <c r="BB17" i="9" s="1"/>
  <c r="X5" i="9"/>
  <c r="AZ5" i="9" s="1"/>
  <c r="AB7" i="9"/>
  <c r="BD7" i="9" s="1"/>
  <c r="W7" i="9"/>
  <c r="AS5" i="9"/>
  <c r="AX6" i="9"/>
  <c r="Y13" i="9"/>
  <c r="Y19" i="9"/>
  <c r="BA19" i="9" s="1"/>
  <c r="AU9" i="9"/>
  <c r="X12" i="9"/>
  <c r="AZ12" i="9" s="1"/>
  <c r="AT12" i="9"/>
  <c r="AB16" i="9"/>
  <c r="BD16" i="9" s="1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BC18" i="9" s="1"/>
  <c r="AX13" i="9"/>
  <c r="AB13" i="9"/>
  <c r="BD13" i="9" s="1"/>
  <c r="BV25" i="9"/>
  <c r="BU26" i="9"/>
  <c r="AW7" i="9"/>
  <c r="AA7" i="9"/>
  <c r="BC7" i="9" s="1"/>
  <c r="X19" i="9"/>
  <c r="X17" i="9"/>
  <c r="AZ17" i="9" s="1"/>
  <c r="AB19" i="9"/>
  <c r="AS14" i="9"/>
  <c r="W14" i="9"/>
  <c r="AY14" i="9" s="1"/>
  <c r="AA6" i="9"/>
  <c r="Y7" i="9"/>
  <c r="W8" i="9"/>
  <c r="X6" i="9"/>
  <c r="Z16" i="9"/>
  <c r="AX9" i="9"/>
  <c r="BL7" i="9"/>
  <c r="Y18" i="9"/>
  <c r="BA18" i="9" s="1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AL15" i="9"/>
  <c r="AI15" i="9"/>
  <c r="AJ9" i="9"/>
  <c r="AH15" i="9"/>
  <c r="AI9" i="9"/>
  <c r="AA15" i="9"/>
  <c r="BC15" i="9" s="1"/>
  <c r="AG15" i="9"/>
  <c r="AH9" i="9"/>
  <c r="AF9" i="9"/>
  <c r="AK15" i="9"/>
  <c r="AJ15" i="9"/>
  <c r="AL9" i="9"/>
  <c r="AK9" i="9"/>
  <c r="AG9" i="9"/>
  <c r="Y11" i="9"/>
  <c r="BA11" i="9" s="1"/>
  <c r="AU11" i="9"/>
  <c r="W16" i="9"/>
  <c r="AW14" i="9"/>
  <c r="AA14" i="9"/>
  <c r="BC14" i="9" s="1"/>
  <c r="Z18" i="9"/>
  <c r="BB18" i="9" s="1"/>
  <c r="X8" i="9"/>
  <c r="AZ8" i="9" s="1"/>
  <c r="AT8" i="9"/>
  <c r="X16" i="9"/>
  <c r="AT9" i="9"/>
  <c r="X18" i="9"/>
  <c r="AZ18" i="9" s="1"/>
  <c r="AA12" i="9"/>
  <c r="BC12" i="9" s="1"/>
  <c r="AW12" i="9"/>
  <c r="AB8" i="9"/>
  <c r="BD8" i="9" s="1"/>
  <c r="AX8" i="9"/>
  <c r="W18" i="9"/>
  <c r="AY18" i="9" s="1"/>
  <c r="AA19" i="9"/>
  <c r="Z6" i="9"/>
  <c r="Y17" i="9"/>
  <c r="BA17" i="9" s="1"/>
  <c r="Y14" i="9"/>
  <c r="BA14" i="9" s="1"/>
  <c r="AU14" i="9"/>
  <c r="AB17" i="9"/>
  <c r="Y5" i="9"/>
  <c r="BA5" i="9" s="1"/>
  <c r="AU5" i="9"/>
  <c r="Z19" i="9"/>
  <c r="BB19" i="9" s="1"/>
  <c r="AA16" i="9"/>
  <c r="BC16" i="9" s="1"/>
  <c r="X7" i="9"/>
  <c r="AU12" i="9"/>
  <c r="Y12" i="9"/>
  <c r="BA12" i="9" s="1"/>
  <c r="W17" i="9"/>
  <c r="AY17" i="9" s="1"/>
  <c r="W12" i="9"/>
  <c r="BP27" i="9"/>
  <c r="BQ26" i="9"/>
  <c r="BR26" i="9" s="1"/>
  <c r="BS26" i="9" s="1"/>
  <c r="Z8" i="9"/>
  <c r="BB8" i="9" s="1"/>
  <c r="L24" i="8"/>
  <c r="M24" i="8"/>
  <c r="N24" i="8"/>
  <c r="O24" i="8"/>
  <c r="P24" i="8"/>
  <c r="K23" i="8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6" i="8"/>
  <c r="K27" i="8"/>
  <c r="L27" i="8"/>
  <c r="M27" i="8"/>
  <c r="N27" i="8"/>
  <c r="O27" i="8"/>
  <c r="P27" i="8"/>
  <c r="L26" i="8"/>
  <c r="M26" i="8"/>
  <c r="N26" i="8"/>
  <c r="O26" i="8"/>
  <c r="P26" i="8"/>
  <c r="K25" i="8"/>
  <c r="L25" i="8"/>
  <c r="M25" i="8"/>
  <c r="N25" i="8"/>
  <c r="O25" i="8"/>
  <c r="P25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AH10" i="9"/>
  <c r="AH4" i="9" s="1"/>
  <c r="AL10" i="9"/>
  <c r="AL4" i="9" s="1"/>
  <c r="AK10" i="9"/>
  <c r="AK4" i="9" s="1"/>
  <c r="AI10" i="9"/>
  <c r="AI4" i="9" s="1"/>
  <c r="AJ10" i="9"/>
  <c r="AJ4" i="9" s="1"/>
  <c r="AG10" i="9"/>
  <c r="AG4" i="9" s="1"/>
  <c r="AA9" i="9"/>
  <c r="BC9" i="9" s="1"/>
  <c r="AB9" i="9"/>
  <c r="BD9" i="9" s="1"/>
  <c r="X15" i="9"/>
  <c r="N16" i="8"/>
  <c r="O16" i="8"/>
  <c r="P16" i="8"/>
  <c r="K15" i="8"/>
  <c r="L15" i="8"/>
  <c r="M15" i="8"/>
  <c r="N15" i="8"/>
  <c r="O15" i="8"/>
  <c r="P15" i="8"/>
  <c r="K14" i="8"/>
  <c r="L14" i="8"/>
  <c r="M14" i="8"/>
  <c r="N14" i="8"/>
  <c r="O14" i="8"/>
  <c r="P14" i="8"/>
  <c r="K13" i="8"/>
  <c r="L13" i="8"/>
  <c r="M13" i="8"/>
  <c r="N13" i="8"/>
  <c r="O13" i="8"/>
  <c r="P13" i="8"/>
  <c r="K12" i="8"/>
  <c r="L12" i="8"/>
  <c r="M12" i="8"/>
  <c r="N12" i="8"/>
  <c r="O12" i="8"/>
  <c r="P12" i="8"/>
  <c r="L20" i="8"/>
  <c r="M20" i="8"/>
  <c r="N20" i="8"/>
  <c r="O20" i="8"/>
  <c r="P20" i="8"/>
  <c r="K19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N10" i="8"/>
  <c r="O10" i="8"/>
  <c r="P10" i="8"/>
  <c r="K9" i="8"/>
  <c r="L9" i="8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P7" i="8"/>
  <c r="K6" i="8"/>
  <c r="L6" i="8"/>
  <c r="M6" i="8"/>
  <c r="N6" i="8"/>
  <c r="O6" i="8"/>
  <c r="P6" i="8"/>
  <c r="K5" i="8"/>
  <c r="L5" i="8"/>
  <c r="M5" i="8"/>
  <c r="N5" i="8"/>
  <c r="O5" i="8"/>
  <c r="P5" i="8"/>
  <c r="N31" i="8"/>
  <c r="O31" i="8"/>
  <c r="P31" i="8"/>
  <c r="O31" i="5"/>
  <c r="P31" i="5"/>
  <c r="K30" i="8"/>
  <c r="L30" i="8"/>
  <c r="M30" i="8"/>
  <c r="N30" i="8"/>
  <c r="O30" i="8"/>
  <c r="P30" i="8"/>
  <c r="K29" i="8"/>
  <c r="L29" i="8"/>
  <c r="M29" i="8"/>
  <c r="N29" i="8"/>
  <c r="O29" i="8"/>
  <c r="P29" i="8"/>
  <c r="K28" i="8"/>
  <c r="L28" i="8"/>
  <c r="M28" i="8"/>
  <c r="N28" i="8"/>
  <c r="O28" i="8"/>
  <c r="P28" i="8"/>
  <c r="B29" i="8"/>
  <c r="B30" i="8" s="1"/>
  <c r="B31" i="8" s="1"/>
  <c r="F28" i="8"/>
  <c r="B26" i="8"/>
  <c r="B27" i="8" s="1"/>
  <c r="BQ23" i="8"/>
  <c r="BR23" i="8" s="1"/>
  <c r="BS23" i="8" s="1"/>
  <c r="BP23" i="8"/>
  <c r="BP24" i="8" s="1"/>
  <c r="BQ24" i="8" s="1"/>
  <c r="BR24" i="8" s="1"/>
  <c r="BS24" i="8" s="1"/>
  <c r="BU22" i="8"/>
  <c r="BV22" i="8" s="1"/>
  <c r="BQ22" i="8"/>
  <c r="BR22" i="8" s="1"/>
  <c r="BS22" i="8" s="1"/>
  <c r="B22" i="8"/>
  <c r="B23" i="8" s="1"/>
  <c r="B24" i="8" s="1"/>
  <c r="B18" i="8"/>
  <c r="B19" i="8" s="1"/>
  <c r="B20" i="8" s="1"/>
  <c r="B13" i="8"/>
  <c r="B14" i="8" s="1"/>
  <c r="B15" i="8" s="1"/>
  <c r="B16" i="8" s="1"/>
  <c r="B6" i="8"/>
  <c r="N31" i="7"/>
  <c r="O31" i="7"/>
  <c r="P31" i="7"/>
  <c r="D103" i="1"/>
  <c r="K30" i="7"/>
  <c r="L30" i="7"/>
  <c r="M30" i="7"/>
  <c r="N30" i="7"/>
  <c r="O30" i="7"/>
  <c r="P30" i="7"/>
  <c r="K29" i="7"/>
  <c r="L29" i="7"/>
  <c r="M29" i="7"/>
  <c r="D102" i="1"/>
  <c r="N29" i="7"/>
  <c r="O29" i="7"/>
  <c r="P29" i="7"/>
  <c r="D100" i="1"/>
  <c r="D101" i="1"/>
  <c r="D28" i="8" s="1"/>
  <c r="K28" i="7"/>
  <c r="L28" i="7"/>
  <c r="M28" i="7"/>
  <c r="N28" i="7"/>
  <c r="O28" i="7"/>
  <c r="P28" i="7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L24" i="7"/>
  <c r="M24" i="7"/>
  <c r="N24" i="7"/>
  <c r="O24" i="7"/>
  <c r="P24" i="7"/>
  <c r="K23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L20" i="7"/>
  <c r="M20" i="7"/>
  <c r="N20" i="7"/>
  <c r="O20" i="7"/>
  <c r="P20" i="7"/>
  <c r="K19" i="7"/>
  <c r="L19" i="7"/>
  <c r="M19" i="7"/>
  <c r="N19" i="7"/>
  <c r="O19" i="7"/>
  <c r="P19" i="7"/>
  <c r="K18" i="7"/>
  <c r="L18" i="7"/>
  <c r="M18" i="7"/>
  <c r="N18" i="7"/>
  <c r="O18" i="7"/>
  <c r="P18" i="7"/>
  <c r="E28" i="8" l="1"/>
  <c r="AZ4" i="9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E29" i="8"/>
  <c r="D29" i="8"/>
  <c r="B7" i="8"/>
  <c r="BU23" i="8"/>
  <c r="BV23" i="8" s="1"/>
  <c r="BP25" i="8"/>
  <c r="BL9" i="9" l="1"/>
  <c r="BL8" i="9"/>
  <c r="BG20" i="9" s="1"/>
  <c r="BQ29" i="9"/>
  <c r="BR29" i="9" s="1"/>
  <c r="BS29" i="9" s="1"/>
  <c r="BP30" i="9"/>
  <c r="BU29" i="9"/>
  <c r="BV28" i="9"/>
  <c r="BP26" i="8"/>
  <c r="BQ25" i="8"/>
  <c r="BR25" i="8" s="1"/>
  <c r="BS25" i="8" s="1"/>
  <c r="BU24" i="8"/>
  <c r="BV24" i="8" s="1"/>
  <c r="D30" i="8"/>
  <c r="B8" i="8"/>
  <c r="BG21" i="9" l="1"/>
  <c r="BU30" i="9"/>
  <c r="BV29" i="9"/>
  <c r="BQ30" i="9"/>
  <c r="BR30" i="9" s="1"/>
  <c r="BS30" i="9" s="1"/>
  <c r="BP31" i="9"/>
  <c r="B9" i="8"/>
  <c r="BU25" i="8"/>
  <c r="BV25" i="8" s="1"/>
  <c r="BQ26" i="8"/>
  <c r="BR26" i="8" s="1"/>
  <c r="BS26" i="8" s="1"/>
  <c r="BP27" i="8"/>
  <c r="BP32" i="9" l="1"/>
  <c r="BQ31" i="9"/>
  <c r="BR31" i="9" s="1"/>
  <c r="BS31" i="9" s="1"/>
  <c r="BV30" i="9"/>
  <c r="BU31" i="9"/>
  <c r="BP28" i="8"/>
  <c r="BQ27" i="8"/>
  <c r="BR27" i="8" s="1"/>
  <c r="BS27" i="8" s="1"/>
  <c r="BU26" i="8"/>
  <c r="BV26" i="8" s="1"/>
  <c r="B10" i="8"/>
  <c r="BV31" i="9" l="1"/>
  <c r="BU32" i="9"/>
  <c r="BQ32" i="9"/>
  <c r="BR32" i="9" s="1"/>
  <c r="BS32" i="9" s="1"/>
  <c r="BP33" i="9"/>
  <c r="BU27" i="8"/>
  <c r="BV27" i="8" s="1"/>
  <c r="BQ28" i="8"/>
  <c r="BR28" i="8" s="1"/>
  <c r="BS28" i="8" s="1"/>
  <c r="BP29" i="8"/>
  <c r="BQ33" i="9" l="1"/>
  <c r="BR33" i="9" s="1"/>
  <c r="BS33" i="9" s="1"/>
  <c r="BP34" i="9"/>
  <c r="BV32" i="9"/>
  <c r="BU33" i="9"/>
  <c r="BU28" i="8"/>
  <c r="BV28" i="8" s="1"/>
  <c r="BQ29" i="8"/>
  <c r="BR29" i="8" s="1"/>
  <c r="BS29" i="8" s="1"/>
  <c r="BP30" i="8"/>
  <c r="BU34" i="9" l="1"/>
  <c r="BV33" i="9"/>
  <c r="BQ34" i="9"/>
  <c r="BR34" i="9" s="1"/>
  <c r="BS34" i="9" s="1"/>
  <c r="BP35" i="9"/>
  <c r="BQ30" i="8"/>
  <c r="BR30" i="8" s="1"/>
  <c r="BS30" i="8" s="1"/>
  <c r="BP31" i="8"/>
  <c r="BU29" i="8"/>
  <c r="BV29" i="8" s="1"/>
  <c r="BP36" i="9" l="1"/>
  <c r="BQ35" i="9"/>
  <c r="BR35" i="9" s="1"/>
  <c r="BS35" i="9" s="1"/>
  <c r="BV34" i="9"/>
  <c r="BU35" i="9"/>
  <c r="BU30" i="8"/>
  <c r="BV30" i="8" s="1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V31" i="8" s="1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V32" i="8" s="1"/>
  <c r="BU38" i="9" l="1"/>
  <c r="BV37" i="9"/>
  <c r="BP39" i="9"/>
  <c r="BQ38" i="9"/>
  <c r="BR38" i="9" s="1"/>
  <c r="BS38" i="9" s="1"/>
  <c r="BU33" i="8"/>
  <c r="BV33" i="8" s="1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4" i="8" s="1"/>
  <c r="BV39" i="9" l="1"/>
  <c r="BU40" i="9"/>
  <c r="BQ40" i="9"/>
  <c r="BR40" i="9" s="1"/>
  <c r="BS40" i="9" s="1"/>
  <c r="BP41" i="9"/>
  <c r="BU35" i="8"/>
  <c r="BV35" i="8" s="1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V36" i="8" s="1"/>
  <c r="BP43" i="9" l="1"/>
  <c r="BQ42" i="9"/>
  <c r="BR42" i="9" s="1"/>
  <c r="BS42" i="9" s="1"/>
  <c r="BU42" i="9"/>
  <c r="BV41" i="9"/>
  <c r="BU37" i="8"/>
  <c r="BV37" i="8" s="1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V38" i="8" s="1"/>
  <c r="BQ44" i="9" l="1"/>
  <c r="BR44" i="9" s="1"/>
  <c r="BS44" i="9" s="1"/>
  <c r="BP45" i="9"/>
  <c r="BV43" i="9"/>
  <c r="BU44" i="9"/>
  <c r="BU39" i="8"/>
  <c r="BV39" i="8" s="1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V40" i="8" s="1"/>
  <c r="BP47" i="9" l="1"/>
  <c r="BQ46" i="9"/>
  <c r="BR46" i="9" s="1"/>
  <c r="BS46" i="9" s="1"/>
  <c r="BU46" i="9"/>
  <c r="BV45" i="9"/>
  <c r="BU41" i="8"/>
  <c r="BV41" i="8" s="1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V42" i="8" s="1"/>
  <c r="BQ48" i="9" l="1"/>
  <c r="BR48" i="9" s="1"/>
  <c r="BS48" i="9" s="1"/>
  <c r="BP49" i="9"/>
  <c r="BV47" i="9"/>
  <c r="BU48" i="9"/>
  <c r="BU43" i="8"/>
  <c r="BV43" i="8" s="1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V44" i="8" s="1"/>
  <c r="BP51" i="9" l="1"/>
  <c r="BQ50" i="9"/>
  <c r="BR50" i="9" s="1"/>
  <c r="BS50" i="9" s="1"/>
  <c r="BU50" i="9"/>
  <c r="BV49" i="9"/>
  <c r="BU45" i="8"/>
  <c r="BV45" i="8" s="1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V46" i="8" s="1"/>
  <c r="BQ52" i="9" l="1"/>
  <c r="BR52" i="9" s="1"/>
  <c r="BS52" i="9" s="1"/>
  <c r="BP53" i="9"/>
  <c r="BV51" i="9"/>
  <c r="BU52" i="9"/>
  <c r="BU47" i="8"/>
  <c r="BV47" i="8" s="1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V48" i="8" s="1"/>
  <c r="BU54" i="9" l="1"/>
  <c r="BV53" i="9"/>
  <c r="BP55" i="9"/>
  <c r="BQ54" i="9"/>
  <c r="BR54" i="9" s="1"/>
  <c r="BS54" i="9" s="1"/>
  <c r="BU49" i="8"/>
  <c r="BV49" i="8" s="1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0" i="8" s="1"/>
  <c r="BV55" i="9" l="1"/>
  <c r="BU56" i="9"/>
  <c r="BQ56" i="9"/>
  <c r="BR56" i="9" s="1"/>
  <c r="BS56" i="9" s="1"/>
  <c r="BP57" i="9"/>
  <c r="BU51" i="8"/>
  <c r="BV51" i="8" s="1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V52" i="8" s="1"/>
  <c r="BP59" i="9" l="1"/>
  <c r="BQ58" i="9"/>
  <c r="BR58" i="9" s="1"/>
  <c r="BS58" i="9" s="1"/>
  <c r="BU58" i="9"/>
  <c r="BV57" i="9"/>
  <c r="BU53" i="8"/>
  <c r="BV53" i="8" s="1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V54" i="8" s="1"/>
  <c r="BQ60" i="9" l="1"/>
  <c r="BR60" i="9" s="1"/>
  <c r="BS60" i="9" s="1"/>
  <c r="BP61" i="9"/>
  <c r="BV59" i="9"/>
  <c r="BU60" i="9"/>
  <c r="BU55" i="8"/>
  <c r="BV55" i="8" s="1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V56" i="8" s="1"/>
  <c r="BP63" i="9" l="1"/>
  <c r="BQ62" i="9"/>
  <c r="BR62" i="9" s="1"/>
  <c r="BS62" i="9" s="1"/>
  <c r="BU62" i="9"/>
  <c r="BV61" i="9"/>
  <c r="BU57" i="8"/>
  <c r="BV57" i="8" s="1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V58" i="8" s="1"/>
  <c r="BQ64" i="9" l="1"/>
  <c r="BR64" i="9" s="1"/>
  <c r="BS64" i="9" s="1"/>
  <c r="BP65" i="9"/>
  <c r="BV63" i="9"/>
  <c r="BU64" i="9"/>
  <c r="BU59" i="8"/>
  <c r="BV59" i="8" s="1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V60" i="8" s="1"/>
  <c r="BU66" i="9" l="1"/>
  <c r="BV65" i="9"/>
  <c r="BP67" i="9"/>
  <c r="BQ66" i="9"/>
  <c r="BR66" i="9" s="1"/>
  <c r="BS66" i="9" s="1"/>
  <c r="BU61" i="8"/>
  <c r="BV61" i="8" s="1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2" i="8" s="1"/>
  <c r="BV67" i="9" l="1"/>
  <c r="BU68" i="9"/>
  <c r="BQ68" i="9"/>
  <c r="BR68" i="9" s="1"/>
  <c r="BS68" i="9" s="1"/>
  <c r="BP69" i="9"/>
  <c r="BU63" i="8"/>
  <c r="BV63" i="8" s="1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V64" i="8" s="1"/>
  <c r="BU70" i="9" l="1"/>
  <c r="BV69" i="9"/>
  <c r="BP71" i="9"/>
  <c r="BQ70" i="9"/>
  <c r="BR70" i="9" s="1"/>
  <c r="BS70" i="9" s="1"/>
  <c r="BU65" i="8"/>
  <c r="BV65" i="8" s="1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66" i="8" s="1"/>
  <c r="BV71" i="9" l="1"/>
  <c r="BU72" i="9"/>
  <c r="BQ72" i="9"/>
  <c r="BR72" i="9" s="1"/>
  <c r="BS72" i="9" s="1"/>
  <c r="BP73" i="9"/>
  <c r="BU67" i="8"/>
  <c r="BV67" i="8" s="1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V68" i="8" s="1"/>
  <c r="BU74" i="9" l="1"/>
  <c r="BV73" i="9"/>
  <c r="BP75" i="9"/>
  <c r="BQ74" i="9"/>
  <c r="BR74" i="9" s="1"/>
  <c r="BS74" i="9" s="1"/>
  <c r="BU69" i="8"/>
  <c r="BV69" i="8" s="1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V70" i="8" s="1"/>
  <c r="BQ76" i="9" l="1"/>
  <c r="BR76" i="9" s="1"/>
  <c r="BS76" i="9" s="1"/>
  <c r="BP77" i="9"/>
  <c r="BV75" i="9"/>
  <c r="BU76" i="9"/>
  <c r="BU71" i="8"/>
  <c r="BV71" i="8" s="1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V72" i="8" s="1"/>
  <c r="BU78" i="9" l="1"/>
  <c r="BV77" i="9"/>
  <c r="BP79" i="9"/>
  <c r="BQ78" i="9"/>
  <c r="BR78" i="9" s="1"/>
  <c r="BS78" i="9" s="1"/>
  <c r="BU73" i="8"/>
  <c r="BV73" i="8" s="1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V74" i="8" s="1"/>
  <c r="BQ80" i="9" l="1"/>
  <c r="BR80" i="9" s="1"/>
  <c r="BS80" i="9" s="1"/>
  <c r="BP81" i="9"/>
  <c r="BV79" i="9"/>
  <c r="BU80" i="9"/>
  <c r="BU75" i="8"/>
  <c r="BV75" i="8" s="1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V76" i="8" s="1"/>
  <c r="BP83" i="9" l="1"/>
  <c r="BQ82" i="9"/>
  <c r="BR82" i="9" s="1"/>
  <c r="BS82" i="9" s="1"/>
  <c r="BU82" i="9"/>
  <c r="BV81" i="9"/>
  <c r="BU77" i="8"/>
  <c r="BV77" i="8" s="1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V78" i="8" s="1"/>
  <c r="BQ84" i="9" l="1"/>
  <c r="BR84" i="9" s="1"/>
  <c r="BS84" i="9" s="1"/>
  <c r="BP85" i="9"/>
  <c r="BV83" i="9"/>
  <c r="BU84" i="9"/>
  <c r="BU79" i="8"/>
  <c r="BV79" i="8" s="1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V80" i="8" s="1"/>
  <c r="BP87" i="9" l="1"/>
  <c r="BQ86" i="9"/>
  <c r="BR86" i="9" s="1"/>
  <c r="BS86" i="9" s="1"/>
  <c r="BU86" i="9"/>
  <c r="BV85" i="9"/>
  <c r="BU81" i="8"/>
  <c r="BV81" i="8" s="1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V82" i="8" s="1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V83" i="8" s="1"/>
  <c r="BU89" i="9" l="1"/>
  <c r="BV88" i="9"/>
  <c r="BQ89" i="9"/>
  <c r="BR89" i="9" s="1"/>
  <c r="BS89" i="9" s="1"/>
  <c r="BP90" i="9"/>
  <c r="BU84" i="8"/>
  <c r="BV84" i="8" s="1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85" i="8" s="1"/>
  <c r="BV90" i="9" l="1"/>
  <c r="BU91" i="9"/>
  <c r="BP92" i="9"/>
  <c r="BQ91" i="9"/>
  <c r="BR91" i="9" s="1"/>
  <c r="BS91" i="9" s="1"/>
  <c r="BU86" i="8"/>
  <c r="BV86" i="8" s="1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V87" i="8" s="1"/>
  <c r="BU93" i="9" l="1"/>
  <c r="BV92" i="9"/>
  <c r="BQ93" i="9"/>
  <c r="BR93" i="9" s="1"/>
  <c r="BS93" i="9" s="1"/>
  <c r="BP94" i="9"/>
  <c r="BU88" i="8"/>
  <c r="BV88" i="8" s="1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89" i="8" s="1"/>
  <c r="BV94" i="9" l="1"/>
  <c r="BU95" i="9"/>
  <c r="BP96" i="9"/>
  <c r="BQ95" i="9"/>
  <c r="BR95" i="9" s="1"/>
  <c r="BS95" i="9" s="1"/>
  <c r="BU90" i="8"/>
  <c r="BV90" i="8" s="1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V91" i="8" s="1"/>
  <c r="BQ97" i="9" l="1"/>
  <c r="BR97" i="9" s="1"/>
  <c r="BS97" i="9" s="1"/>
  <c r="BP98" i="9"/>
  <c r="BU92" i="8"/>
  <c r="BV92" i="8" s="1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V93" i="8" s="1"/>
  <c r="BQ99" i="9" l="1"/>
  <c r="BR99" i="9" s="1"/>
  <c r="BS99" i="9" s="1"/>
  <c r="BP100" i="9"/>
  <c r="BU94" i="8"/>
  <c r="BV94" i="8" s="1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V95" i="8" s="1"/>
  <c r="BQ101" i="9" l="1"/>
  <c r="BR101" i="9" s="1"/>
  <c r="BS101" i="9" s="1"/>
  <c r="BP102" i="9"/>
  <c r="BU96" i="8"/>
  <c r="BV96" i="8" s="1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7" i="7" l="1"/>
  <c r="L17" i="7"/>
  <c r="M17" i="7"/>
  <c r="N17" i="7"/>
  <c r="O17" i="7"/>
  <c r="P17" i="7"/>
  <c r="P16" i="7"/>
  <c r="L16" i="7"/>
  <c r="M16" i="7"/>
  <c r="N16" i="7"/>
  <c r="O16" i="7"/>
  <c r="K15" i="7"/>
  <c r="L15" i="7"/>
  <c r="M15" i="7"/>
  <c r="N15" i="7"/>
  <c r="O15" i="7"/>
  <c r="P15" i="7"/>
  <c r="K14" i="7"/>
  <c r="L14" i="7"/>
  <c r="M14" i="7"/>
  <c r="N14" i="7"/>
  <c r="O14" i="7"/>
  <c r="P14" i="7"/>
  <c r="K13" i="7"/>
  <c r="L13" i="7"/>
  <c r="M13" i="7"/>
  <c r="N13" i="7"/>
  <c r="O13" i="7"/>
  <c r="P13" i="7"/>
  <c r="D29" i="1"/>
  <c r="D28" i="1"/>
  <c r="E11" i="8" l="1"/>
  <c r="AG11" i="8" s="1"/>
  <c r="E11" i="7"/>
  <c r="AG11" i="7" s="1"/>
  <c r="D11" i="7"/>
  <c r="AF11" i="7" s="1"/>
  <c r="D11" i="8"/>
  <c r="AF11" i="8" s="1"/>
  <c r="D12" i="8"/>
  <c r="E12" i="8"/>
  <c r="D13" i="8"/>
  <c r="K12" i="7"/>
  <c r="L12" i="7"/>
  <c r="M12" i="7"/>
  <c r="N12" i="7"/>
  <c r="O12" i="7"/>
  <c r="P12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30" i="7"/>
  <c r="B31" i="7" s="1"/>
  <c r="B29" i="7"/>
  <c r="B26" i="7"/>
  <c r="B27" i="7" s="1"/>
  <c r="BP23" i="7"/>
  <c r="BU22" i="7"/>
  <c r="BV22" i="7" s="1"/>
  <c r="BQ22" i="7"/>
  <c r="BR22" i="7" s="1"/>
  <c r="BS22" i="7" s="1"/>
  <c r="B22" i="7"/>
  <c r="B23" i="7" s="1"/>
  <c r="B24" i="7" s="1"/>
  <c r="B18" i="7"/>
  <c r="B19" i="7" s="1"/>
  <c r="B20" i="7" s="1"/>
  <c r="B13" i="7"/>
  <c r="B14" i="7" s="1"/>
  <c r="B15" i="7" s="1"/>
  <c r="B16" i="7" s="1"/>
  <c r="B6" i="7"/>
  <c r="B7" i="7" s="1"/>
  <c r="N31" i="6"/>
  <c r="O31" i="6"/>
  <c r="P31" i="6"/>
  <c r="K30" i="6"/>
  <c r="L30" i="6"/>
  <c r="M30" i="6"/>
  <c r="N30" i="6"/>
  <c r="O30" i="6"/>
  <c r="P30" i="6"/>
  <c r="K29" i="6"/>
  <c r="L29" i="6"/>
  <c r="M29" i="6"/>
  <c r="N29" i="6"/>
  <c r="O29" i="6"/>
  <c r="P29" i="6"/>
  <c r="K28" i="5"/>
  <c r="L28" i="5"/>
  <c r="K28" i="3"/>
  <c r="L28" i="3"/>
  <c r="K28" i="6"/>
  <c r="L28" i="6"/>
  <c r="N28" i="6"/>
  <c r="M28" i="6"/>
  <c r="O28" i="6"/>
  <c r="P28" i="6"/>
  <c r="K27" i="6"/>
  <c r="L27" i="6"/>
  <c r="M27" i="6"/>
  <c r="N27" i="6"/>
  <c r="O27" i="6"/>
  <c r="P27" i="6"/>
  <c r="K26" i="6"/>
  <c r="L26" i="6"/>
  <c r="M26" i="6"/>
  <c r="N26" i="6"/>
  <c r="O26" i="6"/>
  <c r="P26" i="6"/>
  <c r="K25" i="6"/>
  <c r="L25" i="6"/>
  <c r="M25" i="6"/>
  <c r="N25" i="6"/>
  <c r="P25" i="6"/>
  <c r="O25" i="6"/>
  <c r="L24" i="6"/>
  <c r="M24" i="6"/>
  <c r="N24" i="6"/>
  <c r="O24" i="6"/>
  <c r="P24" i="6"/>
  <c r="K23" i="6"/>
  <c r="L23" i="6"/>
  <c r="M23" i="6"/>
  <c r="N23" i="6"/>
  <c r="O23" i="6"/>
  <c r="P23" i="6"/>
  <c r="K22" i="6"/>
  <c r="L22" i="6"/>
  <c r="M22" i="6"/>
  <c r="N22" i="6"/>
  <c r="O22" i="6"/>
  <c r="P22" i="6"/>
  <c r="K21" i="6"/>
  <c r="L21" i="6"/>
  <c r="M21" i="6"/>
  <c r="N21" i="6"/>
  <c r="O21" i="6"/>
  <c r="P21" i="6"/>
  <c r="L20" i="6"/>
  <c r="M20" i="6"/>
  <c r="N20" i="6"/>
  <c r="O20" i="6"/>
  <c r="P20" i="6"/>
  <c r="K19" i="6"/>
  <c r="L19" i="6"/>
  <c r="M19" i="6"/>
  <c r="N19" i="6"/>
  <c r="O19" i="6"/>
  <c r="P19" i="6"/>
  <c r="K18" i="6"/>
  <c r="L18" i="6"/>
  <c r="M18" i="6"/>
  <c r="N18" i="6"/>
  <c r="O18" i="6"/>
  <c r="P18" i="6"/>
  <c r="L16" i="6"/>
  <c r="M16" i="6"/>
  <c r="N16" i="6"/>
  <c r="O16" i="6"/>
  <c r="P16" i="6"/>
  <c r="K15" i="6"/>
  <c r="L15" i="6"/>
  <c r="M15" i="6"/>
  <c r="N15" i="6"/>
  <c r="O15" i="6"/>
  <c r="P15" i="6"/>
  <c r="K14" i="6"/>
  <c r="L14" i="6"/>
  <c r="M14" i="6"/>
  <c r="N14" i="6"/>
  <c r="O14" i="6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7" i="6"/>
  <c r="L17" i="6"/>
  <c r="M17" i="6"/>
  <c r="N17" i="6"/>
  <c r="O17" i="6"/>
  <c r="P17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9" i="6"/>
  <c r="AC30" i="6"/>
  <c r="AC31" i="6"/>
  <c r="AR31" i="6" s="1"/>
  <c r="AC28" i="6"/>
  <c r="AC26" i="6"/>
  <c r="AM26" i="6" s="1"/>
  <c r="AC27" i="6"/>
  <c r="AC25" i="6"/>
  <c r="AQ25" i="6" s="1"/>
  <c r="AC22" i="6"/>
  <c r="AN22" i="6" s="1"/>
  <c r="AC23" i="6"/>
  <c r="AO23" i="6" s="1"/>
  <c r="AC24" i="6"/>
  <c r="AP24" i="6" s="1"/>
  <c r="AC21" i="6"/>
  <c r="AN21" i="6" s="1"/>
  <c r="AC18" i="6"/>
  <c r="AM18" i="6" s="1"/>
  <c r="AC19" i="6"/>
  <c r="AR19" i="6" s="1"/>
  <c r="AC20" i="6"/>
  <c r="AR20" i="6" s="1"/>
  <c r="AC17" i="6"/>
  <c r="AC13" i="6"/>
  <c r="AN13" i="6" s="1"/>
  <c r="AC14" i="6"/>
  <c r="AP14" i="6" s="1"/>
  <c r="AC15" i="6"/>
  <c r="AO15" i="6" s="1"/>
  <c r="AC16" i="6"/>
  <c r="AP16" i="6" s="1"/>
  <c r="AC12" i="6"/>
  <c r="AC6" i="6"/>
  <c r="AC7" i="6"/>
  <c r="AC8" i="6"/>
  <c r="AO8" i="6" s="1"/>
  <c r="AC9" i="6"/>
  <c r="AM9" i="6" s="1"/>
  <c r="AC10" i="6"/>
  <c r="AC5" i="6"/>
  <c r="AQ5" i="6" s="1"/>
  <c r="P5" i="6"/>
  <c r="E5" i="6"/>
  <c r="F5" i="6"/>
  <c r="G5" i="6"/>
  <c r="H5" i="6"/>
  <c r="I5" i="6"/>
  <c r="J5" i="6"/>
  <c r="E12" i="6"/>
  <c r="F12" i="6"/>
  <c r="G12" i="6"/>
  <c r="H12" i="6"/>
  <c r="I12" i="6"/>
  <c r="J12" i="6"/>
  <c r="E17" i="6"/>
  <c r="F17" i="6"/>
  <c r="G17" i="6"/>
  <c r="H17" i="6"/>
  <c r="I17" i="6"/>
  <c r="J17" i="6"/>
  <c r="E21" i="6"/>
  <c r="F21" i="6"/>
  <c r="G21" i="6"/>
  <c r="H21" i="6"/>
  <c r="I21" i="6"/>
  <c r="J21" i="6"/>
  <c r="E25" i="6"/>
  <c r="F25" i="6"/>
  <c r="G25" i="6"/>
  <c r="H25" i="6"/>
  <c r="AJ25" i="6" s="1"/>
  <c r="I25" i="6"/>
  <c r="J25" i="6"/>
  <c r="E28" i="6"/>
  <c r="F28" i="6"/>
  <c r="G28" i="6"/>
  <c r="AI28" i="6" s="1"/>
  <c r="H28" i="6"/>
  <c r="I28" i="6"/>
  <c r="J28" i="6"/>
  <c r="D28" i="6"/>
  <c r="D25" i="6"/>
  <c r="D21" i="6"/>
  <c r="D17" i="6"/>
  <c r="D12" i="6"/>
  <c r="D5" i="6"/>
  <c r="B29" i="6"/>
  <c r="B30" i="6" s="1"/>
  <c r="B31" i="6" s="1"/>
  <c r="B26" i="6"/>
  <c r="B27" i="6" s="1"/>
  <c r="BP23" i="6"/>
  <c r="BU22" i="6"/>
  <c r="BV22" i="6" s="1"/>
  <c r="BQ22" i="6"/>
  <c r="BR22" i="6" s="1"/>
  <c r="BS22" i="6" s="1"/>
  <c r="B22" i="6"/>
  <c r="B23" i="6" s="1"/>
  <c r="B24" i="6" s="1"/>
  <c r="B18" i="6"/>
  <c r="B19" i="6" s="1"/>
  <c r="B20" i="6" s="1"/>
  <c r="B13" i="6"/>
  <c r="B14" i="6" s="1"/>
  <c r="B15" i="6" s="1"/>
  <c r="B16" i="6" s="1"/>
  <c r="B6" i="6"/>
  <c r="F6" i="6" s="1"/>
  <c r="N31" i="3"/>
  <c r="O31" i="3"/>
  <c r="P31" i="3"/>
  <c r="K30" i="3"/>
  <c r="L30" i="3"/>
  <c r="M30" i="3"/>
  <c r="N30" i="3"/>
  <c r="O30" i="3"/>
  <c r="P30" i="3"/>
  <c r="K29" i="3"/>
  <c r="L29" i="3"/>
  <c r="M29" i="3"/>
  <c r="N29" i="3"/>
  <c r="O29" i="3"/>
  <c r="P29" i="3"/>
  <c r="M28" i="3"/>
  <c r="N28" i="3"/>
  <c r="O28" i="3"/>
  <c r="P28" i="3"/>
  <c r="K27" i="3"/>
  <c r="L27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L24" i="3"/>
  <c r="M24" i="3"/>
  <c r="N24" i="3"/>
  <c r="O24" i="3"/>
  <c r="P24" i="3"/>
  <c r="K23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L16" i="3"/>
  <c r="M16" i="3"/>
  <c r="N16" i="3"/>
  <c r="O16" i="3"/>
  <c r="P16" i="3"/>
  <c r="K15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9" i="3"/>
  <c r="AC30" i="3"/>
  <c r="AC31" i="3"/>
  <c r="AC28" i="3"/>
  <c r="AC26" i="3"/>
  <c r="AC27" i="3"/>
  <c r="AC25" i="3"/>
  <c r="AC22" i="3"/>
  <c r="AC23" i="3"/>
  <c r="AC24" i="3"/>
  <c r="AQ24" i="3" s="1"/>
  <c r="AC21" i="3"/>
  <c r="AC18" i="3"/>
  <c r="AC19" i="3"/>
  <c r="AC20" i="3"/>
  <c r="AN20" i="3" s="1"/>
  <c r="AC17" i="3"/>
  <c r="AC13" i="3"/>
  <c r="AQ13" i="3" s="1"/>
  <c r="AC14" i="3"/>
  <c r="AM14" i="3" s="1"/>
  <c r="AC15" i="3"/>
  <c r="AC16" i="3"/>
  <c r="AC12" i="3"/>
  <c r="AC6" i="3"/>
  <c r="AC10" i="3"/>
  <c r="AC5" i="3"/>
  <c r="P6" i="3"/>
  <c r="K5" i="3"/>
  <c r="L5" i="3"/>
  <c r="M5" i="3"/>
  <c r="N5" i="3"/>
  <c r="O5" i="3"/>
  <c r="P5" i="3"/>
  <c r="E28" i="3"/>
  <c r="F28" i="3"/>
  <c r="G28" i="3"/>
  <c r="H28" i="3"/>
  <c r="I28" i="3"/>
  <c r="J28" i="3"/>
  <c r="D28" i="3"/>
  <c r="E25" i="3"/>
  <c r="F25" i="3"/>
  <c r="G25" i="3"/>
  <c r="H25" i="3"/>
  <c r="I25" i="3"/>
  <c r="J25" i="3"/>
  <c r="D25" i="3"/>
  <c r="E21" i="3"/>
  <c r="F21" i="3"/>
  <c r="G21" i="3"/>
  <c r="H21" i="3"/>
  <c r="I21" i="3"/>
  <c r="J21" i="3"/>
  <c r="D21" i="3"/>
  <c r="E17" i="3"/>
  <c r="F17" i="3"/>
  <c r="G17" i="3"/>
  <c r="H17" i="3"/>
  <c r="I17" i="3"/>
  <c r="J17" i="3"/>
  <c r="D17" i="3"/>
  <c r="E12" i="3"/>
  <c r="F12" i="3"/>
  <c r="G12" i="3"/>
  <c r="H12" i="3"/>
  <c r="I12" i="3"/>
  <c r="J12" i="3"/>
  <c r="D12" i="3"/>
  <c r="D5" i="3"/>
  <c r="AC31" i="5"/>
  <c r="AR31" i="5" s="1"/>
  <c r="N31" i="5"/>
  <c r="AC30" i="5"/>
  <c r="P30" i="5"/>
  <c r="O30" i="5"/>
  <c r="N30" i="5"/>
  <c r="M30" i="5"/>
  <c r="L30" i="5"/>
  <c r="K30" i="5"/>
  <c r="AC29" i="5"/>
  <c r="P29" i="5"/>
  <c r="O29" i="5"/>
  <c r="N29" i="5"/>
  <c r="M29" i="5"/>
  <c r="L29" i="5"/>
  <c r="K29" i="5"/>
  <c r="B29" i="5"/>
  <c r="B30" i="5" s="1"/>
  <c r="B31" i="5" s="1"/>
  <c r="AC28" i="5"/>
  <c r="AN28" i="5" s="1"/>
  <c r="P28" i="5"/>
  <c r="O28" i="5"/>
  <c r="N28" i="5"/>
  <c r="M28" i="5"/>
  <c r="J28" i="5"/>
  <c r="I28" i="5"/>
  <c r="H28" i="5"/>
  <c r="G28" i="5"/>
  <c r="F28" i="5"/>
  <c r="E28" i="5"/>
  <c r="D28" i="5"/>
  <c r="AC27" i="5"/>
  <c r="P27" i="5"/>
  <c r="O27" i="5"/>
  <c r="N27" i="5"/>
  <c r="M27" i="5"/>
  <c r="L27" i="5"/>
  <c r="K27" i="5"/>
  <c r="AC26" i="5"/>
  <c r="P26" i="5"/>
  <c r="O26" i="5"/>
  <c r="N26" i="5"/>
  <c r="M26" i="5"/>
  <c r="L26" i="5"/>
  <c r="K26" i="5"/>
  <c r="B26" i="5"/>
  <c r="B27" i="5" s="1"/>
  <c r="AC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BP23" i="5"/>
  <c r="AC24" i="5"/>
  <c r="P24" i="5"/>
  <c r="O24" i="5"/>
  <c r="N24" i="5"/>
  <c r="M24" i="5"/>
  <c r="L24" i="5"/>
  <c r="BU22" i="5"/>
  <c r="BV22" i="5" s="1"/>
  <c r="BQ22" i="5"/>
  <c r="BR22" i="5" s="1"/>
  <c r="BS22" i="5" s="1"/>
  <c r="AC23" i="5"/>
  <c r="P23" i="5"/>
  <c r="O23" i="5"/>
  <c r="N23" i="5"/>
  <c r="M23" i="5"/>
  <c r="L23" i="5"/>
  <c r="K23" i="5"/>
  <c r="AC22" i="5"/>
  <c r="P22" i="5"/>
  <c r="O22" i="5"/>
  <c r="N22" i="5"/>
  <c r="M22" i="5"/>
  <c r="L22" i="5"/>
  <c r="K22" i="5"/>
  <c r="B22" i="5"/>
  <c r="B23" i="5" s="1"/>
  <c r="B24" i="5" s="1"/>
  <c r="AC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AC20" i="5"/>
  <c r="P20" i="5"/>
  <c r="O20" i="5"/>
  <c r="N20" i="5"/>
  <c r="M20" i="5"/>
  <c r="L20" i="5"/>
  <c r="K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B18" i="5"/>
  <c r="B19" i="5" s="1"/>
  <c r="B20" i="5" s="1"/>
  <c r="AC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C16" i="5"/>
  <c r="P16" i="5"/>
  <c r="O16" i="5"/>
  <c r="N16" i="5"/>
  <c r="M16" i="5"/>
  <c r="L16" i="5"/>
  <c r="AC15" i="5"/>
  <c r="P15" i="5"/>
  <c r="O15" i="5"/>
  <c r="N15" i="5"/>
  <c r="M15" i="5"/>
  <c r="L15" i="5"/>
  <c r="K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B13" i="5"/>
  <c r="B14" i="5" s="1"/>
  <c r="B15" i="5" s="1"/>
  <c r="B16" i="5" s="1"/>
  <c r="AC12" i="5"/>
  <c r="P12" i="5"/>
  <c r="O12" i="5"/>
  <c r="N12" i="5"/>
  <c r="M12" i="5"/>
  <c r="L12" i="5"/>
  <c r="K12" i="5"/>
  <c r="J12" i="5"/>
  <c r="I12" i="5"/>
  <c r="AK12" i="5" s="1"/>
  <c r="H12" i="5"/>
  <c r="G12" i="5"/>
  <c r="F12" i="5"/>
  <c r="E12" i="5"/>
  <c r="D12" i="5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M12" i="5" s="1"/>
  <c r="BK6" i="5"/>
  <c r="BK12" i="5" s="1"/>
  <c r="BJ6" i="5"/>
  <c r="BJ12" i="5" s="1"/>
  <c r="BI6" i="5"/>
  <c r="BH6" i="5"/>
  <c r="BG6" i="5"/>
  <c r="AC6" i="5"/>
  <c r="P6" i="5"/>
  <c r="O6" i="5"/>
  <c r="N6" i="5"/>
  <c r="M6" i="5"/>
  <c r="L6" i="5"/>
  <c r="K6" i="5"/>
  <c r="F6" i="5"/>
  <c r="B6" i="5"/>
  <c r="H22" i="5" s="1"/>
  <c r="AC5" i="5"/>
  <c r="P5" i="5"/>
  <c r="O5" i="5"/>
  <c r="N5" i="5"/>
  <c r="M5" i="5"/>
  <c r="L5" i="5"/>
  <c r="K5" i="5"/>
  <c r="J5" i="5"/>
  <c r="I5" i="5"/>
  <c r="H5" i="5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V22" i="3" s="1"/>
  <c r="BQ22" i="3"/>
  <c r="BR22" i="3" s="1"/>
  <c r="BS22" i="3" s="1"/>
  <c r="BP23" i="3"/>
  <c r="BQ23" i="3" s="1"/>
  <c r="BR23" i="3" s="1"/>
  <c r="BS23" i="3" s="1"/>
  <c r="AH12" i="5" l="1"/>
  <c r="AL28" i="6"/>
  <c r="AK28" i="6"/>
  <c r="AJ28" i="6"/>
  <c r="AP12" i="5"/>
  <c r="AI12" i="5"/>
  <c r="AJ12" i="5"/>
  <c r="AG12" i="5"/>
  <c r="AH28" i="6"/>
  <c r="AG28" i="6"/>
  <c r="AH28" i="5"/>
  <c r="AJ28" i="5"/>
  <c r="AM12" i="5"/>
  <c r="AI17" i="6"/>
  <c r="AO12" i="5"/>
  <c r="AF12" i="5"/>
  <c r="AN12" i="5"/>
  <c r="AL25" i="6"/>
  <c r="AH17" i="6"/>
  <c r="AQ12" i="5"/>
  <c r="AR12" i="5"/>
  <c r="AH25" i="6"/>
  <c r="AL17" i="6"/>
  <c r="AL12" i="5"/>
  <c r="AJ17" i="6"/>
  <c r="AR5" i="6"/>
  <c r="BU23" i="6"/>
  <c r="AO29" i="6"/>
  <c r="I13" i="6"/>
  <c r="J6" i="6"/>
  <c r="AL6" i="6" s="1"/>
  <c r="AM30" i="6"/>
  <c r="F18" i="6"/>
  <c r="AH18" i="6" s="1"/>
  <c r="AR10" i="6"/>
  <c r="F22" i="6"/>
  <c r="AH22" i="6" s="1"/>
  <c r="AP17" i="6"/>
  <c r="BU24" i="6"/>
  <c r="BV24" i="6" s="1"/>
  <c r="BV23" i="6"/>
  <c r="F26" i="6"/>
  <c r="AH26" i="6" s="1"/>
  <c r="I29" i="6"/>
  <c r="AR6" i="6"/>
  <c r="AR23" i="6"/>
  <c r="AM25" i="6"/>
  <c r="AN12" i="6"/>
  <c r="AM28" i="6"/>
  <c r="AQ15" i="6"/>
  <c r="AN17" i="3"/>
  <c r="AM25" i="3"/>
  <c r="AQ30" i="3"/>
  <c r="AO18" i="5"/>
  <c r="AJ5" i="5"/>
  <c r="BG12" i="5"/>
  <c r="BG13" i="5" s="1"/>
  <c r="BH12" i="5"/>
  <c r="BH13" i="5" s="1"/>
  <c r="BI12" i="5"/>
  <c r="BI13" i="5" s="1"/>
  <c r="AR25" i="5"/>
  <c r="AQ10" i="3"/>
  <c r="AN26" i="3"/>
  <c r="AQ31" i="3"/>
  <c r="AR5" i="3"/>
  <c r="AQ5" i="3"/>
  <c r="AP5" i="3"/>
  <c r="AM12" i="3"/>
  <c r="AO5" i="3"/>
  <c r="AN5" i="3"/>
  <c r="BM13" i="5"/>
  <c r="AR14" i="5"/>
  <c r="AM13" i="5"/>
  <c r="AP20" i="5"/>
  <c r="BL10" i="5"/>
  <c r="AF21" i="5"/>
  <c r="AP26" i="5"/>
  <c r="AO22" i="5"/>
  <c r="AP6" i="5"/>
  <c r="BL6" i="5"/>
  <c r="BL12" i="5" s="1"/>
  <c r="BK13" i="5"/>
  <c r="AM7" i="5"/>
  <c r="AN21" i="5"/>
  <c r="AL25" i="5"/>
  <c r="AO29" i="5"/>
  <c r="AQ16" i="5"/>
  <c r="AP17" i="5"/>
  <c r="AR30" i="5"/>
  <c r="AN16" i="5"/>
  <c r="AM22" i="5"/>
  <c r="AO27" i="5"/>
  <c r="AO30" i="5"/>
  <c r="AP27" i="5"/>
  <c r="AO28" i="5"/>
  <c r="AR29" i="5"/>
  <c r="BJ13" i="5"/>
  <c r="AJ22" i="5"/>
  <c r="AQ22" i="5"/>
  <c r="AI25" i="5"/>
  <c r="AQ25" i="5"/>
  <c r="AQ27" i="5"/>
  <c r="AP15" i="5"/>
  <c r="AQ21" i="5"/>
  <c r="AN30" i="5"/>
  <c r="AF17" i="6"/>
  <c r="AF25" i="6"/>
  <c r="AF28" i="6"/>
  <c r="AF5" i="6"/>
  <c r="AK25" i="5"/>
  <c r="AK28" i="5"/>
  <c r="AR26" i="6"/>
  <c r="AQ23" i="6"/>
  <c r="AO10" i="6"/>
  <c r="AN17" i="6"/>
  <c r="AQ14" i="6"/>
  <c r="AR22" i="6"/>
  <c r="AQ13" i="6"/>
  <c r="AQ22" i="6"/>
  <c r="AR13" i="6"/>
  <c r="AP6" i="6"/>
  <c r="AN9" i="6"/>
  <c r="AP13" i="6"/>
  <c r="AN29" i="6"/>
  <c r="AP29" i="6"/>
  <c r="AM19" i="6"/>
  <c r="AM29" i="6"/>
  <c r="AQ6" i="6"/>
  <c r="AR9" i="6"/>
  <c r="AN18" i="6"/>
  <c r="AO19" i="6"/>
  <c r="AG5" i="6"/>
  <c r="AQ16" i="6"/>
  <c r="AO18" i="6"/>
  <c r="AN26" i="6"/>
  <c r="AP31" i="6"/>
  <c r="AH21" i="6"/>
  <c r="AR12" i="6"/>
  <c r="AO16" i="6"/>
  <c r="AR18" i="6"/>
  <c r="AR21" i="6"/>
  <c r="AM8" i="6"/>
  <c r="AQ9" i="6"/>
  <c r="AQ12" i="6"/>
  <c r="AO13" i="6"/>
  <c r="AN16" i="6"/>
  <c r="AQ18" i="6"/>
  <c r="AQ21" i="6"/>
  <c r="AO22" i="6"/>
  <c r="AR25" i="6"/>
  <c r="AQ26" i="6"/>
  <c r="AR28" i="6"/>
  <c r="AQ28" i="6"/>
  <c r="AF21" i="6"/>
  <c r="AO6" i="6"/>
  <c r="AO14" i="6"/>
  <c r="AN15" i="6"/>
  <c r="AR16" i="6"/>
  <c r="AQ19" i="6"/>
  <c r="AP21" i="6"/>
  <c r="AN23" i="6"/>
  <c r="AN24" i="6"/>
  <c r="AN28" i="6"/>
  <c r="AJ5" i="6"/>
  <c r="AN6" i="6"/>
  <c r="AQ17" i="6"/>
  <c r="AO12" i="6"/>
  <c r="AM13" i="6"/>
  <c r="AN14" i="6"/>
  <c r="AP19" i="6"/>
  <c r="AO21" i="6"/>
  <c r="AM22" i="6"/>
  <c r="AM23" i="6"/>
  <c r="AO28" i="6"/>
  <c r="AR29" i="6"/>
  <c r="AP30" i="6"/>
  <c r="AP5" i="6"/>
  <c r="AL21" i="6"/>
  <c r="AI5" i="6"/>
  <c r="AO5" i="6"/>
  <c r="AM6" i="6"/>
  <c r="AP9" i="6"/>
  <c r="AQ10" i="6"/>
  <c r="AP12" i="6"/>
  <c r="AR14" i="6"/>
  <c r="AP15" i="6"/>
  <c r="AP23" i="6"/>
  <c r="AP26" i="6"/>
  <c r="AP28" i="6"/>
  <c r="AQ29" i="6"/>
  <c r="AO9" i="6"/>
  <c r="AP10" i="6"/>
  <c r="AM12" i="6"/>
  <c r="AM14" i="6"/>
  <c r="AP18" i="6"/>
  <c r="AN19" i="6"/>
  <c r="AM21" i="6"/>
  <c r="AP22" i="6"/>
  <c r="AO26" i="6"/>
  <c r="AQ31" i="6"/>
  <c r="AI5" i="5"/>
  <c r="AQ10" i="5"/>
  <c r="AL5" i="5"/>
  <c r="AP9" i="5"/>
  <c r="AQ17" i="5"/>
  <c r="AR28" i="5"/>
  <c r="AM5" i="5"/>
  <c r="AF5" i="5"/>
  <c r="AF17" i="5"/>
  <c r="AN17" i="5"/>
  <c r="AO26" i="5"/>
  <c r="AP30" i="5"/>
  <c r="AG5" i="5"/>
  <c r="AQ30" i="5"/>
  <c r="AH5" i="5"/>
  <c r="AP5" i="5"/>
  <c r="AO15" i="5"/>
  <c r="AJ17" i="5"/>
  <c r="AJ21" i="5"/>
  <c r="AP31" i="5"/>
  <c r="AP8" i="5"/>
  <c r="AP14" i="5"/>
  <c r="AP29" i="5"/>
  <c r="AN5" i="5"/>
  <c r="AQ8" i="5"/>
  <c r="AQ14" i="5"/>
  <c r="AL17" i="5"/>
  <c r="AM17" i="5"/>
  <c r="AQ18" i="5"/>
  <c r="AL21" i="5"/>
  <c r="AR23" i="5"/>
  <c r="AO5" i="5"/>
  <c r="AR18" i="5"/>
  <c r="AR26" i="5"/>
  <c r="AQ15" i="5"/>
  <c r="AG17" i="5"/>
  <c r="AO17" i="5"/>
  <c r="AG21" i="5"/>
  <c r="AO21" i="5"/>
  <c r="AM23" i="5"/>
  <c r="AQ28" i="5"/>
  <c r="AR5" i="5"/>
  <c r="AM14" i="5"/>
  <c r="AH17" i="5"/>
  <c r="AM18" i="5"/>
  <c r="AM19" i="5"/>
  <c r="AH21" i="5"/>
  <c r="AP21" i="5"/>
  <c r="AQ29" i="5"/>
  <c r="AN14" i="5"/>
  <c r="AN15" i="5"/>
  <c r="AN18" i="5"/>
  <c r="AO23" i="5"/>
  <c r="AO19" i="3"/>
  <c r="AP12" i="3"/>
  <c r="AQ26" i="3"/>
  <c r="AN30" i="3"/>
  <c r="AP18" i="3"/>
  <c r="AN15" i="3"/>
  <c r="AO22" i="3"/>
  <c r="AN28" i="3"/>
  <c r="AO14" i="3"/>
  <c r="AP17" i="3"/>
  <c r="AN18" i="3"/>
  <c r="AP21" i="3"/>
  <c r="AO25" i="3"/>
  <c r="AO17" i="3"/>
  <c r="AM18" i="3"/>
  <c r="AP20" i="3"/>
  <c r="AR15" i="3"/>
  <c r="AQ19" i="3"/>
  <c r="AQ23" i="3"/>
  <c r="AO24" i="3"/>
  <c r="AR26" i="3"/>
  <c r="AN12" i="3"/>
  <c r="AQ15" i="3"/>
  <c r="AR22" i="3"/>
  <c r="AN24" i="3"/>
  <c r="AR14" i="3"/>
  <c r="AM20" i="3"/>
  <c r="AR25" i="3"/>
  <c r="AQ29" i="3"/>
  <c r="AP10" i="3"/>
  <c r="AM13" i="3"/>
  <c r="AQ18" i="3"/>
  <c r="AQ20" i="3"/>
  <c r="AP23" i="3"/>
  <c r="AR28" i="3"/>
  <c r="AO29" i="3"/>
  <c r="AM30" i="3"/>
  <c r="AR12" i="3"/>
  <c r="AQ14" i="3"/>
  <c r="AO18" i="3"/>
  <c r="AP19" i="3"/>
  <c r="AO20" i="3"/>
  <c r="AN23" i="3"/>
  <c r="AR27" i="3"/>
  <c r="AP28" i="3"/>
  <c r="AM29" i="3"/>
  <c r="AQ28" i="3"/>
  <c r="AQ12" i="3"/>
  <c r="AP15" i="3"/>
  <c r="AM23" i="3"/>
  <c r="AP26" i="3"/>
  <c r="AQ27" i="3"/>
  <c r="AO28" i="3"/>
  <c r="AR30" i="3"/>
  <c r="BP24" i="3"/>
  <c r="BP25" i="3" s="1"/>
  <c r="BQ25" i="3" s="1"/>
  <c r="BR25" i="3" s="1"/>
  <c r="BS25" i="3" s="1"/>
  <c r="AO15" i="3"/>
  <c r="AM17" i="3"/>
  <c r="AN19" i="3"/>
  <c r="AQ25" i="3"/>
  <c r="AO26" i="3"/>
  <c r="AP27" i="3"/>
  <c r="AO12" i="3"/>
  <c r="AP13" i="3"/>
  <c r="AN14" i="3"/>
  <c r="AM19" i="3"/>
  <c r="AR24" i="3"/>
  <c r="AP25" i="3"/>
  <c r="AO27" i="3"/>
  <c r="AR29" i="3"/>
  <c r="AP30" i="3"/>
  <c r="AO23" i="3"/>
  <c r="AN29" i="3"/>
  <c r="AR10" i="3"/>
  <c r="AO13" i="3"/>
  <c r="AM15" i="3"/>
  <c r="AR17" i="3"/>
  <c r="AQ22" i="3"/>
  <c r="AM26" i="3"/>
  <c r="AN27" i="3"/>
  <c r="AO30" i="3"/>
  <c r="AQ17" i="3"/>
  <c r="AR18" i="3"/>
  <c r="AR20" i="3"/>
  <c r="AP24" i="3"/>
  <c r="AN25" i="3"/>
  <c r="AM27" i="3"/>
  <c r="AP29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BV23" i="3" s="1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4" i="5"/>
  <c r="AR24" i="5"/>
  <c r="AO7" i="6"/>
  <c r="AP7" i="6"/>
  <c r="AM27" i="6"/>
  <c r="AN27" i="6"/>
  <c r="AQ27" i="6"/>
  <c r="AH6" i="5"/>
  <c r="AQ6" i="5"/>
  <c r="AN9" i="5"/>
  <c r="AP20" i="6"/>
  <c r="J18" i="5"/>
  <c r="AL18" i="5" s="1"/>
  <c r="I18" i="5"/>
  <c r="G26" i="5"/>
  <c r="AI26" i="5" s="1"/>
  <c r="F18" i="5"/>
  <c r="AH18" i="5" s="1"/>
  <c r="D13" i="5"/>
  <c r="AF13" i="5" s="1"/>
  <c r="I6" i="5"/>
  <c r="D6" i="5"/>
  <c r="AF6" i="5" s="1"/>
  <c r="AR6" i="5"/>
  <c r="H6" i="5"/>
  <c r="AJ6" i="5" s="1"/>
  <c r="AO13" i="5"/>
  <c r="AO24" i="5"/>
  <c r="AM6" i="5"/>
  <c r="AR9" i="5"/>
  <c r="AP13" i="5"/>
  <c r="AR20" i="5"/>
  <c r="AO21" i="3"/>
  <c r="AN6" i="5"/>
  <c r="AN16" i="3"/>
  <c r="AP16" i="3"/>
  <c r="AR21" i="3"/>
  <c r="AM21" i="3"/>
  <c r="AR31" i="3"/>
  <c r="AR7" i="5"/>
  <c r="AN19" i="5"/>
  <c r="AQ7" i="5"/>
  <c r="AQ9" i="5"/>
  <c r="AQ13" i="5"/>
  <c r="AP16" i="5"/>
  <c r="AI28" i="5"/>
  <c r="AO16" i="3"/>
  <c r="AN21" i="3"/>
  <c r="AR8" i="5"/>
  <c r="AR10" i="5"/>
  <c r="AO10" i="5"/>
  <c r="BU23" i="5"/>
  <c r="BV23" i="5" s="1"/>
  <c r="AM7" i="6"/>
  <c r="AO20" i="5"/>
  <c r="AR27" i="5"/>
  <c r="AL28" i="5"/>
  <c r="AP28" i="5"/>
  <c r="AM9" i="5"/>
  <c r="AI17" i="5"/>
  <c r="AI21" i="5"/>
  <c r="AN22" i="5"/>
  <c r="AF25" i="5"/>
  <c r="AN13" i="3"/>
  <c r="AP31" i="3"/>
  <c r="AN8" i="5"/>
  <c r="AN13" i="5"/>
  <c r="AQ19" i="5"/>
  <c r="AQ20" i="5"/>
  <c r="AR21" i="5"/>
  <c r="AQ24" i="5"/>
  <c r="AF28" i="5"/>
  <c r="AM22" i="3"/>
  <c r="AP22" i="3"/>
  <c r="AR16" i="3"/>
  <c r="AQ21" i="3"/>
  <c r="AO27" i="6"/>
  <c r="AO7" i="5"/>
  <c r="AO9" i="5"/>
  <c r="AP10" i="5"/>
  <c r="AR15" i="5"/>
  <c r="AP22" i="5"/>
  <c r="AN23" i="5"/>
  <c r="AG28" i="5"/>
  <c r="AQ31" i="5"/>
  <c r="AR13" i="3"/>
  <c r="AQ16" i="3"/>
  <c r="AN22" i="3"/>
  <c r="AM28" i="3"/>
  <c r="D6" i="6"/>
  <c r="D26" i="6"/>
  <c r="E26" i="6"/>
  <c r="AG26" i="6" s="1"/>
  <c r="E22" i="6"/>
  <c r="AG22" i="6" s="1"/>
  <c r="E18" i="6"/>
  <c r="AG18" i="6" s="1"/>
  <c r="AO20" i="6"/>
  <c r="AR24" i="6"/>
  <c r="AN25" i="6"/>
  <c r="AO30" i="6"/>
  <c r="AP14" i="3"/>
  <c r="AR19" i="3"/>
  <c r="AR23" i="3"/>
  <c r="D18" i="6"/>
  <c r="J29" i="6"/>
  <c r="AL29" i="6" s="1"/>
  <c r="J13" i="6"/>
  <c r="AL13" i="6" s="1"/>
  <c r="AN7" i="6"/>
  <c r="AN8" i="6"/>
  <c r="AN20" i="6"/>
  <c r="AN30" i="6"/>
  <c r="H29" i="6"/>
  <c r="AJ29" i="6" s="1"/>
  <c r="J26" i="6"/>
  <c r="AL26" i="6" s="1"/>
  <c r="J22" i="6"/>
  <c r="AL22" i="6" s="1"/>
  <c r="J18" i="6"/>
  <c r="AL18" i="6" s="1"/>
  <c r="H13" i="6"/>
  <c r="AJ13" i="6" s="1"/>
  <c r="I6" i="6"/>
  <c r="AR7" i="6"/>
  <c r="AM17" i="6"/>
  <c r="AM15" i="6"/>
  <c r="AR30" i="6"/>
  <c r="D29" i="6"/>
  <c r="G29" i="6"/>
  <c r="AI29" i="6" s="1"/>
  <c r="I26" i="6"/>
  <c r="I22" i="6"/>
  <c r="I18" i="6"/>
  <c r="G13" i="6"/>
  <c r="AI13" i="6" s="1"/>
  <c r="H6" i="6"/>
  <c r="AJ6" i="6" s="1"/>
  <c r="AP8" i="6"/>
  <c r="AO17" i="6"/>
  <c r="AQ24" i="6"/>
  <c r="AP25" i="6"/>
  <c r="AR27" i="6"/>
  <c r="AQ30" i="6"/>
  <c r="D13" i="6"/>
  <c r="D22" i="6"/>
  <c r="F29" i="6"/>
  <c r="AH29" i="6" s="1"/>
  <c r="H26" i="6"/>
  <c r="AJ26" i="6" s="1"/>
  <c r="H22" i="6"/>
  <c r="AJ22" i="6" s="1"/>
  <c r="H18" i="6"/>
  <c r="AJ18" i="6" s="1"/>
  <c r="F13" i="6"/>
  <c r="AH13" i="6" s="1"/>
  <c r="G6" i="6"/>
  <c r="AI6" i="6" s="1"/>
  <c r="AR8" i="6"/>
  <c r="AO10" i="3"/>
  <c r="AO25" i="6"/>
  <c r="BU23" i="7"/>
  <c r="BV23" i="7" s="1"/>
  <c r="E29" i="6"/>
  <c r="AG29" i="6" s="1"/>
  <c r="G26" i="6"/>
  <c r="AI26" i="6" s="1"/>
  <c r="G22" i="6"/>
  <c r="AI22" i="6" s="1"/>
  <c r="G18" i="6"/>
  <c r="AI18" i="6" s="1"/>
  <c r="AG17" i="6"/>
  <c r="E13" i="6"/>
  <c r="AG13" i="6" s="1"/>
  <c r="E6" i="6"/>
  <c r="AG6" i="6" s="1"/>
  <c r="AQ7" i="6"/>
  <c r="AQ8" i="6"/>
  <c r="AR17" i="6"/>
  <c r="AR15" i="6"/>
  <c r="AQ20" i="6"/>
  <c r="AO24" i="6"/>
  <c r="AP27" i="6"/>
  <c r="B8" i="7"/>
  <c r="BQ23" i="7"/>
  <c r="BR23" i="7" s="1"/>
  <c r="BS23" i="7" s="1"/>
  <c r="BP24" i="7"/>
  <c r="BK11" i="5"/>
  <c r="BL11" i="5" s="1"/>
  <c r="BJ11" i="5"/>
  <c r="BI11" i="5"/>
  <c r="BH11" i="5"/>
  <c r="AG25" i="6"/>
  <c r="AK25" i="6"/>
  <c r="AI25" i="6"/>
  <c r="AJ21" i="6"/>
  <c r="AI21" i="6"/>
  <c r="AG21" i="6"/>
  <c r="AL5" i="6"/>
  <c r="AH5" i="6"/>
  <c r="AN5" i="6"/>
  <c r="AH6" i="6"/>
  <c r="AG12" i="6"/>
  <c r="AH12" i="6"/>
  <c r="AJ12" i="6"/>
  <c r="AF12" i="6"/>
  <c r="AK5" i="6"/>
  <c r="B7" i="6"/>
  <c r="AI12" i="6"/>
  <c r="AK12" i="6"/>
  <c r="AL12" i="6"/>
  <c r="AM5" i="6"/>
  <c r="AK17" i="6"/>
  <c r="AK21" i="6"/>
  <c r="BQ23" i="6"/>
  <c r="BR23" i="6" s="1"/>
  <c r="BS23" i="6" s="1"/>
  <c r="BP24" i="6"/>
  <c r="BU25" i="6"/>
  <c r="BV25" i="6" s="1"/>
  <c r="AK5" i="5"/>
  <c r="AJ25" i="5"/>
  <c r="AK21" i="5"/>
  <c r="AK17" i="5"/>
  <c r="AP7" i="5"/>
  <c r="I13" i="5"/>
  <c r="AR17" i="5"/>
  <c r="AM27" i="5"/>
  <c r="E6" i="5"/>
  <c r="AG6" i="5" s="1"/>
  <c r="J13" i="5"/>
  <c r="AL13" i="5" s="1"/>
  <c r="AP18" i="5"/>
  <c r="D22" i="5"/>
  <c r="AF22" i="5" s="1"/>
  <c r="AR22" i="5"/>
  <c r="AP25" i="5"/>
  <c r="E26" i="5"/>
  <c r="AG26" i="5" s="1"/>
  <c r="AN29" i="5"/>
  <c r="AO19" i="5"/>
  <c r="BQ23" i="5"/>
  <c r="BR23" i="5" s="1"/>
  <c r="BS23" i="5" s="1"/>
  <c r="BP24" i="5"/>
  <c r="G6" i="5"/>
  <c r="AI6" i="5" s="1"/>
  <c r="AM15" i="5"/>
  <c r="H18" i="5"/>
  <c r="AJ18" i="5" s="1"/>
  <c r="J22" i="5"/>
  <c r="AL22" i="5" s="1"/>
  <c r="AM26" i="5"/>
  <c r="BG11" i="5"/>
  <c r="AP23" i="5"/>
  <c r="AM25" i="5"/>
  <c r="F13" i="5"/>
  <c r="AH13" i="5" s="1"/>
  <c r="AN24" i="5"/>
  <c r="AQ5" i="5"/>
  <c r="I29" i="5"/>
  <c r="H29" i="5"/>
  <c r="AJ29" i="5" s="1"/>
  <c r="G29" i="5"/>
  <c r="AI29" i="5" s="1"/>
  <c r="F29" i="5"/>
  <c r="AH29" i="5" s="1"/>
  <c r="E29" i="5"/>
  <c r="AG29" i="5" s="1"/>
  <c r="J26" i="5"/>
  <c r="AL26" i="5" s="1"/>
  <c r="G22" i="5"/>
  <c r="AI22" i="5" s="1"/>
  <c r="E18" i="5"/>
  <c r="AG18" i="5" s="1"/>
  <c r="D29" i="5"/>
  <c r="AF29" i="5" s="1"/>
  <c r="I26" i="5"/>
  <c r="F22" i="5"/>
  <c r="AH22" i="5" s="1"/>
  <c r="D18" i="5"/>
  <c r="AF18" i="5" s="1"/>
  <c r="H26" i="5"/>
  <c r="AJ26" i="5" s="1"/>
  <c r="E22" i="5"/>
  <c r="AG22" i="5" s="1"/>
  <c r="F26" i="5"/>
  <c r="AH26" i="5" s="1"/>
  <c r="D26" i="5"/>
  <c r="AF26" i="5" s="1"/>
  <c r="I22" i="5"/>
  <c r="G18" i="5"/>
  <c r="AI18" i="5" s="1"/>
  <c r="E13" i="5"/>
  <c r="AG13" i="5" s="1"/>
  <c r="J6" i="5"/>
  <c r="AL6" i="5" s="1"/>
  <c r="AO6" i="5"/>
  <c r="AN7" i="5"/>
  <c r="AM8" i="5"/>
  <c r="G13" i="5"/>
  <c r="AI13" i="5" s="1"/>
  <c r="AO16" i="5"/>
  <c r="AG25" i="5"/>
  <c r="AO25" i="5"/>
  <c r="AH25" i="5"/>
  <c r="B7" i="5"/>
  <c r="H13" i="5"/>
  <c r="AJ13" i="5" s="1"/>
  <c r="AR13" i="5"/>
  <c r="AO14" i="5"/>
  <c r="AR19" i="5"/>
  <c r="AM20" i="5"/>
  <c r="AQ26" i="5"/>
  <c r="J29" i="5"/>
  <c r="AL29" i="5" s="1"/>
  <c r="AM29" i="5"/>
  <c r="AM30" i="5"/>
  <c r="AR16" i="5"/>
  <c r="AM28" i="5"/>
  <c r="AP19" i="5"/>
  <c r="AN20" i="5"/>
  <c r="AM21" i="5"/>
  <c r="AQ23" i="5"/>
  <c r="AN25" i="5"/>
  <c r="AN26" i="5"/>
  <c r="AN27" i="5"/>
  <c r="F7" i="4"/>
  <c r="BQ24" i="3"/>
  <c r="BR24" i="3" s="1"/>
  <c r="BS24" i="3" s="1"/>
  <c r="BU24" i="7" l="1"/>
  <c r="BV24" i="7" s="1"/>
  <c r="U11" i="6"/>
  <c r="AW11" i="6" s="1"/>
  <c r="V11" i="6"/>
  <c r="AX11" i="6" s="1"/>
  <c r="S11" i="6"/>
  <c r="S4" i="6"/>
  <c r="BI38" i="6" s="1"/>
  <c r="U4" i="6"/>
  <c r="BK38" i="6" s="1"/>
  <c r="T11" i="6"/>
  <c r="T4" i="6"/>
  <c r="BJ38" i="6" s="1"/>
  <c r="Q11" i="6"/>
  <c r="Q4" i="6"/>
  <c r="BG38" i="6" s="1"/>
  <c r="R11" i="6"/>
  <c r="R4" i="6"/>
  <c r="BH38" i="6" s="1"/>
  <c r="V4" i="6"/>
  <c r="BM38" i="6" s="1"/>
  <c r="U24" i="6"/>
  <c r="AW24" i="6" s="1"/>
  <c r="BP26" i="3"/>
  <c r="BQ26" i="3" s="1"/>
  <c r="BR26" i="3" s="1"/>
  <c r="BS26" i="3" s="1"/>
  <c r="V11" i="5"/>
  <c r="U11" i="5"/>
  <c r="S11" i="5"/>
  <c r="R11" i="5"/>
  <c r="T11" i="5"/>
  <c r="Q11" i="5"/>
  <c r="Q28" i="5"/>
  <c r="W28" i="5" s="1"/>
  <c r="AY28" i="5" s="1"/>
  <c r="V5" i="5"/>
  <c r="AB5" i="5" s="1"/>
  <c r="BD5" i="5" s="1"/>
  <c r="V10" i="5"/>
  <c r="AX10" i="5" s="1"/>
  <c r="BL13" i="5"/>
  <c r="BN13" i="5" s="1"/>
  <c r="V28" i="5"/>
  <c r="AB28" i="5" s="1"/>
  <c r="BD28" i="5" s="1"/>
  <c r="S5" i="5"/>
  <c r="Y5" i="5" s="1"/>
  <c r="BA5" i="5" s="1"/>
  <c r="U12" i="5"/>
  <c r="Q6" i="5"/>
  <c r="W6" i="5" s="1"/>
  <c r="AY6" i="5" s="1"/>
  <c r="S30" i="5"/>
  <c r="AU30" i="5" s="1"/>
  <c r="R4" i="5"/>
  <c r="BH38" i="5" s="1"/>
  <c r="T29" i="5"/>
  <c r="Z29" i="5" s="1"/>
  <c r="BB29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AB6" i="5" s="1"/>
  <c r="BD6" i="5" s="1"/>
  <c r="V30" i="5"/>
  <c r="AX30" i="5" s="1"/>
  <c r="T27" i="5"/>
  <c r="AV27" i="5" s="1"/>
  <c r="T15" i="5"/>
  <c r="AV15" i="5" s="1"/>
  <c r="Q27" i="5"/>
  <c r="AS27" i="5" s="1"/>
  <c r="T26" i="5"/>
  <c r="R19" i="5"/>
  <c r="AT19" i="5" s="1"/>
  <c r="R24" i="5"/>
  <c r="AT24" i="5" s="1"/>
  <c r="R15" i="5"/>
  <c r="AT15" i="5" s="1"/>
  <c r="Q4" i="5"/>
  <c r="BG38" i="5" s="1"/>
  <c r="R30" i="5"/>
  <c r="AT30" i="5" s="1"/>
  <c r="V22" i="5"/>
  <c r="AB22" i="5" s="1"/>
  <c r="BD22" i="5" s="1"/>
  <c r="U13" i="5"/>
  <c r="AA13" i="5" s="1"/>
  <c r="BC13" i="5" s="1"/>
  <c r="T30" i="5"/>
  <c r="U25" i="5"/>
  <c r="AA25" i="5" s="1"/>
  <c r="BC25" i="5" s="1"/>
  <c r="T20" i="5"/>
  <c r="AV20" i="5" s="1"/>
  <c r="R29" i="5"/>
  <c r="X29" i="5" s="1"/>
  <c r="AZ29" i="5" s="1"/>
  <c r="S26" i="5"/>
  <c r="AU26" i="5" s="1"/>
  <c r="Q18" i="5"/>
  <c r="AS18" i="5" s="1"/>
  <c r="S8" i="5"/>
  <c r="AU8" i="5" s="1"/>
  <c r="S10" i="5"/>
  <c r="AU10" i="5" s="1"/>
  <c r="S23" i="5"/>
  <c r="R13" i="5"/>
  <c r="X13" i="5" s="1"/>
  <c r="AZ13" i="5" s="1"/>
  <c r="V13" i="5"/>
  <c r="AB13" i="5" s="1"/>
  <c r="BD13" i="5" s="1"/>
  <c r="Q26" i="5"/>
  <c r="AS26" i="5" s="1"/>
  <c r="Q8" i="5"/>
  <c r="AS8" i="5" s="1"/>
  <c r="Q23" i="5"/>
  <c r="AS23" i="5" s="1"/>
  <c r="Q14" i="5"/>
  <c r="AS14" i="5" s="1"/>
  <c r="T6" i="5"/>
  <c r="Z6" i="5" s="1"/>
  <c r="BB6" i="5" s="1"/>
  <c r="S4" i="5"/>
  <c r="BI38" i="5" s="1"/>
  <c r="U24" i="5"/>
  <c r="AW24" i="5" s="1"/>
  <c r="V23" i="5"/>
  <c r="AX23" i="5" s="1"/>
  <c r="V21" i="5"/>
  <c r="AB21" i="5" s="1"/>
  <c r="BD21" i="5" s="1"/>
  <c r="T9" i="5"/>
  <c r="AV9" i="5" s="1"/>
  <c r="S14" i="5"/>
  <c r="AU14" i="5" s="1"/>
  <c r="R27" i="5"/>
  <c r="AT27" i="5" s="1"/>
  <c r="R9" i="5"/>
  <c r="AT9" i="5" s="1"/>
  <c r="V12" i="5"/>
  <c r="U17" i="5"/>
  <c r="AA17" i="5" s="1"/>
  <c r="BC17" i="5" s="1"/>
  <c r="S19" i="5"/>
  <c r="AU19" i="5" s="1"/>
  <c r="U9" i="5"/>
  <c r="AW9" i="5" s="1"/>
  <c r="T17" i="5"/>
  <c r="Z17" i="5" s="1"/>
  <c r="BB17" i="5" s="1"/>
  <c r="T25" i="5"/>
  <c r="Z25" i="5" s="1"/>
  <c r="BB25" i="5" s="1"/>
  <c r="Q17" i="5"/>
  <c r="W17" i="5" s="1"/>
  <c r="AY17" i="5" s="1"/>
  <c r="R7" i="5"/>
  <c r="S22" i="5"/>
  <c r="AU22" i="5" s="1"/>
  <c r="S12" i="5"/>
  <c r="V19" i="5"/>
  <c r="AX19" i="5" s="1"/>
  <c r="U7" i="5"/>
  <c r="AW7" i="5" s="1"/>
  <c r="R25" i="5"/>
  <c r="X25" i="5" s="1"/>
  <c r="AZ25" i="5" s="1"/>
  <c r="S15" i="5"/>
  <c r="AU15" i="5" s="1"/>
  <c r="V24" i="5"/>
  <c r="AX24" i="5" s="1"/>
  <c r="Q22" i="5"/>
  <c r="AS22" i="5" s="1"/>
  <c r="Q12" i="5"/>
  <c r="U4" i="5"/>
  <c r="BK38" i="5" s="1"/>
  <c r="BL38" i="5" s="1"/>
  <c r="U31" i="5"/>
  <c r="AW31" i="5" s="1"/>
  <c r="Q29" i="5"/>
  <c r="AS29" i="5" s="1"/>
  <c r="U20" i="5"/>
  <c r="AW20" i="5" s="1"/>
  <c r="R18" i="5"/>
  <c r="AT18" i="5" s="1"/>
  <c r="T8" i="5"/>
  <c r="AV8" i="5" s="1"/>
  <c r="R6" i="5"/>
  <c r="X6" i="5" s="1"/>
  <c r="AZ6" i="5" s="1"/>
  <c r="S24" i="5"/>
  <c r="U15" i="5"/>
  <c r="AW15" i="5" s="1"/>
  <c r="U18" i="5"/>
  <c r="AA18" i="5" s="1"/>
  <c r="BC18" i="5" s="1"/>
  <c r="V29" i="5"/>
  <c r="AX29" i="5" s="1"/>
  <c r="T21" i="5"/>
  <c r="Z21" i="5" s="1"/>
  <c r="BB21" i="5" s="1"/>
  <c r="Q15" i="5"/>
  <c r="AS15" i="5" s="1"/>
  <c r="R28" i="5"/>
  <c r="X28" i="5" s="1"/>
  <c r="AZ28" i="5" s="1"/>
  <c r="R23" i="5"/>
  <c r="R14" i="5"/>
  <c r="AT14" i="5" s="1"/>
  <c r="T18" i="5"/>
  <c r="Z18" i="5" s="1"/>
  <c r="BB18" i="5" s="1"/>
  <c r="R21" i="5"/>
  <c r="X21" i="5" s="1"/>
  <c r="AZ21" i="5" s="1"/>
  <c r="U5" i="5"/>
  <c r="AA5" i="5" s="1"/>
  <c r="BC5" i="5" s="1"/>
  <c r="T13" i="5"/>
  <c r="AV13" i="5" s="1"/>
  <c r="T16" i="5"/>
  <c r="AV16" i="5" s="1"/>
  <c r="U16" i="5"/>
  <c r="AW16" i="5" s="1"/>
  <c r="V27" i="5"/>
  <c r="T19" i="5"/>
  <c r="AV19" i="5" s="1"/>
  <c r="V9" i="5"/>
  <c r="AX9" i="5" s="1"/>
  <c r="U19" i="5"/>
  <c r="AW19" i="5" s="1"/>
  <c r="T24" i="5"/>
  <c r="AV24" i="5" s="1"/>
  <c r="R17" i="5"/>
  <c r="X17" i="5" s="1"/>
  <c r="AZ17" i="5" s="1"/>
  <c r="S7" i="5"/>
  <c r="AU7" i="5" s="1"/>
  <c r="T31" i="5"/>
  <c r="AV31" i="5" s="1"/>
  <c r="T23" i="5"/>
  <c r="T14" i="5"/>
  <c r="AV14" i="5" s="1"/>
  <c r="S27" i="5"/>
  <c r="AU27" i="5" s="1"/>
  <c r="R20" i="5"/>
  <c r="AT20" i="5" s="1"/>
  <c r="S9" i="5"/>
  <c r="AU9" i="5" s="1"/>
  <c r="R22" i="5"/>
  <c r="X22" i="5" s="1"/>
  <c r="AZ22" i="5" s="1"/>
  <c r="Q13" i="5"/>
  <c r="AS13" i="5" s="1"/>
  <c r="S29" i="5"/>
  <c r="AU29" i="5" s="1"/>
  <c r="U30" i="5"/>
  <c r="AW30" i="5" s="1"/>
  <c r="U10" i="5"/>
  <c r="AW10" i="5" s="1"/>
  <c r="Q21" i="5"/>
  <c r="W21" i="5" s="1"/>
  <c r="AY21" i="5" s="1"/>
  <c r="Q25" i="5"/>
  <c r="W25" i="5" s="1"/>
  <c r="AY25" i="5" s="1"/>
  <c r="V4" i="5"/>
  <c r="V31" i="5"/>
  <c r="AX31" i="5" s="1"/>
  <c r="U26" i="5"/>
  <c r="AA26" i="5" s="1"/>
  <c r="BC26" i="5" s="1"/>
  <c r="S18" i="5"/>
  <c r="Y18" i="5" s="1"/>
  <c r="BA18" i="5" s="1"/>
  <c r="U8" i="5"/>
  <c r="Q30" i="5"/>
  <c r="U23" i="5"/>
  <c r="AW23" i="5" s="1"/>
  <c r="V15" i="5"/>
  <c r="AX15" i="5" s="1"/>
  <c r="T22" i="5"/>
  <c r="Z22" i="5" s="1"/>
  <c r="BB22" i="5" s="1"/>
  <c r="S13" i="5"/>
  <c r="Y13" i="5" s="1"/>
  <c r="BA13" i="5" s="1"/>
  <c r="T10" i="5"/>
  <c r="AV10" i="5" s="1"/>
  <c r="Q19" i="5"/>
  <c r="AS19" i="5" s="1"/>
  <c r="R8" i="5"/>
  <c r="AT8" i="5" s="1"/>
  <c r="S28" i="5"/>
  <c r="Y28" i="5" s="1"/>
  <c r="BA28" i="5" s="1"/>
  <c r="S21" i="5"/>
  <c r="Y21" i="5" s="1"/>
  <c r="BA21" i="5" s="1"/>
  <c r="R12" i="5"/>
  <c r="V18" i="5"/>
  <c r="AB18" i="5" s="1"/>
  <c r="BD18" i="5" s="1"/>
  <c r="Q9" i="5"/>
  <c r="AS9" i="5" s="1"/>
  <c r="V26" i="5"/>
  <c r="AX26" i="5" s="1"/>
  <c r="T4" i="5"/>
  <c r="BJ38" i="5" s="1"/>
  <c r="S20" i="5"/>
  <c r="AU20" i="5" s="1"/>
  <c r="S25" i="5"/>
  <c r="Y25" i="5" s="1"/>
  <c r="BA25" i="5" s="1"/>
  <c r="R16" i="5"/>
  <c r="AT16" i="5" s="1"/>
  <c r="S16" i="5"/>
  <c r="AU16" i="5" s="1"/>
  <c r="V14" i="5"/>
  <c r="AX14" i="5" s="1"/>
  <c r="T28" i="5"/>
  <c r="Z28" i="5" s="1"/>
  <c r="BB28" i="5" s="1"/>
  <c r="V25" i="5"/>
  <c r="AB25" i="5" s="1"/>
  <c r="BD25" i="5" s="1"/>
  <c r="S17" i="5"/>
  <c r="Y17" i="5" s="1"/>
  <c r="BA17" i="5" s="1"/>
  <c r="T7" i="5"/>
  <c r="AV7" i="5" s="1"/>
  <c r="U27" i="5"/>
  <c r="AW27" i="5" s="1"/>
  <c r="U22" i="5"/>
  <c r="AA22" i="5" s="1"/>
  <c r="BC22" i="5" s="1"/>
  <c r="U14" i="5"/>
  <c r="AW14" i="5" s="1"/>
  <c r="U21" i="5"/>
  <c r="AA21" i="5" s="1"/>
  <c r="BC21" i="5" s="1"/>
  <c r="T12" i="5"/>
  <c r="S6" i="5"/>
  <c r="Y6" i="5" s="1"/>
  <c r="BA6" i="5" s="1"/>
  <c r="R26" i="5"/>
  <c r="X26" i="5" s="1"/>
  <c r="AZ26" i="5" s="1"/>
  <c r="V16" i="5"/>
  <c r="AX16" i="5" s="1"/>
  <c r="Q7" i="5"/>
  <c r="AS7" i="5" s="1"/>
  <c r="V20" i="5"/>
  <c r="AX20" i="5" s="1"/>
  <c r="U29" i="5"/>
  <c r="AA29" i="5" s="1"/>
  <c r="BC29" i="5" s="1"/>
  <c r="Q20" i="5"/>
  <c r="AS20" i="5" s="1"/>
  <c r="U28" i="5"/>
  <c r="AA28" i="5" s="1"/>
  <c r="BC28" i="5" s="1"/>
  <c r="V17" i="5"/>
  <c r="AB17" i="5" s="1"/>
  <c r="BD17" i="5" s="1"/>
  <c r="V8" i="5"/>
  <c r="AX8" i="5" s="1"/>
  <c r="AF13" i="6"/>
  <c r="Z26" i="5"/>
  <c r="BB26" i="5" s="1"/>
  <c r="T5" i="6"/>
  <c r="V7" i="6"/>
  <c r="AX7" i="6" s="1"/>
  <c r="V19" i="6"/>
  <c r="AX19" i="6" s="1"/>
  <c r="U7" i="6"/>
  <c r="AW7" i="6" s="1"/>
  <c r="Q5" i="6"/>
  <c r="R5" i="6"/>
  <c r="V8" i="6"/>
  <c r="AX8" i="6" s="1"/>
  <c r="V24" i="6"/>
  <c r="AX24" i="6" s="1"/>
  <c r="V10" i="6"/>
  <c r="AX10" i="6" s="1"/>
  <c r="U12" i="6"/>
  <c r="U15" i="6"/>
  <c r="AW15" i="6" s="1"/>
  <c r="S27" i="6"/>
  <c r="AU27" i="6" s="1"/>
  <c r="S12" i="6"/>
  <c r="S8" i="6"/>
  <c r="AU8" i="6" s="1"/>
  <c r="S25" i="6"/>
  <c r="S14" i="6"/>
  <c r="AU14" i="6" s="1"/>
  <c r="S23" i="6"/>
  <c r="AU23" i="6" s="1"/>
  <c r="S20" i="6"/>
  <c r="AU20" i="6" s="1"/>
  <c r="S16" i="6"/>
  <c r="AU16" i="6" s="1"/>
  <c r="S29" i="6"/>
  <c r="AU29" i="6" s="1"/>
  <c r="S28" i="6"/>
  <c r="S24" i="6"/>
  <c r="AU24" i="6" s="1"/>
  <c r="S13" i="6"/>
  <c r="AU13" i="6" s="1"/>
  <c r="S9" i="6"/>
  <c r="AU9" i="6" s="1"/>
  <c r="S21" i="6"/>
  <c r="S17" i="6"/>
  <c r="S6" i="6"/>
  <c r="AU6" i="6" s="1"/>
  <c r="S22" i="6"/>
  <c r="AU22" i="6" s="1"/>
  <c r="S18" i="6"/>
  <c r="AU18" i="6" s="1"/>
  <c r="S30" i="6"/>
  <c r="AU30" i="6" s="1"/>
  <c r="S26" i="6"/>
  <c r="AU26" i="6" s="1"/>
  <c r="S15" i="6"/>
  <c r="AU15" i="6" s="1"/>
  <c r="S10" i="6"/>
  <c r="AU10" i="6" s="1"/>
  <c r="S7" i="6"/>
  <c r="AU7" i="6" s="1"/>
  <c r="S19" i="6"/>
  <c r="AU19" i="6" s="1"/>
  <c r="V12" i="6"/>
  <c r="V15" i="6"/>
  <c r="AX15" i="6" s="1"/>
  <c r="U27" i="6"/>
  <c r="AW27" i="6" s="1"/>
  <c r="U18" i="6"/>
  <c r="AW18" i="6" s="1"/>
  <c r="U10" i="6"/>
  <c r="AW10" i="6" s="1"/>
  <c r="S5" i="6"/>
  <c r="V27" i="6"/>
  <c r="AX27" i="6" s="1"/>
  <c r="V6" i="6"/>
  <c r="AX6" i="6" s="1"/>
  <c r="V26" i="6"/>
  <c r="AX26" i="6" s="1"/>
  <c r="U19" i="6"/>
  <c r="AW19" i="6" s="1"/>
  <c r="U22" i="6"/>
  <c r="AW22" i="6" s="1"/>
  <c r="U26" i="6"/>
  <c r="AW26" i="6" s="1"/>
  <c r="R23" i="6"/>
  <c r="AT23" i="6" s="1"/>
  <c r="R19" i="6"/>
  <c r="AT19" i="6" s="1"/>
  <c r="R28" i="6"/>
  <c r="R24" i="6"/>
  <c r="AT24" i="6" s="1"/>
  <c r="R21" i="6"/>
  <c r="R17" i="6"/>
  <c r="R7" i="6"/>
  <c r="AT7" i="6" s="1"/>
  <c r="R27" i="6"/>
  <c r="AT27" i="6" s="1"/>
  <c r="R12" i="6"/>
  <c r="R8" i="6"/>
  <c r="AT8" i="6" s="1"/>
  <c r="R13" i="6"/>
  <c r="AT13" i="6" s="1"/>
  <c r="R20" i="6"/>
  <c r="AT20" i="6" s="1"/>
  <c r="R16" i="6"/>
  <c r="AT16" i="6" s="1"/>
  <c r="R9" i="6"/>
  <c r="AT9" i="6" s="1"/>
  <c r="R26" i="6"/>
  <c r="AT26" i="6" s="1"/>
  <c r="R15" i="6"/>
  <c r="AT15" i="6" s="1"/>
  <c r="R29" i="6"/>
  <c r="AT29" i="6" s="1"/>
  <c r="R25" i="6"/>
  <c r="R14" i="6"/>
  <c r="AT14" i="6" s="1"/>
  <c r="R6" i="6"/>
  <c r="AT6" i="6" s="1"/>
  <c r="R22" i="6"/>
  <c r="AT22" i="6" s="1"/>
  <c r="R18" i="6"/>
  <c r="AT18" i="6" s="1"/>
  <c r="R30" i="6"/>
  <c r="AT30" i="6" s="1"/>
  <c r="V23" i="6"/>
  <c r="AX23" i="6" s="1"/>
  <c r="V14" i="6"/>
  <c r="AX14" i="6" s="1"/>
  <c r="V17" i="6"/>
  <c r="U23" i="6"/>
  <c r="AW23" i="6" s="1"/>
  <c r="U17" i="6"/>
  <c r="U30" i="6"/>
  <c r="AW30" i="6" s="1"/>
  <c r="T20" i="6"/>
  <c r="AV20" i="6" s="1"/>
  <c r="T16" i="6"/>
  <c r="AV16" i="6" s="1"/>
  <c r="T6" i="6"/>
  <c r="AV6" i="6" s="1"/>
  <c r="T12" i="6"/>
  <c r="T28" i="6"/>
  <c r="T24" i="6"/>
  <c r="AV24" i="6" s="1"/>
  <c r="T13" i="6"/>
  <c r="AV13" i="6" s="1"/>
  <c r="T9" i="6"/>
  <c r="AV9" i="6" s="1"/>
  <c r="T29" i="6"/>
  <c r="AV29" i="6" s="1"/>
  <c r="T22" i="6"/>
  <c r="AV22" i="6" s="1"/>
  <c r="T18" i="6"/>
  <c r="AV18" i="6" s="1"/>
  <c r="T31" i="6"/>
  <c r="AV31" i="6" s="1"/>
  <c r="T21" i="6"/>
  <c r="T17" i="6"/>
  <c r="T25" i="6"/>
  <c r="T14" i="6"/>
  <c r="AV14" i="6" s="1"/>
  <c r="T30" i="6"/>
  <c r="AV30" i="6" s="1"/>
  <c r="T26" i="6"/>
  <c r="AV26" i="6" s="1"/>
  <c r="T15" i="6"/>
  <c r="AV15" i="6" s="1"/>
  <c r="T10" i="6"/>
  <c r="AV10" i="6" s="1"/>
  <c r="T7" i="6"/>
  <c r="AV7" i="6" s="1"/>
  <c r="T23" i="6"/>
  <c r="AV23" i="6" s="1"/>
  <c r="T19" i="6"/>
  <c r="AV19" i="6" s="1"/>
  <c r="T27" i="6"/>
  <c r="AV27" i="6" s="1"/>
  <c r="T8" i="6"/>
  <c r="AV8" i="6" s="1"/>
  <c r="AP4" i="6"/>
  <c r="BJ7" i="6" s="1"/>
  <c r="U5" i="6"/>
  <c r="V30" i="6"/>
  <c r="AX30" i="6" s="1"/>
  <c r="V25" i="6"/>
  <c r="V21" i="6"/>
  <c r="U6" i="6"/>
  <c r="AW6" i="6" s="1"/>
  <c r="U21" i="6"/>
  <c r="U9" i="6"/>
  <c r="AW9" i="6" s="1"/>
  <c r="V13" i="6"/>
  <c r="AX13" i="6" s="1"/>
  <c r="V18" i="6"/>
  <c r="AX18" i="6" s="1"/>
  <c r="V29" i="6"/>
  <c r="AX29" i="6" s="1"/>
  <c r="V31" i="6"/>
  <c r="AX31" i="6" s="1"/>
  <c r="U14" i="6"/>
  <c r="AW14" i="6" s="1"/>
  <c r="U31" i="6"/>
  <c r="AW31" i="6" s="1"/>
  <c r="U13" i="6"/>
  <c r="AW13" i="6" s="1"/>
  <c r="Q30" i="6"/>
  <c r="AS30" i="6" s="1"/>
  <c r="Q26" i="6"/>
  <c r="AS26" i="6" s="1"/>
  <c r="Q15" i="6"/>
  <c r="AS15" i="6" s="1"/>
  <c r="Q7" i="6"/>
  <c r="AS7" i="6" s="1"/>
  <c r="Q20" i="6"/>
  <c r="Q23" i="6"/>
  <c r="AS23" i="6" s="1"/>
  <c r="Q19" i="6"/>
  <c r="AS19" i="6" s="1"/>
  <c r="Q9" i="6"/>
  <c r="AS9" i="6" s="1"/>
  <c r="Q18" i="6"/>
  <c r="AS18" i="6" s="1"/>
  <c r="Q27" i="6"/>
  <c r="AS27" i="6" s="1"/>
  <c r="Q12" i="6"/>
  <c r="Q8" i="6"/>
  <c r="AS8" i="6" s="1"/>
  <c r="Q28" i="6"/>
  <c r="Q13" i="6"/>
  <c r="AS13" i="6" s="1"/>
  <c r="Q21" i="6"/>
  <c r="Q17" i="6"/>
  <c r="Q29" i="6"/>
  <c r="AS29" i="6" s="1"/>
  <c r="Q25" i="6"/>
  <c r="Q14" i="6"/>
  <c r="AS14" i="6" s="1"/>
  <c r="Q6" i="6"/>
  <c r="AS6" i="6" s="1"/>
  <c r="Q22" i="6"/>
  <c r="AS22" i="6" s="1"/>
  <c r="V5" i="6"/>
  <c r="V16" i="6"/>
  <c r="AX16" i="6" s="1"/>
  <c r="V22" i="6"/>
  <c r="AX22" i="6" s="1"/>
  <c r="V28" i="6"/>
  <c r="U25" i="6"/>
  <c r="U16" i="6"/>
  <c r="AW16" i="6" s="1"/>
  <c r="AQ4" i="6"/>
  <c r="BK7" i="6" s="1"/>
  <c r="AO4" i="6"/>
  <c r="BI7" i="6" s="1"/>
  <c r="V20" i="6"/>
  <c r="AX20" i="6" s="1"/>
  <c r="V9" i="6"/>
  <c r="AX9" i="6" s="1"/>
  <c r="U8" i="6"/>
  <c r="AW8" i="6" s="1"/>
  <c r="U29" i="6"/>
  <c r="AW29" i="6" s="1"/>
  <c r="U20" i="6"/>
  <c r="AW20" i="6" s="1"/>
  <c r="U28" i="6"/>
  <c r="AV26" i="5"/>
  <c r="AS30" i="5"/>
  <c r="AU5" i="5"/>
  <c r="AU23" i="5"/>
  <c r="AU24" i="5"/>
  <c r="AO4" i="5"/>
  <c r="BI7" i="5" s="1"/>
  <c r="AT7" i="5"/>
  <c r="AT23" i="5"/>
  <c r="AT6" i="5"/>
  <c r="AM4" i="5"/>
  <c r="BG7" i="5" s="1"/>
  <c r="AX22" i="5"/>
  <c r="AX7" i="5"/>
  <c r="AX27" i="5"/>
  <c r="AW8" i="5"/>
  <c r="AQ4" i="5"/>
  <c r="BK7" i="5" s="1"/>
  <c r="AR4" i="5"/>
  <c r="BM7" i="5" s="1"/>
  <c r="AP4" i="5"/>
  <c r="BJ7" i="5" s="1"/>
  <c r="AV30" i="5"/>
  <c r="AN4" i="5"/>
  <c r="BH7" i="5" s="1"/>
  <c r="AV23" i="5"/>
  <c r="AV6" i="5"/>
  <c r="K18" i="4"/>
  <c r="L18" i="4" s="1"/>
  <c r="H5" i="4"/>
  <c r="AK18" i="5"/>
  <c r="H6" i="4"/>
  <c r="AF6" i="6"/>
  <c r="AF22" i="6"/>
  <c r="AF18" i="6"/>
  <c r="AF29" i="6"/>
  <c r="G6" i="4"/>
  <c r="AK6" i="5"/>
  <c r="BU24" i="5"/>
  <c r="BV24" i="5" s="1"/>
  <c r="AM4" i="6"/>
  <c r="BG7" i="6" s="1"/>
  <c r="H7" i="6"/>
  <c r="AJ7" i="6" s="1"/>
  <c r="I7" i="6"/>
  <c r="G14" i="6"/>
  <c r="AI14" i="6" s="1"/>
  <c r="I19" i="6"/>
  <c r="I23" i="6"/>
  <c r="I27" i="6"/>
  <c r="G30" i="6"/>
  <c r="AI30" i="6" s="1"/>
  <c r="J7" i="6"/>
  <c r="AL7" i="6" s="1"/>
  <c r="H14" i="6"/>
  <c r="AJ14" i="6" s="1"/>
  <c r="J19" i="6"/>
  <c r="AL19" i="6" s="1"/>
  <c r="J23" i="6"/>
  <c r="AL23" i="6" s="1"/>
  <c r="J27" i="6"/>
  <c r="AL27" i="6" s="1"/>
  <c r="H30" i="6"/>
  <c r="AJ30" i="6" s="1"/>
  <c r="I14" i="6"/>
  <c r="I30" i="6"/>
  <c r="D23" i="6"/>
  <c r="D14" i="6"/>
  <c r="J14" i="6"/>
  <c r="AL14" i="6" s="1"/>
  <c r="J30" i="6"/>
  <c r="AL30" i="6" s="1"/>
  <c r="D30" i="6"/>
  <c r="E7" i="6"/>
  <c r="AG7" i="6" s="1"/>
  <c r="F19" i="6"/>
  <c r="AH19" i="6" s="1"/>
  <c r="F23" i="6"/>
  <c r="AH23" i="6" s="1"/>
  <c r="F27" i="6"/>
  <c r="AH27" i="6" s="1"/>
  <c r="F7" i="6"/>
  <c r="AH7" i="6" s="1"/>
  <c r="E14" i="6"/>
  <c r="AG14" i="6" s="1"/>
  <c r="G19" i="6"/>
  <c r="AI19" i="6" s="1"/>
  <c r="G23" i="6"/>
  <c r="AI23" i="6" s="1"/>
  <c r="G27" i="6"/>
  <c r="AI27" i="6" s="1"/>
  <c r="E30" i="6"/>
  <c r="AG30" i="6" s="1"/>
  <c r="D19" i="6"/>
  <c r="H27" i="6"/>
  <c r="AJ27" i="6" s="1"/>
  <c r="F30" i="6"/>
  <c r="AH30" i="6" s="1"/>
  <c r="G7" i="6"/>
  <c r="AI7" i="6" s="1"/>
  <c r="E19" i="6"/>
  <c r="AG19" i="6" s="1"/>
  <c r="H19" i="6"/>
  <c r="AJ19" i="6" s="1"/>
  <c r="F14" i="6"/>
  <c r="AH14" i="6" s="1"/>
  <c r="H23" i="6"/>
  <c r="AJ23" i="6" s="1"/>
  <c r="D27" i="6"/>
  <c r="D7" i="6"/>
  <c r="E27" i="6"/>
  <c r="AG27" i="6" s="1"/>
  <c r="E23" i="6"/>
  <c r="AG23" i="6" s="1"/>
  <c r="AF26" i="6"/>
  <c r="AR4" i="6"/>
  <c r="BM7" i="6" s="1"/>
  <c r="BU24" i="3"/>
  <c r="BV24" i="3" s="1"/>
  <c r="AN4" i="6"/>
  <c r="BH7" i="6" s="1"/>
  <c r="BP25" i="7"/>
  <c r="BQ24" i="7"/>
  <c r="BR24" i="7" s="1"/>
  <c r="BS24" i="7" s="1"/>
  <c r="BU25" i="7"/>
  <c r="BV25" i="7" s="1"/>
  <c r="B9" i="7"/>
  <c r="BU26" i="6"/>
  <c r="BV26" i="6" s="1"/>
  <c r="AK26" i="6"/>
  <c r="AK29" i="6"/>
  <c r="AK18" i="6"/>
  <c r="B8" i="6"/>
  <c r="AK13" i="6"/>
  <c r="AK6" i="6"/>
  <c r="BP25" i="6"/>
  <c r="BQ24" i="6"/>
  <c r="BR24" i="6" s="1"/>
  <c r="BS24" i="6" s="1"/>
  <c r="AK22" i="6"/>
  <c r="I30" i="5"/>
  <c r="H30" i="5"/>
  <c r="AJ30" i="5" s="1"/>
  <c r="G30" i="5"/>
  <c r="AI30" i="5" s="1"/>
  <c r="F30" i="5"/>
  <c r="AH30" i="5" s="1"/>
  <c r="D30" i="5"/>
  <c r="AF30" i="5" s="1"/>
  <c r="J27" i="5"/>
  <c r="AL27" i="5" s="1"/>
  <c r="E23" i="5"/>
  <c r="AG23" i="5" s="1"/>
  <c r="D19" i="5"/>
  <c r="AF19" i="5" s="1"/>
  <c r="I14" i="5"/>
  <c r="I27" i="5"/>
  <c r="D23" i="5"/>
  <c r="AF23" i="5" s="1"/>
  <c r="H27" i="5"/>
  <c r="AJ27" i="5" s="1"/>
  <c r="J19" i="5"/>
  <c r="AL19" i="5" s="1"/>
  <c r="G14" i="5"/>
  <c r="AI14" i="5" s="1"/>
  <c r="F27" i="5"/>
  <c r="AH27" i="5" s="1"/>
  <c r="I23" i="5"/>
  <c r="E30" i="5"/>
  <c r="AG30" i="5" s="1"/>
  <c r="D27" i="5"/>
  <c r="AF27" i="5" s="1"/>
  <c r="G23" i="5"/>
  <c r="AI23" i="5" s="1"/>
  <c r="F19" i="5"/>
  <c r="AH19" i="5" s="1"/>
  <c r="G27" i="5"/>
  <c r="AI27" i="5" s="1"/>
  <c r="H23" i="5"/>
  <c r="AJ23" i="5" s="1"/>
  <c r="I19" i="5"/>
  <c r="J7" i="5"/>
  <c r="AL7" i="5" s="1"/>
  <c r="E27" i="5"/>
  <c r="AG27" i="5" s="1"/>
  <c r="F23" i="5"/>
  <c r="AH23" i="5" s="1"/>
  <c r="H19" i="5"/>
  <c r="AJ19" i="5" s="1"/>
  <c r="I7" i="5"/>
  <c r="G19" i="5"/>
  <c r="AI19" i="5" s="1"/>
  <c r="J14" i="5"/>
  <c r="AL14" i="5" s="1"/>
  <c r="H7" i="5"/>
  <c r="AJ7" i="5" s="1"/>
  <c r="E19" i="5"/>
  <c r="AG19" i="5" s="1"/>
  <c r="H14" i="5"/>
  <c r="AJ14" i="5" s="1"/>
  <c r="G7" i="5"/>
  <c r="AI7" i="5" s="1"/>
  <c r="F14" i="5"/>
  <c r="AH14" i="5" s="1"/>
  <c r="F7" i="5"/>
  <c r="AH7" i="5" s="1"/>
  <c r="E14" i="5"/>
  <c r="AG14" i="5" s="1"/>
  <c r="E7" i="5"/>
  <c r="AG7" i="5" s="1"/>
  <c r="D14" i="5"/>
  <c r="AF14" i="5" s="1"/>
  <c r="D7" i="5"/>
  <c r="AF7" i="5" s="1"/>
  <c r="J30" i="5"/>
  <c r="AL30" i="5" s="1"/>
  <c r="J23" i="5"/>
  <c r="AL23" i="5" s="1"/>
  <c r="B8" i="5"/>
  <c r="AK26" i="5"/>
  <c r="AK13" i="5"/>
  <c r="AK22" i="5"/>
  <c r="AK29" i="5"/>
  <c r="BP25" i="5"/>
  <c r="BQ24" i="5"/>
  <c r="BR24" i="5" s="1"/>
  <c r="BS24" i="5" s="1"/>
  <c r="F8" i="4"/>
  <c r="G7" i="4" s="1"/>
  <c r="BP27" i="3"/>
  <c r="AW5" i="5" l="1"/>
  <c r="AW21" i="5"/>
  <c r="AT29" i="5"/>
  <c r="AX18" i="5"/>
  <c r="W29" i="5"/>
  <c r="AY29" i="5" s="1"/>
  <c r="AX6" i="5"/>
  <c r="AV22" i="5"/>
  <c r="AB29" i="5"/>
  <c r="BD29" i="5" s="1"/>
  <c r="AX21" i="5"/>
  <c r="W26" i="5"/>
  <c r="AY26" i="5" s="1"/>
  <c r="AS28" i="5"/>
  <c r="AW26" i="5"/>
  <c r="W18" i="5"/>
  <c r="AB11" i="6"/>
  <c r="BD11" i="6" s="1"/>
  <c r="X13" i="6"/>
  <c r="AZ13" i="6" s="1"/>
  <c r="Z22" i="6"/>
  <c r="BB22" i="6" s="1"/>
  <c r="AB22" i="6"/>
  <c r="BD22" i="6" s="1"/>
  <c r="AA11" i="6"/>
  <c r="BC11" i="6" s="1"/>
  <c r="W6" i="6"/>
  <c r="AY6" i="6" s="1"/>
  <c r="AS12" i="6"/>
  <c r="W12" i="6"/>
  <c r="AY12" i="6" s="1"/>
  <c r="AW5" i="6"/>
  <c r="AA5" i="6"/>
  <c r="BC5" i="6" s="1"/>
  <c r="AU25" i="6"/>
  <c r="Y25" i="6"/>
  <c r="BA25" i="6" s="1"/>
  <c r="AA18" i="6"/>
  <c r="BC18" i="6" s="1"/>
  <c r="W29" i="6"/>
  <c r="AY29" i="6" s="1"/>
  <c r="AV11" i="6"/>
  <c r="Z11" i="6"/>
  <c r="BB11" i="6" s="1"/>
  <c r="AW25" i="6"/>
  <c r="AA25" i="6"/>
  <c r="BC25" i="6" s="1"/>
  <c r="AS25" i="6"/>
  <c r="W25" i="6"/>
  <c r="AY25" i="6" s="1"/>
  <c r="AT5" i="6"/>
  <c r="X5" i="6"/>
  <c r="AZ5" i="6" s="1"/>
  <c r="Z26" i="6"/>
  <c r="BB26" i="6" s="1"/>
  <c r="Z18" i="6"/>
  <c r="BB18" i="6" s="1"/>
  <c r="AB29" i="6"/>
  <c r="BD29" i="6" s="1"/>
  <c r="Y13" i="6"/>
  <c r="BA13" i="6" s="1"/>
  <c r="Y22" i="6"/>
  <c r="BA22" i="6" s="1"/>
  <c r="BL38" i="6"/>
  <c r="AT17" i="6"/>
  <c r="X17" i="6"/>
  <c r="AZ17" i="6" s="1"/>
  <c r="AS5" i="6"/>
  <c r="W5" i="6"/>
  <c r="AY5" i="6" s="1"/>
  <c r="AS17" i="6"/>
  <c r="W17" i="6"/>
  <c r="AY17" i="6" s="1"/>
  <c r="AW21" i="6"/>
  <c r="AA21" i="6"/>
  <c r="BC21" i="6" s="1"/>
  <c r="AT21" i="6"/>
  <c r="X21" i="6"/>
  <c r="AZ21" i="6" s="1"/>
  <c r="AX12" i="6"/>
  <c r="AB12" i="6"/>
  <c r="BD12" i="6" s="1"/>
  <c r="Y26" i="6"/>
  <c r="BA26" i="6" s="1"/>
  <c r="X18" i="6"/>
  <c r="AZ18" i="6" s="1"/>
  <c r="AB6" i="6"/>
  <c r="BD6" i="6" s="1"/>
  <c r="Z13" i="6"/>
  <c r="BB13" i="6" s="1"/>
  <c r="X22" i="6"/>
  <c r="AZ22" i="6" s="1"/>
  <c r="AU11" i="6"/>
  <c r="Y11" i="6"/>
  <c r="BA11" i="6" s="1"/>
  <c r="AW28" i="6"/>
  <c r="AA28" i="6"/>
  <c r="BC28" i="6" s="1"/>
  <c r="AU28" i="6"/>
  <c r="Y28" i="6"/>
  <c r="BA28" i="6" s="1"/>
  <c r="Y18" i="6"/>
  <c r="BA18" i="6" s="1"/>
  <c r="AS21" i="6"/>
  <c r="W21" i="6"/>
  <c r="AY21" i="6" s="1"/>
  <c r="AV25" i="6"/>
  <c r="Z25" i="6"/>
  <c r="BB25" i="6" s="1"/>
  <c r="AW17" i="6"/>
  <c r="AA17" i="6"/>
  <c r="BC17" i="6" s="1"/>
  <c r="X26" i="6"/>
  <c r="AZ26" i="6" s="1"/>
  <c r="W18" i="6"/>
  <c r="AY18" i="6" s="1"/>
  <c r="AA6" i="6"/>
  <c r="BC6" i="6" s="1"/>
  <c r="W13" i="6"/>
  <c r="AY13" i="6" s="1"/>
  <c r="W22" i="6"/>
  <c r="AY22" i="6" s="1"/>
  <c r="X11" i="6"/>
  <c r="AZ11" i="6" s="1"/>
  <c r="AT11" i="6"/>
  <c r="AA26" i="6"/>
  <c r="BC26" i="6" s="1"/>
  <c r="AX5" i="6"/>
  <c r="AB5" i="6"/>
  <c r="BD5" i="6" s="1"/>
  <c r="AX21" i="6"/>
  <c r="AB21" i="6"/>
  <c r="BD21" i="6" s="1"/>
  <c r="AV17" i="6"/>
  <c r="Z17" i="6"/>
  <c r="BB17" i="6" s="1"/>
  <c r="AT28" i="6"/>
  <c r="X28" i="6"/>
  <c r="AZ28" i="6" s="1"/>
  <c r="AU17" i="6"/>
  <c r="Y17" i="6"/>
  <c r="BA17" i="6" s="1"/>
  <c r="AW12" i="6"/>
  <c r="AA12" i="6"/>
  <c r="BC12" i="6" s="1"/>
  <c r="AB26" i="6"/>
  <c r="BD26" i="6" s="1"/>
  <c r="Z29" i="6"/>
  <c r="BB29" i="6" s="1"/>
  <c r="Z6" i="6"/>
  <c r="BB6" i="6" s="1"/>
  <c r="AB13" i="6"/>
  <c r="BD13" i="6" s="1"/>
  <c r="AA22" i="6"/>
  <c r="BC22" i="6" s="1"/>
  <c r="AX28" i="6"/>
  <c r="AB28" i="6"/>
  <c r="BD28" i="6" s="1"/>
  <c r="AS28" i="6"/>
  <c r="W28" i="6"/>
  <c r="AY28" i="6" s="1"/>
  <c r="AX25" i="6"/>
  <c r="AB25" i="6"/>
  <c r="BD25" i="6" s="1"/>
  <c r="AV21" i="6"/>
  <c r="Z21" i="6"/>
  <c r="BB21" i="6" s="1"/>
  <c r="AV28" i="6"/>
  <c r="Z28" i="6"/>
  <c r="BB28" i="6" s="1"/>
  <c r="AX17" i="6"/>
  <c r="AB17" i="6"/>
  <c r="BD17" i="6" s="1"/>
  <c r="AT25" i="6"/>
  <c r="X25" i="6"/>
  <c r="AZ25" i="6" s="1"/>
  <c r="AU5" i="6"/>
  <c r="Y5" i="6"/>
  <c r="BA5" i="6" s="1"/>
  <c r="AU21" i="6"/>
  <c r="Y21" i="6"/>
  <c r="BA21" i="6" s="1"/>
  <c r="AV5" i="6"/>
  <c r="Z5" i="6"/>
  <c r="BB5" i="6" s="1"/>
  <c r="W26" i="6"/>
  <c r="AY26" i="6" s="1"/>
  <c r="Y29" i="6"/>
  <c r="BA29" i="6" s="1"/>
  <c r="Y6" i="6"/>
  <c r="BA6" i="6" s="1"/>
  <c r="AA13" i="6"/>
  <c r="BC13" i="6" s="1"/>
  <c r="W11" i="6"/>
  <c r="AY11" i="6" s="1"/>
  <c r="AS11" i="6"/>
  <c r="AU12" i="6"/>
  <c r="Y12" i="6"/>
  <c r="BA12" i="6" s="1"/>
  <c r="AA29" i="6"/>
  <c r="BC29" i="6" s="1"/>
  <c r="BL7" i="6"/>
  <c r="AV12" i="6"/>
  <c r="Z12" i="6"/>
  <c r="BB12" i="6" s="1"/>
  <c r="AT12" i="6"/>
  <c r="X12" i="6"/>
  <c r="AZ12" i="6" s="1"/>
  <c r="AB18" i="6"/>
  <c r="BD18" i="6" s="1"/>
  <c r="X29" i="6"/>
  <c r="AZ29" i="6" s="1"/>
  <c r="X6" i="6"/>
  <c r="AZ6" i="6" s="1"/>
  <c r="X12" i="5"/>
  <c r="AZ12" i="5" s="1"/>
  <c r="AT12" i="5"/>
  <c r="AS11" i="5"/>
  <c r="W11" i="5"/>
  <c r="AY11" i="5" s="1"/>
  <c r="Z12" i="5"/>
  <c r="BB12" i="5" s="1"/>
  <c r="AV12" i="5"/>
  <c r="Y12" i="5"/>
  <c r="BA12" i="5" s="1"/>
  <c r="AU12" i="5"/>
  <c r="AA12" i="5"/>
  <c r="BC12" i="5" s="1"/>
  <c r="AW12" i="5"/>
  <c r="AV11" i="5"/>
  <c r="Z11" i="5"/>
  <c r="BB11" i="5" s="1"/>
  <c r="W12" i="5"/>
  <c r="AY12" i="5" s="1"/>
  <c r="AS12" i="5"/>
  <c r="AB12" i="5"/>
  <c r="BD12" i="5" s="1"/>
  <c r="AX12" i="5"/>
  <c r="X11" i="5"/>
  <c r="AZ11" i="5" s="1"/>
  <c r="AT11" i="5"/>
  <c r="Y11" i="5"/>
  <c r="BA11" i="5" s="1"/>
  <c r="AU11" i="5"/>
  <c r="AX5" i="5"/>
  <c r="AU13" i="5"/>
  <c r="Y26" i="5"/>
  <c r="BA26" i="5" s="1"/>
  <c r="AA11" i="5"/>
  <c r="BC11" i="5" s="1"/>
  <c r="AW11" i="5"/>
  <c r="AT25" i="5"/>
  <c r="AB11" i="5"/>
  <c r="BD11" i="5" s="1"/>
  <c r="AX11" i="5"/>
  <c r="AW13" i="5"/>
  <c r="AU28" i="5"/>
  <c r="AT5" i="5"/>
  <c r="AX28" i="5"/>
  <c r="AS21" i="5"/>
  <c r="Y22" i="5"/>
  <c r="BA22" i="5" s="1"/>
  <c r="W22" i="5"/>
  <c r="AY22" i="5" s="1"/>
  <c r="AU21" i="5"/>
  <c r="AS5" i="5"/>
  <c r="BL7" i="5"/>
  <c r="AW22" i="5"/>
  <c r="AV18" i="5"/>
  <c r="AT13" i="5"/>
  <c r="AS6" i="5"/>
  <c r="AU25" i="5"/>
  <c r="AW25" i="5"/>
  <c r="AW17" i="5"/>
  <c r="AV5" i="5"/>
  <c r="AX13" i="5"/>
  <c r="AU6" i="5"/>
  <c r="X18" i="5"/>
  <c r="AZ18" i="5" s="1"/>
  <c r="AB26" i="5"/>
  <c r="BD26" i="5" s="1"/>
  <c r="AU18" i="5"/>
  <c r="AU17" i="5"/>
  <c r="W13" i="5"/>
  <c r="AY13" i="5" s="1"/>
  <c r="AX25" i="5"/>
  <c r="AS17" i="5"/>
  <c r="AT28" i="5"/>
  <c r="AV25" i="5"/>
  <c r="AA6" i="5"/>
  <c r="BC6" i="5" s="1"/>
  <c r="Y29" i="5"/>
  <c r="BA29" i="5" s="1"/>
  <c r="AX17" i="5"/>
  <c r="AT26" i="5"/>
  <c r="AV29" i="5"/>
  <c r="AV28" i="5"/>
  <c r="AW28" i="5"/>
  <c r="Z13" i="5"/>
  <c r="BB13" i="5" s="1"/>
  <c r="AW29" i="5"/>
  <c r="AT17" i="5"/>
  <c r="AW18" i="5"/>
  <c r="AV17" i="5"/>
  <c r="AT21" i="5"/>
  <c r="AS25" i="5"/>
  <c r="AT22" i="5"/>
  <c r="AV21" i="5"/>
  <c r="AF30" i="6"/>
  <c r="AA30" i="6"/>
  <c r="BC30" i="6" s="1"/>
  <c r="W30" i="6"/>
  <c r="AY30" i="6" s="1"/>
  <c r="X30" i="6"/>
  <c r="AZ30" i="6" s="1"/>
  <c r="Y30" i="6"/>
  <c r="BA30" i="6" s="1"/>
  <c r="AB30" i="6"/>
  <c r="BD30" i="6" s="1"/>
  <c r="Z30" i="6"/>
  <c r="BB30" i="6" s="1"/>
  <c r="W14" i="6"/>
  <c r="AY14" i="6" s="1"/>
  <c r="X14" i="6"/>
  <c r="AZ14" i="6" s="1"/>
  <c r="AB14" i="6"/>
  <c r="BD14" i="6" s="1"/>
  <c r="Y14" i="6"/>
  <c r="BA14" i="6" s="1"/>
  <c r="Z14" i="6"/>
  <c r="BB14" i="6" s="1"/>
  <c r="AA14" i="6"/>
  <c r="BC14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3" i="6"/>
  <c r="W23" i="6"/>
  <c r="AY23" i="6" s="1"/>
  <c r="X23" i="6"/>
  <c r="AZ23" i="6" s="1"/>
  <c r="Y23" i="6"/>
  <c r="BA23" i="6" s="1"/>
  <c r="Z23" i="6"/>
  <c r="BB23" i="6" s="1"/>
  <c r="AA23" i="6"/>
  <c r="BC23" i="6" s="1"/>
  <c r="AB23" i="6"/>
  <c r="BD23" i="6" s="1"/>
  <c r="AF27" i="6"/>
  <c r="W27" i="6"/>
  <c r="AY27" i="6" s="1"/>
  <c r="X27" i="6"/>
  <c r="AZ27" i="6" s="1"/>
  <c r="Y27" i="6"/>
  <c r="BA27" i="6" s="1"/>
  <c r="Z27" i="6"/>
  <c r="BB27" i="6" s="1"/>
  <c r="AA27" i="6"/>
  <c r="BC27" i="6" s="1"/>
  <c r="AB27" i="6"/>
  <c r="BD27" i="6" s="1"/>
  <c r="AF19" i="6"/>
  <c r="W19" i="6"/>
  <c r="AY19" i="6" s="1"/>
  <c r="X19" i="6"/>
  <c r="AZ19" i="6" s="1"/>
  <c r="Y19" i="6"/>
  <c r="BA19" i="6" s="1"/>
  <c r="Z19" i="6"/>
  <c r="BB19" i="6" s="1"/>
  <c r="AA19" i="6"/>
  <c r="BC19" i="6" s="1"/>
  <c r="AB19" i="6"/>
  <c r="BD19" i="6" s="1"/>
  <c r="X19" i="5"/>
  <c r="AZ19" i="5" s="1"/>
  <c r="W19" i="5"/>
  <c r="AY19" i="5" s="1"/>
  <c r="Y19" i="5"/>
  <c r="BA19" i="5" s="1"/>
  <c r="Z19" i="5"/>
  <c r="BB19" i="5" s="1"/>
  <c r="AA19" i="5"/>
  <c r="BC19" i="5" s="1"/>
  <c r="AB19" i="5"/>
  <c r="BD19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3" i="5"/>
  <c r="AZ23" i="5" s="1"/>
  <c r="Z23" i="5"/>
  <c r="BB23" i="5" s="1"/>
  <c r="Y23" i="5"/>
  <c r="BA23" i="5" s="1"/>
  <c r="AA23" i="5"/>
  <c r="BC23" i="5" s="1"/>
  <c r="AB23" i="5"/>
  <c r="BD23" i="5" s="1"/>
  <c r="W23" i="5"/>
  <c r="AY23" i="5" s="1"/>
  <c r="X27" i="5"/>
  <c r="AZ27" i="5" s="1"/>
  <c r="Y27" i="5"/>
  <c r="BA27" i="5" s="1"/>
  <c r="Z27" i="5"/>
  <c r="BB27" i="5" s="1"/>
  <c r="AA27" i="5"/>
  <c r="BC27" i="5" s="1"/>
  <c r="W27" i="5"/>
  <c r="AY27" i="5" s="1"/>
  <c r="AB27" i="5"/>
  <c r="BD27" i="5" s="1"/>
  <c r="W14" i="5"/>
  <c r="AY14" i="5" s="1"/>
  <c r="X14" i="5"/>
  <c r="AZ14" i="5" s="1"/>
  <c r="AB14" i="5"/>
  <c r="BD14" i="5" s="1"/>
  <c r="Y14" i="5"/>
  <c r="BA14" i="5" s="1"/>
  <c r="Z14" i="5"/>
  <c r="BB14" i="5" s="1"/>
  <c r="AA14" i="5"/>
  <c r="BC14" i="5" s="1"/>
  <c r="W30" i="5"/>
  <c r="AY30" i="5" s="1"/>
  <c r="X30" i="5"/>
  <c r="AZ30" i="5" s="1"/>
  <c r="AB30" i="5"/>
  <c r="BD30" i="5" s="1"/>
  <c r="Y30" i="5"/>
  <c r="BA30" i="5" s="1"/>
  <c r="Z30" i="5"/>
  <c r="BB30" i="5" s="1"/>
  <c r="AA30" i="5"/>
  <c r="BC30" i="5" s="1"/>
  <c r="BU25" i="5"/>
  <c r="BV25" i="5" s="1"/>
  <c r="AF14" i="6"/>
  <c r="J8" i="6"/>
  <c r="AL8" i="6" s="1"/>
  <c r="I15" i="6"/>
  <c r="I31" i="6"/>
  <c r="D8" i="6"/>
  <c r="J15" i="6"/>
  <c r="AL15" i="6" s="1"/>
  <c r="J31" i="6"/>
  <c r="AL31" i="6" s="1"/>
  <c r="E8" i="6"/>
  <c r="AG8" i="6" s="1"/>
  <c r="E20" i="6"/>
  <c r="AG20" i="6" s="1"/>
  <c r="E24" i="6"/>
  <c r="AG24" i="6" s="1"/>
  <c r="F8" i="6"/>
  <c r="AH8" i="6" s="1"/>
  <c r="F20" i="6"/>
  <c r="AH20" i="6" s="1"/>
  <c r="F24" i="6"/>
  <c r="AH24" i="6" s="1"/>
  <c r="D24" i="6"/>
  <c r="D15" i="6"/>
  <c r="H8" i="6"/>
  <c r="AJ8" i="6" s="1"/>
  <c r="F15" i="6"/>
  <c r="AH15" i="6" s="1"/>
  <c r="H20" i="6"/>
  <c r="AJ20" i="6" s="1"/>
  <c r="H24" i="6"/>
  <c r="AJ24" i="6" s="1"/>
  <c r="F31" i="6"/>
  <c r="AH31" i="6" s="1"/>
  <c r="I8" i="6"/>
  <c r="G15" i="6"/>
  <c r="AI15" i="6" s="1"/>
  <c r="I20" i="6"/>
  <c r="I24" i="6"/>
  <c r="G31" i="6"/>
  <c r="AI31" i="6" s="1"/>
  <c r="D20" i="6"/>
  <c r="E31" i="6"/>
  <c r="AG31" i="6" s="1"/>
  <c r="G8" i="6"/>
  <c r="AI8" i="6" s="1"/>
  <c r="H31" i="6"/>
  <c r="AJ31" i="6" s="1"/>
  <c r="G20" i="6"/>
  <c r="AI20" i="6" s="1"/>
  <c r="D31" i="6"/>
  <c r="E15" i="6"/>
  <c r="AG15" i="6" s="1"/>
  <c r="G24" i="6"/>
  <c r="AI24" i="6" s="1"/>
  <c r="J24" i="6"/>
  <c r="AL24" i="6" s="1"/>
  <c r="H15" i="6"/>
  <c r="AJ15" i="6" s="1"/>
  <c r="J20" i="6"/>
  <c r="AL20" i="6" s="1"/>
  <c r="BU25" i="3"/>
  <c r="BV25" i="3" s="1"/>
  <c r="B10" i="7"/>
  <c r="BU26" i="7"/>
  <c r="BV26" i="7" s="1"/>
  <c r="BP26" i="7"/>
  <c r="BQ25" i="7"/>
  <c r="BS25" i="7" s="1"/>
  <c r="BP26" i="6"/>
  <c r="BQ25" i="6"/>
  <c r="BR25" i="6" s="1"/>
  <c r="BS25" i="6" s="1"/>
  <c r="AK7" i="6"/>
  <c r="AK27" i="6"/>
  <c r="AK30" i="6"/>
  <c r="BU27" i="6"/>
  <c r="BV27" i="6" s="1"/>
  <c r="B9" i="6"/>
  <c r="AK19" i="6"/>
  <c r="AK23" i="6"/>
  <c r="AK14" i="6"/>
  <c r="AK7" i="5"/>
  <c r="I31" i="5"/>
  <c r="H31" i="5"/>
  <c r="AJ31" i="5" s="1"/>
  <c r="G31" i="5"/>
  <c r="AI31" i="5" s="1"/>
  <c r="F31" i="5"/>
  <c r="AH31" i="5" s="1"/>
  <c r="D31" i="5"/>
  <c r="AF31" i="5" s="1"/>
  <c r="F24" i="5"/>
  <c r="AH24" i="5" s="1"/>
  <c r="J20" i="5"/>
  <c r="AL20" i="5" s="1"/>
  <c r="G15" i="5"/>
  <c r="AI15" i="5" s="1"/>
  <c r="E24" i="5"/>
  <c r="AG24" i="5" s="1"/>
  <c r="I20" i="5"/>
  <c r="D24" i="5"/>
  <c r="AF24" i="5" s="1"/>
  <c r="H20" i="5"/>
  <c r="AJ20" i="5" s="1"/>
  <c r="E15" i="5"/>
  <c r="AG15" i="5" s="1"/>
  <c r="J24" i="5"/>
  <c r="AL24" i="5" s="1"/>
  <c r="E31" i="5"/>
  <c r="AG31" i="5" s="1"/>
  <c r="H24" i="5"/>
  <c r="AJ24" i="5" s="1"/>
  <c r="D20" i="5"/>
  <c r="AF20" i="5" s="1"/>
  <c r="I15" i="5"/>
  <c r="J31" i="5"/>
  <c r="AL31" i="5" s="1"/>
  <c r="D15" i="5"/>
  <c r="AF15" i="5" s="1"/>
  <c r="I8" i="5"/>
  <c r="G20" i="5"/>
  <c r="AI20" i="5" s="1"/>
  <c r="H8" i="5"/>
  <c r="AJ8" i="5" s="1"/>
  <c r="F20" i="5"/>
  <c r="AH20" i="5" s="1"/>
  <c r="G8" i="5"/>
  <c r="AI8" i="5" s="1"/>
  <c r="E20" i="5"/>
  <c r="AG20" i="5" s="1"/>
  <c r="F8" i="5"/>
  <c r="AH8" i="5" s="1"/>
  <c r="E8" i="5"/>
  <c r="AG8" i="5" s="1"/>
  <c r="J15" i="5"/>
  <c r="AL15" i="5" s="1"/>
  <c r="D8" i="5"/>
  <c r="AF8" i="5" s="1"/>
  <c r="I24" i="5"/>
  <c r="H15" i="5"/>
  <c r="AJ15" i="5" s="1"/>
  <c r="B9" i="5"/>
  <c r="G24" i="5"/>
  <c r="AI24" i="5" s="1"/>
  <c r="F15" i="5"/>
  <c r="AH15" i="5" s="1"/>
  <c r="J8" i="5"/>
  <c r="AL8" i="5" s="1"/>
  <c r="AK27" i="5"/>
  <c r="AK14" i="5"/>
  <c r="AK30" i="5"/>
  <c r="AK23" i="5"/>
  <c r="AK19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W4" i="6" l="1"/>
  <c r="AX4" i="6"/>
  <c r="AV4" i="6"/>
  <c r="AS4" i="6"/>
  <c r="AU4" i="6"/>
  <c r="AT4" i="6"/>
  <c r="BU26" i="5"/>
  <c r="BV26" i="5" s="1"/>
  <c r="AS4" i="5"/>
  <c r="AV4" i="5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20" i="6"/>
  <c r="Y20" i="6"/>
  <c r="BA20" i="6" s="1"/>
  <c r="Z20" i="6"/>
  <c r="BB20" i="6" s="1"/>
  <c r="AA20" i="6"/>
  <c r="BC20" i="6" s="1"/>
  <c r="X20" i="6"/>
  <c r="AZ20" i="6" s="1"/>
  <c r="AB20" i="6"/>
  <c r="BD20" i="6" s="1"/>
  <c r="W20" i="6"/>
  <c r="AF31" i="6"/>
  <c r="W31" i="6"/>
  <c r="X31" i="6"/>
  <c r="Y31" i="6"/>
  <c r="Z31" i="6"/>
  <c r="BB31" i="6" s="1"/>
  <c r="AA31" i="6"/>
  <c r="BC31" i="6" s="1"/>
  <c r="AB31" i="6"/>
  <c r="BD31" i="6" s="1"/>
  <c r="AF15" i="6"/>
  <c r="W15" i="6"/>
  <c r="AY15" i="6" s="1"/>
  <c r="X15" i="6"/>
  <c r="AZ15" i="6" s="1"/>
  <c r="Y15" i="6"/>
  <c r="BA15" i="6" s="1"/>
  <c r="Z15" i="6"/>
  <c r="BB15" i="6" s="1"/>
  <c r="AA15" i="6"/>
  <c r="BC15" i="6" s="1"/>
  <c r="AB15" i="6"/>
  <c r="BD15" i="6" s="1"/>
  <c r="AF24" i="6"/>
  <c r="Y24" i="6"/>
  <c r="BA24" i="6" s="1"/>
  <c r="X24" i="6"/>
  <c r="AZ24" i="6" s="1"/>
  <c r="Z24" i="6"/>
  <c r="BB24" i="6" s="1"/>
  <c r="AA24" i="6"/>
  <c r="BC24" i="6" s="1"/>
  <c r="AB24" i="6"/>
  <c r="BD24" i="6" s="1"/>
  <c r="W24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5" i="5"/>
  <c r="AZ15" i="5" s="1"/>
  <c r="Z15" i="5"/>
  <c r="BB15" i="5" s="1"/>
  <c r="Y15" i="5"/>
  <c r="BA15" i="5" s="1"/>
  <c r="W15" i="5"/>
  <c r="AY15" i="5" s="1"/>
  <c r="AA15" i="5"/>
  <c r="BC15" i="5" s="1"/>
  <c r="AB15" i="5"/>
  <c r="BD15" i="5" s="1"/>
  <c r="Z20" i="5"/>
  <c r="BB20" i="5" s="1"/>
  <c r="AB20" i="5"/>
  <c r="BD20" i="5" s="1"/>
  <c r="AA20" i="5"/>
  <c r="BC20" i="5" s="1"/>
  <c r="X20" i="5"/>
  <c r="AZ20" i="5" s="1"/>
  <c r="Y20" i="5"/>
  <c r="BA20" i="5" s="1"/>
  <c r="W20" i="5"/>
  <c r="AY20" i="5" s="1"/>
  <c r="Z24" i="5"/>
  <c r="BB24" i="5" s="1"/>
  <c r="X24" i="5"/>
  <c r="AZ24" i="5" s="1"/>
  <c r="Y24" i="5"/>
  <c r="BA24" i="5" s="1"/>
  <c r="AA24" i="5"/>
  <c r="BC24" i="5" s="1"/>
  <c r="AB24" i="5"/>
  <c r="BD24" i="5" s="1"/>
  <c r="W24" i="5"/>
  <c r="X31" i="5"/>
  <c r="Z31" i="5"/>
  <c r="BB31" i="5" s="1"/>
  <c r="Y31" i="5"/>
  <c r="W31" i="5"/>
  <c r="AA31" i="5"/>
  <c r="BC31" i="5" s="1"/>
  <c r="AB31" i="5"/>
  <c r="BD31" i="5" s="1"/>
  <c r="BU26" i="3"/>
  <c r="BV26" i="3" s="1"/>
  <c r="F9" i="6"/>
  <c r="AH9" i="6" s="1"/>
  <c r="G9" i="6"/>
  <c r="AI9" i="6" s="1"/>
  <c r="D9" i="6"/>
  <c r="H9" i="6"/>
  <c r="AJ9" i="6" s="1"/>
  <c r="E16" i="6"/>
  <c r="AG16" i="6" s="1"/>
  <c r="I9" i="6"/>
  <c r="F16" i="6"/>
  <c r="AH16" i="6" s="1"/>
  <c r="H16" i="6"/>
  <c r="AJ16" i="6" s="1"/>
  <c r="I16" i="6"/>
  <c r="G16" i="6"/>
  <c r="AI16" i="6" s="1"/>
  <c r="J16" i="6"/>
  <c r="AL16" i="6" s="1"/>
  <c r="D16" i="6"/>
  <c r="E9" i="6"/>
  <c r="AG9" i="6" s="1"/>
  <c r="J9" i="6"/>
  <c r="AL9" i="6" s="1"/>
  <c r="AF8" i="6"/>
  <c r="BU27" i="7"/>
  <c r="BV27" i="7" s="1"/>
  <c r="BP27" i="7"/>
  <c r="BQ26" i="7"/>
  <c r="BR26" i="7" s="1"/>
  <c r="BS26" i="7" s="1"/>
  <c r="BU28" i="6"/>
  <c r="BV28" i="6" s="1"/>
  <c r="AK8" i="6"/>
  <c r="BQ26" i="6"/>
  <c r="BR26" i="6" s="1"/>
  <c r="BS26" i="6" s="1"/>
  <c r="BP27" i="6"/>
  <c r="AK24" i="6"/>
  <c r="AK15" i="6"/>
  <c r="B10" i="6"/>
  <c r="AK20" i="6"/>
  <c r="AK31" i="6"/>
  <c r="E16" i="5"/>
  <c r="AG16" i="5" s="1"/>
  <c r="G16" i="5"/>
  <c r="AI16" i="5" s="1"/>
  <c r="I16" i="5"/>
  <c r="H9" i="5"/>
  <c r="AJ9" i="5" s="1"/>
  <c r="H16" i="5"/>
  <c r="AJ16" i="5" s="1"/>
  <c r="G9" i="5"/>
  <c r="AI9" i="5" s="1"/>
  <c r="F16" i="5"/>
  <c r="AH16" i="5" s="1"/>
  <c r="F9" i="5"/>
  <c r="AH9" i="5" s="1"/>
  <c r="D16" i="5"/>
  <c r="AF16" i="5" s="1"/>
  <c r="E9" i="5"/>
  <c r="AG9" i="5" s="1"/>
  <c r="B10" i="5"/>
  <c r="D9" i="5"/>
  <c r="AF9" i="5" s="1"/>
  <c r="J9" i="5"/>
  <c r="AL9" i="5" s="1"/>
  <c r="J16" i="5"/>
  <c r="AL16" i="5" s="1"/>
  <c r="I9" i="5"/>
  <c r="AK31" i="5"/>
  <c r="BQ26" i="5"/>
  <c r="BR26" i="5" s="1"/>
  <c r="BS26" i="5" s="1"/>
  <c r="BP27" i="5"/>
  <c r="AK24" i="5"/>
  <c r="AK8" i="5"/>
  <c r="AK15" i="5"/>
  <c r="AK20" i="5"/>
  <c r="H8" i="4"/>
  <c r="F10" i="4"/>
  <c r="G9" i="4" s="1"/>
  <c r="BP29" i="3"/>
  <c r="BQ28" i="3"/>
  <c r="BR28" i="3" s="1"/>
  <c r="BS28" i="3" s="1"/>
  <c r="BU27" i="5" l="1"/>
  <c r="BV27" i="5" s="1"/>
  <c r="AF16" i="6"/>
  <c r="Y16" i="6"/>
  <c r="BA16" i="6" s="1"/>
  <c r="Z16" i="6"/>
  <c r="BB16" i="6" s="1"/>
  <c r="AA16" i="6"/>
  <c r="BC16" i="6" s="1"/>
  <c r="AB16" i="6"/>
  <c r="BD16" i="6" s="1"/>
  <c r="W16" i="6"/>
  <c r="X16" i="6"/>
  <c r="AZ16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6" i="5"/>
  <c r="BB16" i="5" s="1"/>
  <c r="AA16" i="5"/>
  <c r="BC16" i="5" s="1"/>
  <c r="AB16" i="5"/>
  <c r="BD16" i="5" s="1"/>
  <c r="W16" i="5"/>
  <c r="Y16" i="5"/>
  <c r="BA16" i="5" s="1"/>
  <c r="X16" i="5"/>
  <c r="AZ16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V27" i="3" s="1"/>
  <c r="BQ27" i="7"/>
  <c r="BR27" i="7" s="1"/>
  <c r="BS27" i="7" s="1"/>
  <c r="BP28" i="7"/>
  <c r="BU28" i="7"/>
  <c r="BV28" i="7" s="1"/>
  <c r="AK16" i="6"/>
  <c r="BU29" i="6"/>
  <c r="BV29" i="6" s="1"/>
  <c r="AK9" i="6"/>
  <c r="BQ27" i="6"/>
  <c r="BR27" i="6" s="1"/>
  <c r="BS27" i="6" s="1"/>
  <c r="BP28" i="6"/>
  <c r="AK9" i="5"/>
  <c r="BU28" i="5"/>
  <c r="BV28" i="5" s="1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6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V28" i="3" s="1"/>
  <c r="BU29" i="7"/>
  <c r="BV29" i="7" s="1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V30" i="6" s="1"/>
  <c r="BP29" i="5"/>
  <c r="BQ28" i="5"/>
  <c r="BR28" i="5" s="1"/>
  <c r="BS28" i="5" s="1"/>
  <c r="AK10" i="5"/>
  <c r="AK4" i="5" s="1"/>
  <c r="BU29" i="5"/>
  <c r="BV29" i="5" s="1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V29" i="3" s="1"/>
  <c r="BQ29" i="7"/>
  <c r="BR29" i="7" s="1"/>
  <c r="BS29" i="7" s="1"/>
  <c r="BP30" i="7"/>
  <c r="BU30" i="7"/>
  <c r="BV30" i="7" s="1"/>
  <c r="BI8" i="5"/>
  <c r="BB4" i="5"/>
  <c r="BJ8" i="5" s="1"/>
  <c r="BC4" i="5"/>
  <c r="BK8" i="5" s="1"/>
  <c r="BD4" i="5"/>
  <c r="BM8" i="5" s="1"/>
  <c r="BU31" i="6"/>
  <c r="BV31" i="6" s="1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BV30" i="5" s="1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V30" i="3" s="1"/>
  <c r="BP31" i="7"/>
  <c r="BQ30" i="7"/>
  <c r="BR30" i="7" s="1"/>
  <c r="BS30" i="7" s="1"/>
  <c r="BU31" i="7"/>
  <c r="BV31" i="7" s="1"/>
  <c r="BP31" i="6"/>
  <c r="BQ30" i="6"/>
  <c r="BR30" i="6" s="1"/>
  <c r="BS30" i="6" s="1"/>
  <c r="BU32" i="6"/>
  <c r="BV32" i="6" s="1"/>
  <c r="BU31" i="5"/>
  <c r="BV31" i="5" s="1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V31" i="3" s="1"/>
  <c r="BU32" i="7"/>
  <c r="BV32" i="7" s="1"/>
  <c r="BP32" i="7"/>
  <c r="BQ31" i="7"/>
  <c r="BR31" i="7" s="1"/>
  <c r="BS31" i="7" s="1"/>
  <c r="BU33" i="6"/>
  <c r="BV33" i="6" s="1"/>
  <c r="BP32" i="6"/>
  <c r="BQ31" i="6"/>
  <c r="BR31" i="6" s="1"/>
  <c r="BS31" i="6" s="1"/>
  <c r="BP32" i="5"/>
  <c r="BQ31" i="5"/>
  <c r="BR31" i="5" s="1"/>
  <c r="BS31" i="5" s="1"/>
  <c r="BU32" i="5"/>
  <c r="BV32" i="5" s="1"/>
  <c r="H13" i="4"/>
  <c r="F15" i="4"/>
  <c r="G14" i="4" s="1"/>
  <c r="BP34" i="3"/>
  <c r="BQ33" i="3"/>
  <c r="BR33" i="3" s="1"/>
  <c r="BS33" i="3" s="1"/>
  <c r="H14" i="4" l="1"/>
  <c r="BU32" i="3"/>
  <c r="BV32" i="3" s="1"/>
  <c r="BU33" i="7"/>
  <c r="BV33" i="7" s="1"/>
  <c r="BP33" i="7"/>
  <c r="BQ32" i="7"/>
  <c r="BR32" i="7" s="1"/>
  <c r="BS32" i="7" s="1"/>
  <c r="BP33" i="6"/>
  <c r="BQ32" i="6"/>
  <c r="BR32" i="6" s="1"/>
  <c r="BS32" i="6" s="1"/>
  <c r="BU34" i="6"/>
  <c r="BV34" i="6" s="1"/>
  <c r="BQ32" i="5"/>
  <c r="BR32" i="5" s="1"/>
  <c r="BS32" i="5" s="1"/>
  <c r="BP33" i="5"/>
  <c r="BU33" i="5"/>
  <c r="BV33" i="5" s="1"/>
  <c r="G15" i="4"/>
  <c r="F16" i="4"/>
  <c r="BP35" i="3"/>
  <c r="BQ34" i="3"/>
  <c r="BR34" i="3" s="1"/>
  <c r="BS34" i="3" s="1"/>
  <c r="BU33" i="3" l="1"/>
  <c r="BV33" i="3" s="1"/>
  <c r="BU34" i="7"/>
  <c r="BV34" i="7" s="1"/>
  <c r="BP34" i="7"/>
  <c r="BQ33" i="7"/>
  <c r="BR33" i="7" s="1"/>
  <c r="BS33" i="7" s="1"/>
  <c r="BQ33" i="6"/>
  <c r="BR33" i="6" s="1"/>
  <c r="BS33" i="6" s="1"/>
  <c r="BP34" i="6"/>
  <c r="BU35" i="6"/>
  <c r="BV35" i="6" s="1"/>
  <c r="BU34" i="5"/>
  <c r="BV34" i="5" s="1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V34" i="3" s="1"/>
  <c r="BU35" i="7"/>
  <c r="BV35" i="7" s="1"/>
  <c r="BP35" i="7"/>
  <c r="BQ34" i="7"/>
  <c r="BR34" i="7" s="1"/>
  <c r="BS34" i="7" s="1"/>
  <c r="BP35" i="6"/>
  <c r="BQ34" i="6"/>
  <c r="BR34" i="6" s="1"/>
  <c r="BS34" i="6" s="1"/>
  <c r="BU36" i="6"/>
  <c r="BV36" i="6" s="1"/>
  <c r="BP35" i="5"/>
  <c r="BQ34" i="5"/>
  <c r="BR34" i="5" s="1"/>
  <c r="BS34" i="5" s="1"/>
  <c r="BU35" i="5"/>
  <c r="BV35" i="5" s="1"/>
  <c r="G16" i="4"/>
  <c r="F18" i="4"/>
  <c r="G17" i="4" s="1"/>
  <c r="BP37" i="3"/>
  <c r="BQ36" i="3"/>
  <c r="BR36" i="3" s="1"/>
  <c r="BS36" i="3" s="1"/>
  <c r="H17" i="4" l="1"/>
  <c r="BU35" i="3"/>
  <c r="BV35" i="3" s="1"/>
  <c r="BU36" i="7"/>
  <c r="BV36" i="7" s="1"/>
  <c r="BP36" i="7"/>
  <c r="BQ35" i="7"/>
  <c r="BR35" i="7" s="1"/>
  <c r="BS35" i="7" s="1"/>
  <c r="BP36" i="6"/>
  <c r="BQ35" i="6"/>
  <c r="BR35" i="6" s="1"/>
  <c r="BS35" i="6" s="1"/>
  <c r="BU37" i="6"/>
  <c r="BV37" i="6" s="1"/>
  <c r="BP36" i="5"/>
  <c r="BQ35" i="5"/>
  <c r="BR35" i="5" s="1"/>
  <c r="BS35" i="5" s="1"/>
  <c r="BU36" i="5"/>
  <c r="BV36" i="5" s="1"/>
  <c r="F19" i="4"/>
  <c r="G18" i="4" s="1"/>
  <c r="BP38" i="3"/>
  <c r="BQ37" i="3"/>
  <c r="BR37" i="3" s="1"/>
  <c r="BS37" i="3" s="1"/>
  <c r="H18" i="4" l="1"/>
  <c r="I18" i="4" s="1"/>
  <c r="BU36" i="3"/>
  <c r="BV36" i="3" s="1"/>
  <c r="BU37" i="7"/>
  <c r="BV37" i="7" s="1"/>
  <c r="BP37" i="7"/>
  <c r="BQ36" i="7"/>
  <c r="BR36" i="7" s="1"/>
  <c r="BS36" i="7" s="1"/>
  <c r="BQ36" i="6"/>
  <c r="BR36" i="6" s="1"/>
  <c r="BS36" i="6" s="1"/>
  <c r="BP37" i="6"/>
  <c r="BU38" i="6"/>
  <c r="BV38" i="6" s="1"/>
  <c r="BQ36" i="5"/>
  <c r="BR36" i="5" s="1"/>
  <c r="BS36" i="5" s="1"/>
  <c r="BP37" i="5"/>
  <c r="BU37" i="5"/>
  <c r="BV37" i="5" s="1"/>
  <c r="F20" i="4"/>
  <c r="G19" i="4" s="1"/>
  <c r="BP39" i="3"/>
  <c r="BQ38" i="3"/>
  <c r="BR38" i="3" s="1"/>
  <c r="BS38" i="3" s="1"/>
  <c r="BU37" i="3" l="1"/>
  <c r="BV37" i="3" s="1"/>
  <c r="BU38" i="7"/>
  <c r="BV38" i="7" s="1"/>
  <c r="BP38" i="7"/>
  <c r="BQ37" i="7"/>
  <c r="BR37" i="7" s="1"/>
  <c r="BS37" i="7" s="1"/>
  <c r="BQ37" i="6"/>
  <c r="BR37" i="6" s="1"/>
  <c r="BS37" i="6" s="1"/>
  <c r="BP38" i="6"/>
  <c r="BU39" i="6"/>
  <c r="BV39" i="6" s="1"/>
  <c r="BU38" i="5"/>
  <c r="BV38" i="5" s="1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V38" i="3" s="1"/>
  <c r="BP39" i="7"/>
  <c r="BQ38" i="7"/>
  <c r="BR38" i="7" s="1"/>
  <c r="BS38" i="7" s="1"/>
  <c r="BU39" i="7"/>
  <c r="BV39" i="7" s="1"/>
  <c r="BP39" i="6"/>
  <c r="BQ38" i="6"/>
  <c r="BR38" i="6" s="1"/>
  <c r="BS38" i="6" s="1"/>
  <c r="BU40" i="6"/>
  <c r="BV40" i="6" s="1"/>
  <c r="BU39" i="5"/>
  <c r="BV39" i="5" s="1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V39" i="3" s="1"/>
  <c r="BP40" i="7"/>
  <c r="BQ39" i="7"/>
  <c r="BR39" i="7" s="1"/>
  <c r="BS39" i="7" s="1"/>
  <c r="BU40" i="7"/>
  <c r="BV40" i="7" s="1"/>
  <c r="BP40" i="6"/>
  <c r="BQ39" i="6"/>
  <c r="BR39" i="6" s="1"/>
  <c r="BS39" i="6" s="1"/>
  <c r="BU41" i="6"/>
  <c r="BV41" i="6" s="1"/>
  <c r="BP40" i="5"/>
  <c r="BQ39" i="5"/>
  <c r="BR39" i="5" s="1"/>
  <c r="BS39" i="5" s="1"/>
  <c r="BU40" i="5"/>
  <c r="BV40" i="5" s="1"/>
  <c r="H21" i="4"/>
  <c r="F23" i="4"/>
  <c r="BP42" i="3"/>
  <c r="BQ41" i="3"/>
  <c r="BR41" i="3" s="1"/>
  <c r="BS41" i="3" s="1"/>
  <c r="BU40" i="3" l="1"/>
  <c r="BV40" i="3" s="1"/>
  <c r="BP41" i="7"/>
  <c r="BQ40" i="7"/>
  <c r="BR40" i="7" s="1"/>
  <c r="BS40" i="7" s="1"/>
  <c r="BU41" i="7"/>
  <c r="BV41" i="7" s="1"/>
  <c r="BP41" i="6"/>
  <c r="BQ40" i="6"/>
  <c r="BR40" i="6" s="1"/>
  <c r="BS40" i="6" s="1"/>
  <c r="BU42" i="6"/>
  <c r="BV42" i="6" s="1"/>
  <c r="BQ40" i="5"/>
  <c r="BR40" i="5" s="1"/>
  <c r="BS40" i="5" s="1"/>
  <c r="BP41" i="5"/>
  <c r="BU41" i="5"/>
  <c r="BV41" i="5" s="1"/>
  <c r="H22" i="4"/>
  <c r="G22" i="4"/>
  <c r="F24" i="4"/>
  <c r="BP43" i="3"/>
  <c r="BQ42" i="3"/>
  <c r="BR42" i="3" s="1"/>
  <c r="BS42" i="3" s="1"/>
  <c r="BU41" i="3" l="1"/>
  <c r="BV41" i="3" s="1"/>
  <c r="BP42" i="7"/>
  <c r="BQ41" i="7"/>
  <c r="BR41" i="7" s="1"/>
  <c r="BS41" i="7" s="1"/>
  <c r="BU42" i="7"/>
  <c r="BV42" i="7" s="1"/>
  <c r="BU43" i="6"/>
  <c r="BV43" i="6" s="1"/>
  <c r="BQ41" i="6"/>
  <c r="BR41" i="6" s="1"/>
  <c r="BS41" i="6" s="1"/>
  <c r="BP42" i="6"/>
  <c r="BU42" i="5"/>
  <c r="BV42" i="5" s="1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V42" i="3" s="1"/>
  <c r="BP43" i="7"/>
  <c r="BQ42" i="7"/>
  <c r="BR42" i="7" s="1"/>
  <c r="BS42" i="7" s="1"/>
  <c r="BU43" i="7"/>
  <c r="BV43" i="7" s="1"/>
  <c r="BP43" i="6"/>
  <c r="BQ42" i="6"/>
  <c r="BR42" i="6" s="1"/>
  <c r="BS42" i="6" s="1"/>
  <c r="BU44" i="6"/>
  <c r="BV44" i="6" s="1"/>
  <c r="BP43" i="5"/>
  <c r="BQ42" i="5"/>
  <c r="BR42" i="5" s="1"/>
  <c r="BS42" i="5" s="1"/>
  <c r="BU43" i="5"/>
  <c r="BV43" i="5" s="1"/>
  <c r="H24" i="4"/>
  <c r="G24" i="4"/>
  <c r="F26" i="4"/>
  <c r="G25" i="4" s="1"/>
  <c r="BP45" i="3"/>
  <c r="BQ44" i="3"/>
  <c r="BR44" i="3" s="1"/>
  <c r="BS44" i="3" s="1"/>
  <c r="BU43" i="3" l="1"/>
  <c r="BV43" i="3" s="1"/>
  <c r="BP44" i="7"/>
  <c r="BQ43" i="7"/>
  <c r="BR43" i="7" s="1"/>
  <c r="BS43" i="7" s="1"/>
  <c r="BU44" i="7"/>
  <c r="BV44" i="7" s="1"/>
  <c r="BU45" i="6"/>
  <c r="BV45" i="6" s="1"/>
  <c r="BP44" i="6"/>
  <c r="BQ43" i="6"/>
  <c r="BR43" i="6" s="1"/>
  <c r="BS43" i="6" s="1"/>
  <c r="BU44" i="5"/>
  <c r="BV44" i="5" s="1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V44" i="3" s="1"/>
  <c r="BP45" i="7"/>
  <c r="BQ44" i="7"/>
  <c r="BR44" i="7" s="1"/>
  <c r="BS44" i="7" s="1"/>
  <c r="BU45" i="7"/>
  <c r="BV45" i="7" s="1"/>
  <c r="BQ44" i="6"/>
  <c r="BR44" i="6" s="1"/>
  <c r="BS44" i="6" s="1"/>
  <c r="BP45" i="6"/>
  <c r="BU46" i="6"/>
  <c r="BV46" i="6" s="1"/>
  <c r="BQ44" i="5"/>
  <c r="BR44" i="5" s="1"/>
  <c r="BS44" i="5" s="1"/>
  <c r="BP45" i="5"/>
  <c r="BU45" i="5"/>
  <c r="BV45" i="5" s="1"/>
  <c r="H26" i="4"/>
  <c r="G26" i="4"/>
  <c r="F28" i="4"/>
  <c r="H27" i="4" s="1"/>
  <c r="BP47" i="3"/>
  <c r="BQ46" i="3"/>
  <c r="BR46" i="3" s="1"/>
  <c r="BS46" i="3" s="1"/>
  <c r="BU45" i="3" l="1"/>
  <c r="BV45" i="3" s="1"/>
  <c r="BP46" i="7"/>
  <c r="BQ45" i="7"/>
  <c r="BR45" i="7" s="1"/>
  <c r="BS45" i="7" s="1"/>
  <c r="BU46" i="7"/>
  <c r="BV46" i="7" s="1"/>
  <c r="BU47" i="6"/>
  <c r="BV47" i="6" s="1"/>
  <c r="BQ45" i="6"/>
  <c r="BR45" i="6" s="1"/>
  <c r="BS45" i="6" s="1"/>
  <c r="BP46" i="6"/>
  <c r="BU46" i="5"/>
  <c r="BV46" i="5" s="1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V46" i="3" s="1"/>
  <c r="BU47" i="7"/>
  <c r="BV47" i="7" s="1"/>
  <c r="BP47" i="7"/>
  <c r="BQ46" i="7"/>
  <c r="BR46" i="7" s="1"/>
  <c r="BS46" i="7" s="1"/>
  <c r="BP47" i="6"/>
  <c r="BQ46" i="6"/>
  <c r="BR46" i="6" s="1"/>
  <c r="BS46" i="6" s="1"/>
  <c r="BU48" i="6"/>
  <c r="BV48" i="6" s="1"/>
  <c r="BP47" i="5"/>
  <c r="BQ46" i="5"/>
  <c r="BR46" i="5" s="1"/>
  <c r="BS46" i="5" s="1"/>
  <c r="BU47" i="5"/>
  <c r="BV47" i="5" s="1"/>
  <c r="H28" i="4"/>
  <c r="G28" i="4"/>
  <c r="F30" i="4"/>
  <c r="G29" i="4" s="1"/>
  <c r="BP49" i="3"/>
  <c r="BQ48" i="3"/>
  <c r="BR48" i="3" s="1"/>
  <c r="BS48" i="3" s="1"/>
  <c r="BU47" i="3" l="1"/>
  <c r="BV47" i="3" s="1"/>
  <c r="BU48" i="7"/>
  <c r="BV48" i="7" s="1"/>
  <c r="BP48" i="7"/>
  <c r="BQ47" i="7"/>
  <c r="BR47" i="7" s="1"/>
  <c r="BS47" i="7" s="1"/>
  <c r="BU49" i="6"/>
  <c r="BV49" i="6" s="1"/>
  <c r="BP48" i="6"/>
  <c r="BQ47" i="6"/>
  <c r="BR47" i="6" s="1"/>
  <c r="BS47" i="6" s="1"/>
  <c r="BU48" i="5"/>
  <c r="BV48" i="5" s="1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V48" i="3" s="1"/>
  <c r="BP49" i="7"/>
  <c r="BQ48" i="7"/>
  <c r="BR48" i="7" s="1"/>
  <c r="BS48" i="7" s="1"/>
  <c r="BU49" i="7"/>
  <c r="BV49" i="7" s="1"/>
  <c r="BP49" i="6"/>
  <c r="BQ48" i="6"/>
  <c r="BR48" i="6" s="1"/>
  <c r="BS48" i="6" s="1"/>
  <c r="BU50" i="6"/>
  <c r="BV50" i="6" s="1"/>
  <c r="BU49" i="5"/>
  <c r="BV49" i="5" s="1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V49" i="3" s="1"/>
  <c r="BP50" i="7"/>
  <c r="BQ49" i="7"/>
  <c r="BR49" i="7" s="1"/>
  <c r="BS49" i="7" s="1"/>
  <c r="BU50" i="7"/>
  <c r="BV50" i="7" s="1"/>
  <c r="BU51" i="6"/>
  <c r="BV51" i="6" s="1"/>
  <c r="BQ49" i="6"/>
  <c r="BR49" i="6" s="1"/>
  <c r="BS49" i="6" s="1"/>
  <c r="BP50" i="6"/>
  <c r="BQ49" i="5"/>
  <c r="BR49" i="5" s="1"/>
  <c r="BS49" i="5" s="1"/>
  <c r="BP50" i="5"/>
  <c r="BU50" i="5"/>
  <c r="BV50" i="5" s="1"/>
  <c r="H31" i="4"/>
  <c r="F33" i="4"/>
  <c r="BP52" i="3"/>
  <c r="BQ51" i="3"/>
  <c r="BR51" i="3" s="1"/>
  <c r="BS51" i="3" s="1"/>
  <c r="BU50" i="3" l="1"/>
  <c r="BV50" i="3" s="1"/>
  <c r="BU51" i="7"/>
  <c r="BV51" i="7" s="1"/>
  <c r="BP51" i="7"/>
  <c r="BQ50" i="7"/>
  <c r="BR50" i="7" s="1"/>
  <c r="BS50" i="7" s="1"/>
  <c r="BP51" i="6"/>
  <c r="BQ50" i="6"/>
  <c r="BR50" i="6" s="1"/>
  <c r="BS50" i="6" s="1"/>
  <c r="BU52" i="6"/>
  <c r="BV52" i="6" s="1"/>
  <c r="BU51" i="5"/>
  <c r="BV51" i="5" s="1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V51" i="3" s="1"/>
  <c r="BU52" i="7"/>
  <c r="BV52" i="7" s="1"/>
  <c r="BP52" i="7"/>
  <c r="BQ51" i="7"/>
  <c r="BR51" i="7" s="1"/>
  <c r="BS51" i="7" s="1"/>
  <c r="BU53" i="6"/>
  <c r="BV53" i="6" s="1"/>
  <c r="BP52" i="6"/>
  <c r="BQ51" i="6"/>
  <c r="BR51" i="6" s="1"/>
  <c r="BS51" i="6" s="1"/>
  <c r="BU52" i="5"/>
  <c r="BV52" i="5" s="1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V52" i="3" s="1"/>
  <c r="BU53" i="7"/>
  <c r="BV53" i="7" s="1"/>
  <c r="BP53" i="7"/>
  <c r="BQ52" i="7"/>
  <c r="BR52" i="7" s="1"/>
  <c r="BS52" i="7" s="1"/>
  <c r="BQ52" i="6"/>
  <c r="BR52" i="6" s="1"/>
  <c r="BS52" i="6" s="1"/>
  <c r="BP53" i="6"/>
  <c r="BU54" i="6"/>
  <c r="BV54" i="6" s="1"/>
  <c r="BU53" i="5"/>
  <c r="BV53" i="5" s="1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V53" i="3" s="1"/>
  <c r="BP54" i="7"/>
  <c r="BQ53" i="7"/>
  <c r="BR53" i="7" s="1"/>
  <c r="BS53" i="7" s="1"/>
  <c r="BU54" i="7"/>
  <c r="BV54" i="7" s="1"/>
  <c r="BU55" i="6"/>
  <c r="BV55" i="6" s="1"/>
  <c r="BQ53" i="6"/>
  <c r="BR53" i="6" s="1"/>
  <c r="BS53" i="6" s="1"/>
  <c r="BP54" i="6"/>
  <c r="BQ53" i="5"/>
  <c r="BR53" i="5" s="1"/>
  <c r="BS53" i="5" s="1"/>
  <c r="BP54" i="5"/>
  <c r="BU54" i="5"/>
  <c r="BV54" i="5" s="1"/>
  <c r="H35" i="4"/>
  <c r="G35" i="4"/>
  <c r="F37" i="4"/>
  <c r="BP56" i="3"/>
  <c r="BQ55" i="3"/>
  <c r="BR55" i="3" s="1"/>
  <c r="BS55" i="3" s="1"/>
  <c r="BU54" i="3" l="1"/>
  <c r="BV54" i="3" s="1"/>
  <c r="BU55" i="7"/>
  <c r="BV55" i="7" s="1"/>
  <c r="BP55" i="7"/>
  <c r="BQ54" i="7"/>
  <c r="BR54" i="7" s="1"/>
  <c r="BS54" i="7" s="1"/>
  <c r="BP55" i="6"/>
  <c r="BQ54" i="6"/>
  <c r="BR54" i="6" s="1"/>
  <c r="BS54" i="6" s="1"/>
  <c r="BU56" i="6"/>
  <c r="BV56" i="6" s="1"/>
  <c r="BU55" i="5"/>
  <c r="BV55" i="5" s="1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V55" i="3" s="1"/>
  <c r="BP56" i="7"/>
  <c r="BQ55" i="7"/>
  <c r="BR55" i="7" s="1"/>
  <c r="BS55" i="7" s="1"/>
  <c r="BU56" i="7"/>
  <c r="BV56" i="7" s="1"/>
  <c r="BP56" i="6"/>
  <c r="BQ55" i="6"/>
  <c r="BR55" i="6" s="1"/>
  <c r="BS55" i="6" s="1"/>
  <c r="BU57" i="6"/>
  <c r="BV57" i="6" s="1"/>
  <c r="BU56" i="5"/>
  <c r="BV56" i="5" s="1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V56" i="3" s="1"/>
  <c r="BU57" i="7"/>
  <c r="BV57" i="7" s="1"/>
  <c r="BP57" i="7"/>
  <c r="BQ56" i="7"/>
  <c r="BR56" i="7" s="1"/>
  <c r="BS56" i="7" s="1"/>
  <c r="BU58" i="6"/>
  <c r="BV58" i="6" s="1"/>
  <c r="BP57" i="6"/>
  <c r="BQ56" i="6"/>
  <c r="BR56" i="6" s="1"/>
  <c r="BS56" i="6" s="1"/>
  <c r="BU57" i="5"/>
  <c r="BV57" i="5" s="1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V57" i="3" s="1"/>
  <c r="BU58" i="7"/>
  <c r="BV58" i="7" s="1"/>
  <c r="BP58" i="7"/>
  <c r="BQ57" i="7"/>
  <c r="BR57" i="7" s="1"/>
  <c r="BS57" i="7" s="1"/>
  <c r="BU59" i="6"/>
  <c r="BV59" i="6" s="1"/>
  <c r="BQ57" i="6"/>
  <c r="BR57" i="6" s="1"/>
  <c r="BS57" i="6" s="1"/>
  <c r="BP58" i="6"/>
  <c r="BQ57" i="5"/>
  <c r="BR57" i="5" s="1"/>
  <c r="BS57" i="5" s="1"/>
  <c r="BP58" i="5"/>
  <c r="BU58" i="5"/>
  <c r="BV58" i="5" s="1"/>
  <c r="G40" i="4"/>
  <c r="H40" i="4"/>
  <c r="F42" i="4"/>
  <c r="BP60" i="3"/>
  <c r="BQ59" i="3"/>
  <c r="BR59" i="3" s="1"/>
  <c r="BS59" i="3" s="1"/>
  <c r="BU58" i="3" l="1"/>
  <c r="BV58" i="3" s="1"/>
  <c r="BP59" i="7"/>
  <c r="BQ58" i="7"/>
  <c r="BR58" i="7" s="1"/>
  <c r="BS58" i="7" s="1"/>
  <c r="BU59" i="7"/>
  <c r="BV59" i="7" s="1"/>
  <c r="BU60" i="6"/>
  <c r="BV60" i="6" s="1"/>
  <c r="BP59" i="6"/>
  <c r="BQ58" i="6"/>
  <c r="BR58" i="6" s="1"/>
  <c r="BS58" i="6" s="1"/>
  <c r="BU59" i="5"/>
  <c r="BV59" i="5" s="1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V59" i="3" s="1"/>
  <c r="BU60" i="7"/>
  <c r="BV60" i="7" s="1"/>
  <c r="BP60" i="7"/>
  <c r="BQ59" i="7"/>
  <c r="BR59" i="7" s="1"/>
  <c r="BS59" i="7" s="1"/>
  <c r="BP60" i="6"/>
  <c r="BQ59" i="6"/>
  <c r="BR59" i="6" s="1"/>
  <c r="BS59" i="6" s="1"/>
  <c r="BU61" i="6"/>
  <c r="BV61" i="6" s="1"/>
  <c r="BU60" i="5"/>
  <c r="BV60" i="5" s="1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V60" i="3" s="1"/>
  <c r="BP61" i="7"/>
  <c r="BQ60" i="7"/>
  <c r="BR60" i="7" s="1"/>
  <c r="BS60" i="7" s="1"/>
  <c r="BU61" i="7"/>
  <c r="BV61" i="7" s="1"/>
  <c r="BQ60" i="6"/>
  <c r="BR60" i="6" s="1"/>
  <c r="BS60" i="6" s="1"/>
  <c r="BP61" i="6"/>
  <c r="BU62" i="6"/>
  <c r="BV62" i="6" s="1"/>
  <c r="BQ60" i="5"/>
  <c r="BR60" i="5" s="1"/>
  <c r="BS60" i="5" s="1"/>
  <c r="BP61" i="5"/>
  <c r="BU61" i="5"/>
  <c r="BV61" i="5" s="1"/>
  <c r="H43" i="4"/>
  <c r="G43" i="4"/>
  <c r="F45" i="4"/>
  <c r="BP63" i="3"/>
  <c r="BQ62" i="3"/>
  <c r="BR62" i="3" s="1"/>
  <c r="BS62" i="3" s="1"/>
  <c r="BU61" i="3" l="1"/>
  <c r="BV61" i="3" s="1"/>
  <c r="BU62" i="7"/>
  <c r="BV62" i="7" s="1"/>
  <c r="BP62" i="7"/>
  <c r="BQ61" i="7"/>
  <c r="BR61" i="7" s="1"/>
  <c r="BS61" i="7" s="1"/>
  <c r="BU63" i="6"/>
  <c r="BV63" i="6" s="1"/>
  <c r="BQ61" i="6"/>
  <c r="BR61" i="6" s="1"/>
  <c r="BS61" i="6" s="1"/>
  <c r="BP62" i="6"/>
  <c r="BU62" i="5"/>
  <c r="BV62" i="5" s="1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V62" i="3" s="1"/>
  <c r="BU63" i="7"/>
  <c r="BV63" i="7" s="1"/>
  <c r="BP63" i="7"/>
  <c r="BQ62" i="7"/>
  <c r="BR62" i="7" s="1"/>
  <c r="BS62" i="7" s="1"/>
  <c r="BP63" i="6"/>
  <c r="BQ62" i="6"/>
  <c r="BR62" i="6" s="1"/>
  <c r="BS62" i="6" s="1"/>
  <c r="BU64" i="6"/>
  <c r="BV64" i="6" s="1"/>
  <c r="BP63" i="5"/>
  <c r="BQ62" i="5"/>
  <c r="BR62" i="5" s="1"/>
  <c r="BS62" i="5" s="1"/>
  <c r="BU63" i="5"/>
  <c r="BV63" i="5" s="1"/>
  <c r="G46" i="4"/>
  <c r="H46" i="4"/>
  <c r="F48" i="4"/>
  <c r="BP65" i="3"/>
  <c r="BQ64" i="3"/>
  <c r="BR64" i="3" s="1"/>
  <c r="BS64" i="3" s="1"/>
  <c r="BU63" i="3" l="1"/>
  <c r="BV63" i="3" s="1"/>
  <c r="BP64" i="7"/>
  <c r="BQ63" i="7"/>
  <c r="BR63" i="7" s="1"/>
  <c r="BS63" i="7" s="1"/>
  <c r="BU64" i="7"/>
  <c r="BV64" i="7" s="1"/>
  <c r="BU65" i="6"/>
  <c r="BV65" i="6" s="1"/>
  <c r="BP64" i="6"/>
  <c r="BQ63" i="6"/>
  <c r="BR63" i="6" s="1"/>
  <c r="BS63" i="6" s="1"/>
  <c r="BU64" i="5"/>
  <c r="BV64" i="5" s="1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V64" i="3" s="1"/>
  <c r="BU65" i="7"/>
  <c r="BV65" i="7" s="1"/>
  <c r="BP65" i="7"/>
  <c r="BQ64" i="7"/>
  <c r="BR64" i="7" s="1"/>
  <c r="BS64" i="7" s="1"/>
  <c r="BU66" i="6"/>
  <c r="BV66" i="6" s="1"/>
  <c r="BP65" i="6"/>
  <c r="BQ64" i="6"/>
  <c r="BR64" i="6" s="1"/>
  <c r="BS64" i="6" s="1"/>
  <c r="BU65" i="5"/>
  <c r="BV65" i="5" s="1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V65" i="3" s="1"/>
  <c r="BP66" i="7"/>
  <c r="BQ65" i="7"/>
  <c r="BR65" i="7" s="1"/>
  <c r="BS65" i="7" s="1"/>
  <c r="BU66" i="7"/>
  <c r="BV66" i="7" s="1"/>
  <c r="BQ65" i="6"/>
  <c r="BR65" i="6" s="1"/>
  <c r="BS65" i="6" s="1"/>
  <c r="BP66" i="6"/>
  <c r="BU67" i="6"/>
  <c r="BV67" i="6" s="1"/>
  <c r="BQ65" i="5"/>
  <c r="BR65" i="5" s="1"/>
  <c r="BS65" i="5" s="1"/>
  <c r="BP66" i="5"/>
  <c r="BU66" i="5"/>
  <c r="BV66" i="5" s="1"/>
  <c r="H49" i="4"/>
  <c r="G49" i="4"/>
  <c r="F51" i="4"/>
  <c r="BP68" i="3"/>
  <c r="BQ67" i="3"/>
  <c r="BR67" i="3" s="1"/>
  <c r="BS67" i="3" s="1"/>
  <c r="BU66" i="3" l="1"/>
  <c r="BV66" i="3" s="1"/>
  <c r="BU67" i="7"/>
  <c r="BV67" i="7" s="1"/>
  <c r="BP67" i="7"/>
  <c r="BQ66" i="7"/>
  <c r="BR66" i="7" s="1"/>
  <c r="BS66" i="7" s="1"/>
  <c r="BU68" i="6"/>
  <c r="BV68" i="6" s="1"/>
  <c r="BP67" i="6"/>
  <c r="BQ66" i="6"/>
  <c r="BR66" i="6" s="1"/>
  <c r="BS66" i="6" s="1"/>
  <c r="BU67" i="5"/>
  <c r="BV67" i="5" s="1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V67" i="3" s="1"/>
  <c r="BU68" i="7"/>
  <c r="BV68" i="7" s="1"/>
  <c r="BP68" i="7"/>
  <c r="BQ67" i="7"/>
  <c r="BR67" i="7" s="1"/>
  <c r="BS67" i="7" s="1"/>
  <c r="BP68" i="6"/>
  <c r="BQ67" i="6"/>
  <c r="BR67" i="6" s="1"/>
  <c r="BS67" i="6" s="1"/>
  <c r="BU69" i="6"/>
  <c r="BV69" i="6" s="1"/>
  <c r="BU68" i="5"/>
  <c r="BV68" i="5" s="1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V68" i="3" s="1"/>
  <c r="BP69" i="7"/>
  <c r="BQ68" i="7"/>
  <c r="BR68" i="7" s="1"/>
  <c r="BS68" i="7" s="1"/>
  <c r="BU69" i="7"/>
  <c r="BV69" i="7" s="1"/>
  <c r="BU70" i="6"/>
  <c r="BV70" i="6" s="1"/>
  <c r="BQ68" i="6"/>
  <c r="BR68" i="6" s="1"/>
  <c r="BS68" i="6" s="1"/>
  <c r="BP69" i="6"/>
  <c r="BU69" i="5"/>
  <c r="BV69" i="5" s="1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BV69" i="3" s="1"/>
  <c r="F56" i="4"/>
  <c r="BU70" i="7"/>
  <c r="BV70" i="7" s="1"/>
  <c r="BP70" i="7"/>
  <c r="BQ69" i="7"/>
  <c r="BR69" i="7" s="1"/>
  <c r="BS69" i="7" s="1"/>
  <c r="BQ69" i="6"/>
  <c r="BR69" i="6" s="1"/>
  <c r="BS69" i="6" s="1"/>
  <c r="BP70" i="6"/>
  <c r="BU71" i="6"/>
  <c r="BV71" i="6" s="1"/>
  <c r="BQ69" i="5"/>
  <c r="BR69" i="5" s="1"/>
  <c r="BS69" i="5" s="1"/>
  <c r="BP70" i="5"/>
  <c r="BU70" i="5"/>
  <c r="BV70" i="5" s="1"/>
  <c r="BP72" i="3"/>
  <c r="BQ71" i="3"/>
  <c r="BR71" i="3" s="1"/>
  <c r="BS71" i="3" s="1"/>
  <c r="F57" i="4" l="1"/>
  <c r="G56" i="4" s="1"/>
  <c r="H56" i="4"/>
  <c r="H55" i="4"/>
  <c r="G55" i="4"/>
  <c r="BU70" i="3"/>
  <c r="BV70" i="3" s="1"/>
  <c r="BP71" i="7"/>
  <c r="BQ70" i="7"/>
  <c r="BR70" i="7" s="1"/>
  <c r="BS70" i="7" s="1"/>
  <c r="BU71" i="7"/>
  <c r="BV71" i="7" s="1"/>
  <c r="BP71" i="6"/>
  <c r="BQ70" i="6"/>
  <c r="BR70" i="6" s="1"/>
  <c r="BS70" i="6" s="1"/>
  <c r="BU72" i="6"/>
  <c r="BV72" i="6" s="1"/>
  <c r="BU71" i="5"/>
  <c r="BV71" i="5" s="1"/>
  <c r="BP71" i="5"/>
  <c r="BQ70" i="5"/>
  <c r="BR70" i="5" s="1"/>
  <c r="BS70" i="5" s="1"/>
  <c r="BP73" i="3"/>
  <c r="BQ72" i="3"/>
  <c r="BR72" i="3" s="1"/>
  <c r="BS72" i="3" s="1"/>
  <c r="BU71" i="3" l="1"/>
  <c r="BV71" i="3" s="1"/>
  <c r="F58" i="4"/>
  <c r="H57" i="4"/>
  <c r="BU72" i="7"/>
  <c r="BV72" i="7" s="1"/>
  <c r="BP72" i="7"/>
  <c r="BQ71" i="7"/>
  <c r="BR71" i="7" s="1"/>
  <c r="BS71" i="7" s="1"/>
  <c r="BU73" i="6"/>
  <c r="BV73" i="6" s="1"/>
  <c r="BP72" i="6"/>
  <c r="BQ71" i="6"/>
  <c r="BR71" i="6" s="1"/>
  <c r="BS71" i="6" s="1"/>
  <c r="BP72" i="5"/>
  <c r="BQ71" i="5"/>
  <c r="BR71" i="5" s="1"/>
  <c r="BS71" i="5" s="1"/>
  <c r="BU72" i="5"/>
  <c r="BV72" i="5" s="1"/>
  <c r="BP74" i="3"/>
  <c r="BQ73" i="3"/>
  <c r="BR73" i="3" s="1"/>
  <c r="BS73" i="3" s="1"/>
  <c r="F59" i="4" l="1"/>
  <c r="H58" i="4"/>
  <c r="G57" i="4"/>
  <c r="BU72" i="3"/>
  <c r="BV72" i="3" s="1"/>
  <c r="BP73" i="7"/>
  <c r="BQ72" i="7"/>
  <c r="BR72" i="7" s="1"/>
  <c r="BS72" i="7" s="1"/>
  <c r="BU73" i="7"/>
  <c r="BV73" i="7" s="1"/>
  <c r="BP73" i="6"/>
  <c r="BQ72" i="6"/>
  <c r="BR72" i="6" s="1"/>
  <c r="BS72" i="6" s="1"/>
  <c r="BU74" i="6"/>
  <c r="BV74" i="6" s="1"/>
  <c r="BU73" i="5"/>
  <c r="BV73" i="5" s="1"/>
  <c r="BQ72" i="5"/>
  <c r="BR72" i="5" s="1"/>
  <c r="BS72" i="5" s="1"/>
  <c r="BP73" i="5"/>
  <c r="BP75" i="3"/>
  <c r="BQ74" i="3"/>
  <c r="BR74" i="3" s="1"/>
  <c r="BS74" i="3" s="1"/>
  <c r="BU73" i="3" l="1"/>
  <c r="BV73" i="3" s="1"/>
  <c r="F60" i="4"/>
  <c r="H59" i="4" s="1"/>
  <c r="G58" i="4"/>
  <c r="BU74" i="7"/>
  <c r="BV74" i="7" s="1"/>
  <c r="BP74" i="7"/>
  <c r="BQ73" i="7"/>
  <c r="BR73" i="7" s="1"/>
  <c r="BS73" i="7" s="1"/>
  <c r="BU75" i="6"/>
  <c r="BV75" i="6" s="1"/>
  <c r="BQ73" i="6"/>
  <c r="BR73" i="6" s="1"/>
  <c r="BS73" i="6" s="1"/>
  <c r="BP74" i="6"/>
  <c r="BQ73" i="5"/>
  <c r="BR73" i="5" s="1"/>
  <c r="BS73" i="5" s="1"/>
  <c r="BP74" i="5"/>
  <c r="BU74" i="5"/>
  <c r="BV74" i="5" s="1"/>
  <c r="BP76" i="3"/>
  <c r="BQ75" i="3"/>
  <c r="BR75" i="3" s="1"/>
  <c r="BS75" i="3" s="1"/>
  <c r="F61" i="4" l="1"/>
  <c r="H60" i="4"/>
  <c r="G60" i="4"/>
  <c r="G59" i="4"/>
  <c r="BU74" i="3"/>
  <c r="BV74" i="3" s="1"/>
  <c r="BP75" i="7"/>
  <c r="BQ74" i="7"/>
  <c r="BR74" i="7" s="1"/>
  <c r="BS74" i="7" s="1"/>
  <c r="BU75" i="7"/>
  <c r="BV75" i="7" s="1"/>
  <c r="BP75" i="6"/>
  <c r="BQ74" i="6"/>
  <c r="BR74" i="6" s="1"/>
  <c r="BS74" i="6" s="1"/>
  <c r="BU76" i="6"/>
  <c r="BV76" i="6" s="1"/>
  <c r="BU75" i="5"/>
  <c r="BV75" i="5" s="1"/>
  <c r="BP75" i="5"/>
  <c r="BQ74" i="5"/>
  <c r="BR74" i="5" s="1"/>
  <c r="BS74" i="5" s="1"/>
  <c r="BP77" i="3"/>
  <c r="BQ76" i="3"/>
  <c r="BR76" i="3" s="1"/>
  <c r="BS76" i="3" s="1"/>
  <c r="BU75" i="3" l="1"/>
  <c r="BV75" i="3" s="1"/>
  <c r="F62" i="4"/>
  <c r="G61" i="4"/>
  <c r="H61" i="4"/>
  <c r="BU76" i="7"/>
  <c r="BV76" i="7" s="1"/>
  <c r="BP76" i="7"/>
  <c r="BQ75" i="7"/>
  <c r="BR75" i="7" s="1"/>
  <c r="BS75" i="7" s="1"/>
  <c r="BU77" i="6"/>
  <c r="BV77" i="6" s="1"/>
  <c r="BP76" i="6"/>
  <c r="BQ75" i="6"/>
  <c r="BR75" i="6" s="1"/>
  <c r="BS75" i="6" s="1"/>
  <c r="BP76" i="5"/>
  <c r="BQ75" i="5"/>
  <c r="BR75" i="5" s="1"/>
  <c r="BS75" i="5" s="1"/>
  <c r="BU76" i="5"/>
  <c r="BV76" i="5" s="1"/>
  <c r="BP78" i="3"/>
  <c r="BQ77" i="3"/>
  <c r="BR77" i="3" s="1"/>
  <c r="BS77" i="3" s="1"/>
  <c r="F63" i="4" l="1"/>
  <c r="BU76" i="3"/>
  <c r="BV76" i="3" s="1"/>
  <c r="BP77" i="7"/>
  <c r="BQ76" i="7"/>
  <c r="BR76" i="7" s="1"/>
  <c r="BS76" i="7" s="1"/>
  <c r="BU77" i="7"/>
  <c r="BV77" i="7" s="1"/>
  <c r="BQ76" i="6"/>
  <c r="BR76" i="6" s="1"/>
  <c r="BS76" i="6" s="1"/>
  <c r="BP77" i="6"/>
  <c r="BU78" i="6"/>
  <c r="BV78" i="6" s="1"/>
  <c r="BU77" i="5"/>
  <c r="BV77" i="5" s="1"/>
  <c r="BQ76" i="5"/>
  <c r="BR76" i="5" s="1"/>
  <c r="BS76" i="5" s="1"/>
  <c r="BP77" i="5"/>
  <c r="BP79" i="3"/>
  <c r="BQ78" i="3"/>
  <c r="BR78" i="3" s="1"/>
  <c r="BS78" i="3" s="1"/>
  <c r="BU77" i="3" l="1"/>
  <c r="BV77" i="3" s="1"/>
  <c r="F64" i="4"/>
  <c r="G63" i="4" s="1"/>
  <c r="H62" i="4"/>
  <c r="G62" i="4"/>
  <c r="BU78" i="7"/>
  <c r="BV78" i="7" s="1"/>
  <c r="BQ77" i="7"/>
  <c r="BR77" i="7" s="1"/>
  <c r="BS77" i="7" s="1"/>
  <c r="BP78" i="7"/>
  <c r="BQ77" i="6"/>
  <c r="BR77" i="6" s="1"/>
  <c r="BS77" i="6" s="1"/>
  <c r="BP78" i="6"/>
  <c r="BU79" i="6"/>
  <c r="BV79" i="6" s="1"/>
  <c r="BQ77" i="5"/>
  <c r="BR77" i="5" s="1"/>
  <c r="BS77" i="5" s="1"/>
  <c r="BP78" i="5"/>
  <c r="BU78" i="5"/>
  <c r="BV78" i="5" s="1"/>
  <c r="BP80" i="3"/>
  <c r="BQ79" i="3"/>
  <c r="BR79" i="3" s="1"/>
  <c r="BS79" i="3" s="1"/>
  <c r="H63" i="4" l="1"/>
  <c r="F65" i="4"/>
  <c r="H64" i="4"/>
  <c r="BU78" i="3"/>
  <c r="BV78" i="3" s="1"/>
  <c r="BP79" i="7"/>
  <c r="BQ78" i="7"/>
  <c r="BR78" i="7" s="1"/>
  <c r="BS78" i="7" s="1"/>
  <c r="BU79" i="7"/>
  <c r="BV79" i="7" s="1"/>
  <c r="BU80" i="6"/>
  <c r="BV80" i="6" s="1"/>
  <c r="BP79" i="6"/>
  <c r="BQ78" i="6"/>
  <c r="BR78" i="6" s="1"/>
  <c r="BS78" i="6" s="1"/>
  <c r="BU79" i="5"/>
  <c r="BV79" i="5" s="1"/>
  <c r="BP79" i="5"/>
  <c r="BQ78" i="5"/>
  <c r="BR78" i="5" s="1"/>
  <c r="BS78" i="5" s="1"/>
  <c r="BP81" i="3"/>
  <c r="BQ80" i="3"/>
  <c r="BR80" i="3" s="1"/>
  <c r="BS80" i="3" s="1"/>
  <c r="BU79" i="3" l="1"/>
  <c r="BV79" i="3" s="1"/>
  <c r="F66" i="4"/>
  <c r="H65" i="4" s="1"/>
  <c r="G64" i="4"/>
  <c r="BU80" i="7"/>
  <c r="BV80" i="7" s="1"/>
  <c r="BP80" i="7"/>
  <c r="BQ79" i="7"/>
  <c r="BR79" i="7" s="1"/>
  <c r="BS79" i="7" s="1"/>
  <c r="BU81" i="6"/>
  <c r="BV81" i="6" s="1"/>
  <c r="BP80" i="6"/>
  <c r="BQ79" i="6"/>
  <c r="BR79" i="6" s="1"/>
  <c r="BS79" i="6" s="1"/>
  <c r="BU80" i="5"/>
  <c r="BV80" i="5" s="1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V80" i="3" s="1"/>
  <c r="BP81" i="7"/>
  <c r="BQ80" i="7"/>
  <c r="BR80" i="7" s="1"/>
  <c r="BS80" i="7" s="1"/>
  <c r="BU81" i="7"/>
  <c r="BV81" i="7" s="1"/>
  <c r="BP81" i="6"/>
  <c r="BQ80" i="6"/>
  <c r="BR80" i="6" s="1"/>
  <c r="BS80" i="6" s="1"/>
  <c r="BU82" i="6"/>
  <c r="BV82" i="6" s="1"/>
  <c r="BQ80" i="5"/>
  <c r="BR80" i="5" s="1"/>
  <c r="BS80" i="5" s="1"/>
  <c r="BP81" i="5"/>
  <c r="BU81" i="5"/>
  <c r="BV81" i="5" s="1"/>
  <c r="BP83" i="3"/>
  <c r="BQ82" i="3"/>
  <c r="BR82" i="3" s="1"/>
  <c r="BS82" i="3" s="1"/>
  <c r="BU81" i="3" l="1"/>
  <c r="BV81" i="3" s="1"/>
  <c r="F68" i="4"/>
  <c r="H67" i="4"/>
  <c r="G67" i="4"/>
  <c r="BU82" i="7"/>
  <c r="BV82" i="7" s="1"/>
  <c r="BQ81" i="7"/>
  <c r="BR81" i="7" s="1"/>
  <c r="BS81" i="7" s="1"/>
  <c r="BP82" i="7"/>
  <c r="BU83" i="6"/>
  <c r="BV83" i="6" s="1"/>
  <c r="BQ81" i="6"/>
  <c r="BR81" i="6" s="1"/>
  <c r="BS81" i="6" s="1"/>
  <c r="BP82" i="6"/>
  <c r="BQ81" i="5"/>
  <c r="BR81" i="5" s="1"/>
  <c r="BS81" i="5" s="1"/>
  <c r="BP82" i="5"/>
  <c r="BU82" i="5"/>
  <c r="BV82" i="5" s="1"/>
  <c r="BP84" i="3"/>
  <c r="BQ83" i="3"/>
  <c r="BR83" i="3" s="1"/>
  <c r="BS83" i="3" s="1"/>
  <c r="F69" i="4" l="1"/>
  <c r="H68" i="4" s="1"/>
  <c r="BU82" i="3"/>
  <c r="BV82" i="3" s="1"/>
  <c r="BP83" i="7"/>
  <c r="BQ82" i="7"/>
  <c r="BR82" i="7" s="1"/>
  <c r="BS82" i="7" s="1"/>
  <c r="BU83" i="7"/>
  <c r="BV83" i="7" s="1"/>
  <c r="BP83" i="6"/>
  <c r="BQ82" i="6"/>
  <c r="BR82" i="6" s="1"/>
  <c r="BS82" i="6" s="1"/>
  <c r="BU84" i="6"/>
  <c r="BV84" i="6" s="1"/>
  <c r="BU83" i="5"/>
  <c r="BV83" i="5" s="1"/>
  <c r="BP83" i="5"/>
  <c r="BQ82" i="5"/>
  <c r="BR82" i="5" s="1"/>
  <c r="BS82" i="5" s="1"/>
  <c r="BP85" i="3"/>
  <c r="BQ84" i="3"/>
  <c r="BR84" i="3" s="1"/>
  <c r="BS84" i="3" s="1"/>
  <c r="BU83" i="3" l="1"/>
  <c r="BV83" i="3" s="1"/>
  <c r="G68" i="4"/>
  <c r="F70" i="4"/>
  <c r="G69" i="4"/>
  <c r="H69" i="4"/>
  <c r="BU84" i="7"/>
  <c r="BV84" i="7" s="1"/>
  <c r="BP84" i="7"/>
  <c r="BQ83" i="7"/>
  <c r="BR83" i="7" s="1"/>
  <c r="BS83" i="7" s="1"/>
  <c r="BU85" i="6"/>
  <c r="BV85" i="6" s="1"/>
  <c r="BP84" i="6"/>
  <c r="BQ83" i="6"/>
  <c r="BR83" i="6" s="1"/>
  <c r="BS83" i="6" s="1"/>
  <c r="BP84" i="5"/>
  <c r="BQ83" i="5"/>
  <c r="BR83" i="5" s="1"/>
  <c r="BS83" i="5" s="1"/>
  <c r="BU84" i="5"/>
  <c r="BV84" i="5" s="1"/>
  <c r="BP86" i="3"/>
  <c r="BQ85" i="3"/>
  <c r="BR85" i="3" s="1"/>
  <c r="BS85" i="3" s="1"/>
  <c r="F71" i="4" l="1"/>
  <c r="BU84" i="3"/>
  <c r="BV84" i="3" s="1"/>
  <c r="BP85" i="7"/>
  <c r="BQ84" i="7"/>
  <c r="BR84" i="7" s="1"/>
  <c r="BS84" i="7" s="1"/>
  <c r="BU85" i="7"/>
  <c r="BV85" i="7" s="1"/>
  <c r="BU86" i="6"/>
  <c r="BV86" i="6" s="1"/>
  <c r="BQ84" i="6"/>
  <c r="BR84" i="6" s="1"/>
  <c r="BS84" i="6" s="1"/>
  <c r="BP85" i="6"/>
  <c r="BU85" i="5"/>
  <c r="BV85" i="5" s="1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BV85" i="3" s="1"/>
  <c r="G70" i="4"/>
  <c r="H70" i="4"/>
  <c r="BU86" i="7"/>
  <c r="BV86" i="7" s="1"/>
  <c r="BQ85" i="7"/>
  <c r="BR85" i="7" s="1"/>
  <c r="BS85" i="7" s="1"/>
  <c r="BP86" i="7"/>
  <c r="BQ85" i="6"/>
  <c r="BR85" i="6" s="1"/>
  <c r="BS85" i="6" s="1"/>
  <c r="BP86" i="6"/>
  <c r="BU87" i="6"/>
  <c r="BV87" i="6" s="1"/>
  <c r="BQ85" i="5"/>
  <c r="BR85" i="5" s="1"/>
  <c r="BS85" i="5" s="1"/>
  <c r="BP86" i="5"/>
  <c r="BU86" i="5"/>
  <c r="BV86" i="5" s="1"/>
  <c r="BP88" i="3"/>
  <c r="BQ87" i="3"/>
  <c r="BR87" i="3" s="1"/>
  <c r="BS87" i="3" s="1"/>
  <c r="BU86" i="3" l="1"/>
  <c r="BV86" i="3" s="1"/>
  <c r="F73" i="4"/>
  <c r="H72" i="4"/>
  <c r="BP87" i="7"/>
  <c r="BQ86" i="7"/>
  <c r="BR86" i="7" s="1"/>
  <c r="BS86" i="7" s="1"/>
  <c r="BU87" i="7"/>
  <c r="BV87" i="7" s="1"/>
  <c r="BP87" i="6"/>
  <c r="BQ86" i="6"/>
  <c r="BR86" i="6" s="1"/>
  <c r="BS86" i="6" s="1"/>
  <c r="BU88" i="6"/>
  <c r="BV88" i="6" s="1"/>
  <c r="BP87" i="5"/>
  <c r="BQ86" i="5"/>
  <c r="BR86" i="5" s="1"/>
  <c r="BS86" i="5" s="1"/>
  <c r="BU87" i="5"/>
  <c r="BV87" i="5" s="1"/>
  <c r="BP89" i="3"/>
  <c r="BQ88" i="3"/>
  <c r="BR88" i="3" s="1"/>
  <c r="BS88" i="3" s="1"/>
  <c r="G72" i="4" l="1"/>
  <c r="F74" i="4"/>
  <c r="H73" i="4"/>
  <c r="G73" i="4"/>
  <c r="BU87" i="3"/>
  <c r="BV87" i="3" s="1"/>
  <c r="BU88" i="7"/>
  <c r="BV88" i="7" s="1"/>
  <c r="BP88" i="7"/>
  <c r="BQ87" i="7"/>
  <c r="BR87" i="7" s="1"/>
  <c r="BS87" i="7" s="1"/>
  <c r="BU89" i="6"/>
  <c r="BV89" i="6" s="1"/>
  <c r="BP88" i="6"/>
  <c r="BQ87" i="6"/>
  <c r="BR87" i="6" s="1"/>
  <c r="BS87" i="6" s="1"/>
  <c r="BU88" i="5"/>
  <c r="BV88" i="5" s="1"/>
  <c r="BP88" i="5"/>
  <c r="BQ87" i="5"/>
  <c r="BR87" i="5" s="1"/>
  <c r="BS87" i="5" s="1"/>
  <c r="BP90" i="3"/>
  <c r="BQ89" i="3"/>
  <c r="BR89" i="3" s="1"/>
  <c r="BS89" i="3" s="1"/>
  <c r="BU88" i="3" l="1"/>
  <c r="BV88" i="3" s="1"/>
  <c r="F75" i="4"/>
  <c r="H74" i="4"/>
  <c r="BU89" i="7"/>
  <c r="BV89" i="7" s="1"/>
  <c r="BP89" i="7"/>
  <c r="BQ88" i="7"/>
  <c r="BR88" i="7" s="1"/>
  <c r="BS88" i="7" s="1"/>
  <c r="BP89" i="6"/>
  <c r="BQ88" i="6"/>
  <c r="BR88" i="6" s="1"/>
  <c r="BS88" i="6" s="1"/>
  <c r="BU90" i="6"/>
  <c r="BV90" i="6" s="1"/>
  <c r="BQ88" i="5"/>
  <c r="BR88" i="5" s="1"/>
  <c r="BS88" i="5" s="1"/>
  <c r="BP89" i="5"/>
  <c r="BU89" i="5"/>
  <c r="BV89" i="5" s="1"/>
  <c r="BP91" i="3"/>
  <c r="BQ90" i="3"/>
  <c r="BR90" i="3" s="1"/>
  <c r="BS90" i="3" s="1"/>
  <c r="G75" i="4" l="1"/>
  <c r="H75" i="4"/>
  <c r="G74" i="4"/>
  <c r="BU89" i="3"/>
  <c r="BV89" i="3" s="1"/>
  <c r="BQ89" i="7"/>
  <c r="BR89" i="7" s="1"/>
  <c r="BS89" i="7" s="1"/>
  <c r="BP90" i="7"/>
  <c r="BU90" i="7"/>
  <c r="BV90" i="7" s="1"/>
  <c r="BU91" i="6"/>
  <c r="BV91" i="6" s="1"/>
  <c r="BQ89" i="6"/>
  <c r="BR89" i="6" s="1"/>
  <c r="BS89" i="6" s="1"/>
  <c r="BP90" i="6"/>
  <c r="BU90" i="5"/>
  <c r="BV90" i="5" s="1"/>
  <c r="BQ89" i="5"/>
  <c r="BR89" i="5" s="1"/>
  <c r="BS89" i="5" s="1"/>
  <c r="BP90" i="5"/>
  <c r="BP92" i="3"/>
  <c r="BQ91" i="3"/>
  <c r="BR91" i="3" s="1"/>
  <c r="BS91" i="3" s="1"/>
  <c r="BU90" i="3" l="1"/>
  <c r="BV90" i="3" s="1"/>
  <c r="BU91" i="7"/>
  <c r="BV91" i="7" s="1"/>
  <c r="BP91" i="7"/>
  <c r="BQ90" i="7"/>
  <c r="BR90" i="7" s="1"/>
  <c r="BS90" i="7" s="1"/>
  <c r="BP91" i="6"/>
  <c r="BQ90" i="6"/>
  <c r="BR90" i="6" s="1"/>
  <c r="BS90" i="6" s="1"/>
  <c r="BU92" i="6"/>
  <c r="BV92" i="6" s="1"/>
  <c r="BP91" i="5"/>
  <c r="BQ90" i="5"/>
  <c r="BR90" i="5" s="1"/>
  <c r="BS90" i="5" s="1"/>
  <c r="BU91" i="5"/>
  <c r="BV91" i="5" s="1"/>
  <c r="BP93" i="3"/>
  <c r="BQ92" i="3"/>
  <c r="BR92" i="3" s="1"/>
  <c r="BS92" i="3" s="1"/>
  <c r="BU91" i="3" l="1"/>
  <c r="BV91" i="3" s="1"/>
  <c r="BP92" i="7"/>
  <c r="BQ91" i="7"/>
  <c r="BR91" i="7" s="1"/>
  <c r="BS91" i="7" s="1"/>
  <c r="BU92" i="7"/>
  <c r="BV92" i="7" s="1"/>
  <c r="BU93" i="6"/>
  <c r="BV93" i="6" s="1"/>
  <c r="BP92" i="6"/>
  <c r="BQ91" i="6"/>
  <c r="BR91" i="6" s="1"/>
  <c r="BS91" i="6" s="1"/>
  <c r="BU92" i="5"/>
  <c r="BV92" i="5" s="1"/>
  <c r="BP92" i="5"/>
  <c r="BQ91" i="5"/>
  <c r="BR91" i="5" s="1"/>
  <c r="BS91" i="5" s="1"/>
  <c r="BP94" i="3"/>
  <c r="BQ93" i="3"/>
  <c r="BR93" i="3" s="1"/>
  <c r="BS93" i="3" s="1"/>
  <c r="BU92" i="3" l="1"/>
  <c r="BV92" i="3" s="1"/>
  <c r="BU93" i="7"/>
  <c r="BV93" i="7" s="1"/>
  <c r="BP93" i="7"/>
  <c r="BQ92" i="7"/>
  <c r="BR92" i="7" s="1"/>
  <c r="BS92" i="7" s="1"/>
  <c r="BQ92" i="6"/>
  <c r="BR92" i="6" s="1"/>
  <c r="BS92" i="6" s="1"/>
  <c r="BP93" i="6"/>
  <c r="BU94" i="6"/>
  <c r="BV94" i="6" s="1"/>
  <c r="BQ92" i="5"/>
  <c r="BR92" i="5" s="1"/>
  <c r="BS92" i="5" s="1"/>
  <c r="BP93" i="5"/>
  <c r="BU93" i="5"/>
  <c r="BV93" i="5" s="1"/>
  <c r="BP95" i="3"/>
  <c r="BQ94" i="3"/>
  <c r="BR94" i="3" s="1"/>
  <c r="BS94" i="3" s="1"/>
  <c r="BU93" i="3" l="1"/>
  <c r="BV93" i="3" s="1"/>
  <c r="BQ93" i="7"/>
  <c r="BR93" i="7" s="1"/>
  <c r="BS93" i="7" s="1"/>
  <c r="BP94" i="7"/>
  <c r="BU94" i="7"/>
  <c r="BV94" i="7" s="1"/>
  <c r="BU95" i="6"/>
  <c r="BV95" i="6" s="1"/>
  <c r="BQ93" i="6"/>
  <c r="BR93" i="6" s="1"/>
  <c r="BS93" i="6" s="1"/>
  <c r="BP94" i="6"/>
  <c r="BU94" i="5"/>
  <c r="BV94" i="5" s="1"/>
  <c r="BQ93" i="5"/>
  <c r="BR93" i="5" s="1"/>
  <c r="BS93" i="5" s="1"/>
  <c r="BP94" i="5"/>
  <c r="BP96" i="3"/>
  <c r="BQ95" i="3"/>
  <c r="BR95" i="3" s="1"/>
  <c r="BS95" i="3" s="1"/>
  <c r="BU94" i="3" l="1"/>
  <c r="BV94" i="3" s="1"/>
  <c r="BU95" i="7"/>
  <c r="BV95" i="7" s="1"/>
  <c r="BP95" i="7"/>
  <c r="BQ94" i="7"/>
  <c r="BR94" i="7" s="1"/>
  <c r="BS94" i="7" s="1"/>
  <c r="BP95" i="6"/>
  <c r="BQ94" i="6"/>
  <c r="BR94" i="6" s="1"/>
  <c r="BS94" i="6" s="1"/>
  <c r="BU96" i="6"/>
  <c r="BV96" i="6" s="1"/>
  <c r="BP95" i="5"/>
  <c r="BQ94" i="5"/>
  <c r="BR94" i="5" s="1"/>
  <c r="BS94" i="5" s="1"/>
  <c r="BU95" i="5"/>
  <c r="BV95" i="5" s="1"/>
  <c r="BP97" i="3"/>
  <c r="BQ96" i="3"/>
  <c r="BR96" i="3" s="1"/>
  <c r="BS96" i="3" s="1"/>
  <c r="BU95" i="3" l="1"/>
  <c r="BV95" i="3" s="1"/>
  <c r="BP96" i="7"/>
  <c r="BQ95" i="7"/>
  <c r="BR95" i="7" s="1"/>
  <c r="BS95" i="7" s="1"/>
  <c r="BU96" i="7"/>
  <c r="BV96" i="7" s="1"/>
  <c r="BP96" i="6"/>
  <c r="BQ95" i="6"/>
  <c r="BR95" i="6" s="1"/>
  <c r="BS95" i="6" s="1"/>
  <c r="BU96" i="5"/>
  <c r="BV96" i="5" s="1"/>
  <c r="BP96" i="5"/>
  <c r="BQ95" i="5"/>
  <c r="BR95" i="5" s="1"/>
  <c r="BS95" i="5" s="1"/>
  <c r="BP98" i="3"/>
  <c r="BQ97" i="3"/>
  <c r="BR97" i="3" s="1"/>
  <c r="BS97" i="3" s="1"/>
  <c r="BU96" i="3" l="1"/>
  <c r="BV96" i="3" s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9" i="3" l="1"/>
  <c r="B30" i="3" s="1"/>
  <c r="B31" i="3" s="1"/>
  <c r="B26" i="3"/>
  <c r="B27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C114" i="1"/>
  <c r="D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C105" i="1"/>
  <c r="D105" i="1"/>
  <c r="D104" i="1"/>
  <c r="C104" i="1"/>
  <c r="C103" i="1"/>
  <c r="AC31" i="8" s="1"/>
  <c r="C102" i="1"/>
  <c r="AC30" i="8" s="1"/>
  <c r="C101" i="1"/>
  <c r="AC29" i="8" s="1"/>
  <c r="C100" i="1"/>
  <c r="AF90" i="1"/>
  <c r="AC90" i="1"/>
  <c r="AB90" i="1"/>
  <c r="AF89" i="1"/>
  <c r="AC89" i="1"/>
  <c r="AB89" i="1"/>
  <c r="AF88" i="1"/>
  <c r="AC88" i="1"/>
  <c r="AB88" i="1"/>
  <c r="AC87" i="1"/>
  <c r="AD86" i="1"/>
  <c r="AC86" i="1"/>
  <c r="AD85" i="1"/>
  <c r="AC85" i="1"/>
  <c r="AB85" i="1"/>
  <c r="AD84" i="1"/>
  <c r="AC84" i="1"/>
  <c r="AB84" i="1"/>
  <c r="AD83" i="1"/>
  <c r="AC83" i="1"/>
  <c r="V90" i="1"/>
  <c r="U90" i="1"/>
  <c r="AE90" i="1" s="1"/>
  <c r="T90" i="1"/>
  <c r="AD90" i="1" s="1"/>
  <c r="S90" i="1"/>
  <c r="R90" i="1"/>
  <c r="Q90" i="1"/>
  <c r="AA90" i="1" s="1"/>
  <c r="O90" i="1"/>
  <c r="Y90" i="1" s="1"/>
  <c r="V89" i="1"/>
  <c r="U89" i="1"/>
  <c r="AE89" i="1" s="1"/>
  <c r="T89" i="1"/>
  <c r="AD89" i="1" s="1"/>
  <c r="S89" i="1"/>
  <c r="R89" i="1"/>
  <c r="Q89" i="1"/>
  <c r="AA89" i="1" s="1"/>
  <c r="O89" i="1"/>
  <c r="Y89" i="1" s="1"/>
  <c r="V88" i="1"/>
  <c r="U88" i="1"/>
  <c r="AE88" i="1" s="1"/>
  <c r="T88" i="1"/>
  <c r="AD88" i="1" s="1"/>
  <c r="S88" i="1"/>
  <c r="R88" i="1"/>
  <c r="Q88" i="1"/>
  <c r="AA88" i="1" s="1"/>
  <c r="O88" i="1"/>
  <c r="Y88" i="1" s="1"/>
  <c r="V87" i="1"/>
  <c r="AF87" i="1" s="1"/>
  <c r="U87" i="1"/>
  <c r="AE87" i="1" s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AE86" i="1" s="1"/>
  <c r="T86" i="1"/>
  <c r="S86" i="1"/>
  <c r="R86" i="1"/>
  <c r="AB86" i="1" s="1"/>
  <c r="Q86" i="1"/>
  <c r="AA86" i="1" s="1"/>
  <c r="O86" i="1"/>
  <c r="Y86" i="1" s="1"/>
  <c r="V85" i="1"/>
  <c r="AF85" i="1" s="1"/>
  <c r="U85" i="1"/>
  <c r="AE85" i="1" s="1"/>
  <c r="T85" i="1"/>
  <c r="S85" i="1"/>
  <c r="R85" i="1"/>
  <c r="Q85" i="1"/>
  <c r="P85" i="1"/>
  <c r="O85" i="1"/>
  <c r="V84" i="1"/>
  <c r="AF84" i="1" s="1"/>
  <c r="U84" i="1"/>
  <c r="AE84" i="1" s="1"/>
  <c r="T84" i="1"/>
  <c r="S84" i="1"/>
  <c r="R84" i="1"/>
  <c r="Q84" i="1"/>
  <c r="P84" i="1"/>
  <c r="O84" i="1"/>
  <c r="V83" i="1"/>
  <c r="AF83" i="1" s="1"/>
  <c r="U83" i="1"/>
  <c r="AE83" i="1" s="1"/>
  <c r="T83" i="1"/>
  <c r="S83" i="1"/>
  <c r="R83" i="1"/>
  <c r="AB83" i="1" s="1"/>
  <c r="Q83" i="1"/>
  <c r="P83" i="1"/>
  <c r="O83" i="1"/>
  <c r="V82" i="1"/>
  <c r="U82" i="1"/>
  <c r="T82" i="1"/>
  <c r="S82" i="1"/>
  <c r="R82" i="1"/>
  <c r="Q82" i="1"/>
  <c r="P82" i="1"/>
  <c r="O82" i="1"/>
  <c r="C96" i="1"/>
  <c r="C95" i="1"/>
  <c r="F94" i="1"/>
  <c r="D94" i="1" s="1"/>
  <c r="F93" i="1"/>
  <c r="F92" i="1"/>
  <c r="D92" i="1" s="1"/>
  <c r="C91" i="1"/>
  <c r="C90" i="1"/>
  <c r="C89" i="1"/>
  <c r="C88" i="1"/>
  <c r="C87" i="1"/>
  <c r="C86" i="1"/>
  <c r="C85" i="1"/>
  <c r="AC27" i="8" s="1"/>
  <c r="C84" i="1"/>
  <c r="AC26" i="8" s="1"/>
  <c r="C83" i="1"/>
  <c r="AC25" i="8" s="1"/>
  <c r="B22" i="3"/>
  <c r="B23" i="3" s="1"/>
  <c r="B24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D75" i="1"/>
  <c r="D74" i="1"/>
  <c r="C74" i="1"/>
  <c r="D73" i="1"/>
  <c r="C73" i="1"/>
  <c r="C72" i="1"/>
  <c r="D72" i="1"/>
  <c r="C71" i="1"/>
  <c r="D71" i="1"/>
  <c r="C70" i="1"/>
  <c r="D70" i="1"/>
  <c r="C69" i="1"/>
  <c r="D69" i="1"/>
  <c r="C68" i="1"/>
  <c r="D68" i="1"/>
  <c r="C67" i="1"/>
  <c r="D67" i="1"/>
  <c r="C66" i="1"/>
  <c r="AC22" i="8" s="1"/>
  <c r="D66" i="1"/>
  <c r="D65" i="1"/>
  <c r="AC21" i="7" s="1"/>
  <c r="C65" i="1"/>
  <c r="AC21" i="8" s="1"/>
  <c r="AL12" i="3"/>
  <c r="AI17" i="3"/>
  <c r="B18" i="3"/>
  <c r="B19" i="3" s="1"/>
  <c r="B20" i="3" s="1"/>
  <c r="B13" i="3"/>
  <c r="B14" i="3" s="1"/>
  <c r="B15" i="3" s="1"/>
  <c r="B16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C57" i="1"/>
  <c r="D56" i="1"/>
  <c r="C56" i="1"/>
  <c r="C55" i="1"/>
  <c r="D55" i="1"/>
  <c r="D54" i="1"/>
  <c r="C54" i="1"/>
  <c r="D53" i="1"/>
  <c r="C53" i="1"/>
  <c r="D52" i="1"/>
  <c r="C52" i="1"/>
  <c r="D51" i="1"/>
  <c r="C51" i="1"/>
  <c r="C50" i="1"/>
  <c r="AC20" i="8" s="1"/>
  <c r="D50" i="1"/>
  <c r="C49" i="1"/>
  <c r="D49" i="1"/>
  <c r="C48" i="1"/>
  <c r="AC18" i="8" s="1"/>
  <c r="D48" i="1"/>
  <c r="D47" i="1"/>
  <c r="C47" i="1"/>
  <c r="AC17" i="8" s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Q27" i="1"/>
  <c r="P27" i="1"/>
  <c r="O27" i="1"/>
  <c r="T26" i="1"/>
  <c r="S26" i="1"/>
  <c r="R26" i="1"/>
  <c r="C20" i="9" s="1"/>
  <c r="AE20" i="9" s="1"/>
  <c r="Q26" i="1"/>
  <c r="C11" i="6" s="1"/>
  <c r="AE11" i="6" s="1"/>
  <c r="P26" i="1"/>
  <c r="O26" i="1"/>
  <c r="C11" i="5" s="1"/>
  <c r="AE11" i="5" s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AC16" i="8" s="1"/>
  <c r="C30" i="1"/>
  <c r="AC15" i="8" s="1"/>
  <c r="D30" i="1"/>
  <c r="D27" i="1"/>
  <c r="C29" i="1"/>
  <c r="AC14" i="8" s="1"/>
  <c r="C28" i="1"/>
  <c r="AC13" i="8" s="1"/>
  <c r="C27" i="1"/>
  <c r="AC12" i="8" s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S5" i="1"/>
  <c r="AC5" i="1" s="1"/>
  <c r="T5" i="1"/>
  <c r="U5" i="1"/>
  <c r="C94" i="1" l="1"/>
  <c r="N69" i="1"/>
  <c r="X69" i="1" s="1"/>
  <c r="P86" i="1"/>
  <c r="Z86" i="1" s="1"/>
  <c r="AH105" i="1"/>
  <c r="N106" i="1"/>
  <c r="X106" i="1" s="1"/>
  <c r="M99" i="1"/>
  <c r="M105" i="1"/>
  <c r="W105" i="1" s="1"/>
  <c r="AH70" i="1"/>
  <c r="N72" i="1"/>
  <c r="X72" i="1" s="1"/>
  <c r="D5" i="8"/>
  <c r="H15" i="8"/>
  <c r="AJ15" i="8" s="1"/>
  <c r="E15" i="8"/>
  <c r="AG15" i="8" s="1"/>
  <c r="D15" i="8"/>
  <c r="AF15" i="8" s="1"/>
  <c r="J15" i="8"/>
  <c r="AL15" i="8" s="1"/>
  <c r="G15" i="8"/>
  <c r="AI15" i="8" s="1"/>
  <c r="F15" i="8"/>
  <c r="AH15" i="8" s="1"/>
  <c r="I15" i="8"/>
  <c r="AK15" i="8" s="1"/>
  <c r="I17" i="8"/>
  <c r="AK17" i="8" s="1"/>
  <c r="H17" i="8"/>
  <c r="AJ17" i="8" s="1"/>
  <c r="D17" i="8"/>
  <c r="AF17" i="8" s="1"/>
  <c r="G17" i="8"/>
  <c r="AI17" i="8" s="1"/>
  <c r="F17" i="8"/>
  <c r="AH17" i="8" s="1"/>
  <c r="J17" i="8"/>
  <c r="AL17" i="8" s="1"/>
  <c r="E17" i="8"/>
  <c r="AG17" i="8" s="1"/>
  <c r="AR22" i="8"/>
  <c r="AQ22" i="8"/>
  <c r="AN22" i="8"/>
  <c r="AP22" i="8"/>
  <c r="AO22" i="8"/>
  <c r="AM22" i="8"/>
  <c r="N73" i="1"/>
  <c r="X73" i="1" s="1"/>
  <c r="AR26" i="8"/>
  <c r="AM26" i="8"/>
  <c r="AN26" i="8"/>
  <c r="AQ26" i="8"/>
  <c r="AO26" i="8"/>
  <c r="AP26" i="8"/>
  <c r="AM29" i="8"/>
  <c r="AN29" i="8"/>
  <c r="AQ29" i="8"/>
  <c r="AR29" i="8"/>
  <c r="AO29" i="8"/>
  <c r="AP29" i="8"/>
  <c r="AG29" i="8"/>
  <c r="AF29" i="8"/>
  <c r="AR18" i="8"/>
  <c r="AQ18" i="8"/>
  <c r="AN18" i="8"/>
  <c r="AM18" i="8"/>
  <c r="AP18" i="8"/>
  <c r="AO18" i="8"/>
  <c r="N66" i="1"/>
  <c r="X66" i="1" s="1"/>
  <c r="I22" i="8"/>
  <c r="AK22" i="8" s="1"/>
  <c r="G22" i="8"/>
  <c r="AI22" i="8" s="1"/>
  <c r="F22" i="8"/>
  <c r="AH22" i="8" s="1"/>
  <c r="E22" i="8"/>
  <c r="AG22" i="8" s="1"/>
  <c r="D22" i="8"/>
  <c r="AF22" i="8" s="1"/>
  <c r="J22" i="8"/>
  <c r="AL22" i="8" s="1"/>
  <c r="H22" i="8"/>
  <c r="AJ22" i="8" s="1"/>
  <c r="AM27" i="8"/>
  <c r="AQ27" i="8"/>
  <c r="AR27" i="8"/>
  <c r="AN27" i="8"/>
  <c r="AO27" i="8"/>
  <c r="AP27" i="8"/>
  <c r="C93" i="1"/>
  <c r="D93" i="1"/>
  <c r="AO30" i="8"/>
  <c r="AP30" i="8"/>
  <c r="AN30" i="8"/>
  <c r="AR30" i="8"/>
  <c r="AQ30" i="8"/>
  <c r="AM30" i="8"/>
  <c r="AF30" i="8"/>
  <c r="AG106" i="1"/>
  <c r="J9" i="8"/>
  <c r="I9" i="8"/>
  <c r="D9" i="8"/>
  <c r="F9" i="8"/>
  <c r="E9" i="8"/>
  <c r="G9" i="8"/>
  <c r="H9" i="8"/>
  <c r="AP13" i="8"/>
  <c r="AR13" i="8"/>
  <c r="AQ13" i="8"/>
  <c r="AN13" i="8"/>
  <c r="AO13" i="8"/>
  <c r="AM13" i="8"/>
  <c r="AF13" i="8"/>
  <c r="F16" i="8"/>
  <c r="AH16" i="8" s="1"/>
  <c r="H16" i="8"/>
  <c r="AJ16" i="8" s="1"/>
  <c r="E16" i="8"/>
  <c r="AG16" i="8" s="1"/>
  <c r="I16" i="8"/>
  <c r="AK16" i="8" s="1"/>
  <c r="D16" i="8"/>
  <c r="G16" i="8"/>
  <c r="AI16" i="8" s="1"/>
  <c r="J16" i="8"/>
  <c r="AL16" i="8" s="1"/>
  <c r="D18" i="8"/>
  <c r="AF18" i="8" s="1"/>
  <c r="J18" i="8"/>
  <c r="AL18" i="8" s="1"/>
  <c r="I18" i="8"/>
  <c r="AK18" i="8" s="1"/>
  <c r="E18" i="8"/>
  <c r="AG18" i="8" s="1"/>
  <c r="G18" i="8"/>
  <c r="AI18" i="8" s="1"/>
  <c r="F18" i="8"/>
  <c r="AH18" i="8" s="1"/>
  <c r="H18" i="8"/>
  <c r="AJ18" i="8" s="1"/>
  <c r="AG66" i="1"/>
  <c r="AC23" i="8"/>
  <c r="AG70" i="1"/>
  <c r="M73" i="1"/>
  <c r="W73" i="1" s="1"/>
  <c r="AQ31" i="8"/>
  <c r="AR31" i="8"/>
  <c r="AP31" i="8"/>
  <c r="M100" i="1"/>
  <c r="AM25" i="8"/>
  <c r="AP25" i="8"/>
  <c r="AN25" i="8"/>
  <c r="AR25" i="8"/>
  <c r="AQ25" i="8"/>
  <c r="AO25" i="8"/>
  <c r="AN12" i="8"/>
  <c r="AQ12" i="8"/>
  <c r="AM12" i="8"/>
  <c r="AR12" i="8"/>
  <c r="AO12" i="8"/>
  <c r="AP12" i="8"/>
  <c r="AF12" i="8"/>
  <c r="AG12" i="8"/>
  <c r="AQ14" i="8"/>
  <c r="AN14" i="8"/>
  <c r="AO14" i="8"/>
  <c r="AM14" i="8"/>
  <c r="AR14" i="8"/>
  <c r="AP14" i="8"/>
  <c r="AG32" i="1"/>
  <c r="AG36" i="1"/>
  <c r="AG48" i="1"/>
  <c r="AC19" i="8"/>
  <c r="AH52" i="1"/>
  <c r="AH56" i="1"/>
  <c r="I23" i="8"/>
  <c r="G23" i="8"/>
  <c r="AI23" i="8" s="1"/>
  <c r="H23" i="8"/>
  <c r="D23" i="8"/>
  <c r="E23" i="8"/>
  <c r="F23" i="8"/>
  <c r="AH23" i="8" s="1"/>
  <c r="J23" i="8"/>
  <c r="AL23" i="8" s="1"/>
  <c r="M84" i="1"/>
  <c r="W84" i="1" s="1"/>
  <c r="M107" i="1"/>
  <c r="W107" i="1" s="1"/>
  <c r="AH32" i="1"/>
  <c r="AH36" i="1"/>
  <c r="E19" i="8"/>
  <c r="H19" i="8"/>
  <c r="D19" i="8"/>
  <c r="AF19" i="8" s="1"/>
  <c r="G19" i="8"/>
  <c r="J19" i="8"/>
  <c r="I19" i="8"/>
  <c r="F19" i="8"/>
  <c r="AG53" i="1"/>
  <c r="M67" i="1"/>
  <c r="W67" i="1" s="1"/>
  <c r="AC24" i="8"/>
  <c r="M71" i="1"/>
  <c r="W71" i="1" s="1"/>
  <c r="P90" i="1"/>
  <c r="Z90" i="1" s="1"/>
  <c r="G28" i="8"/>
  <c r="G29" i="8"/>
  <c r="AI29" i="8" s="1"/>
  <c r="F29" i="8"/>
  <c r="AH29" i="8" s="1"/>
  <c r="J28" i="8"/>
  <c r="H28" i="8"/>
  <c r="I29" i="8"/>
  <c r="AK29" i="8" s="1"/>
  <c r="J29" i="8"/>
  <c r="AL29" i="8" s="1"/>
  <c r="I28" i="8"/>
  <c r="H29" i="8"/>
  <c r="AJ29" i="8" s="1"/>
  <c r="I30" i="8"/>
  <c r="AK30" i="8" s="1"/>
  <c r="G30" i="8"/>
  <c r="AI30" i="8" s="1"/>
  <c r="J30" i="8"/>
  <c r="AL30" i="8" s="1"/>
  <c r="E30" i="8"/>
  <c r="AG30" i="8" s="1"/>
  <c r="F30" i="8"/>
  <c r="AH30" i="8" s="1"/>
  <c r="H30" i="8"/>
  <c r="AJ30" i="8" s="1"/>
  <c r="J31" i="8"/>
  <c r="AL31" i="8" s="1"/>
  <c r="E31" i="8"/>
  <c r="AG31" i="8" s="1"/>
  <c r="I31" i="8"/>
  <c r="AK31" i="8" s="1"/>
  <c r="H31" i="8"/>
  <c r="AJ31" i="8" s="1"/>
  <c r="G31" i="8"/>
  <c r="AI31" i="8" s="1"/>
  <c r="F31" i="8"/>
  <c r="AH31" i="8" s="1"/>
  <c r="D31" i="8"/>
  <c r="N107" i="1"/>
  <c r="X107" i="1" s="1"/>
  <c r="AQ16" i="8"/>
  <c r="AN16" i="8"/>
  <c r="AR16" i="8"/>
  <c r="AO16" i="8"/>
  <c r="AP16" i="8"/>
  <c r="D20" i="8"/>
  <c r="J20" i="8"/>
  <c r="AL20" i="8" s="1"/>
  <c r="G20" i="8"/>
  <c r="AI20" i="8" s="1"/>
  <c r="I20" i="8"/>
  <c r="AK20" i="8" s="1"/>
  <c r="F20" i="8"/>
  <c r="AH20" i="8" s="1"/>
  <c r="E20" i="8"/>
  <c r="AG20" i="8" s="1"/>
  <c r="H20" i="8"/>
  <c r="AJ20" i="8" s="1"/>
  <c r="N64" i="1"/>
  <c r="I21" i="8"/>
  <c r="AK21" i="8" s="1"/>
  <c r="H21" i="8"/>
  <c r="AJ21" i="8" s="1"/>
  <c r="G21" i="8"/>
  <c r="AI21" i="8" s="1"/>
  <c r="F21" i="8"/>
  <c r="AH21" i="8" s="1"/>
  <c r="E21" i="8"/>
  <c r="AG21" i="8" s="1"/>
  <c r="D21" i="8"/>
  <c r="AF21" i="8" s="1"/>
  <c r="J21" i="8"/>
  <c r="AL21" i="8" s="1"/>
  <c r="AG99" i="1"/>
  <c r="AC28" i="8"/>
  <c r="AH11" i="1"/>
  <c r="I14" i="8"/>
  <c r="AK14" i="8" s="1"/>
  <c r="E14" i="8"/>
  <c r="AG14" i="8" s="1"/>
  <c r="D14" i="8"/>
  <c r="AF14" i="8" s="1"/>
  <c r="G14" i="8"/>
  <c r="AI14" i="8" s="1"/>
  <c r="H14" i="8"/>
  <c r="AJ14" i="8" s="1"/>
  <c r="J14" i="8"/>
  <c r="AL14" i="8" s="1"/>
  <c r="F14" i="8"/>
  <c r="AH14" i="8" s="1"/>
  <c r="J12" i="8"/>
  <c r="AL12" i="8" s="1"/>
  <c r="H13" i="8"/>
  <c r="AJ13" i="8" s="1"/>
  <c r="F11" i="7"/>
  <c r="AH11" i="7" s="1"/>
  <c r="H12" i="8"/>
  <c r="AJ12" i="8" s="1"/>
  <c r="J13" i="8"/>
  <c r="AL13" i="8" s="1"/>
  <c r="F11" i="8"/>
  <c r="AH11" i="8" s="1"/>
  <c r="H11" i="8"/>
  <c r="AJ11" i="8" s="1"/>
  <c r="G12" i="8"/>
  <c r="AI12" i="8" s="1"/>
  <c r="E13" i="8"/>
  <c r="AG13" i="8" s="1"/>
  <c r="I11" i="8"/>
  <c r="AK11" i="8" s="1"/>
  <c r="F12" i="8"/>
  <c r="AH12" i="8" s="1"/>
  <c r="I13" i="8"/>
  <c r="AK13" i="8" s="1"/>
  <c r="I11" i="7"/>
  <c r="AK11" i="7" s="1"/>
  <c r="G11" i="7"/>
  <c r="AI11" i="7" s="1"/>
  <c r="G11" i="8"/>
  <c r="AI11" i="8" s="1"/>
  <c r="H11" i="7"/>
  <c r="AJ11" i="7" s="1"/>
  <c r="F13" i="8"/>
  <c r="AH13" i="8" s="1"/>
  <c r="J11" i="8"/>
  <c r="AL11" i="8" s="1"/>
  <c r="I12" i="8"/>
  <c r="AK12" i="8" s="1"/>
  <c r="G13" i="8"/>
  <c r="AI13" i="8" s="1"/>
  <c r="J11" i="7"/>
  <c r="AL11" i="7" s="1"/>
  <c r="AN20" i="8"/>
  <c r="AP20" i="8"/>
  <c r="AO20" i="8"/>
  <c r="AQ20" i="8"/>
  <c r="AR20" i="8"/>
  <c r="AR21" i="8"/>
  <c r="AN21" i="8"/>
  <c r="AQ21" i="8"/>
  <c r="AP21" i="8"/>
  <c r="AO21" i="8"/>
  <c r="AM21" i="8"/>
  <c r="I24" i="8"/>
  <c r="AK24" i="8" s="1"/>
  <c r="F24" i="8"/>
  <c r="H24" i="8"/>
  <c r="E24" i="8"/>
  <c r="G24" i="8"/>
  <c r="D24" i="8"/>
  <c r="J24" i="8"/>
  <c r="N104" i="1"/>
  <c r="X104" i="1" s="1"/>
  <c r="M108" i="1"/>
  <c r="W108" i="1" s="1"/>
  <c r="E10" i="8"/>
  <c r="I10" i="8"/>
  <c r="G10" i="8"/>
  <c r="D10" i="8"/>
  <c r="J10" i="8"/>
  <c r="H10" i="8"/>
  <c r="F10" i="8"/>
  <c r="AM15" i="8"/>
  <c r="AQ15" i="8"/>
  <c r="AO15" i="8"/>
  <c r="AN15" i="8"/>
  <c r="AR15" i="8"/>
  <c r="AP15" i="8"/>
  <c r="AO17" i="8"/>
  <c r="AQ17" i="8"/>
  <c r="AP17" i="8"/>
  <c r="AN17" i="8"/>
  <c r="AR17" i="8"/>
  <c r="AM17" i="8"/>
  <c r="N85" i="1"/>
  <c r="C27" i="8" s="1"/>
  <c r="AE27" i="8" s="1"/>
  <c r="F27" i="8"/>
  <c r="AH27" i="8" s="1"/>
  <c r="D27" i="8"/>
  <c r="E27" i="8"/>
  <c r="AG27" i="8" s="1"/>
  <c r="G27" i="8"/>
  <c r="AI27" i="8" s="1"/>
  <c r="I27" i="8"/>
  <c r="AK27" i="8" s="1"/>
  <c r="J27" i="8"/>
  <c r="AL27" i="8" s="1"/>
  <c r="H27" i="8"/>
  <c r="AJ27" i="8" s="1"/>
  <c r="G26" i="8"/>
  <c r="AI26" i="8" s="1"/>
  <c r="F26" i="8"/>
  <c r="AH26" i="8" s="1"/>
  <c r="E26" i="8"/>
  <c r="AG26" i="8" s="1"/>
  <c r="I26" i="8"/>
  <c r="AK26" i="8" s="1"/>
  <c r="J26" i="8"/>
  <c r="AL26" i="8" s="1"/>
  <c r="H26" i="8"/>
  <c r="AJ26" i="8" s="1"/>
  <c r="D26" i="8"/>
  <c r="N82" i="1"/>
  <c r="N83" i="1"/>
  <c r="C25" i="8" s="1"/>
  <c r="AE25" i="8" s="1"/>
  <c r="D25" i="8"/>
  <c r="J25" i="8"/>
  <c r="AL25" i="8" s="1"/>
  <c r="I25" i="8"/>
  <c r="AK25" i="8" s="1"/>
  <c r="G25" i="8"/>
  <c r="AI25" i="8" s="1"/>
  <c r="H25" i="8"/>
  <c r="AJ25" i="8" s="1"/>
  <c r="E25" i="8"/>
  <c r="AG25" i="8" s="1"/>
  <c r="F25" i="8"/>
  <c r="AH25" i="8" s="1"/>
  <c r="C13" i="9"/>
  <c r="AD104" i="1"/>
  <c r="C15" i="9"/>
  <c r="AB5" i="1"/>
  <c r="AB19" i="1" s="1" a="1"/>
  <c r="AB19" i="1" s="1"/>
  <c r="C5" i="9"/>
  <c r="AB27" i="1"/>
  <c r="AB41" i="1" s="1"/>
  <c r="C8" i="9"/>
  <c r="Z11" i="1"/>
  <c r="C11" i="3"/>
  <c r="AE11" i="3" s="1"/>
  <c r="AP21" i="7"/>
  <c r="AQ21" i="7"/>
  <c r="AR21" i="7"/>
  <c r="AM21" i="7"/>
  <c r="AN21" i="7"/>
  <c r="AO21" i="7"/>
  <c r="N68" i="1"/>
  <c r="AC28" i="7"/>
  <c r="AH99" i="1"/>
  <c r="M69" i="1"/>
  <c r="W69" i="1" s="1"/>
  <c r="AG82" i="1"/>
  <c r="AH86" i="1"/>
  <c r="E31" i="7"/>
  <c r="G31" i="7"/>
  <c r="H31" i="7"/>
  <c r="J31" i="7"/>
  <c r="D31" i="7"/>
  <c r="F31" i="7"/>
  <c r="I31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5" i="7"/>
  <c r="I14" i="7"/>
  <c r="G14" i="7"/>
  <c r="F14" i="7"/>
  <c r="J14" i="7"/>
  <c r="E14" i="7"/>
  <c r="D14" i="7"/>
  <c r="H14" i="7"/>
  <c r="AH29" i="1"/>
  <c r="AG33" i="1"/>
  <c r="AH37" i="1"/>
  <c r="AG49" i="1"/>
  <c r="AH53" i="1"/>
  <c r="AC24" i="7"/>
  <c r="I23" i="7"/>
  <c r="E23" i="7"/>
  <c r="H23" i="7"/>
  <c r="D23" i="7"/>
  <c r="G23" i="7"/>
  <c r="F23" i="7"/>
  <c r="J23" i="7"/>
  <c r="AH67" i="1"/>
  <c r="AH71" i="1"/>
  <c r="I25" i="7"/>
  <c r="J25" i="7"/>
  <c r="D25" i="7"/>
  <c r="E25" i="7"/>
  <c r="AC26" i="7"/>
  <c r="F25" i="7"/>
  <c r="G25" i="7"/>
  <c r="H25" i="7"/>
  <c r="AH83" i="1"/>
  <c r="AJ89" i="1"/>
  <c r="AJ87" i="1"/>
  <c r="AJ88" i="1"/>
  <c r="AJ90" i="1"/>
  <c r="AJ86" i="1"/>
  <c r="N84" i="1"/>
  <c r="P87" i="1"/>
  <c r="Z87" i="1" s="1"/>
  <c r="AC31" i="7"/>
  <c r="J30" i="7"/>
  <c r="H30" i="7"/>
  <c r="E30" i="7"/>
  <c r="G30" i="7"/>
  <c r="F30" i="7"/>
  <c r="I30" i="7"/>
  <c r="D30" i="7"/>
  <c r="AH102" i="1"/>
  <c r="AH106" i="1"/>
  <c r="N99" i="1"/>
  <c r="N103" i="1"/>
  <c r="AG29" i="1"/>
  <c r="AC5" i="7"/>
  <c r="AH15" i="1"/>
  <c r="AG26" i="1"/>
  <c r="AG30" i="1"/>
  <c r="AG34" i="1"/>
  <c r="N46" i="1"/>
  <c r="AE16" i="9" s="1"/>
  <c r="AC17" i="7"/>
  <c r="AH46" i="1"/>
  <c r="N50" i="1"/>
  <c r="X50" i="1" s="1"/>
  <c r="D20" i="7"/>
  <c r="F20" i="7"/>
  <c r="H20" i="7"/>
  <c r="E20" i="7"/>
  <c r="J20" i="7"/>
  <c r="G20" i="7"/>
  <c r="I20" i="7"/>
  <c r="AH50" i="1"/>
  <c r="AG54" i="1"/>
  <c r="I24" i="7"/>
  <c r="D24" i="7"/>
  <c r="F24" i="7"/>
  <c r="G24" i="7"/>
  <c r="E24" i="7"/>
  <c r="H24" i="7"/>
  <c r="J24" i="7"/>
  <c r="AH68" i="1"/>
  <c r="AG72" i="1"/>
  <c r="N70" i="1"/>
  <c r="X70" i="1" s="1"/>
  <c r="AG84" i="1"/>
  <c r="C92" i="1"/>
  <c r="M90" i="1" s="1"/>
  <c r="W90" i="1" s="1"/>
  <c r="P88" i="1"/>
  <c r="Z88" i="1" s="1"/>
  <c r="AG100" i="1"/>
  <c r="F28" i="7"/>
  <c r="AC29" i="7"/>
  <c r="G28" i="7"/>
  <c r="AI28" i="7" s="1"/>
  <c r="H28" i="7"/>
  <c r="J28" i="7"/>
  <c r="D28" i="7"/>
  <c r="E28" i="7"/>
  <c r="I28" i="7"/>
  <c r="AH100" i="1"/>
  <c r="AH107" i="1"/>
  <c r="N100" i="1"/>
  <c r="AC23" i="7"/>
  <c r="D22" i="7"/>
  <c r="H22" i="7"/>
  <c r="I22" i="7"/>
  <c r="E22" i="7"/>
  <c r="J22" i="7"/>
  <c r="G22" i="7"/>
  <c r="F22" i="7"/>
  <c r="AH66" i="1"/>
  <c r="N102" i="1"/>
  <c r="J10" i="7"/>
  <c r="D10" i="7"/>
  <c r="F10" i="7"/>
  <c r="G10" i="7"/>
  <c r="I10" i="7"/>
  <c r="AK10" i="7" s="1"/>
  <c r="H10" i="7"/>
  <c r="E10" i="7"/>
  <c r="AH10" i="1"/>
  <c r="AC13" i="7"/>
  <c r="F12" i="7"/>
  <c r="G12" i="7"/>
  <c r="H12" i="7"/>
  <c r="J12" i="7"/>
  <c r="D12" i="7"/>
  <c r="I12" i="7"/>
  <c r="E12" i="7"/>
  <c r="AH27" i="1"/>
  <c r="AC20" i="7"/>
  <c r="E19" i="7"/>
  <c r="I19" i="7"/>
  <c r="G19" i="7"/>
  <c r="J19" i="7"/>
  <c r="F19" i="7"/>
  <c r="D19" i="7"/>
  <c r="H19" i="7"/>
  <c r="AH49" i="1"/>
  <c r="AH16" i="1"/>
  <c r="AH33" i="1"/>
  <c r="AG50" i="1"/>
  <c r="AC30" i="7"/>
  <c r="E29" i="7"/>
  <c r="I29" i="7"/>
  <c r="J29" i="7"/>
  <c r="H29" i="7"/>
  <c r="F29" i="7"/>
  <c r="D29" i="7"/>
  <c r="G29" i="7"/>
  <c r="AH101" i="1"/>
  <c r="M104" i="1"/>
  <c r="W104" i="1" s="1"/>
  <c r="N108" i="1"/>
  <c r="X108" i="1" s="1"/>
  <c r="AH14" i="1"/>
  <c r="AG27" i="1"/>
  <c r="AC16" i="7"/>
  <c r="E15" i="7"/>
  <c r="H15" i="7"/>
  <c r="G15" i="7"/>
  <c r="J15" i="7"/>
  <c r="D15" i="7"/>
  <c r="I15" i="7"/>
  <c r="F15" i="7"/>
  <c r="AH30" i="1"/>
  <c r="AH34" i="1"/>
  <c r="N47" i="1"/>
  <c r="AE17" i="9" s="1"/>
  <c r="I17" i="7"/>
  <c r="J17" i="7"/>
  <c r="D17" i="7"/>
  <c r="AC18" i="7"/>
  <c r="E17" i="7"/>
  <c r="F17" i="7"/>
  <c r="G17" i="7"/>
  <c r="H17" i="7"/>
  <c r="AH47" i="1"/>
  <c r="AG51" i="1"/>
  <c r="AG55" i="1"/>
  <c r="F29" i="3"/>
  <c r="AH29" i="3" s="1"/>
  <c r="J26" i="3"/>
  <c r="E22" i="3"/>
  <c r="AG22" i="3" s="1"/>
  <c r="I18" i="3"/>
  <c r="H13" i="3"/>
  <c r="AJ13" i="3" s="1"/>
  <c r="G29" i="3"/>
  <c r="AI29" i="3" s="1"/>
  <c r="F22" i="3"/>
  <c r="AH22" i="3" s="1"/>
  <c r="I29" i="3"/>
  <c r="E26" i="3"/>
  <c r="AG26" i="3" s="1"/>
  <c r="H22" i="3"/>
  <c r="AJ22" i="3" s="1"/>
  <c r="D18" i="3"/>
  <c r="AF18" i="3" s="1"/>
  <c r="D29" i="3"/>
  <c r="AF29" i="3" s="1"/>
  <c r="H26" i="3"/>
  <c r="AJ26" i="3" s="1"/>
  <c r="G18" i="3"/>
  <c r="AI18" i="3" s="1"/>
  <c r="F13" i="3"/>
  <c r="AH13" i="3" s="1"/>
  <c r="E29" i="3"/>
  <c r="AG29" i="3" s="1"/>
  <c r="D22" i="3"/>
  <c r="AF22" i="3" s="1"/>
  <c r="H29" i="3"/>
  <c r="AJ29" i="3" s="1"/>
  <c r="D26" i="3"/>
  <c r="AF26" i="3" s="1"/>
  <c r="G22" i="3"/>
  <c r="AI22" i="3" s="1"/>
  <c r="E18" i="3"/>
  <c r="AG18" i="3" s="1"/>
  <c r="J29" i="3"/>
  <c r="F26" i="3"/>
  <c r="AH26" i="3" s="1"/>
  <c r="I22" i="3"/>
  <c r="F18" i="3"/>
  <c r="AH18" i="3" s="1"/>
  <c r="D13" i="3"/>
  <c r="AF13" i="3" s="1"/>
  <c r="I26" i="3"/>
  <c r="J18" i="3"/>
  <c r="G13" i="3"/>
  <c r="AI13" i="3" s="1"/>
  <c r="I13" i="3"/>
  <c r="J22" i="3"/>
  <c r="H18" i="3"/>
  <c r="AJ18" i="3" s="1"/>
  <c r="E13" i="3"/>
  <c r="AG13" i="3" s="1"/>
  <c r="J13" i="3"/>
  <c r="G26" i="3"/>
  <c r="AI26" i="3" s="1"/>
  <c r="AG68" i="1"/>
  <c r="AH72" i="1"/>
  <c r="AC27" i="7"/>
  <c r="E26" i="7"/>
  <c r="I26" i="7"/>
  <c r="D26" i="7"/>
  <c r="H26" i="7"/>
  <c r="F26" i="7"/>
  <c r="J26" i="7"/>
  <c r="G26" i="7"/>
  <c r="AH84" i="1"/>
  <c r="M82" i="1"/>
  <c r="AG101" i="1"/>
  <c r="AH104" i="1"/>
  <c r="AG108" i="1"/>
  <c r="M101" i="1"/>
  <c r="W101" i="1" s="1"/>
  <c r="AC14" i="7"/>
  <c r="D13" i="7"/>
  <c r="H13" i="7"/>
  <c r="G13" i="7"/>
  <c r="J13" i="7"/>
  <c r="F13" i="7"/>
  <c r="I13" i="7"/>
  <c r="E13" i="7"/>
  <c r="AH28" i="1"/>
  <c r="AC6" i="7"/>
  <c r="D5" i="7"/>
  <c r="AG46" i="1"/>
  <c r="AG67" i="1"/>
  <c r="M66" i="1"/>
  <c r="W66" i="1" s="1"/>
  <c r="AG83" i="1"/>
  <c r="M85" i="1"/>
  <c r="W85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2" i="7"/>
  <c r="E21" i="7"/>
  <c r="AG21" i="7" s="1"/>
  <c r="F21" i="7"/>
  <c r="AH21" i="7" s="1"/>
  <c r="G21" i="7"/>
  <c r="AI21" i="7" s="1"/>
  <c r="I21" i="7"/>
  <c r="AK21" i="7" s="1"/>
  <c r="J21" i="7"/>
  <c r="AL21" i="7" s="1"/>
  <c r="D21" i="7"/>
  <c r="H21" i="7"/>
  <c r="AJ21" i="7" s="1"/>
  <c r="AH69" i="1"/>
  <c r="AG73" i="1"/>
  <c r="N67" i="1"/>
  <c r="N71" i="1"/>
  <c r="X71" i="1" s="1"/>
  <c r="AB75" i="1" a="1"/>
  <c r="AB75" i="1" s="1"/>
  <c r="AG85" i="1"/>
  <c r="N86" i="1"/>
  <c r="X86" i="1" s="1"/>
  <c r="P89" i="1"/>
  <c r="Z89" i="1" s="1"/>
  <c r="AG102" i="1"/>
  <c r="AG104" i="1"/>
  <c r="AH108" i="1"/>
  <c r="N101" i="1"/>
  <c r="N105" i="1"/>
  <c r="X105" i="1" s="1"/>
  <c r="AC25" i="7"/>
  <c r="AH82" i="1"/>
  <c r="AG37" i="1"/>
  <c r="AH54" i="1"/>
  <c r="AG71" i="1"/>
  <c r="M70" i="1"/>
  <c r="W70" i="1" s="1"/>
  <c r="AH12" i="1"/>
  <c r="N26" i="1"/>
  <c r="AC12" i="7"/>
  <c r="AH26" i="1"/>
  <c r="H16" i="7"/>
  <c r="I16" i="7"/>
  <c r="D16" i="7"/>
  <c r="J16" i="7"/>
  <c r="AL16" i="7" s="1"/>
  <c r="E16" i="7"/>
  <c r="G16" i="7"/>
  <c r="AI16" i="7" s="1"/>
  <c r="F16" i="7"/>
  <c r="AH31" i="1"/>
  <c r="AH35" i="1"/>
  <c r="AC19" i="7"/>
  <c r="D18" i="7"/>
  <c r="H18" i="7"/>
  <c r="G18" i="7"/>
  <c r="E18" i="7"/>
  <c r="I18" i="7"/>
  <c r="F18" i="7"/>
  <c r="J18" i="7"/>
  <c r="AH48" i="1"/>
  <c r="AG52" i="1"/>
  <c r="AG56" i="1"/>
  <c r="M65" i="1"/>
  <c r="W65" i="1" s="1"/>
  <c r="AG69" i="1"/>
  <c r="AH73" i="1"/>
  <c r="M68" i="1"/>
  <c r="W68" i="1" s="1"/>
  <c r="M72" i="1"/>
  <c r="W72" i="1" s="1"/>
  <c r="F27" i="7"/>
  <c r="I27" i="7"/>
  <c r="D27" i="7"/>
  <c r="J27" i="7"/>
  <c r="G27" i="7"/>
  <c r="E27" i="7"/>
  <c r="H27" i="7"/>
  <c r="AH85" i="1"/>
  <c r="M83" i="1"/>
  <c r="W83" i="1" s="1"/>
  <c r="AG103" i="1"/>
  <c r="AG105" i="1"/>
  <c r="M102" i="1"/>
  <c r="W102" i="1" s="1"/>
  <c r="M106" i="1"/>
  <c r="W106" i="1" s="1"/>
  <c r="C17" i="6"/>
  <c r="AE17" i="6" s="1"/>
  <c r="AA101" i="1"/>
  <c r="C29" i="6"/>
  <c r="AE29" i="6" s="1"/>
  <c r="AA103" i="1"/>
  <c r="AA102" i="1"/>
  <c r="C30" i="6"/>
  <c r="AE30" i="6" s="1"/>
  <c r="AA100" i="1"/>
  <c r="C28" i="6"/>
  <c r="AE28" i="6" s="1"/>
  <c r="AA84" i="1"/>
  <c r="C26" i="6"/>
  <c r="AE26" i="6" s="1"/>
  <c r="AA85" i="1"/>
  <c r="C27" i="6"/>
  <c r="AE27" i="6" s="1"/>
  <c r="AA83" i="1"/>
  <c r="C25" i="6"/>
  <c r="AE25" i="6" s="1"/>
  <c r="AA68" i="1"/>
  <c r="C24" i="6"/>
  <c r="AE24" i="6" s="1"/>
  <c r="AA67" i="1"/>
  <c r="C23" i="6"/>
  <c r="AE23" i="6" s="1"/>
  <c r="AA66" i="1"/>
  <c r="C22" i="6"/>
  <c r="AE22" i="6" s="1"/>
  <c r="AA65" i="1"/>
  <c r="C21" i="6"/>
  <c r="AE21" i="6" s="1"/>
  <c r="AA49" i="1"/>
  <c r="C20" i="6"/>
  <c r="AE20" i="6" s="1"/>
  <c r="AA48" i="1"/>
  <c r="C19" i="6"/>
  <c r="AE19" i="6" s="1"/>
  <c r="AA47" i="1"/>
  <c r="C18" i="6"/>
  <c r="AE18" i="6" s="1"/>
  <c r="AA29" i="1"/>
  <c r="C14" i="6"/>
  <c r="AE14" i="6" s="1"/>
  <c r="AA28" i="1"/>
  <c r="C13" i="6"/>
  <c r="AE13" i="6" s="1"/>
  <c r="AA31" i="1"/>
  <c r="C16" i="6"/>
  <c r="AE16" i="6" s="1"/>
  <c r="AA30" i="1"/>
  <c r="C15" i="6"/>
  <c r="AE15" i="6" s="1"/>
  <c r="AA27" i="1"/>
  <c r="C12" i="6"/>
  <c r="AE12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7" i="3"/>
  <c r="AE17" i="3" s="1"/>
  <c r="M64" i="1"/>
  <c r="AH65" i="1"/>
  <c r="AH64" i="1"/>
  <c r="AG65" i="1"/>
  <c r="AG64" i="1"/>
  <c r="Z101" i="1"/>
  <c r="C29" i="3"/>
  <c r="AE29" i="3" s="1"/>
  <c r="Z102" i="1"/>
  <c r="C30" i="3"/>
  <c r="AE30" i="3" s="1"/>
  <c r="Z103" i="1"/>
  <c r="C31" i="3"/>
  <c r="AE31" i="3" s="1"/>
  <c r="Z100" i="1"/>
  <c r="C28" i="3"/>
  <c r="AE28" i="3" s="1"/>
  <c r="Z84" i="1"/>
  <c r="C26" i="3"/>
  <c r="AE26" i="3" s="1"/>
  <c r="Z85" i="1"/>
  <c r="C27" i="3"/>
  <c r="AE27" i="3" s="1"/>
  <c r="Z83" i="1"/>
  <c r="C25" i="3"/>
  <c r="AE25" i="3" s="1"/>
  <c r="Z66" i="1"/>
  <c r="C22" i="3"/>
  <c r="AE22" i="3" s="1"/>
  <c r="Z67" i="1"/>
  <c r="C23" i="3"/>
  <c r="AE23" i="3" s="1"/>
  <c r="Z68" i="1"/>
  <c r="C24" i="3"/>
  <c r="AE24" i="3" s="1"/>
  <c r="Z65" i="1"/>
  <c r="C21" i="3"/>
  <c r="AE21" i="3" s="1"/>
  <c r="Z49" i="1"/>
  <c r="C20" i="3"/>
  <c r="AE20" i="3" s="1"/>
  <c r="Z48" i="1"/>
  <c r="C19" i="3"/>
  <c r="AE19" i="3" s="1"/>
  <c r="Z47" i="1"/>
  <c r="C18" i="3"/>
  <c r="AE18" i="3" s="1"/>
  <c r="Z28" i="1"/>
  <c r="C13" i="3"/>
  <c r="AE13" i="3" s="1"/>
  <c r="Z31" i="1"/>
  <c r="C16" i="3"/>
  <c r="AE16" i="3" s="1"/>
  <c r="Z30" i="1"/>
  <c r="C15" i="3"/>
  <c r="AE15" i="3" s="1"/>
  <c r="Z29" i="1"/>
  <c r="C14" i="3"/>
  <c r="AE14" i="3" s="1"/>
  <c r="Z27" i="1"/>
  <c r="C12" i="3"/>
  <c r="AE12" i="3" s="1"/>
  <c r="Z10" i="1"/>
  <c r="C10" i="3"/>
  <c r="AE10" i="3" s="1"/>
  <c r="Y28" i="1"/>
  <c r="C13" i="5"/>
  <c r="AE13" i="5" s="1"/>
  <c r="Y65" i="1"/>
  <c r="C21" i="5"/>
  <c r="AE21" i="5" s="1"/>
  <c r="Y49" i="1"/>
  <c r="C20" i="5"/>
  <c r="AE20" i="5" s="1"/>
  <c r="Y8" i="1"/>
  <c r="C8" i="5"/>
  <c r="AE8" i="5" s="1"/>
  <c r="Y83" i="1"/>
  <c r="C25" i="5"/>
  <c r="AE25" i="5" s="1"/>
  <c r="Y102" i="1"/>
  <c r="C30" i="5"/>
  <c r="AE30" i="5" s="1"/>
  <c r="Y27" i="1"/>
  <c r="C12" i="5"/>
  <c r="AE12" i="5" s="1"/>
  <c r="Y31" i="1"/>
  <c r="C16" i="5"/>
  <c r="AE16" i="5" s="1"/>
  <c r="Y66" i="1"/>
  <c r="C22" i="5"/>
  <c r="AE22" i="5" s="1"/>
  <c r="Y47" i="1"/>
  <c r="C18" i="5"/>
  <c r="AE18" i="5" s="1"/>
  <c r="Y103" i="1"/>
  <c r="C31" i="5"/>
  <c r="AE31" i="5" s="1"/>
  <c r="Y84" i="1"/>
  <c r="C26" i="5"/>
  <c r="AE26" i="5" s="1"/>
  <c r="Y30" i="1"/>
  <c r="C15" i="5"/>
  <c r="AE15" i="5" s="1"/>
  <c r="Y67" i="1"/>
  <c r="C23" i="5"/>
  <c r="AE23" i="5" s="1"/>
  <c r="C17" i="5"/>
  <c r="AE17" i="5" s="1"/>
  <c r="Y10" i="1"/>
  <c r="C10" i="5"/>
  <c r="AE10" i="5" s="1"/>
  <c r="Y6" i="1"/>
  <c r="C6" i="5"/>
  <c r="AE6" i="5" s="1"/>
  <c r="Y85" i="1"/>
  <c r="C27" i="5"/>
  <c r="AE27" i="5" s="1"/>
  <c r="Y100" i="1"/>
  <c r="C28" i="5"/>
  <c r="AE28" i="5" s="1"/>
  <c r="Y9" i="1"/>
  <c r="C9" i="5"/>
  <c r="AE9" i="5" s="1"/>
  <c r="Y48" i="1"/>
  <c r="C19" i="5"/>
  <c r="AE19" i="5" s="1"/>
  <c r="Y29" i="1"/>
  <c r="C14" i="5"/>
  <c r="AE14" i="5" s="1"/>
  <c r="Y68" i="1"/>
  <c r="C24" i="5"/>
  <c r="AE24" i="5" s="1"/>
  <c r="Y5" i="1"/>
  <c r="C5" i="5"/>
  <c r="AE5" i="5" s="1"/>
  <c r="Y7" i="1"/>
  <c r="C7" i="5"/>
  <c r="AE7" i="5" s="1"/>
  <c r="Y101" i="1"/>
  <c r="C29" i="5"/>
  <c r="AE29" i="5" s="1"/>
  <c r="AK17" i="3"/>
  <c r="AJ17" i="3"/>
  <c r="AL17" i="3"/>
  <c r="AH17" i="3"/>
  <c r="AG17" i="3"/>
  <c r="AL28" i="3"/>
  <c r="AK28" i="3"/>
  <c r="AI28" i="3"/>
  <c r="AG28" i="3"/>
  <c r="AF28" i="3"/>
  <c r="AG21" i="3"/>
  <c r="AH25" i="3"/>
  <c r="AG25" i="3"/>
  <c r="AG12" i="3"/>
  <c r="AF5" i="3"/>
  <c r="AK12" i="3"/>
  <c r="AL25" i="3"/>
  <c r="AJ12" i="3"/>
  <c r="AF25" i="3"/>
  <c r="AK25" i="3"/>
  <c r="AM5" i="3"/>
  <c r="AI12" i="3"/>
  <c r="AJ25" i="3"/>
  <c r="AH12" i="3"/>
  <c r="AI25" i="3"/>
  <c r="AL21" i="3"/>
  <c r="AJ28" i="3"/>
  <c r="AH28" i="3"/>
  <c r="N88" i="1"/>
  <c r="X88" i="1" s="1"/>
  <c r="AK21" i="3"/>
  <c r="AF21" i="3"/>
  <c r="AJ21" i="3"/>
  <c r="AI21" i="3"/>
  <c r="AH21" i="3"/>
  <c r="AB77" i="1"/>
  <c r="AF17" i="3"/>
  <c r="AF12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N16" i="1"/>
  <c r="X16" i="1" s="1"/>
  <c r="N17" i="1"/>
  <c r="X17" i="1" s="1"/>
  <c r="N15" i="1"/>
  <c r="X15" i="1" s="1"/>
  <c r="Y17" i="1"/>
  <c r="AD16" i="1"/>
  <c r="AL24" i="8" l="1"/>
  <c r="AI24" i="8"/>
  <c r="AG24" i="8"/>
  <c r="AJ24" i="8"/>
  <c r="AH24" i="8"/>
  <c r="AG16" i="7"/>
  <c r="AH16" i="7"/>
  <c r="AL27" i="7"/>
  <c r="AJ19" i="8"/>
  <c r="AG23" i="8"/>
  <c r="AG19" i="8"/>
  <c r="AF23" i="8"/>
  <c r="AK27" i="7"/>
  <c r="AJ23" i="8"/>
  <c r="AH19" i="8"/>
  <c r="AK19" i="8"/>
  <c r="AK23" i="8"/>
  <c r="AL19" i="8"/>
  <c r="C22" i="7"/>
  <c r="AE22" i="7" s="1"/>
  <c r="AI13" i="7"/>
  <c r="M86" i="1"/>
  <c r="W86" i="1" s="1"/>
  <c r="C22" i="8"/>
  <c r="AE22" i="8" s="1"/>
  <c r="M87" i="1"/>
  <c r="W87" i="1" s="1"/>
  <c r="AL24" i="7"/>
  <c r="AJ24" i="7"/>
  <c r="W10" i="8"/>
  <c r="X10" i="8"/>
  <c r="AG15" i="7"/>
  <c r="AI28" i="8"/>
  <c r="AP23" i="8"/>
  <c r="AO23" i="8"/>
  <c r="AQ23" i="8"/>
  <c r="AR23" i="8"/>
  <c r="AM23" i="8"/>
  <c r="AN23" i="8"/>
  <c r="AH10" i="7"/>
  <c r="AH28" i="7"/>
  <c r="AK28" i="8"/>
  <c r="AI19" i="8"/>
  <c r="AG27" i="7"/>
  <c r="AG89" i="1"/>
  <c r="AH15" i="7"/>
  <c r="AK28" i="7"/>
  <c r="AR19" i="8"/>
  <c r="AQ19" i="8"/>
  <c r="AN19" i="8"/>
  <c r="AM19" i="8"/>
  <c r="AP19" i="8"/>
  <c r="AO19" i="8"/>
  <c r="AI27" i="7"/>
  <c r="AK15" i="7"/>
  <c r="X31" i="8"/>
  <c r="AF31" i="8"/>
  <c r="Y31" i="8"/>
  <c r="W31" i="8"/>
  <c r="AP24" i="8"/>
  <c r="AO24" i="8"/>
  <c r="AN24" i="8"/>
  <c r="AQ24" i="8"/>
  <c r="AR24" i="8"/>
  <c r="AF16" i="8"/>
  <c r="W16" i="8"/>
  <c r="AG90" i="1"/>
  <c r="AR28" i="8"/>
  <c r="AN28" i="8"/>
  <c r="AG28" i="8"/>
  <c r="AP28" i="8"/>
  <c r="AM28" i="8"/>
  <c r="AH28" i="8"/>
  <c r="AQ28" i="8"/>
  <c r="AF28" i="8"/>
  <c r="AO28" i="8"/>
  <c r="AF20" i="8"/>
  <c r="W20" i="8"/>
  <c r="AJ28" i="8"/>
  <c r="AG86" i="1"/>
  <c r="AL28" i="8"/>
  <c r="M89" i="1"/>
  <c r="W89" i="1" s="1"/>
  <c r="AG87" i="1"/>
  <c r="AF24" i="8"/>
  <c r="W24" i="8"/>
  <c r="X83" i="1"/>
  <c r="C27" i="7"/>
  <c r="AE27" i="7" s="1"/>
  <c r="X85" i="1"/>
  <c r="C25" i="7"/>
  <c r="AE25" i="7" s="1"/>
  <c r="AF27" i="8"/>
  <c r="AH27" i="7"/>
  <c r="AF26" i="8"/>
  <c r="AJ27" i="7"/>
  <c r="AF25" i="8"/>
  <c r="AB20" i="1"/>
  <c r="AB21" i="1"/>
  <c r="AB40" i="1"/>
  <c r="AB39" i="1" a="1"/>
  <c r="AB39" i="1" s="1"/>
  <c r="C11" i="7"/>
  <c r="AE11" i="7" s="1"/>
  <c r="C11" i="8"/>
  <c r="AE11" i="8" s="1"/>
  <c r="AL17" i="7"/>
  <c r="AK17" i="7"/>
  <c r="AI18" i="7"/>
  <c r="AJ13" i="7"/>
  <c r="AJ18" i="7"/>
  <c r="AI26" i="7"/>
  <c r="AJ17" i="7"/>
  <c r="AG26" i="7"/>
  <c r="AL26" i="7"/>
  <c r="AI17" i="7"/>
  <c r="AK26" i="7"/>
  <c r="AH13" i="7"/>
  <c r="AH26" i="7"/>
  <c r="AH17" i="7"/>
  <c r="AK18" i="7"/>
  <c r="AJ26" i="7"/>
  <c r="AG17" i="7"/>
  <c r="C19" i="8"/>
  <c r="AE19" i="8" s="1"/>
  <c r="AE18" i="9"/>
  <c r="C13" i="8"/>
  <c r="AE13" i="8" s="1"/>
  <c r="AE12" i="9"/>
  <c r="C12" i="8"/>
  <c r="AE12" i="8" s="1"/>
  <c r="AE11" i="9"/>
  <c r="C16" i="8"/>
  <c r="AE16" i="8" s="1"/>
  <c r="AE15" i="9"/>
  <c r="C14" i="8"/>
  <c r="AE14" i="8" s="1"/>
  <c r="AE13" i="9"/>
  <c r="C15" i="8"/>
  <c r="AE15" i="8" s="1"/>
  <c r="AE14" i="9"/>
  <c r="C20" i="8"/>
  <c r="AE20" i="8" s="1"/>
  <c r="AE19" i="9"/>
  <c r="W16" i="7"/>
  <c r="W24" i="7"/>
  <c r="W10" i="7"/>
  <c r="X10" i="7"/>
  <c r="W31" i="7"/>
  <c r="X31" i="7"/>
  <c r="Y31" i="7"/>
  <c r="AR14" i="7"/>
  <c r="AM14" i="7"/>
  <c r="AN14" i="7"/>
  <c r="AP14" i="7"/>
  <c r="AQ14" i="7"/>
  <c r="AO14" i="7"/>
  <c r="AN27" i="7"/>
  <c r="AO27" i="7"/>
  <c r="AP27" i="7"/>
  <c r="AQ27" i="7"/>
  <c r="AR27" i="7"/>
  <c r="AM27" i="7"/>
  <c r="AM30" i="7"/>
  <c r="AR30" i="7"/>
  <c r="AN30" i="7"/>
  <c r="AO30" i="7"/>
  <c r="AP30" i="7"/>
  <c r="AQ30" i="7"/>
  <c r="AO23" i="7"/>
  <c r="AP23" i="7"/>
  <c r="AQ23" i="7"/>
  <c r="AR23" i="7"/>
  <c r="AN23" i="7"/>
  <c r="AM23" i="7"/>
  <c r="AJ20" i="7"/>
  <c r="AQ31" i="7"/>
  <c r="AR31" i="7"/>
  <c r="AP31" i="7"/>
  <c r="AJ23" i="7"/>
  <c r="AN15" i="7"/>
  <c r="AM15" i="7"/>
  <c r="AO15" i="7"/>
  <c r="AP15" i="7"/>
  <c r="AQ15" i="7"/>
  <c r="AR15" i="7"/>
  <c r="AR19" i="7"/>
  <c r="AM19" i="7"/>
  <c r="AP19" i="7"/>
  <c r="AN19" i="7"/>
  <c r="AQ19" i="7"/>
  <c r="AO19" i="7"/>
  <c r="AI19" i="7"/>
  <c r="AH22" i="7"/>
  <c r="AG23" i="7"/>
  <c r="AM22" i="7"/>
  <c r="AN22" i="7"/>
  <c r="AO22" i="7"/>
  <c r="AP22" i="7"/>
  <c r="AQ22" i="7"/>
  <c r="AR22" i="7"/>
  <c r="AK19" i="7"/>
  <c r="AM29" i="7"/>
  <c r="AN29" i="7"/>
  <c r="AO29" i="7"/>
  <c r="AR29" i="7"/>
  <c r="AP29" i="7"/>
  <c r="AQ29" i="7"/>
  <c r="AK23" i="7"/>
  <c r="AO16" i="7"/>
  <c r="AP16" i="7"/>
  <c r="AQ16" i="7"/>
  <c r="AN16" i="7"/>
  <c r="AR16" i="7"/>
  <c r="AG19" i="7"/>
  <c r="AL22" i="7"/>
  <c r="AP24" i="7"/>
  <c r="AQ24" i="7"/>
  <c r="AN24" i="7"/>
  <c r="AO24" i="7"/>
  <c r="AR24" i="7"/>
  <c r="AQ25" i="7"/>
  <c r="AP25" i="7"/>
  <c r="AO25" i="7"/>
  <c r="AN25" i="7"/>
  <c r="AM25" i="7"/>
  <c r="AR25" i="7"/>
  <c r="AN20" i="7"/>
  <c r="AO20" i="7"/>
  <c r="AP20" i="7"/>
  <c r="AR20" i="7"/>
  <c r="AQ20" i="7"/>
  <c r="AG22" i="7"/>
  <c r="AN18" i="7"/>
  <c r="AO18" i="7"/>
  <c r="AP18" i="7"/>
  <c r="AQ18" i="7"/>
  <c r="AR18" i="7"/>
  <c r="AM18" i="7"/>
  <c r="AJ19" i="7"/>
  <c r="AP13" i="7"/>
  <c r="AN13" i="7"/>
  <c r="AO13" i="7"/>
  <c r="AQ13" i="7"/>
  <c r="AR13" i="7"/>
  <c r="AM13" i="7"/>
  <c r="AK22" i="7"/>
  <c r="AR17" i="7"/>
  <c r="AP17" i="7"/>
  <c r="AQ17" i="7"/>
  <c r="AO17" i="7"/>
  <c r="AN17" i="7"/>
  <c r="AM17" i="7"/>
  <c r="AR26" i="7"/>
  <c r="AM26" i="7"/>
  <c r="AO26" i="7"/>
  <c r="AP26" i="7"/>
  <c r="AN26" i="7"/>
  <c r="AQ26" i="7"/>
  <c r="X101" i="1"/>
  <c r="C29" i="8"/>
  <c r="AE29" i="8" s="1"/>
  <c r="X67" i="1"/>
  <c r="C23" i="8"/>
  <c r="AE23" i="8" s="1"/>
  <c r="X65" i="1"/>
  <c r="C21" i="8"/>
  <c r="AE21" i="8" s="1"/>
  <c r="X47" i="1"/>
  <c r="C18" i="8"/>
  <c r="AE18" i="8" s="1"/>
  <c r="C30" i="7"/>
  <c r="AE30" i="7" s="1"/>
  <c r="C30" i="8"/>
  <c r="AE30" i="8" s="1"/>
  <c r="C28" i="7"/>
  <c r="AE28" i="7" s="1"/>
  <c r="C28" i="8"/>
  <c r="AE28" i="8" s="1"/>
  <c r="C17" i="7"/>
  <c r="AE17" i="7" s="1"/>
  <c r="C17" i="8"/>
  <c r="AE17" i="8" s="1"/>
  <c r="X103" i="1"/>
  <c r="C31" i="8"/>
  <c r="AE31" i="8" s="1"/>
  <c r="X84" i="1"/>
  <c r="C26" i="8"/>
  <c r="AE26" i="8" s="1"/>
  <c r="X68" i="1"/>
  <c r="C24" i="8"/>
  <c r="AE24" i="8" s="1"/>
  <c r="AI31" i="7"/>
  <c r="AG31" i="7"/>
  <c r="AJ31" i="7"/>
  <c r="AK30" i="7"/>
  <c r="AH30" i="7"/>
  <c r="AL30" i="7"/>
  <c r="AJ29" i="7"/>
  <c r="AL29" i="7"/>
  <c r="AK29" i="7"/>
  <c r="AH29" i="7"/>
  <c r="AM28" i="7"/>
  <c r="AN28" i="7"/>
  <c r="AO28" i="7"/>
  <c r="AP28" i="7"/>
  <c r="AQ28" i="7"/>
  <c r="AR28" i="7"/>
  <c r="X102" i="1"/>
  <c r="AK26" i="3"/>
  <c r="C24" i="7"/>
  <c r="AE24" i="7" s="1"/>
  <c r="C23" i="7"/>
  <c r="AE23" i="7" s="1"/>
  <c r="C31" i="7"/>
  <c r="AE31" i="7" s="1"/>
  <c r="AG14" i="7"/>
  <c r="AK14" i="7"/>
  <c r="AJ14" i="7"/>
  <c r="C18" i="7"/>
  <c r="AE18" i="7" s="1"/>
  <c r="X100" i="1"/>
  <c r="W77" i="1"/>
  <c r="AP12" i="7"/>
  <c r="AQ12" i="7"/>
  <c r="AN12" i="7"/>
  <c r="AR12" i="7"/>
  <c r="AM12" i="7"/>
  <c r="AO12" i="7"/>
  <c r="AF29" i="7"/>
  <c r="AL12" i="7"/>
  <c r="AF24" i="7"/>
  <c r="AF25" i="7"/>
  <c r="AF23" i="7"/>
  <c r="AF31" i="7"/>
  <c r="C21" i="7"/>
  <c r="AE21" i="7" s="1"/>
  <c r="AG18" i="7"/>
  <c r="AF21" i="7"/>
  <c r="AL13" i="7"/>
  <c r="AJ12" i="7"/>
  <c r="AI10" i="7"/>
  <c r="AI22" i="7"/>
  <c r="AK24" i="7"/>
  <c r="AH20" i="7"/>
  <c r="AL25" i="7"/>
  <c r="AL31" i="7"/>
  <c r="AN6" i="7"/>
  <c r="AP6" i="7"/>
  <c r="AQ6" i="7"/>
  <c r="AR6" i="7"/>
  <c r="AO6" i="7"/>
  <c r="AM6" i="7"/>
  <c r="AR10" i="7"/>
  <c r="AP10" i="7"/>
  <c r="AQ10" i="7"/>
  <c r="C29" i="7"/>
  <c r="AE29" i="7" s="1"/>
  <c r="AF26" i="7"/>
  <c r="AF10" i="7"/>
  <c r="AJ25" i="7"/>
  <c r="AF14" i="7"/>
  <c r="AF16" i="7"/>
  <c r="AF5" i="7"/>
  <c r="AF17" i="7"/>
  <c r="AF15" i="7"/>
  <c r="AL10" i="7"/>
  <c r="AK20" i="7"/>
  <c r="C26" i="7"/>
  <c r="AE26" i="7" s="1"/>
  <c r="AH89" i="1"/>
  <c r="AK16" i="7"/>
  <c r="AH88" i="1"/>
  <c r="AL15" i="7"/>
  <c r="AG29" i="7"/>
  <c r="AF19" i="7"/>
  <c r="AG12" i="7"/>
  <c r="AJ22" i="7"/>
  <c r="AF28" i="7"/>
  <c r="AG24" i="7"/>
  <c r="AI20" i="7"/>
  <c r="AI30" i="7"/>
  <c r="AH25" i="7"/>
  <c r="AL23" i="7"/>
  <c r="AL14" i="7"/>
  <c r="M88" i="1"/>
  <c r="W88" i="1" s="1"/>
  <c r="AF20" i="7"/>
  <c r="AF30" i="7"/>
  <c r="AF27" i="7"/>
  <c r="AF18" i="7"/>
  <c r="N87" i="1"/>
  <c r="X87" i="1" s="1"/>
  <c r="AF13" i="7"/>
  <c r="AG28" i="7"/>
  <c r="AN5" i="7"/>
  <c r="AR5" i="7"/>
  <c r="AP5" i="7"/>
  <c r="AM5" i="7"/>
  <c r="AO5" i="7"/>
  <c r="AQ5" i="7"/>
  <c r="AI25" i="7"/>
  <c r="AH90" i="1"/>
  <c r="AL18" i="7"/>
  <c r="AJ16" i="7"/>
  <c r="N90" i="1"/>
  <c r="X90" i="1" s="1"/>
  <c r="AG13" i="7"/>
  <c r="AI15" i="7"/>
  <c r="AH19" i="7"/>
  <c r="AK12" i="7"/>
  <c r="AG10" i="7"/>
  <c r="AF22" i="7"/>
  <c r="AL28" i="7"/>
  <c r="AG88" i="1"/>
  <c r="AI24" i="7"/>
  <c r="AL20" i="7"/>
  <c r="AG30" i="7"/>
  <c r="AH23" i="7"/>
  <c r="AH14" i="7"/>
  <c r="AK31" i="7"/>
  <c r="N89" i="1"/>
  <c r="X89" i="1" s="1"/>
  <c r="AI12" i="7"/>
  <c r="AK25" i="7"/>
  <c r="G30" i="3"/>
  <c r="AI30" i="3" s="1"/>
  <c r="F23" i="3"/>
  <c r="AH23" i="3" s="1"/>
  <c r="J19" i="3"/>
  <c r="J14" i="3"/>
  <c r="H30" i="3"/>
  <c r="AJ30" i="3" s="1"/>
  <c r="D27" i="3"/>
  <c r="AF27" i="3" s="1"/>
  <c r="G23" i="3"/>
  <c r="AI23" i="3" s="1"/>
  <c r="J30" i="3"/>
  <c r="F27" i="3"/>
  <c r="AH27" i="3" s="1"/>
  <c r="I23" i="3"/>
  <c r="E19" i="3"/>
  <c r="AG19" i="3" s="1"/>
  <c r="E14" i="3"/>
  <c r="AG14" i="3" s="1"/>
  <c r="E30" i="3"/>
  <c r="AG30" i="3" s="1"/>
  <c r="I27" i="3"/>
  <c r="D23" i="3"/>
  <c r="AF23" i="3" s="1"/>
  <c r="H19" i="3"/>
  <c r="AJ19" i="3" s="1"/>
  <c r="H14" i="3"/>
  <c r="AJ14" i="3" s="1"/>
  <c r="H27" i="3"/>
  <c r="AJ27" i="3" s="1"/>
  <c r="G19" i="3"/>
  <c r="AI19" i="3" s="1"/>
  <c r="F14" i="3"/>
  <c r="AH14" i="3" s="1"/>
  <c r="J27" i="3"/>
  <c r="I19" i="3"/>
  <c r="G14" i="3"/>
  <c r="AI14" i="3" s="1"/>
  <c r="I14" i="3"/>
  <c r="F30" i="3"/>
  <c r="AH30" i="3" s="1"/>
  <c r="E23" i="3"/>
  <c r="AG23" i="3" s="1"/>
  <c r="I30" i="3"/>
  <c r="E27" i="3"/>
  <c r="AG27" i="3" s="1"/>
  <c r="H23" i="3"/>
  <c r="AJ23" i="3" s="1"/>
  <c r="D19" i="3"/>
  <c r="AF19" i="3" s="1"/>
  <c r="G27" i="3"/>
  <c r="AI27" i="3" s="1"/>
  <c r="J23" i="3"/>
  <c r="F19" i="3"/>
  <c r="AH19" i="3" s="1"/>
  <c r="D14" i="3"/>
  <c r="AF14" i="3" s="1"/>
  <c r="D30" i="3"/>
  <c r="AF30" i="3" s="1"/>
  <c r="AH12" i="7"/>
  <c r="AH18" i="7"/>
  <c r="AK13" i="7"/>
  <c r="AJ15" i="7"/>
  <c r="AI29" i="7"/>
  <c r="AH87" i="1"/>
  <c r="AL19" i="7"/>
  <c r="AF12" i="7"/>
  <c r="AJ10" i="7"/>
  <c r="AJ28" i="7"/>
  <c r="AH24" i="7"/>
  <c r="AG20" i="7"/>
  <c r="AJ30" i="7"/>
  <c r="AG25" i="7"/>
  <c r="AI23" i="7"/>
  <c r="AI14" i="7"/>
  <c r="AH31" i="7"/>
  <c r="X48" i="1"/>
  <c r="C19" i="7"/>
  <c r="AE19" i="7" s="1"/>
  <c r="X49" i="1"/>
  <c r="C20" i="7"/>
  <c r="AE20" i="7" s="1"/>
  <c r="X29" i="1"/>
  <c r="C14" i="7"/>
  <c r="AE14" i="7" s="1"/>
  <c r="X30" i="1"/>
  <c r="C15" i="7"/>
  <c r="AE15" i="7" s="1"/>
  <c r="X28" i="1"/>
  <c r="C13" i="7"/>
  <c r="AE13" i="7" s="1"/>
  <c r="X31" i="1"/>
  <c r="C16" i="7"/>
  <c r="AE16" i="7" s="1"/>
  <c r="X27" i="1"/>
  <c r="C12" i="7"/>
  <c r="AE12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3" i="3"/>
  <c r="AL29" i="3"/>
  <c r="AL26" i="3"/>
  <c r="AL18" i="3"/>
  <c r="AL22" i="3"/>
  <c r="AK18" i="3"/>
  <c r="AK29" i="3"/>
  <c r="AK13" i="3"/>
  <c r="AK22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1" i="3"/>
  <c r="AJ31" i="3" s="1"/>
  <c r="G24" i="3"/>
  <c r="AI24" i="3" s="1"/>
  <c r="I31" i="3"/>
  <c r="H24" i="3"/>
  <c r="AJ24" i="3" s="1"/>
  <c r="J24" i="3"/>
  <c r="F20" i="3"/>
  <c r="AH20" i="3" s="1"/>
  <c r="G15" i="3"/>
  <c r="AI15" i="3" s="1"/>
  <c r="F31" i="3"/>
  <c r="AH31" i="3" s="1"/>
  <c r="E24" i="3"/>
  <c r="AG24" i="3" s="1"/>
  <c r="I20" i="3"/>
  <c r="J15" i="3"/>
  <c r="E31" i="3"/>
  <c r="AG31" i="3" s="1"/>
  <c r="D24" i="3"/>
  <c r="AF24" i="3" s="1"/>
  <c r="G31" i="3"/>
  <c r="AI31" i="3" s="1"/>
  <c r="F24" i="3"/>
  <c r="AH24" i="3" s="1"/>
  <c r="J31" i="3"/>
  <c r="AL31" i="3" s="1"/>
  <c r="I24" i="3"/>
  <c r="D20" i="3"/>
  <c r="AF20" i="3" s="1"/>
  <c r="E20" i="3"/>
  <c r="AG20" i="3" s="1"/>
  <c r="E15" i="3"/>
  <c r="AG15" i="3" s="1"/>
  <c r="H20" i="3"/>
  <c r="AJ20" i="3" s="1"/>
  <c r="H15" i="3"/>
  <c r="AJ15" i="3" s="1"/>
  <c r="D15" i="3"/>
  <c r="AF15" i="3" s="1"/>
  <c r="J20" i="3"/>
  <c r="I15" i="3"/>
  <c r="G20" i="3"/>
  <c r="AI20" i="3" s="1"/>
  <c r="F15" i="3"/>
  <c r="AH15" i="3" s="1"/>
  <c r="D31" i="3"/>
  <c r="AF31" i="3" s="1"/>
  <c r="X58" i="1" a="1"/>
  <c r="X58" i="1" s="1"/>
  <c r="X59" i="1"/>
  <c r="X60" i="1"/>
  <c r="X40" i="1"/>
  <c r="X39" i="1" a="1"/>
  <c r="X39" i="1" s="1"/>
  <c r="X41" i="1"/>
  <c r="AL27" i="3"/>
  <c r="AL19" i="3"/>
  <c r="AL14" i="3"/>
  <c r="AL30" i="3"/>
  <c r="AL23" i="3"/>
  <c r="AK23" i="3"/>
  <c r="AK19" i="3"/>
  <c r="AK27" i="3"/>
  <c r="AK14" i="3"/>
  <c r="AK30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AC10" i="8" s="1"/>
  <c r="F9" i="1"/>
  <c r="H8" i="3" s="1"/>
  <c r="F8" i="1"/>
  <c r="F7" i="1"/>
  <c r="C6" i="1"/>
  <c r="AC6" i="8" s="1"/>
  <c r="C5" i="1"/>
  <c r="AC5" i="8" l="1"/>
  <c r="AF5" i="8" s="1"/>
  <c r="D8" i="3"/>
  <c r="AR10" i="8"/>
  <c r="AP10" i="8"/>
  <c r="AQ10" i="8"/>
  <c r="AJ10" i="8"/>
  <c r="AK10" i="8"/>
  <c r="AH10" i="8"/>
  <c r="AF10" i="8"/>
  <c r="AG10" i="8"/>
  <c r="AI10" i="8"/>
  <c r="AL10" i="8"/>
  <c r="AG10" i="1"/>
  <c r="F11" i="3"/>
  <c r="AH11" i="3" s="1"/>
  <c r="H11" i="3"/>
  <c r="AJ11" i="3" s="1"/>
  <c r="I11" i="3"/>
  <c r="AK11" i="3" s="1"/>
  <c r="J11" i="3"/>
  <c r="AL11" i="3" s="1"/>
  <c r="E11" i="3"/>
  <c r="AG11" i="3" s="1"/>
  <c r="G11" i="3"/>
  <c r="AI11" i="3" s="1"/>
  <c r="I8" i="3"/>
  <c r="AM6" i="8"/>
  <c r="AN6" i="8"/>
  <c r="AR6" i="8"/>
  <c r="AP6" i="8"/>
  <c r="AQ6" i="8"/>
  <c r="AO6" i="8"/>
  <c r="AN5" i="8"/>
  <c r="AG11" i="1"/>
  <c r="AG12" i="1"/>
  <c r="F8" i="3"/>
  <c r="C8" i="1"/>
  <c r="AC8" i="3"/>
  <c r="AJ7" i="1"/>
  <c r="J7" i="3"/>
  <c r="I7" i="3"/>
  <c r="D7" i="3"/>
  <c r="E7" i="3"/>
  <c r="G7" i="3"/>
  <c r="F7" i="3"/>
  <c r="H7" i="3"/>
  <c r="AG15" i="1"/>
  <c r="AG13" i="1"/>
  <c r="C7" i="1"/>
  <c r="AC7" i="8" s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C9" i="3"/>
  <c r="AJ8" i="1"/>
  <c r="AG14" i="1"/>
  <c r="AG16" i="1"/>
  <c r="F16" i="3"/>
  <c r="AH16" i="3" s="1"/>
  <c r="D16" i="3"/>
  <c r="AF16" i="3" s="1"/>
  <c r="I16" i="3"/>
  <c r="G16" i="3"/>
  <c r="AI16" i="3" s="1"/>
  <c r="J9" i="3"/>
  <c r="H16" i="3"/>
  <c r="AJ16" i="3" s="1"/>
  <c r="J16" i="3"/>
  <c r="D9" i="3"/>
  <c r="E9" i="3"/>
  <c r="G9" i="3"/>
  <c r="H9" i="3"/>
  <c r="I9" i="3"/>
  <c r="E16" i="3"/>
  <c r="AG16" i="3" s="1"/>
  <c r="F9" i="3"/>
  <c r="M9" i="1"/>
  <c r="AG9" i="1"/>
  <c r="M17" i="1"/>
  <c r="W17" i="1" s="1"/>
  <c r="AG17" i="1"/>
  <c r="E8" i="3"/>
  <c r="J8" i="3"/>
  <c r="G8" i="3"/>
  <c r="AL20" i="3"/>
  <c r="AL24" i="3"/>
  <c r="AL15" i="3"/>
  <c r="AK15" i="3"/>
  <c r="AK24" i="3"/>
  <c r="AK20" i="3"/>
  <c r="AK31" i="3"/>
  <c r="M11" i="1"/>
  <c r="W11" i="1" s="1"/>
  <c r="M10" i="1"/>
  <c r="W10" i="1" s="1"/>
  <c r="B10" i="3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M5" i="8" l="1"/>
  <c r="AO5" i="8"/>
  <c r="AP5" i="8"/>
  <c r="AR5" i="8"/>
  <c r="W9" i="1"/>
  <c r="AQ5" i="8"/>
  <c r="AF8" i="3"/>
  <c r="AG7" i="1"/>
  <c r="AC8" i="8"/>
  <c r="AG8" i="1"/>
  <c r="AC9" i="8"/>
  <c r="J8" i="8"/>
  <c r="G8" i="8"/>
  <c r="I8" i="8"/>
  <c r="AK8" i="8" s="1"/>
  <c r="H8" i="8"/>
  <c r="D8" i="8"/>
  <c r="F8" i="8"/>
  <c r="AH8" i="8" s="1"/>
  <c r="E8" i="8"/>
  <c r="AG8" i="8" s="1"/>
  <c r="F7" i="8"/>
  <c r="AH7" i="8" s="1"/>
  <c r="E7" i="8"/>
  <c r="AG7" i="8" s="1"/>
  <c r="I7" i="8"/>
  <c r="AK7" i="8" s="1"/>
  <c r="G7" i="8"/>
  <c r="AI7" i="8" s="1"/>
  <c r="D7" i="8"/>
  <c r="AF7" i="8" s="1"/>
  <c r="H7" i="8"/>
  <c r="AJ7" i="8" s="1"/>
  <c r="J7" i="8"/>
  <c r="AL7" i="8" s="1"/>
  <c r="E6" i="8"/>
  <c r="AG6" i="8" s="1"/>
  <c r="G6" i="8"/>
  <c r="AI6" i="8" s="1"/>
  <c r="F6" i="8"/>
  <c r="AH6" i="8" s="1"/>
  <c r="J6" i="8"/>
  <c r="AL6" i="8" s="1"/>
  <c r="D6" i="8"/>
  <c r="AF6" i="8" s="1"/>
  <c r="H6" i="8"/>
  <c r="AJ6" i="8" s="1"/>
  <c r="I6" i="8"/>
  <c r="AK6" i="8" s="1"/>
  <c r="I5" i="8"/>
  <c r="AK5" i="8" s="1"/>
  <c r="H5" i="8"/>
  <c r="AJ5" i="8" s="1"/>
  <c r="G5" i="8"/>
  <c r="AI5" i="8" s="1"/>
  <c r="E5" i="8"/>
  <c r="AG5" i="8" s="1"/>
  <c r="F5" i="8"/>
  <c r="AH5" i="8" s="1"/>
  <c r="J5" i="8"/>
  <c r="AL5" i="8" s="1"/>
  <c r="M4" i="1"/>
  <c r="AN7" i="8"/>
  <c r="AR7" i="8"/>
  <c r="AM7" i="8"/>
  <c r="AP7" i="8"/>
  <c r="AQ7" i="8"/>
  <c r="AO7" i="8"/>
  <c r="M8" i="1"/>
  <c r="W8" i="1" s="1"/>
  <c r="AJ7" i="3"/>
  <c r="AH7" i="3"/>
  <c r="AI7" i="3"/>
  <c r="AI8" i="3"/>
  <c r="AG9" i="3"/>
  <c r="AN9" i="3"/>
  <c r="AM9" i="3"/>
  <c r="AP9" i="3"/>
  <c r="T11" i="3" s="1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AP8" i="3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6" i="3"/>
  <c r="AK9" i="3"/>
  <c r="AK16" i="3"/>
  <c r="AH9" i="3"/>
  <c r="N4" i="1"/>
  <c r="Z8" i="1"/>
  <c r="Z7" i="1"/>
  <c r="Z5" i="1"/>
  <c r="X14" i="1"/>
  <c r="N13" i="1"/>
  <c r="AF8" i="8" l="1"/>
  <c r="AJ8" i="8"/>
  <c r="AI8" i="8"/>
  <c r="AL8" i="8"/>
  <c r="AR8" i="8"/>
  <c r="AN8" i="8"/>
  <c r="AO8" i="8"/>
  <c r="AM8" i="8"/>
  <c r="AQ8" i="8"/>
  <c r="AP8" i="8"/>
  <c r="U7" i="3"/>
  <c r="AW7" i="3" s="1"/>
  <c r="AN9" i="8"/>
  <c r="AP9" i="8"/>
  <c r="T8" i="8" s="1"/>
  <c r="AM9" i="8"/>
  <c r="Q8" i="8" s="1"/>
  <c r="AR9" i="8"/>
  <c r="V24" i="8" s="1"/>
  <c r="AQ9" i="8"/>
  <c r="AO9" i="8"/>
  <c r="S8" i="8" s="1"/>
  <c r="AH9" i="8"/>
  <c r="AH4" i="8" s="1"/>
  <c r="AL9" i="8"/>
  <c r="AJ9" i="8"/>
  <c r="AG9" i="8"/>
  <c r="AG4" i="8" s="1"/>
  <c r="AI9" i="8"/>
  <c r="AK9" i="8"/>
  <c r="AK4" i="8" s="1"/>
  <c r="AF9" i="8"/>
  <c r="AH8" i="7"/>
  <c r="U12" i="3"/>
  <c r="AV11" i="3"/>
  <c r="Z11" i="3"/>
  <c r="BB11" i="3" s="1"/>
  <c r="R11" i="3"/>
  <c r="S12" i="3"/>
  <c r="V11" i="3"/>
  <c r="V12" i="3"/>
  <c r="T12" i="3"/>
  <c r="S11" i="3"/>
  <c r="Q11" i="3"/>
  <c r="Q12" i="3"/>
  <c r="AS12" i="3" s="1"/>
  <c r="R12" i="3"/>
  <c r="U11" i="3"/>
  <c r="T7" i="3"/>
  <c r="AV7" i="3" s="1"/>
  <c r="R21" i="3"/>
  <c r="AT21" i="3" s="1"/>
  <c r="Q7" i="3"/>
  <c r="AS7" i="3" s="1"/>
  <c r="AB7" i="3"/>
  <c r="BD7" i="3" s="1"/>
  <c r="U6" i="3"/>
  <c r="U5" i="3"/>
  <c r="U29" i="3"/>
  <c r="U16" i="3"/>
  <c r="U8" i="3"/>
  <c r="U31" i="3"/>
  <c r="U20" i="3"/>
  <c r="U30" i="3"/>
  <c r="U10" i="3"/>
  <c r="AW10" i="3" s="1"/>
  <c r="U17" i="3"/>
  <c r="U15" i="3"/>
  <c r="U22" i="3"/>
  <c r="U14" i="3"/>
  <c r="U24" i="3"/>
  <c r="U13" i="3"/>
  <c r="U25" i="3"/>
  <c r="U18" i="3"/>
  <c r="U23" i="3"/>
  <c r="U27" i="3"/>
  <c r="U26" i="3"/>
  <c r="U28" i="3"/>
  <c r="U19" i="3"/>
  <c r="U9" i="3"/>
  <c r="U4" i="3"/>
  <c r="BK38" i="3" s="1"/>
  <c r="S6" i="3"/>
  <c r="S22" i="3"/>
  <c r="S23" i="3"/>
  <c r="S30" i="3"/>
  <c r="S9" i="3"/>
  <c r="S21" i="3"/>
  <c r="S4" i="3"/>
  <c r="BI38" i="3" s="1"/>
  <c r="S29" i="3"/>
  <c r="S16" i="3"/>
  <c r="S25" i="3"/>
  <c r="S10" i="3"/>
  <c r="AU10" i="3" s="1"/>
  <c r="S17" i="3"/>
  <c r="S27" i="3"/>
  <c r="S24" i="3"/>
  <c r="S8" i="3"/>
  <c r="S19" i="3"/>
  <c r="S18" i="3"/>
  <c r="S15" i="3"/>
  <c r="S5" i="3"/>
  <c r="S14" i="3"/>
  <c r="S28" i="3"/>
  <c r="S26" i="3"/>
  <c r="S20" i="3"/>
  <c r="Y7" i="3"/>
  <c r="BA7" i="3" s="1"/>
  <c r="T6" i="3"/>
  <c r="T20" i="3"/>
  <c r="T31" i="3"/>
  <c r="T8" i="3"/>
  <c r="T4" i="3"/>
  <c r="BJ38" i="3" s="1"/>
  <c r="T14" i="3"/>
  <c r="T27" i="3"/>
  <c r="T25" i="3"/>
  <c r="T5" i="3"/>
  <c r="T21" i="3"/>
  <c r="T28" i="3"/>
  <c r="T23" i="3"/>
  <c r="T17" i="3"/>
  <c r="T24" i="3"/>
  <c r="T26" i="3"/>
  <c r="T18" i="3"/>
  <c r="T13" i="3"/>
  <c r="T22" i="3"/>
  <c r="T15" i="3"/>
  <c r="T29" i="3"/>
  <c r="T19" i="3"/>
  <c r="T10" i="3"/>
  <c r="AV10" i="3" s="1"/>
  <c r="T9" i="3"/>
  <c r="T16" i="3"/>
  <c r="T30" i="3"/>
  <c r="Q5" i="3"/>
  <c r="Q23" i="3"/>
  <c r="AS23" i="3" s="1"/>
  <c r="Q28" i="3"/>
  <c r="AS28" i="3" s="1"/>
  <c r="Q21" i="3"/>
  <c r="AS21" i="3" s="1"/>
  <c r="Q6" i="3"/>
  <c r="Q13" i="3"/>
  <c r="AS13" i="3" s="1"/>
  <c r="Q20" i="3"/>
  <c r="AS20" i="3" s="1"/>
  <c r="Q22" i="3"/>
  <c r="AS22" i="3" s="1"/>
  <c r="Q15" i="3"/>
  <c r="AS15" i="3" s="1"/>
  <c r="Q26" i="3"/>
  <c r="AS26" i="3" s="1"/>
  <c r="Q14" i="3"/>
  <c r="AS14" i="3" s="1"/>
  <c r="Q30" i="3"/>
  <c r="AS30" i="3" s="1"/>
  <c r="Q25" i="3"/>
  <c r="AS25" i="3" s="1"/>
  <c r="Q8" i="3"/>
  <c r="Q27" i="3"/>
  <c r="AS27" i="3" s="1"/>
  <c r="Q17" i="3"/>
  <c r="AS17" i="3" s="1"/>
  <c r="Q29" i="3"/>
  <c r="AS29" i="3" s="1"/>
  <c r="Q18" i="3"/>
  <c r="AS18" i="3" s="1"/>
  <c r="Q9" i="3"/>
  <c r="Q4" i="3"/>
  <c r="BG38" i="3" s="1"/>
  <c r="Q19" i="3"/>
  <c r="AS19" i="3" s="1"/>
  <c r="S13" i="3"/>
  <c r="V6" i="3"/>
  <c r="V24" i="3"/>
  <c r="V29" i="3"/>
  <c r="V18" i="3"/>
  <c r="V27" i="3"/>
  <c r="V30" i="3"/>
  <c r="V9" i="3"/>
  <c r="V14" i="3"/>
  <c r="V23" i="3"/>
  <c r="V13" i="3"/>
  <c r="V20" i="3"/>
  <c r="V19" i="3"/>
  <c r="V15" i="3"/>
  <c r="V17" i="3"/>
  <c r="V22" i="3"/>
  <c r="V16" i="3"/>
  <c r="V26" i="3"/>
  <c r="V31" i="3"/>
  <c r="V4" i="3"/>
  <c r="BM38" i="3" s="1"/>
  <c r="V28" i="3"/>
  <c r="V8" i="3"/>
  <c r="V10" i="3"/>
  <c r="AX10" i="3" s="1"/>
  <c r="V5" i="3"/>
  <c r="V25" i="3"/>
  <c r="R6" i="3"/>
  <c r="R16" i="3"/>
  <c r="R9" i="3"/>
  <c r="R24" i="3"/>
  <c r="R22" i="3"/>
  <c r="R27" i="3"/>
  <c r="R18" i="3"/>
  <c r="R17" i="3"/>
  <c r="R30" i="3"/>
  <c r="R14" i="3"/>
  <c r="R13" i="3"/>
  <c r="R20" i="3"/>
  <c r="R5" i="3"/>
  <c r="R4" i="3"/>
  <c r="BH38" i="3" s="1"/>
  <c r="R19" i="3"/>
  <c r="R26" i="3"/>
  <c r="R23" i="3"/>
  <c r="R28" i="3"/>
  <c r="R8" i="3"/>
  <c r="R25" i="3"/>
  <c r="R15" i="3"/>
  <c r="R29" i="3"/>
  <c r="V21" i="3"/>
  <c r="U21" i="3"/>
  <c r="R7" i="3"/>
  <c r="AI8" i="7"/>
  <c r="AG4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AM8" i="7"/>
  <c r="AN8" i="7"/>
  <c r="AO8" i="7"/>
  <c r="AP8" i="7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AJ4" i="8" l="1"/>
  <c r="AF4" i="8"/>
  <c r="AI4" i="8"/>
  <c r="AL4" i="8"/>
  <c r="U12" i="8"/>
  <c r="AW12" i="8" s="1"/>
  <c r="AA7" i="3"/>
  <c r="BC7" i="3" s="1"/>
  <c r="R6" i="8"/>
  <c r="X6" i="8" s="1"/>
  <c r="AZ6" i="8" s="1"/>
  <c r="U4" i="8"/>
  <c r="BK38" i="8" s="1"/>
  <c r="Q14" i="8"/>
  <c r="AS14" i="8" s="1"/>
  <c r="U9" i="8"/>
  <c r="AW9" i="8" s="1"/>
  <c r="AM4" i="8"/>
  <c r="BG7" i="8" s="1"/>
  <c r="AR4" i="8"/>
  <c r="BM7" i="8" s="1"/>
  <c r="U27" i="8"/>
  <c r="AW27" i="8" s="1"/>
  <c r="V18" i="8"/>
  <c r="AX18" i="8" s="1"/>
  <c r="U18" i="8"/>
  <c r="U13" i="8"/>
  <c r="AA13" i="8" s="1"/>
  <c r="BC13" i="8" s="1"/>
  <c r="V16" i="8"/>
  <c r="V26" i="8"/>
  <c r="AB26" i="8" s="1"/>
  <c r="BD26" i="8" s="1"/>
  <c r="Q12" i="8"/>
  <c r="W12" i="8" s="1"/>
  <c r="AY12" i="8" s="1"/>
  <c r="U29" i="8"/>
  <c r="AW29" i="8" s="1"/>
  <c r="T28" i="8"/>
  <c r="AV28" i="8" s="1"/>
  <c r="BJ9" i="8"/>
  <c r="BG9" i="8"/>
  <c r="BI9" i="8"/>
  <c r="BM9" i="8"/>
  <c r="BK9" i="8"/>
  <c r="BH9" i="8"/>
  <c r="AX24" i="8"/>
  <c r="AB24" i="8"/>
  <c r="BD24" i="8" s="1"/>
  <c r="AU8" i="8"/>
  <c r="Y8" i="8"/>
  <c r="BA8" i="8" s="1"/>
  <c r="R11" i="8"/>
  <c r="S18" i="8"/>
  <c r="S13" i="8"/>
  <c r="S7" i="8"/>
  <c r="S4" i="8"/>
  <c r="BI38" i="8" s="1"/>
  <c r="S19" i="8"/>
  <c r="R19" i="8"/>
  <c r="V30" i="8"/>
  <c r="Q9" i="8"/>
  <c r="R25" i="8"/>
  <c r="R18" i="8"/>
  <c r="R13" i="8"/>
  <c r="R14" i="8"/>
  <c r="R16" i="8"/>
  <c r="R29" i="8"/>
  <c r="R30" i="8"/>
  <c r="R26" i="8"/>
  <c r="R9" i="8"/>
  <c r="AN4" i="8"/>
  <c r="BH7" i="8" s="1"/>
  <c r="R4" i="8"/>
  <c r="BH38" i="8" s="1"/>
  <c r="R15" i="8"/>
  <c r="R20" i="8"/>
  <c r="R21" i="8"/>
  <c r="R7" i="8"/>
  <c r="V21" i="8"/>
  <c r="Q13" i="8"/>
  <c r="AQ4" i="8"/>
  <c r="BK7" i="8" s="1"/>
  <c r="Q25" i="8"/>
  <c r="S11" i="8"/>
  <c r="S24" i="8"/>
  <c r="U15" i="8"/>
  <c r="Q22" i="8"/>
  <c r="V17" i="8"/>
  <c r="R28" i="8"/>
  <c r="S6" i="8"/>
  <c r="V23" i="8"/>
  <c r="Q15" i="8"/>
  <c r="V14" i="8"/>
  <c r="V4" i="8"/>
  <c r="BM38" i="8" s="1"/>
  <c r="V27" i="8"/>
  <c r="V6" i="8"/>
  <c r="V9" i="8"/>
  <c r="V13" i="8"/>
  <c r="V5" i="8"/>
  <c r="V22" i="8"/>
  <c r="V7" i="8"/>
  <c r="V31" i="8"/>
  <c r="V15" i="8"/>
  <c r="U20" i="8"/>
  <c r="Q28" i="8"/>
  <c r="S25" i="8"/>
  <c r="U21" i="8"/>
  <c r="Q19" i="8"/>
  <c r="S27" i="8"/>
  <c r="S9" i="8"/>
  <c r="U8" i="8"/>
  <c r="Q29" i="8"/>
  <c r="V25" i="8"/>
  <c r="Q4" i="8"/>
  <c r="BG38" i="8" s="1"/>
  <c r="AA10" i="3"/>
  <c r="BC10" i="3" s="1"/>
  <c r="S21" i="8"/>
  <c r="S28" i="8"/>
  <c r="U26" i="8"/>
  <c r="Q18" i="8"/>
  <c r="S17" i="8"/>
  <c r="U14" i="8"/>
  <c r="Q27" i="8"/>
  <c r="U31" i="8"/>
  <c r="S30" i="8"/>
  <c r="S5" i="8"/>
  <c r="U5" i="8"/>
  <c r="U17" i="8"/>
  <c r="AX16" i="8"/>
  <c r="AB16" i="8"/>
  <c r="BD16" i="8" s="1"/>
  <c r="S20" i="8"/>
  <c r="S15" i="8"/>
  <c r="Y10" i="3"/>
  <c r="BA10" i="3" s="1"/>
  <c r="U22" i="8"/>
  <c r="AO4" i="8"/>
  <c r="BI7" i="8" s="1"/>
  <c r="S23" i="8"/>
  <c r="U11" i="8"/>
  <c r="T13" i="8"/>
  <c r="S16" i="8"/>
  <c r="Q5" i="8"/>
  <c r="V28" i="8"/>
  <c r="R27" i="8"/>
  <c r="S10" i="8"/>
  <c r="Y10" i="8" s="1"/>
  <c r="S26" i="8"/>
  <c r="T19" i="8"/>
  <c r="T20" i="8"/>
  <c r="AP4" i="8"/>
  <c r="BJ7" i="8" s="1"/>
  <c r="T29" i="8"/>
  <c r="T11" i="8"/>
  <c r="T27" i="8"/>
  <c r="T9" i="8"/>
  <c r="T16" i="8"/>
  <c r="T10" i="8"/>
  <c r="T6" i="8"/>
  <c r="T15" i="8"/>
  <c r="T24" i="8"/>
  <c r="T17" i="8"/>
  <c r="T23" i="8"/>
  <c r="T12" i="8"/>
  <c r="T30" i="8"/>
  <c r="T25" i="8"/>
  <c r="T7" i="8"/>
  <c r="T5" i="8"/>
  <c r="T18" i="8"/>
  <c r="T14" i="8"/>
  <c r="S12" i="8"/>
  <c r="T4" i="8"/>
  <c r="BJ38" i="8" s="1"/>
  <c r="V12" i="8"/>
  <c r="T26" i="8"/>
  <c r="V8" i="8"/>
  <c r="R8" i="8"/>
  <c r="S14" i="8"/>
  <c r="AW18" i="8"/>
  <c r="AA18" i="8"/>
  <c r="BC18" i="8" s="1"/>
  <c r="AS8" i="8"/>
  <c r="W8" i="8"/>
  <c r="AY8" i="8" s="1"/>
  <c r="U19" i="8"/>
  <c r="U7" i="8"/>
  <c r="U30" i="8"/>
  <c r="U16" i="8"/>
  <c r="U25" i="8"/>
  <c r="U24" i="8"/>
  <c r="U28" i="8"/>
  <c r="U6" i="8"/>
  <c r="U10" i="8"/>
  <c r="V29" i="8"/>
  <c r="R24" i="8"/>
  <c r="T22" i="8"/>
  <c r="V11" i="8"/>
  <c r="R17" i="8"/>
  <c r="T31" i="8"/>
  <c r="V19" i="8"/>
  <c r="S22" i="8"/>
  <c r="U23" i="8"/>
  <c r="T21" i="8"/>
  <c r="AV8" i="8"/>
  <c r="Z8" i="8"/>
  <c r="BB8" i="8" s="1"/>
  <c r="R12" i="8"/>
  <c r="Q11" i="8"/>
  <c r="Q17" i="8"/>
  <c r="Q7" i="8"/>
  <c r="Q26" i="8"/>
  <c r="Q30" i="8"/>
  <c r="V20" i="8"/>
  <c r="R23" i="8"/>
  <c r="Q23" i="8"/>
  <c r="V10" i="8"/>
  <c r="R22" i="8"/>
  <c r="S29" i="8"/>
  <c r="Q21" i="8"/>
  <c r="R5" i="8"/>
  <c r="Q6" i="8"/>
  <c r="T7" i="7"/>
  <c r="T12" i="7"/>
  <c r="Z12" i="7" s="1"/>
  <c r="BB12" i="7" s="1"/>
  <c r="T11" i="7"/>
  <c r="T4" i="7"/>
  <c r="BJ38" i="7" s="1"/>
  <c r="S11" i="7"/>
  <c r="S12" i="7"/>
  <c r="Y12" i="7" s="1"/>
  <c r="BA12" i="7" s="1"/>
  <c r="S4" i="7"/>
  <c r="BI38" i="7" s="1"/>
  <c r="R4" i="7"/>
  <c r="BH38" i="7" s="1"/>
  <c r="R12" i="7"/>
  <c r="X12" i="7" s="1"/>
  <c r="AZ12" i="7" s="1"/>
  <c r="R11" i="7"/>
  <c r="Q12" i="7"/>
  <c r="W12" i="7" s="1"/>
  <c r="AY12" i="7" s="1"/>
  <c r="Q11" i="7"/>
  <c r="Q4" i="7"/>
  <c r="BG38" i="7" s="1"/>
  <c r="V11" i="7"/>
  <c r="V4" i="7"/>
  <c r="BM38" i="7" s="1"/>
  <c r="V12" i="7"/>
  <c r="AB12" i="7" s="1"/>
  <c r="BD12" i="7" s="1"/>
  <c r="V7" i="7"/>
  <c r="U11" i="7"/>
  <c r="U4" i="7"/>
  <c r="BK38" i="7" s="1"/>
  <c r="U12" i="7"/>
  <c r="AA12" i="7" s="1"/>
  <c r="BC12" i="7" s="1"/>
  <c r="AX11" i="3"/>
  <c r="AB11" i="3"/>
  <c r="BD11" i="3" s="1"/>
  <c r="W7" i="3"/>
  <c r="AW11" i="3"/>
  <c r="AA11" i="3"/>
  <c r="BC11" i="3" s="1"/>
  <c r="X11" i="3"/>
  <c r="AZ11" i="3" s="1"/>
  <c r="AT11" i="3"/>
  <c r="Y11" i="3"/>
  <c r="BA11" i="3" s="1"/>
  <c r="AU11" i="3"/>
  <c r="X21" i="3"/>
  <c r="AZ21" i="3" s="1"/>
  <c r="Z7" i="3"/>
  <c r="BB7" i="3" s="1"/>
  <c r="W11" i="3"/>
  <c r="AY11" i="3" s="1"/>
  <c r="AS11" i="3"/>
  <c r="AB10" i="3"/>
  <c r="BD10" i="3" s="1"/>
  <c r="Z10" i="3"/>
  <c r="BB10" i="3" s="1"/>
  <c r="AT22" i="3"/>
  <c r="X22" i="3"/>
  <c r="AZ22" i="3" s="1"/>
  <c r="AT29" i="3"/>
  <c r="X29" i="3"/>
  <c r="AZ29" i="3" s="1"/>
  <c r="AT19" i="3"/>
  <c r="X19" i="3"/>
  <c r="AZ19" i="3" s="1"/>
  <c r="AT18" i="3"/>
  <c r="X18" i="3"/>
  <c r="AZ18" i="3" s="1"/>
  <c r="AX25" i="3"/>
  <c r="AB25" i="3"/>
  <c r="BD25" i="3" s="1"/>
  <c r="AX26" i="3"/>
  <c r="AB26" i="3"/>
  <c r="BD26" i="3" s="1"/>
  <c r="AX23" i="3"/>
  <c r="AB23" i="3"/>
  <c r="BD23" i="3" s="1"/>
  <c r="AX6" i="3"/>
  <c r="AB6" i="3"/>
  <c r="BD6" i="3" s="1"/>
  <c r="AV22" i="3"/>
  <c r="Z22" i="3"/>
  <c r="BB22" i="3" s="1"/>
  <c r="AV21" i="3"/>
  <c r="Z21" i="3"/>
  <c r="BB21" i="3" s="1"/>
  <c r="AV31" i="3"/>
  <c r="Z31" i="3"/>
  <c r="BB31" i="3" s="1"/>
  <c r="AU26" i="3"/>
  <c r="Y26" i="3"/>
  <c r="BA26" i="3" s="1"/>
  <c r="AU24" i="3"/>
  <c r="Y24" i="3"/>
  <c r="BA24" i="3" s="1"/>
  <c r="AU21" i="3"/>
  <c r="Y21" i="3"/>
  <c r="BA21" i="3" s="1"/>
  <c r="AW9" i="3"/>
  <c r="AA9" i="3"/>
  <c r="BC9" i="3" s="1"/>
  <c r="AW13" i="3"/>
  <c r="AA13" i="3"/>
  <c r="BC13" i="3" s="1"/>
  <c r="AW20" i="3"/>
  <c r="AA20" i="3"/>
  <c r="BC20" i="3" s="1"/>
  <c r="AT5" i="3"/>
  <c r="X5" i="3"/>
  <c r="AZ5" i="3" s="1"/>
  <c r="AT15" i="3"/>
  <c r="X15" i="3"/>
  <c r="AZ15" i="3" s="1"/>
  <c r="AT27" i="3"/>
  <c r="X27" i="3"/>
  <c r="AZ27" i="3" s="1"/>
  <c r="AX12" i="3"/>
  <c r="AB12" i="3"/>
  <c r="BD12" i="3" s="1"/>
  <c r="AX16" i="3"/>
  <c r="AB16" i="3"/>
  <c r="BD16" i="3" s="1"/>
  <c r="AX14" i="3"/>
  <c r="AB14" i="3"/>
  <c r="BD14" i="3" s="1"/>
  <c r="AU13" i="3"/>
  <c r="Y13" i="3"/>
  <c r="BA13" i="3" s="1"/>
  <c r="AS8" i="3"/>
  <c r="W8" i="3"/>
  <c r="AV30" i="3"/>
  <c r="Z30" i="3"/>
  <c r="BB30" i="3" s="1"/>
  <c r="AV13" i="3"/>
  <c r="Z13" i="3"/>
  <c r="BB13" i="3" s="1"/>
  <c r="AV5" i="3"/>
  <c r="Z5" i="3"/>
  <c r="BB5" i="3" s="1"/>
  <c r="AV20" i="3"/>
  <c r="Z20" i="3"/>
  <c r="BB20" i="3" s="1"/>
  <c r="AU28" i="3"/>
  <c r="Y28" i="3"/>
  <c r="BA28" i="3" s="1"/>
  <c r="AU27" i="3"/>
  <c r="Y27" i="3"/>
  <c r="BA27" i="3" s="1"/>
  <c r="AU9" i="3"/>
  <c r="Y9" i="3"/>
  <c r="BA9" i="3" s="1"/>
  <c r="AW19" i="3"/>
  <c r="AA19" i="3"/>
  <c r="BC19" i="3" s="1"/>
  <c r="AW24" i="3"/>
  <c r="AA24" i="3"/>
  <c r="BC24" i="3" s="1"/>
  <c r="AW31" i="3"/>
  <c r="AA31" i="3"/>
  <c r="BC31" i="3" s="1"/>
  <c r="AX5" i="3"/>
  <c r="AB5" i="3"/>
  <c r="BD5" i="3" s="1"/>
  <c r="AV25" i="3"/>
  <c r="Z25" i="3"/>
  <c r="BB25" i="3" s="1"/>
  <c r="AT25" i="3"/>
  <c r="X25" i="3"/>
  <c r="AZ25" i="3" s="1"/>
  <c r="AT20" i="3"/>
  <c r="X20" i="3"/>
  <c r="AZ20" i="3" s="1"/>
  <c r="AT24" i="3"/>
  <c r="X24" i="3"/>
  <c r="AZ24" i="3" s="1"/>
  <c r="AX17" i="3"/>
  <c r="AB17" i="3"/>
  <c r="BD17" i="3" s="1"/>
  <c r="AX30" i="3"/>
  <c r="AB30" i="3"/>
  <c r="BD30" i="3" s="1"/>
  <c r="AS6" i="3"/>
  <c r="W6" i="3"/>
  <c r="AV9" i="3"/>
  <c r="Z9" i="3"/>
  <c r="BB9" i="3" s="1"/>
  <c r="AV26" i="3"/>
  <c r="Z26" i="3"/>
  <c r="BB26" i="3" s="1"/>
  <c r="AV27" i="3"/>
  <c r="Z27" i="3"/>
  <c r="BB27" i="3" s="1"/>
  <c r="AU5" i="3"/>
  <c r="Y5" i="3"/>
  <c r="BA5" i="3" s="1"/>
  <c r="AU23" i="3"/>
  <c r="Y23" i="3"/>
  <c r="BA23" i="3" s="1"/>
  <c r="AW26" i="3"/>
  <c r="AA26" i="3"/>
  <c r="BC26" i="3" s="1"/>
  <c r="AW22" i="3"/>
  <c r="AA22" i="3"/>
  <c r="BC22" i="3" s="1"/>
  <c r="AW16" i="3"/>
  <c r="AA16" i="3"/>
  <c r="BC16" i="3" s="1"/>
  <c r="AX22" i="3"/>
  <c r="AB22" i="3"/>
  <c r="BD22" i="3" s="1"/>
  <c r="AV6" i="3"/>
  <c r="Z6" i="3"/>
  <c r="BB6" i="3" s="1"/>
  <c r="AW8" i="3"/>
  <c r="AA8" i="3"/>
  <c r="BC8" i="3" s="1"/>
  <c r="AT8" i="3"/>
  <c r="X8" i="3"/>
  <c r="AZ8" i="3" s="1"/>
  <c r="AT13" i="3"/>
  <c r="X13" i="3"/>
  <c r="AZ13" i="3" s="1"/>
  <c r="AT9" i="3"/>
  <c r="X9" i="3"/>
  <c r="AZ9" i="3" s="1"/>
  <c r="AX8" i="3"/>
  <c r="AB8" i="3"/>
  <c r="BD8" i="3" s="1"/>
  <c r="AX15" i="3"/>
  <c r="AB15" i="3"/>
  <c r="BD15" i="3" s="1"/>
  <c r="AX27" i="3"/>
  <c r="AB27" i="3"/>
  <c r="BD27" i="3" s="1"/>
  <c r="AS9" i="3"/>
  <c r="W9" i="3"/>
  <c r="AV24" i="3"/>
  <c r="Z24" i="3"/>
  <c r="BB24" i="3" s="1"/>
  <c r="AV14" i="3"/>
  <c r="Z14" i="3"/>
  <c r="BB14" i="3" s="1"/>
  <c r="AU15" i="3"/>
  <c r="Y15" i="3"/>
  <c r="BA15" i="3" s="1"/>
  <c r="AU25" i="3"/>
  <c r="Y25" i="3"/>
  <c r="BA25" i="3" s="1"/>
  <c r="AU22" i="3"/>
  <c r="Y22" i="3"/>
  <c r="BA22" i="3" s="1"/>
  <c r="AW27" i="3"/>
  <c r="AA27" i="3"/>
  <c r="BC27" i="3" s="1"/>
  <c r="AW15" i="3"/>
  <c r="AA15" i="3"/>
  <c r="BC15" i="3" s="1"/>
  <c r="AW29" i="3"/>
  <c r="AA29" i="3"/>
  <c r="BC29" i="3" s="1"/>
  <c r="AT12" i="3"/>
  <c r="X12" i="3"/>
  <c r="AZ12" i="3" s="1"/>
  <c r="AU30" i="3"/>
  <c r="Y30" i="3"/>
  <c r="BA30" i="3" s="1"/>
  <c r="AT7" i="3"/>
  <c r="X7" i="3"/>
  <c r="AZ7" i="3" s="1"/>
  <c r="AT28" i="3"/>
  <c r="X28" i="3"/>
  <c r="AZ28" i="3" s="1"/>
  <c r="AT14" i="3"/>
  <c r="X14" i="3"/>
  <c r="AZ14" i="3" s="1"/>
  <c r="AT16" i="3"/>
  <c r="X16" i="3"/>
  <c r="AZ16" i="3" s="1"/>
  <c r="AX28" i="3"/>
  <c r="AB28" i="3"/>
  <c r="BD28" i="3" s="1"/>
  <c r="AX19" i="3"/>
  <c r="AB19" i="3"/>
  <c r="BD19" i="3" s="1"/>
  <c r="AX18" i="3"/>
  <c r="AB18" i="3"/>
  <c r="BD18" i="3" s="1"/>
  <c r="AV19" i="3"/>
  <c r="Z19" i="3"/>
  <c r="BB19" i="3" s="1"/>
  <c r="AV17" i="3"/>
  <c r="Z17" i="3"/>
  <c r="BB17" i="3" s="1"/>
  <c r="AV12" i="3"/>
  <c r="Z12" i="3"/>
  <c r="BB12" i="3" s="1"/>
  <c r="AU18" i="3"/>
  <c r="Y18" i="3"/>
  <c r="BA18" i="3" s="1"/>
  <c r="AU16" i="3"/>
  <c r="Y16" i="3"/>
  <c r="BA16" i="3" s="1"/>
  <c r="AU6" i="3"/>
  <c r="Y6" i="3"/>
  <c r="BA6" i="3" s="1"/>
  <c r="AW23" i="3"/>
  <c r="AA23" i="3"/>
  <c r="BC23" i="3" s="1"/>
  <c r="AW17" i="3"/>
  <c r="AA17" i="3"/>
  <c r="BC17" i="3" s="1"/>
  <c r="AW5" i="3"/>
  <c r="AA5" i="3"/>
  <c r="BC5" i="3" s="1"/>
  <c r="AV18" i="3"/>
  <c r="Z18" i="3"/>
  <c r="BB18" i="3" s="1"/>
  <c r="AU17" i="3"/>
  <c r="Y17" i="3"/>
  <c r="BA17" i="3" s="1"/>
  <c r="AW14" i="3"/>
  <c r="AA14" i="3"/>
  <c r="BC14" i="3" s="1"/>
  <c r="AW21" i="3"/>
  <c r="AA21" i="3"/>
  <c r="BC21" i="3" s="1"/>
  <c r="AT23" i="3"/>
  <c r="X23" i="3"/>
  <c r="AZ23" i="3" s="1"/>
  <c r="AT30" i="3"/>
  <c r="X30" i="3"/>
  <c r="AZ30" i="3" s="1"/>
  <c r="AT6" i="3"/>
  <c r="X6" i="3"/>
  <c r="AZ6" i="3" s="1"/>
  <c r="AX20" i="3"/>
  <c r="AB20" i="3"/>
  <c r="BD20" i="3" s="1"/>
  <c r="AX29" i="3"/>
  <c r="AB29" i="3"/>
  <c r="BD29" i="3" s="1"/>
  <c r="AV29" i="3"/>
  <c r="Z29" i="3"/>
  <c r="BB29" i="3" s="1"/>
  <c r="AV23" i="3"/>
  <c r="Z23" i="3"/>
  <c r="BB23" i="3" s="1"/>
  <c r="AU20" i="3"/>
  <c r="Y20" i="3"/>
  <c r="BA20" i="3" s="1"/>
  <c r="AU19" i="3"/>
  <c r="Y19" i="3"/>
  <c r="BA19" i="3" s="1"/>
  <c r="AU29" i="3"/>
  <c r="Y29" i="3"/>
  <c r="BA29" i="3" s="1"/>
  <c r="AW18" i="3"/>
  <c r="AA18" i="3"/>
  <c r="BC18" i="3" s="1"/>
  <c r="AW12" i="3"/>
  <c r="AA12" i="3"/>
  <c r="BC12" i="3" s="1"/>
  <c r="AX9" i="3"/>
  <c r="AB9" i="3"/>
  <c r="BD9" i="3" s="1"/>
  <c r="AV16" i="3"/>
  <c r="Z16" i="3"/>
  <c r="BB16" i="3" s="1"/>
  <c r="AU14" i="3"/>
  <c r="Y14" i="3"/>
  <c r="BA14" i="3" s="1"/>
  <c r="AW28" i="3"/>
  <c r="AA28" i="3"/>
  <c r="BC28" i="3" s="1"/>
  <c r="AX21" i="3"/>
  <c r="AB21" i="3"/>
  <c r="BD21" i="3" s="1"/>
  <c r="AT26" i="3"/>
  <c r="X26" i="3"/>
  <c r="AZ26" i="3" s="1"/>
  <c r="AT17" i="3"/>
  <c r="X17" i="3"/>
  <c r="AZ17" i="3" s="1"/>
  <c r="AX31" i="3"/>
  <c r="AB31" i="3"/>
  <c r="BD31" i="3" s="1"/>
  <c r="AX13" i="3"/>
  <c r="AB13" i="3"/>
  <c r="BD13" i="3" s="1"/>
  <c r="AX24" i="3"/>
  <c r="AB24" i="3"/>
  <c r="BD24" i="3" s="1"/>
  <c r="AS5" i="3"/>
  <c r="W5" i="3"/>
  <c r="AV15" i="3"/>
  <c r="Z15" i="3"/>
  <c r="BB15" i="3" s="1"/>
  <c r="AV28" i="3"/>
  <c r="Z28" i="3"/>
  <c r="BB28" i="3" s="1"/>
  <c r="AV8" i="3"/>
  <c r="Z8" i="3"/>
  <c r="BB8" i="3" s="1"/>
  <c r="AU12" i="3"/>
  <c r="Y12" i="3"/>
  <c r="BA12" i="3" s="1"/>
  <c r="AU8" i="3"/>
  <c r="Y8" i="3"/>
  <c r="BA8" i="3" s="1"/>
  <c r="BL38" i="3"/>
  <c r="AW25" i="3"/>
  <c r="AA25" i="3"/>
  <c r="BC25" i="3" s="1"/>
  <c r="AW30" i="3"/>
  <c r="AA30" i="3"/>
  <c r="BC30" i="3" s="1"/>
  <c r="AW6" i="3"/>
  <c r="AA6" i="3"/>
  <c r="BC6" i="3" s="1"/>
  <c r="BJ9" i="3"/>
  <c r="BI9" i="3"/>
  <c r="BH9" i="3"/>
  <c r="BG9" i="3"/>
  <c r="BM9" i="3"/>
  <c r="BK9" i="3"/>
  <c r="AI4" i="7"/>
  <c r="Q30" i="7"/>
  <c r="Q25" i="7"/>
  <c r="Q13" i="7"/>
  <c r="Q26" i="7"/>
  <c r="Q27" i="7"/>
  <c r="Q9" i="7"/>
  <c r="Q15" i="7"/>
  <c r="Q6" i="7"/>
  <c r="Q8" i="7"/>
  <c r="Q22" i="7"/>
  <c r="Q29" i="7"/>
  <c r="Q21" i="7"/>
  <c r="Q18" i="7"/>
  <c r="Q5" i="7"/>
  <c r="Q23" i="7"/>
  <c r="Q14" i="7"/>
  <c r="AM4" i="7"/>
  <c r="BG7" i="7" s="1"/>
  <c r="Q19" i="7"/>
  <c r="Q20" i="7"/>
  <c r="W20" i="7" s="1"/>
  <c r="Q17" i="7"/>
  <c r="Q28" i="7"/>
  <c r="V25" i="7"/>
  <c r="V10" i="7"/>
  <c r="V9" i="7"/>
  <c r="V5" i="7"/>
  <c r="V14" i="7"/>
  <c r="V8" i="7"/>
  <c r="V31" i="7"/>
  <c r="V6" i="7"/>
  <c r="V16" i="7"/>
  <c r="V20" i="7"/>
  <c r="V21" i="7"/>
  <c r="V22" i="7"/>
  <c r="V23" i="7"/>
  <c r="V17" i="7"/>
  <c r="V18" i="7"/>
  <c r="V19" i="7"/>
  <c r="V27" i="7"/>
  <c r="V30" i="7"/>
  <c r="V28" i="7"/>
  <c r="V26" i="7"/>
  <c r="V24" i="7"/>
  <c r="V29" i="7"/>
  <c r="V15" i="7"/>
  <c r="V13" i="7"/>
  <c r="S7" i="7"/>
  <c r="U13" i="7"/>
  <c r="U14" i="7"/>
  <c r="U10" i="7"/>
  <c r="U9" i="7"/>
  <c r="U6" i="7"/>
  <c r="U31" i="7"/>
  <c r="U22" i="7"/>
  <c r="U19" i="7"/>
  <c r="U5" i="7"/>
  <c r="U21" i="7"/>
  <c r="U18" i="7"/>
  <c r="U20" i="7"/>
  <c r="U17" i="7"/>
  <c r="U8" i="7"/>
  <c r="U16" i="7"/>
  <c r="U23" i="7"/>
  <c r="U30" i="7"/>
  <c r="U27" i="7"/>
  <c r="U28" i="7"/>
  <c r="U29" i="7"/>
  <c r="U26" i="7"/>
  <c r="AW12" i="7"/>
  <c r="U24" i="7"/>
  <c r="U25" i="7"/>
  <c r="U15" i="7"/>
  <c r="R7" i="7"/>
  <c r="AP4" i="7"/>
  <c r="BJ7" i="7" s="1"/>
  <c r="T16" i="7"/>
  <c r="T21" i="7"/>
  <c r="T22" i="7"/>
  <c r="T28" i="7"/>
  <c r="T17" i="7"/>
  <c r="T18" i="7"/>
  <c r="T24" i="7"/>
  <c r="T26" i="7"/>
  <c r="T30" i="7"/>
  <c r="T13" i="7"/>
  <c r="T29" i="7"/>
  <c r="T10" i="7"/>
  <c r="T9" i="7"/>
  <c r="T25" i="7"/>
  <c r="T27" i="7"/>
  <c r="T14" i="7"/>
  <c r="T5" i="7"/>
  <c r="T19" i="7"/>
  <c r="T6" i="7"/>
  <c r="T8" i="7"/>
  <c r="T20" i="7"/>
  <c r="T31" i="7"/>
  <c r="T23" i="7"/>
  <c r="T15" i="7"/>
  <c r="Q7" i="7"/>
  <c r="U7" i="7"/>
  <c r="S10" i="7"/>
  <c r="Y10" i="7" s="1"/>
  <c r="S18" i="7"/>
  <c r="S19" i="7"/>
  <c r="S27" i="7"/>
  <c r="S28" i="7"/>
  <c r="S29" i="7"/>
  <c r="S24" i="7"/>
  <c r="S25" i="7"/>
  <c r="S8" i="7"/>
  <c r="S13" i="7"/>
  <c r="S14" i="7"/>
  <c r="S22" i="7"/>
  <c r="S9" i="7"/>
  <c r="S6" i="7"/>
  <c r="S5" i="7"/>
  <c r="S30" i="7"/>
  <c r="S26" i="7"/>
  <c r="S20" i="7"/>
  <c r="S21" i="7"/>
  <c r="S15" i="7"/>
  <c r="S16" i="7"/>
  <c r="S17" i="7"/>
  <c r="S23" i="7"/>
  <c r="R13" i="7"/>
  <c r="R15" i="7"/>
  <c r="R5" i="7"/>
  <c r="R8" i="7"/>
  <c r="R9" i="7"/>
  <c r="R20" i="7"/>
  <c r="R29" i="7"/>
  <c r="R25" i="7"/>
  <c r="R16" i="7"/>
  <c r="R6" i="7"/>
  <c r="AN4" i="7"/>
  <c r="BH7" i="7" s="1"/>
  <c r="R23" i="7"/>
  <c r="R14" i="7"/>
  <c r="R21" i="7"/>
  <c r="R19" i="7"/>
  <c r="R22" i="7"/>
  <c r="R17" i="7"/>
  <c r="R18" i="7"/>
  <c r="R28" i="7"/>
  <c r="R30" i="7"/>
  <c r="R27" i="7"/>
  <c r="R24" i="7"/>
  <c r="R26" i="7"/>
  <c r="AQ4" i="3"/>
  <c r="BK7" i="3" s="1"/>
  <c r="AP4" i="3"/>
  <c r="BJ7" i="3" s="1"/>
  <c r="AR4" i="3"/>
  <c r="BM7" i="3" s="1"/>
  <c r="AO4" i="3"/>
  <c r="BI7" i="3" s="1"/>
  <c r="AJ4" i="7"/>
  <c r="AH4" i="7"/>
  <c r="AG4" i="7"/>
  <c r="AL4" i="7"/>
  <c r="AK4" i="7"/>
  <c r="AF4" i="7"/>
  <c r="AO4" i="7"/>
  <c r="BI7" i="7" s="1"/>
  <c r="AR4" i="7"/>
  <c r="BM7" i="7" s="1"/>
  <c r="AQ4" i="7"/>
  <c r="BK7" i="7" s="1"/>
  <c r="X12" i="1"/>
  <c r="N11" i="1"/>
  <c r="AA12" i="8" l="1"/>
  <c r="BC12" i="8" s="1"/>
  <c r="AV12" i="7"/>
  <c r="AA9" i="8"/>
  <c r="BC9" i="8" s="1"/>
  <c r="AX26" i="8"/>
  <c r="AT6" i="8"/>
  <c r="BL38" i="8"/>
  <c r="AA29" i="8"/>
  <c r="BC29" i="8" s="1"/>
  <c r="BL7" i="8"/>
  <c r="AS12" i="8"/>
  <c r="AA27" i="8"/>
  <c r="BC27" i="8" s="1"/>
  <c r="W14" i="8"/>
  <c r="AY14" i="8" s="1"/>
  <c r="Z28" i="8"/>
  <c r="BB28" i="8" s="1"/>
  <c r="AW13" i="8"/>
  <c r="AB18" i="8"/>
  <c r="BD18" i="8" s="1"/>
  <c r="AV31" i="8"/>
  <c r="Z31" i="8"/>
  <c r="BB31" i="8" s="1"/>
  <c r="AW28" i="8"/>
  <c r="AA28" i="8"/>
  <c r="BC28" i="8" s="1"/>
  <c r="AX12" i="8"/>
  <c r="AB12" i="8"/>
  <c r="BD12" i="8" s="1"/>
  <c r="AV30" i="8"/>
  <c r="Z30" i="8"/>
  <c r="BB30" i="8" s="1"/>
  <c r="AV16" i="8"/>
  <c r="Z16" i="8"/>
  <c r="BB16" i="8" s="1"/>
  <c r="AV13" i="8"/>
  <c r="Z13" i="8"/>
  <c r="BB13" i="8" s="1"/>
  <c r="AW17" i="8"/>
  <c r="AA17" i="8"/>
  <c r="BC17" i="8" s="1"/>
  <c r="AS18" i="8"/>
  <c r="W18" i="8"/>
  <c r="AY18" i="8" s="1"/>
  <c r="AX25" i="8"/>
  <c r="AB25" i="8"/>
  <c r="BD25" i="8" s="1"/>
  <c r="AS28" i="8"/>
  <c r="W28" i="8"/>
  <c r="AY28" i="8" s="1"/>
  <c r="AX9" i="8"/>
  <c r="AB9" i="8"/>
  <c r="BD9" i="8" s="1"/>
  <c r="AT28" i="8"/>
  <c r="X28" i="8"/>
  <c r="AZ28" i="8" s="1"/>
  <c r="W13" i="8"/>
  <c r="AY13" i="8" s="1"/>
  <c r="AS13" i="8"/>
  <c r="AT9" i="8"/>
  <c r="X9" i="8"/>
  <c r="AZ9" i="8" s="1"/>
  <c r="AT25" i="8"/>
  <c r="X25" i="8"/>
  <c r="AZ25" i="8" s="1"/>
  <c r="AU18" i="8"/>
  <c r="Y18" i="8"/>
  <c r="BA18" i="8" s="1"/>
  <c r="AS23" i="8"/>
  <c r="W23" i="8"/>
  <c r="AY23" i="8" s="1"/>
  <c r="AT12" i="8"/>
  <c r="X12" i="8"/>
  <c r="AZ12" i="8" s="1"/>
  <c r="AT17" i="8"/>
  <c r="X17" i="8"/>
  <c r="AZ17" i="8" s="1"/>
  <c r="AW24" i="8"/>
  <c r="AA24" i="8"/>
  <c r="BC24" i="8" s="1"/>
  <c r="AV12" i="8"/>
  <c r="Z12" i="8"/>
  <c r="BB12" i="8" s="1"/>
  <c r="AV9" i="8"/>
  <c r="Z9" i="8"/>
  <c r="BB9" i="8" s="1"/>
  <c r="AA11" i="8"/>
  <c r="BC11" i="8" s="1"/>
  <c r="AW11" i="8"/>
  <c r="AW5" i="8"/>
  <c r="AA5" i="8"/>
  <c r="BC5" i="8" s="1"/>
  <c r="AW26" i="8"/>
  <c r="AA26" i="8"/>
  <c r="BC26" i="8" s="1"/>
  <c r="AS29" i="8"/>
  <c r="W29" i="8"/>
  <c r="AY29" i="8" s="1"/>
  <c r="AW20" i="8"/>
  <c r="AA20" i="8"/>
  <c r="BC20" i="8" s="1"/>
  <c r="AX6" i="8"/>
  <c r="AB6" i="8"/>
  <c r="BD6" i="8" s="1"/>
  <c r="AB17" i="8"/>
  <c r="BD17" i="8" s="1"/>
  <c r="AX17" i="8"/>
  <c r="AX21" i="8"/>
  <c r="AB21" i="8"/>
  <c r="BD21" i="8" s="1"/>
  <c r="AT26" i="8"/>
  <c r="X26" i="8"/>
  <c r="AZ26" i="8" s="1"/>
  <c r="AS9" i="8"/>
  <c r="W9" i="8"/>
  <c r="AY9" i="8" s="1"/>
  <c r="X11" i="8"/>
  <c r="AZ11" i="8" s="1"/>
  <c r="AT11" i="8"/>
  <c r="BL9" i="8"/>
  <c r="W11" i="8"/>
  <c r="AY11" i="8" s="1"/>
  <c r="AS11" i="8"/>
  <c r="AT23" i="8"/>
  <c r="X23" i="8"/>
  <c r="AZ23" i="8" s="1"/>
  <c r="AB11" i="8"/>
  <c r="BD11" i="8" s="1"/>
  <c r="AX11" i="8"/>
  <c r="AW25" i="8"/>
  <c r="AA25" i="8"/>
  <c r="BC25" i="8" s="1"/>
  <c r="Y12" i="8"/>
  <c r="BA12" i="8" s="1"/>
  <c r="AU12" i="8"/>
  <c r="AV23" i="8"/>
  <c r="Z23" i="8"/>
  <c r="BB23" i="8" s="1"/>
  <c r="AV27" i="8"/>
  <c r="Z27" i="8"/>
  <c r="BB27" i="8" s="1"/>
  <c r="AU26" i="8"/>
  <c r="Y26" i="8"/>
  <c r="BA26" i="8" s="1"/>
  <c r="AU23" i="8"/>
  <c r="Y23" i="8"/>
  <c r="BA23" i="8" s="1"/>
  <c r="AU15" i="8"/>
  <c r="Y15" i="8"/>
  <c r="BA15" i="8" s="1"/>
  <c r="Y5" i="8"/>
  <c r="BA5" i="8" s="1"/>
  <c r="AU5" i="8"/>
  <c r="AU28" i="8"/>
  <c r="Y28" i="8"/>
  <c r="BA28" i="8" s="1"/>
  <c r="AW8" i="8"/>
  <c r="AA8" i="8"/>
  <c r="BC8" i="8" s="1"/>
  <c r="AX15" i="8"/>
  <c r="AB15" i="8"/>
  <c r="BD15" i="8" s="1"/>
  <c r="AX27" i="8"/>
  <c r="AB27" i="8"/>
  <c r="BD27" i="8" s="1"/>
  <c r="W22" i="8"/>
  <c r="AY22" i="8" s="1"/>
  <c r="AS22" i="8"/>
  <c r="AT7" i="8"/>
  <c r="X7" i="8"/>
  <c r="AZ7" i="8" s="1"/>
  <c r="AT30" i="8"/>
  <c r="X30" i="8"/>
  <c r="AZ30" i="8" s="1"/>
  <c r="AX30" i="8"/>
  <c r="AB30" i="8"/>
  <c r="BD30" i="8" s="1"/>
  <c r="AS6" i="8"/>
  <c r="W6" i="8"/>
  <c r="AY6" i="8" s="1"/>
  <c r="AX20" i="8"/>
  <c r="AB20" i="8"/>
  <c r="BD20" i="8" s="1"/>
  <c r="AV22" i="8"/>
  <c r="Z22" i="8"/>
  <c r="BB22" i="8" s="1"/>
  <c r="AW16" i="8"/>
  <c r="AA16" i="8"/>
  <c r="BC16" i="8" s="1"/>
  <c r="AU14" i="8"/>
  <c r="Y14" i="8"/>
  <c r="BA14" i="8" s="1"/>
  <c r="AV14" i="8"/>
  <c r="Z14" i="8"/>
  <c r="BB14" i="8" s="1"/>
  <c r="AV17" i="8"/>
  <c r="Z17" i="8"/>
  <c r="BB17" i="8" s="1"/>
  <c r="Z11" i="8"/>
  <c r="BB11" i="8" s="1"/>
  <c r="AV11" i="8"/>
  <c r="AU20" i="8"/>
  <c r="Y20" i="8"/>
  <c r="BA20" i="8" s="1"/>
  <c r="AU30" i="8"/>
  <c r="Y30" i="8"/>
  <c r="BA30" i="8" s="1"/>
  <c r="AU9" i="8"/>
  <c r="Y9" i="8"/>
  <c r="BA9" i="8" s="1"/>
  <c r="AX31" i="8"/>
  <c r="AB31" i="8"/>
  <c r="BD31" i="8" s="1"/>
  <c r="AW15" i="8"/>
  <c r="AA15" i="8"/>
  <c r="BC15" i="8" s="1"/>
  <c r="AT21" i="8"/>
  <c r="X21" i="8"/>
  <c r="AZ21" i="8" s="1"/>
  <c r="AT29" i="8"/>
  <c r="X29" i="8"/>
  <c r="AZ29" i="8" s="1"/>
  <c r="AT19" i="8"/>
  <c r="X19" i="8"/>
  <c r="AZ19" i="8" s="1"/>
  <c r="AS12" i="7"/>
  <c r="AT5" i="8"/>
  <c r="X5" i="8"/>
  <c r="AZ5" i="8" s="1"/>
  <c r="AS30" i="8"/>
  <c r="W30" i="8"/>
  <c r="AY30" i="8" s="1"/>
  <c r="AV21" i="8"/>
  <c r="Z21" i="8"/>
  <c r="BB21" i="8" s="1"/>
  <c r="AT24" i="8"/>
  <c r="X24" i="8"/>
  <c r="AZ24" i="8" s="1"/>
  <c r="AW30" i="8"/>
  <c r="AA30" i="8"/>
  <c r="BC30" i="8" s="1"/>
  <c r="AT8" i="8"/>
  <c r="X8" i="8"/>
  <c r="AZ8" i="8" s="1"/>
  <c r="AV18" i="8"/>
  <c r="Z18" i="8"/>
  <c r="BB18" i="8" s="1"/>
  <c r="AV24" i="8"/>
  <c r="Z24" i="8"/>
  <c r="BB24" i="8" s="1"/>
  <c r="AV29" i="8"/>
  <c r="Z29" i="8"/>
  <c r="BB29" i="8" s="1"/>
  <c r="AT27" i="8"/>
  <c r="X27" i="8"/>
  <c r="AZ27" i="8" s="1"/>
  <c r="AA22" i="8"/>
  <c r="BC22" i="8" s="1"/>
  <c r="AW22" i="8"/>
  <c r="AW31" i="8"/>
  <c r="AA31" i="8"/>
  <c r="BC31" i="8" s="1"/>
  <c r="AU27" i="8"/>
  <c r="Y27" i="8"/>
  <c r="BA27" i="8" s="1"/>
  <c r="AX7" i="8"/>
  <c r="AB7" i="8"/>
  <c r="BD7" i="8" s="1"/>
  <c r="AX14" i="8"/>
  <c r="AB14" i="8"/>
  <c r="BD14" i="8" s="1"/>
  <c r="AU24" i="8"/>
  <c r="Y24" i="8"/>
  <c r="BA24" i="8" s="1"/>
  <c r="AT20" i="8"/>
  <c r="X20" i="8"/>
  <c r="AZ20" i="8" s="1"/>
  <c r="AT16" i="8"/>
  <c r="X16" i="8"/>
  <c r="AZ16" i="8" s="1"/>
  <c r="AU19" i="8"/>
  <c r="Y19" i="8"/>
  <c r="BA19" i="8" s="1"/>
  <c r="AX10" i="8"/>
  <c r="AB10" i="8"/>
  <c r="BD10" i="8" s="1"/>
  <c r="W21" i="8"/>
  <c r="AY21" i="8" s="1"/>
  <c r="AS21" i="8"/>
  <c r="AS26" i="8"/>
  <c r="W26" i="8"/>
  <c r="AY26" i="8" s="1"/>
  <c r="AW23" i="8"/>
  <c r="AA23" i="8"/>
  <c r="BC23" i="8" s="1"/>
  <c r="AX29" i="8"/>
  <c r="AB29" i="8"/>
  <c r="BD29" i="8" s="1"/>
  <c r="AW7" i="8"/>
  <c r="AA7" i="8"/>
  <c r="BC7" i="8" s="1"/>
  <c r="AX8" i="8"/>
  <c r="AB8" i="8"/>
  <c r="BD8" i="8" s="1"/>
  <c r="AV5" i="8"/>
  <c r="Z5" i="8"/>
  <c r="BB5" i="8" s="1"/>
  <c r="AV15" i="8"/>
  <c r="Z15" i="8"/>
  <c r="BB15" i="8" s="1"/>
  <c r="AX28" i="8"/>
  <c r="AB28" i="8"/>
  <c r="BD28" i="8" s="1"/>
  <c r="AS27" i="8"/>
  <c r="W27" i="8"/>
  <c r="AY27" i="8" s="1"/>
  <c r="AU21" i="8"/>
  <c r="Y21" i="8"/>
  <c r="BA21" i="8" s="1"/>
  <c r="AS19" i="8"/>
  <c r="W19" i="8"/>
  <c r="AY19" i="8" s="1"/>
  <c r="AX22" i="8"/>
  <c r="AB22" i="8"/>
  <c r="BD22" i="8" s="1"/>
  <c r="AS15" i="8"/>
  <c r="W15" i="8"/>
  <c r="AY15" i="8" s="1"/>
  <c r="AU11" i="8"/>
  <c r="Y11" i="8"/>
  <c r="BA11" i="8" s="1"/>
  <c r="AT15" i="8"/>
  <c r="X15" i="8"/>
  <c r="AZ15" i="8" s="1"/>
  <c r="AT14" i="8"/>
  <c r="X14" i="8"/>
  <c r="AZ14" i="8" s="1"/>
  <c r="AU29" i="8"/>
  <c r="Y29" i="8"/>
  <c r="BA29" i="8" s="1"/>
  <c r="AS7" i="8"/>
  <c r="W7" i="8"/>
  <c r="AY7" i="8" s="1"/>
  <c r="AU22" i="8"/>
  <c r="Y22" i="8"/>
  <c r="BA22" i="8" s="1"/>
  <c r="AW10" i="8"/>
  <c r="AA10" i="8"/>
  <c r="BC10" i="8" s="1"/>
  <c r="AW19" i="8"/>
  <c r="AA19" i="8"/>
  <c r="BC19" i="8" s="1"/>
  <c r="AV7" i="8"/>
  <c r="Z7" i="8"/>
  <c r="BB7" i="8" s="1"/>
  <c r="AV6" i="8"/>
  <c r="Z6" i="8"/>
  <c r="BB6" i="8" s="1"/>
  <c r="AV20" i="8"/>
  <c r="Z20" i="8"/>
  <c r="BB20" i="8" s="1"/>
  <c r="AS5" i="8"/>
  <c r="W5" i="8"/>
  <c r="AY5" i="8" s="1"/>
  <c r="AW14" i="8"/>
  <c r="AA14" i="8"/>
  <c r="BC14" i="8" s="1"/>
  <c r="AW21" i="8"/>
  <c r="AA21" i="8"/>
  <c r="BC21" i="8" s="1"/>
  <c r="AX5" i="8"/>
  <c r="AB5" i="8"/>
  <c r="BD5" i="8" s="1"/>
  <c r="AX23" i="8"/>
  <c r="AB23" i="8"/>
  <c r="BD23" i="8" s="1"/>
  <c r="AS25" i="8"/>
  <c r="W25" i="8"/>
  <c r="AY25" i="8" s="1"/>
  <c r="AT13" i="8"/>
  <c r="X13" i="8"/>
  <c r="AZ13" i="8" s="1"/>
  <c r="AU7" i="8"/>
  <c r="Y7" i="8"/>
  <c r="BA7" i="8" s="1"/>
  <c r="AT12" i="7"/>
  <c r="X22" i="8"/>
  <c r="AZ22" i="8" s="1"/>
  <c r="AT22" i="8"/>
  <c r="AS17" i="8"/>
  <c r="W17" i="8"/>
  <c r="AY17" i="8" s="1"/>
  <c r="AX19" i="8"/>
  <c r="AB19" i="8"/>
  <c r="BD19" i="8" s="1"/>
  <c r="AW6" i="8"/>
  <c r="AA6" i="8"/>
  <c r="BC6" i="8" s="1"/>
  <c r="AV26" i="8"/>
  <c r="Z26" i="8"/>
  <c r="BB26" i="8" s="1"/>
  <c r="AV25" i="8"/>
  <c r="Z25" i="8"/>
  <c r="BB25" i="8" s="1"/>
  <c r="AV10" i="8"/>
  <c r="Z10" i="8"/>
  <c r="BB10" i="8" s="1"/>
  <c r="AV19" i="8"/>
  <c r="Z19" i="8"/>
  <c r="BB19" i="8" s="1"/>
  <c r="AU16" i="8"/>
  <c r="Y16" i="8"/>
  <c r="BA16" i="8" s="1"/>
  <c r="Y17" i="8"/>
  <c r="BA17" i="8" s="1"/>
  <c r="AU17" i="8"/>
  <c r="AU25" i="8"/>
  <c r="Y25" i="8"/>
  <c r="BA25" i="8" s="1"/>
  <c r="AX13" i="8"/>
  <c r="AB13" i="8"/>
  <c r="BD13" i="8" s="1"/>
  <c r="AU6" i="8"/>
  <c r="Y6" i="8"/>
  <c r="BA6" i="8" s="1"/>
  <c r="AT18" i="8"/>
  <c r="X18" i="8"/>
  <c r="AZ18" i="8" s="1"/>
  <c r="AU13" i="8"/>
  <c r="Y13" i="8"/>
  <c r="BA13" i="8" s="1"/>
  <c r="AU12" i="7"/>
  <c r="AX12" i="7"/>
  <c r="AV7" i="7"/>
  <c r="Z7" i="7"/>
  <c r="BB7" i="7" s="1"/>
  <c r="AV8" i="7"/>
  <c r="Z8" i="7"/>
  <c r="BB8" i="7" s="1"/>
  <c r="AT28" i="7"/>
  <c r="X28" i="7"/>
  <c r="AZ28" i="7" s="1"/>
  <c r="AT5" i="7"/>
  <c r="X5" i="7"/>
  <c r="AZ5" i="7" s="1"/>
  <c r="AU21" i="7"/>
  <c r="Y21" i="7"/>
  <c r="BA21" i="7" s="1"/>
  <c r="AU14" i="7"/>
  <c r="Y14" i="7"/>
  <c r="BA14" i="7" s="1"/>
  <c r="AU27" i="7"/>
  <c r="Y27" i="7"/>
  <c r="BA27" i="7" s="1"/>
  <c r="AV31" i="7"/>
  <c r="Z31" i="7"/>
  <c r="BB31" i="7" s="1"/>
  <c r="AV27" i="7"/>
  <c r="Z27" i="7"/>
  <c r="BB27" i="7" s="1"/>
  <c r="AV24" i="7"/>
  <c r="Z24" i="7"/>
  <c r="BB24" i="7" s="1"/>
  <c r="AT7" i="7"/>
  <c r="X7" i="7"/>
  <c r="AZ7" i="7" s="1"/>
  <c r="AW27" i="7"/>
  <c r="AA27" i="7"/>
  <c r="BC27" i="7" s="1"/>
  <c r="AW21" i="7"/>
  <c r="AA21" i="7"/>
  <c r="BC21" i="7" s="1"/>
  <c r="AW14" i="7"/>
  <c r="AA14" i="7"/>
  <c r="BC14" i="7" s="1"/>
  <c r="AX22" i="7"/>
  <c r="AB22" i="7"/>
  <c r="BD22" i="7" s="1"/>
  <c r="AX5" i="7"/>
  <c r="AB5" i="7"/>
  <c r="BD5" i="7" s="1"/>
  <c r="AS8" i="7"/>
  <c r="W8" i="7"/>
  <c r="AY8" i="7" s="1"/>
  <c r="AS25" i="7"/>
  <c r="W25" i="7"/>
  <c r="AY25" i="7" s="1"/>
  <c r="AX7" i="7"/>
  <c r="AB7" i="7"/>
  <c r="BD7" i="7" s="1"/>
  <c r="AT17" i="7"/>
  <c r="X17" i="7"/>
  <c r="AZ17" i="7" s="1"/>
  <c r="AU18" i="7"/>
  <c r="Y18" i="7"/>
  <c r="BA18" i="7" s="1"/>
  <c r="AX30" i="7"/>
  <c r="AB30" i="7"/>
  <c r="BD30" i="7" s="1"/>
  <c r="AT18" i="7"/>
  <c r="X18" i="7"/>
  <c r="AZ18" i="7" s="1"/>
  <c r="AT6" i="7"/>
  <c r="X6" i="7"/>
  <c r="AZ6" i="7" s="1"/>
  <c r="AT15" i="7"/>
  <c r="X15" i="7"/>
  <c r="AZ15" i="7" s="1"/>
  <c r="AU20" i="7"/>
  <c r="Y20" i="7"/>
  <c r="BA20" i="7" s="1"/>
  <c r="AU13" i="7"/>
  <c r="Y13" i="7"/>
  <c r="BA13" i="7" s="1"/>
  <c r="AU19" i="7"/>
  <c r="Y19" i="7"/>
  <c r="BA19" i="7" s="1"/>
  <c r="AV20" i="7"/>
  <c r="Z20" i="7"/>
  <c r="BB20" i="7" s="1"/>
  <c r="AV25" i="7"/>
  <c r="Z25" i="7"/>
  <c r="BB25" i="7" s="1"/>
  <c r="AV18" i="7"/>
  <c r="Z18" i="7"/>
  <c r="BB18" i="7" s="1"/>
  <c r="AW15" i="7"/>
  <c r="AA15" i="7"/>
  <c r="BC15" i="7" s="1"/>
  <c r="AW30" i="7"/>
  <c r="AA30" i="7"/>
  <c r="BC30" i="7" s="1"/>
  <c r="AW5" i="7"/>
  <c r="AA5" i="7"/>
  <c r="BC5" i="7" s="1"/>
  <c r="AW13" i="7"/>
  <c r="AA13" i="7"/>
  <c r="BC13" i="7" s="1"/>
  <c r="AX28" i="7"/>
  <c r="AB28" i="7"/>
  <c r="BD28" i="7" s="1"/>
  <c r="AX21" i="7"/>
  <c r="AB21" i="7"/>
  <c r="BD21" i="7" s="1"/>
  <c r="AX9" i="7"/>
  <c r="AB9" i="7"/>
  <c r="BD9" i="7" s="1"/>
  <c r="AS14" i="7"/>
  <c r="W14" i="7"/>
  <c r="AY14" i="7" s="1"/>
  <c r="AS6" i="7"/>
  <c r="W6" i="7"/>
  <c r="AY6" i="7" s="1"/>
  <c r="AS30" i="7"/>
  <c r="W30" i="7"/>
  <c r="AY30" i="7" s="1"/>
  <c r="AT16" i="7"/>
  <c r="X16" i="7"/>
  <c r="AZ16" i="7" s="1"/>
  <c r="AV17" i="7"/>
  <c r="Z17" i="7"/>
  <c r="BB17" i="7" s="1"/>
  <c r="AU7" i="7"/>
  <c r="Y7" i="7"/>
  <c r="BA7" i="7" s="1"/>
  <c r="AT22" i="7"/>
  <c r="X22" i="7"/>
  <c r="AZ22" i="7" s="1"/>
  <c r="AU30" i="7"/>
  <c r="Y30" i="7"/>
  <c r="BA30" i="7" s="1"/>
  <c r="AU25" i="7"/>
  <c r="Y25" i="7"/>
  <c r="BA25" i="7" s="1"/>
  <c r="AV6" i="7"/>
  <c r="Z6" i="7"/>
  <c r="BB6" i="7" s="1"/>
  <c r="AV10" i="7"/>
  <c r="Z10" i="7"/>
  <c r="BB10" i="7" s="1"/>
  <c r="AV28" i="7"/>
  <c r="Z28" i="7"/>
  <c r="BB28" i="7" s="1"/>
  <c r="AW24" i="7"/>
  <c r="AA24" i="7"/>
  <c r="BC24" i="7" s="1"/>
  <c r="AW16" i="7"/>
  <c r="AA16" i="7"/>
  <c r="BC16" i="7" s="1"/>
  <c r="AW22" i="7"/>
  <c r="AA22" i="7"/>
  <c r="BC22" i="7" s="1"/>
  <c r="AX13" i="7"/>
  <c r="AB13" i="7"/>
  <c r="BD13" i="7" s="1"/>
  <c r="AX27" i="7"/>
  <c r="AB27" i="7"/>
  <c r="BD27" i="7" s="1"/>
  <c r="AX16" i="7"/>
  <c r="AB16" i="7"/>
  <c r="BD16" i="7" s="1"/>
  <c r="AX25" i="7"/>
  <c r="AB25" i="7"/>
  <c r="BD25" i="7" s="1"/>
  <c r="AS5" i="7"/>
  <c r="W5" i="7"/>
  <c r="AY5" i="7" s="1"/>
  <c r="AS15" i="7"/>
  <c r="W15" i="7"/>
  <c r="AY15" i="7" s="1"/>
  <c r="AX11" i="7"/>
  <c r="AB11" i="7"/>
  <c r="BD11" i="7" s="1"/>
  <c r="AU8" i="7"/>
  <c r="Y8" i="7"/>
  <c r="BA8" i="7" s="1"/>
  <c r="AW19" i="7"/>
  <c r="AA19" i="7"/>
  <c r="BC19" i="7" s="1"/>
  <c r="AX10" i="7"/>
  <c r="AB10" i="7"/>
  <c r="BD10" i="7" s="1"/>
  <c r="AT25" i="7"/>
  <c r="X25" i="7"/>
  <c r="AZ25" i="7" s="1"/>
  <c r="AT26" i="7"/>
  <c r="X26" i="7"/>
  <c r="AZ26" i="7" s="1"/>
  <c r="AT19" i="7"/>
  <c r="X19" i="7"/>
  <c r="AZ19" i="7" s="1"/>
  <c r="AT29" i="7"/>
  <c r="X29" i="7"/>
  <c r="AZ29" i="7" s="1"/>
  <c r="AU23" i="7"/>
  <c r="Y23" i="7"/>
  <c r="BA23" i="7" s="1"/>
  <c r="AU5" i="7"/>
  <c r="Y5" i="7"/>
  <c r="BA5" i="7" s="1"/>
  <c r="AU24" i="7"/>
  <c r="Y24" i="7"/>
  <c r="BA24" i="7" s="1"/>
  <c r="AW7" i="7"/>
  <c r="AA7" i="7"/>
  <c r="BC7" i="7" s="1"/>
  <c r="AV19" i="7"/>
  <c r="Z19" i="7"/>
  <c r="BB19" i="7" s="1"/>
  <c r="AV29" i="7"/>
  <c r="Z29" i="7"/>
  <c r="BB29" i="7" s="1"/>
  <c r="AV22" i="7"/>
  <c r="Z22" i="7"/>
  <c r="BB22" i="7" s="1"/>
  <c r="AW8" i="7"/>
  <c r="AA8" i="7"/>
  <c r="BC8" i="7" s="1"/>
  <c r="AW31" i="7"/>
  <c r="AA31" i="7"/>
  <c r="BC31" i="7" s="1"/>
  <c r="AX15" i="7"/>
  <c r="AB15" i="7"/>
  <c r="BD15" i="7" s="1"/>
  <c r="AX19" i="7"/>
  <c r="AB19" i="7"/>
  <c r="BD19" i="7" s="1"/>
  <c r="AX6" i="7"/>
  <c r="AB6" i="7"/>
  <c r="BD6" i="7" s="1"/>
  <c r="AS28" i="7"/>
  <c r="W28" i="7"/>
  <c r="AY28" i="7" s="1"/>
  <c r="AS18" i="7"/>
  <c r="W18" i="7"/>
  <c r="AY18" i="7" s="1"/>
  <c r="AS9" i="7"/>
  <c r="W9" i="7"/>
  <c r="AY9" i="7" s="1"/>
  <c r="AU11" i="7"/>
  <c r="Y11" i="7"/>
  <c r="BA11" i="7" s="1"/>
  <c r="AT13" i="7"/>
  <c r="X13" i="7"/>
  <c r="AZ13" i="7" s="1"/>
  <c r="AW25" i="7"/>
  <c r="AA25" i="7"/>
  <c r="BC25" i="7" s="1"/>
  <c r="AS23" i="7"/>
  <c r="W23" i="7"/>
  <c r="AY23" i="7" s="1"/>
  <c r="AT24" i="7"/>
  <c r="X24" i="7"/>
  <c r="AZ24" i="7" s="1"/>
  <c r="AT21" i="7"/>
  <c r="X21" i="7"/>
  <c r="AZ21" i="7" s="1"/>
  <c r="AT20" i="7"/>
  <c r="X20" i="7"/>
  <c r="AZ20" i="7" s="1"/>
  <c r="AU17" i="7"/>
  <c r="Y17" i="7"/>
  <c r="BA17" i="7" s="1"/>
  <c r="AU6" i="7"/>
  <c r="Y6" i="7"/>
  <c r="BA6" i="7" s="1"/>
  <c r="AS7" i="7"/>
  <c r="W7" i="7"/>
  <c r="AY7" i="7" s="1"/>
  <c r="AV5" i="7"/>
  <c r="Z5" i="7"/>
  <c r="BB5" i="7" s="1"/>
  <c r="AV13" i="7"/>
  <c r="Z13" i="7"/>
  <c r="BB13" i="7" s="1"/>
  <c r="AV21" i="7"/>
  <c r="Z21" i="7"/>
  <c r="BB21" i="7" s="1"/>
  <c r="AW26" i="7"/>
  <c r="AA26" i="7"/>
  <c r="BC26" i="7" s="1"/>
  <c r="AW17" i="7"/>
  <c r="AA17" i="7"/>
  <c r="BC17" i="7" s="1"/>
  <c r="AW6" i="7"/>
  <c r="AA6" i="7"/>
  <c r="BC6" i="7" s="1"/>
  <c r="AX29" i="7"/>
  <c r="AB29" i="7"/>
  <c r="BD29" i="7" s="1"/>
  <c r="AX18" i="7"/>
  <c r="AB18" i="7"/>
  <c r="BD18" i="7" s="1"/>
  <c r="AX31" i="7"/>
  <c r="AB31" i="7"/>
  <c r="BD31" i="7" s="1"/>
  <c r="AS17" i="7"/>
  <c r="W17" i="7"/>
  <c r="AY17" i="7" s="1"/>
  <c r="AS21" i="7"/>
  <c r="W21" i="7"/>
  <c r="AY21" i="7" s="1"/>
  <c r="AS27" i="7"/>
  <c r="W27" i="7"/>
  <c r="AY27" i="7" s="1"/>
  <c r="W11" i="7"/>
  <c r="AY11" i="7" s="1"/>
  <c r="AS11" i="7"/>
  <c r="AU26" i="7"/>
  <c r="Y26" i="7"/>
  <c r="BA26" i="7" s="1"/>
  <c r="AW23" i="7"/>
  <c r="AA23" i="7"/>
  <c r="BC23" i="7" s="1"/>
  <c r="AX20" i="7"/>
  <c r="AB20" i="7"/>
  <c r="BD20" i="7" s="1"/>
  <c r="AT27" i="7"/>
  <c r="X27" i="7"/>
  <c r="AZ27" i="7" s="1"/>
  <c r="AT14" i="7"/>
  <c r="X14" i="7"/>
  <c r="AZ14" i="7" s="1"/>
  <c r="AT9" i="7"/>
  <c r="X9" i="7"/>
  <c r="AZ9" i="7" s="1"/>
  <c r="AU16" i="7"/>
  <c r="Y16" i="7"/>
  <c r="BA16" i="7" s="1"/>
  <c r="AU9" i="7"/>
  <c r="Y9" i="7"/>
  <c r="BA9" i="7" s="1"/>
  <c r="AU29" i="7"/>
  <c r="Y29" i="7"/>
  <c r="BA29" i="7" s="1"/>
  <c r="AV15" i="7"/>
  <c r="Z15" i="7"/>
  <c r="BB15" i="7" s="1"/>
  <c r="AV30" i="7"/>
  <c r="Z30" i="7"/>
  <c r="BB30" i="7" s="1"/>
  <c r="AV16" i="7"/>
  <c r="Z16" i="7"/>
  <c r="BB16" i="7" s="1"/>
  <c r="AW29" i="7"/>
  <c r="AA29" i="7"/>
  <c r="BC29" i="7" s="1"/>
  <c r="AW20" i="7"/>
  <c r="AA20" i="7"/>
  <c r="BC20" i="7" s="1"/>
  <c r="AW9" i="7"/>
  <c r="AA9" i="7"/>
  <c r="BC9" i="7" s="1"/>
  <c r="AX24" i="7"/>
  <c r="AB24" i="7"/>
  <c r="BD24" i="7" s="1"/>
  <c r="AX17" i="7"/>
  <c r="AB17" i="7"/>
  <c r="BD17" i="7" s="1"/>
  <c r="AX8" i="7"/>
  <c r="AB8" i="7"/>
  <c r="BD8" i="7" s="1"/>
  <c r="AS29" i="7"/>
  <c r="W29" i="7"/>
  <c r="AY29" i="7" s="1"/>
  <c r="AS26" i="7"/>
  <c r="W26" i="7"/>
  <c r="AY26" i="7" s="1"/>
  <c r="BL38" i="7"/>
  <c r="AV11" i="7"/>
  <c r="Z11" i="7"/>
  <c r="BB11" i="7" s="1"/>
  <c r="AV9" i="7"/>
  <c r="Z9" i="7"/>
  <c r="BB9" i="7" s="1"/>
  <c r="BL7" i="7"/>
  <c r="AT30" i="7"/>
  <c r="X30" i="7"/>
  <c r="AZ30" i="7" s="1"/>
  <c r="AT23" i="7"/>
  <c r="X23" i="7"/>
  <c r="AZ23" i="7" s="1"/>
  <c r="AT8" i="7"/>
  <c r="X8" i="7"/>
  <c r="AZ8" i="7" s="1"/>
  <c r="AU15" i="7"/>
  <c r="Y15" i="7"/>
  <c r="BA15" i="7" s="1"/>
  <c r="AU22" i="7"/>
  <c r="Y22" i="7"/>
  <c r="BA22" i="7" s="1"/>
  <c r="AU28" i="7"/>
  <c r="Y28" i="7"/>
  <c r="BA28" i="7" s="1"/>
  <c r="AV23" i="7"/>
  <c r="Z23" i="7"/>
  <c r="BB23" i="7" s="1"/>
  <c r="AV14" i="7"/>
  <c r="Z14" i="7"/>
  <c r="BB14" i="7" s="1"/>
  <c r="AV26" i="7"/>
  <c r="Z26" i="7"/>
  <c r="BB26" i="7" s="1"/>
  <c r="AW28" i="7"/>
  <c r="AA28" i="7"/>
  <c r="BC28" i="7" s="1"/>
  <c r="AW18" i="7"/>
  <c r="AA18" i="7"/>
  <c r="BC18" i="7" s="1"/>
  <c r="AW10" i="7"/>
  <c r="AA10" i="7"/>
  <c r="BC10" i="7" s="1"/>
  <c r="AX26" i="7"/>
  <c r="AB26" i="7"/>
  <c r="BD26" i="7" s="1"/>
  <c r="AX23" i="7"/>
  <c r="AB23" i="7"/>
  <c r="BD23" i="7" s="1"/>
  <c r="AX14" i="7"/>
  <c r="AB14" i="7"/>
  <c r="BD14" i="7" s="1"/>
  <c r="AS19" i="7"/>
  <c r="W19" i="7"/>
  <c r="AY19" i="7" s="1"/>
  <c r="AS22" i="7"/>
  <c r="W22" i="7"/>
  <c r="AY22" i="7" s="1"/>
  <c r="AS13" i="7"/>
  <c r="W13" i="7"/>
  <c r="AY13" i="7" s="1"/>
  <c r="AW11" i="7"/>
  <c r="AA11" i="7"/>
  <c r="BC11" i="7" s="1"/>
  <c r="X11" i="7"/>
  <c r="AZ11" i="7" s="1"/>
  <c r="AT11" i="7"/>
  <c r="AX4" i="3"/>
  <c r="AZ4" i="3"/>
  <c r="BH8" i="3" s="1"/>
  <c r="BB4" i="3"/>
  <c r="BJ8" i="3" s="1"/>
  <c r="BA4" i="3"/>
  <c r="BI8" i="3" s="1"/>
  <c r="BL7" i="3"/>
  <c r="BC4" i="3"/>
  <c r="BK8" i="3" s="1"/>
  <c r="BD4" i="3"/>
  <c r="BM8" i="3" s="1"/>
  <c r="BJ9" i="7"/>
  <c r="BM9" i="7"/>
  <c r="BI9" i="7"/>
  <c r="BH9" i="7"/>
  <c r="BK9" i="7"/>
  <c r="BG9" i="7"/>
  <c r="BL9" i="3"/>
  <c r="AS4" i="3"/>
  <c r="AT4" i="3"/>
  <c r="AW4" i="3"/>
  <c r="AV4" i="3"/>
  <c r="AU4" i="3"/>
  <c r="X11" i="1"/>
  <c r="N10" i="1"/>
  <c r="AE10" i="9" s="1"/>
  <c r="BB4" i="8" l="1"/>
  <c r="BJ8" i="8" s="1"/>
  <c r="BA4" i="8"/>
  <c r="BI8" i="8" s="1"/>
  <c r="BC4" i="8"/>
  <c r="BK8" i="8" s="1"/>
  <c r="AV4" i="8"/>
  <c r="AW4" i="8"/>
  <c r="AS4" i="8"/>
  <c r="BD4" i="8"/>
  <c r="BM8" i="8" s="1"/>
  <c r="AZ4" i="8"/>
  <c r="BH8" i="8" s="1"/>
  <c r="AY4" i="8"/>
  <c r="BG8" i="8" s="1"/>
  <c r="AV4" i="7"/>
  <c r="AT4" i="8"/>
  <c r="AX4" i="8"/>
  <c r="AU4" i="8"/>
  <c r="AW4" i="7"/>
  <c r="AX4" i="7"/>
  <c r="AS4" i="7"/>
  <c r="AU4" i="7"/>
  <c r="AT4" i="7"/>
  <c r="BA4" i="7"/>
  <c r="BI8" i="7" s="1"/>
  <c r="BB4" i="7"/>
  <c r="BJ8" i="7" s="1"/>
  <c r="AZ4" i="7"/>
  <c r="BH8" i="7" s="1"/>
  <c r="BC4" i="7"/>
  <c r="BK8" i="7" s="1"/>
  <c r="BD4" i="7"/>
  <c r="BM8" i="7" s="1"/>
  <c r="AY4" i="7"/>
  <c r="BG8" i="7" s="1"/>
  <c r="BL8" i="3"/>
  <c r="BL9" i="7"/>
  <c r="C10" i="7"/>
  <c r="AE10" i="7" s="1"/>
  <c r="C10" i="8"/>
  <c r="AE10" i="8" s="1"/>
  <c r="X10" i="1"/>
  <c r="N9" i="1"/>
  <c r="AE9" i="9" s="1"/>
  <c r="BL8" i="8" l="1"/>
  <c r="BG20" i="8" s="1"/>
  <c r="BL8" i="7"/>
  <c r="BG20" i="7" s="1"/>
  <c r="C9" i="7"/>
  <c r="AE9" i="7" s="1"/>
  <c r="C9" i="8"/>
  <c r="AE9" i="8" s="1"/>
  <c r="X9" i="1"/>
  <c r="N8" i="1"/>
  <c r="AE8" i="9" s="1"/>
  <c r="BG21" i="8" l="1"/>
  <c r="BG21" i="7"/>
  <c r="C8" i="7"/>
  <c r="AE8" i="7" s="1"/>
  <c r="C8" i="8"/>
  <c r="AE8" i="8" s="1"/>
  <c r="X8" i="1"/>
  <c r="N7" i="1"/>
  <c r="AE7" i="9" s="1"/>
  <c r="C7" i="7" l="1"/>
  <c r="AE7" i="7" s="1"/>
  <c r="C7" i="8"/>
  <c r="AE7" i="8" s="1"/>
  <c r="X7" i="1"/>
  <c r="N6" i="1"/>
  <c r="AE6" i="9" s="1"/>
  <c r="C6" i="7" l="1"/>
  <c r="AE6" i="7" s="1"/>
  <c r="C6" i="8"/>
  <c r="AE6" i="8" s="1"/>
  <c r="X6" i="1"/>
  <c r="N5" i="1" l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30" i="3"/>
  <c r="AY30" i="3" s="1"/>
  <c r="W28" i="3"/>
  <c r="AY28" i="3" s="1"/>
  <c r="W13" i="3"/>
  <c r="AY13" i="3" s="1"/>
  <c r="W19" i="3"/>
  <c r="AY19" i="3" s="1"/>
  <c r="W29" i="3"/>
  <c r="AY29" i="3" s="1"/>
  <c r="W25" i="3"/>
  <c r="AY25" i="3" s="1"/>
  <c r="W12" i="3"/>
  <c r="AY12" i="3" s="1"/>
  <c r="AY6" i="3"/>
  <c r="W26" i="3"/>
  <c r="AY26" i="3" s="1"/>
  <c r="W22" i="3"/>
  <c r="AY22" i="3" s="1"/>
  <c r="W17" i="3"/>
  <c r="AY17" i="3" s="1"/>
  <c r="W15" i="3"/>
  <c r="AY15" i="3" s="1"/>
  <c r="W20" i="3"/>
  <c r="AY20" i="3" s="1"/>
  <c r="W14" i="3"/>
  <c r="AY14" i="3" s="1"/>
  <c r="W18" i="3"/>
  <c r="W23" i="3"/>
  <c r="AY23" i="3" s="1"/>
  <c r="W21" i="3"/>
  <c r="AY21" i="3" s="1"/>
  <c r="AY5" i="3"/>
  <c r="W27" i="3"/>
  <c r="AY27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8D7C7751-7F18-4C0A-AB66-144449DFB5C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16F3E613-FCD3-4B7F-B833-92C1BC0FD09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E00907AC-ED94-485D-BB46-344AD4DB586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C783716-B501-495F-AB4B-4128A9464A88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3AFF3EF-E903-4451-8972-1E962804B7A0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3737DCB1-8ABE-4A2B-BE9A-168CA19926B8}">
      <text>
        <r>
          <rPr>
            <sz val="9"/>
            <color indexed="81"/>
            <rFont val="Tahoma"/>
            <family val="2"/>
          </rPr>
          <t xml:space="preserve">Use Solver to determine each of this row's values, with target cell AY4 changing cell W4, shifting both cells right each time
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<sst xmlns="http://schemas.openxmlformats.org/spreadsheetml/2006/main" count="988" uniqueCount="219">
  <si>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</si>
  <si>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</si>
  <si>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</si>
  <si>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</si>
  <si>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</si>
  <si>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</si>
  <si>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</si>
  <si>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</si>
  <si>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</si>
  <si>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</si>
  <si>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</si>
  <si>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</si>
  <si>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</si>
  <si>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</si>
  <si>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</si>
  <si>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</si>
  <si>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</si>
  <si>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</si>
  <si>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</si>
  <si>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</si>
  <si>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</si>
  <si>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</si>
  <si>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</si>
  <si>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</si>
  <si>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</si>
  <si>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</si>
  <si>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</si>
  <si>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</si>
  <si>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</si>
  <si>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</si>
  <si>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</si>
  <si>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</si>
  <si>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</si>
  <si>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</si>
  <si>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</si>
  <si>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</si>
  <si>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</si>
  <si>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</si>
  <si>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</si>
  <si>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</si>
  <si>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</si>
  <si>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</si>
  <si>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</si>
  <si>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</si>
  <si>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</si>
  <si>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</si>
  <si>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</si>
  <si>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</si>
  <si>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</si>
  <si>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</si>
  <si>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</si>
  <si>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</si>
  <si>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</si>
  <si>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</si>
  <si>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</si>
  <si>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</si>
  <si>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</si>
  <si>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</si>
  <si>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</si>
  <si>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</si>
  <si>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</si>
  <si>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</si>
  <si>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</si>
  <si>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</si>
  <si>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</si>
  <si>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</si>
  <si>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</si>
  <si>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</si>
  <si>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</si>
  <si>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</si>
  <si>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</si>
  <si>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</si>
  <si>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</si>
  <si>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</si>
  <si>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</si>
  <si>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</si>
  <si>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</si>
  <si>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</si>
  <si>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</si>
  <si>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</si>
  <si>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</si>
  <si>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</si>
  <si>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</si>
  <si>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</si>
  <si>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</si>
  <si>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</si>
  <si>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</si>
  <si>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</si>
  <si>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</si>
  <si>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</si>
  <si>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</si>
  <si>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</si>
  <si>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</si>
  <si>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</si>
  <si>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</si>
  <si>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</si>
  <si>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</si>
  <si>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</si>
  <si>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</si>
  <si>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</si>
  <si>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</si>
  <si>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</si>
  <si>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</si>
  <si>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</si>
  <si>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</si>
  <si>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</si>
  <si>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</si>
  <si>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</si>
  <si>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</si>
  <si>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</si>
  <si>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</si>
  <si>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</si>
  <si>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</si>
  <si>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</si>
  <si>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</si>
  <si>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</si>
  <si>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</si>
  <si>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</si>
  <si>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</si>
  <si>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</si>
  <si>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</si>
  <si>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</si>
  <si>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</si>
  <si>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</si>
  <si>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</si>
  <si>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</si>
  <si>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</si>
  <si>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</si>
  <si>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</si>
  <si>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</si>
  <si>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</si>
  <si>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</si>
  <si>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</si>
  <si>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</si>
  <si>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</si>
  <si>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</si>
  <si>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</si>
  <si>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</si>
  <si>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</si>
  <si>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</si>
  <si>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</si>
  <si>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</si>
  <si>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</si>
  <si>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</si>
  <si>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</si>
  <si>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</si>
  <si>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</si>
  <si>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</si>
  <si>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</si>
  <si>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</si>
  <si>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</si>
  <si>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</si>
  <si>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</si>
  <si>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</si>
  <si>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</si>
  <si>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</si>
  <si>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</si>
  <si>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</si>
  <si>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</si>
  <si>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</si>
  <si>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</si>
  <si>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</si>
  <si>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</si>
  <si>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</si>
  <si>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</si>
  <si>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</si>
  <si>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</si>
  <si>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</si>
  <si>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</si>
  <si>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</si>
  <si>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</si>
  <si>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</si>
  <si>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</si>
  <si>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</si>
  <si>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</si>
  <si>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</si>
  <si>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</si>
  <si>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</si>
  <si>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</si>
  <si>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</si>
  <si>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</si>
  <si>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</si>
  <si>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</si>
  <si>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</si>
  <si>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</si>
  <si>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</si>
  <si>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</si>
  <si>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</si>
  <si>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</si>
  <si>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</si>
  <si>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</si>
  <si>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</si>
  <si>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</si>
  <si>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</si>
  <si>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</si>
  <si>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</si>
  <si>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</si>
  <si>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</si>
  <si>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</si>
  <si>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</si>
  <si>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</si>
  <si>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</si>
  <si>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</si>
  <si>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</si>
  <si>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</si>
  <si>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</si>
  <si>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</si>
  <si>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</si>
  <si>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</si>
  <si>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</si>
  <si>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</si>
  <si>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</si>
  <si>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</si>
  <si>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</si>
  <si>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</si>
  <si>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</si>
  <si>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</si>
  <si>
    <t>2020 qld ONP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</si>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</sst>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4.9422519755038774</c:v>
                </c:pt>
                <c:pt idx="1">
                  <c:v>4.2780001038907054</c:v>
                </c:pt>
                <c:pt idx="2">
                  <c:v>3.6814164869554422</c:v>
                </c:pt>
                <c:pt idx="3">
                  <c:v>3.0930004610170769</c:v>
                </c:pt>
                <c:pt idx="4">
                  <c:v>3.0040572187730628</c:v>
                </c:pt>
                <c:pt idx="5">
                  <c:v>2.5161896078794719</c:v>
                </c:pt>
                <c:pt idx="6">
                  <c:v>2.0283219969858806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4.7729431154850825</c:v>
                </c:pt>
                <c:pt idx="1">
                  <c:v>4.1726615108015022</c:v>
                </c:pt>
                <c:pt idx="2">
                  <c:v>3.52014890547603</c:v>
                </c:pt>
                <c:pt idx="3">
                  <c:v>3.0477013911857904</c:v>
                </c:pt>
                <c:pt idx="4">
                  <c:v>2.9780446136220822</c:v>
                </c:pt>
                <c:pt idx="5">
                  <c:v>2.5197830072477707</c:v>
                </c:pt>
                <c:pt idx="6">
                  <c:v>2.0615214008734597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6.0175902645986614</c:v>
                </c:pt>
                <c:pt idx="1">
                  <c:v>6.0175902645986614</c:v>
                </c:pt>
                <c:pt idx="2">
                  <c:v>6.0175902645986614</c:v>
                </c:pt>
                <c:pt idx="3">
                  <c:v>6.0175902645986614</c:v>
                </c:pt>
                <c:pt idx="4">
                  <c:v>6.0175902645986614</c:v>
                </c:pt>
                <c:pt idx="5">
                  <c:v>6.0175902645986614</c:v>
                </c:pt>
                <c:pt idx="6">
                  <c:v>6.0175902645986614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0.71674094215590389</c:v>
                </c:pt>
                <c:pt idx="2">
                  <c:v>0.74736136393718533</c:v>
                </c:pt>
                <c:pt idx="3">
                  <c:v>0.78989002427597022</c:v>
                </c:pt>
                <c:pt idx="4">
                  <c:v>0.82792539596122683</c:v>
                </c:pt>
                <c:pt idx="5">
                  <c:v>0.88459631718304488</c:v>
                </c:pt>
                <c:pt idx="6">
                  <c:v>0.91169228341790864</c:v>
                </c:pt>
                <c:pt idx="7">
                  <c:v>0.93878824965277252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0.95015292211593139</c:v>
                </c:pt>
                <c:pt idx="1">
                  <c:v>0.94819273990639497</c:v>
                </c:pt>
                <c:pt idx="2">
                  <c:v>0.94620462473656874</c:v>
                </c:pt>
                <c:pt idx="3">
                  <c:v>0.94418797524690712</c:v>
                </c:pt>
                <c:pt idx="4">
                  <c:v>0.94214217269113076</c:v>
                </c:pt>
                <c:pt idx="5">
                  <c:v>0.94006658030328594</c:v>
                </c:pt>
                <c:pt idx="6">
                  <c:v>0.93796054263695217</c:v>
                </c:pt>
                <c:pt idx="7">
                  <c:v>0.93582338487515848</c:v>
                </c:pt>
                <c:pt idx="8">
                  <c:v>0.93365441210947864</c:v>
                </c:pt>
                <c:pt idx="9">
                  <c:v>0.93145290858669028</c:v>
                </c:pt>
                <c:pt idx="10">
                  <c:v>0.92921813692128241</c:v>
                </c:pt>
                <c:pt idx="11">
                  <c:v>0.92694933727198903</c:v>
                </c:pt>
                <c:pt idx="12">
                  <c:v>0.92464572648041909</c:v>
                </c:pt>
                <c:pt idx="13">
                  <c:v>0.92230649716973123</c:v>
                </c:pt>
                <c:pt idx="14">
                  <c:v>0.91993081680117261</c:v>
                </c:pt>
                <c:pt idx="15">
                  <c:v>0.91751782668616855</c:v>
                </c:pt>
                <c:pt idx="16">
                  <c:v>0.91506664095149681</c:v>
                </c:pt>
                <c:pt idx="17">
                  <c:v>0.91257634545493072</c:v>
                </c:pt>
                <c:pt idx="18">
                  <c:v>0.91004599664855879</c:v>
                </c:pt>
                <c:pt idx="19">
                  <c:v>0.90747462038681503</c:v>
                </c:pt>
                <c:pt idx="20">
                  <c:v>0.9048612106760533</c:v>
                </c:pt>
                <c:pt idx="21">
                  <c:v>0.90220472836229715</c:v>
                </c:pt>
                <c:pt idx="22">
                  <c:v>0.8995040997535666</c:v>
                </c:pt>
                <c:pt idx="23">
                  <c:v>0.89675821517294518</c:v>
                </c:pt>
                <c:pt idx="24">
                  <c:v>0.89396592743829206</c:v>
                </c:pt>
                <c:pt idx="25">
                  <c:v>0.89112605026422187</c:v>
                </c:pt>
                <c:pt idx="26">
                  <c:v>0.88823735658167657</c:v>
                </c:pt>
                <c:pt idx="27">
                  <c:v>0.88529857677008805</c:v>
                </c:pt>
                <c:pt idx="28">
                  <c:v>0.88230839679678086</c:v>
                </c:pt>
                <c:pt idx="29">
                  <c:v>0.87926545625788533</c:v>
                </c:pt>
                <c:pt idx="30">
                  <c:v>0.87616834631462781</c:v>
                </c:pt>
                <c:pt idx="31">
                  <c:v>0.87301560751841689</c:v>
                </c:pt>
                <c:pt idx="32">
                  <c:v>0.86980572751767338</c:v>
                </c:pt>
                <c:pt idx="33">
                  <c:v>0.86653713863883441</c:v>
                </c:pt>
                <c:pt idx="34">
                  <c:v>0.86320821533340175</c:v>
                </c:pt>
                <c:pt idx="35">
                  <c:v>0.85981727148229892</c:v>
                </c:pt>
                <c:pt idx="36">
                  <c:v>0.85636255754814528</c:v>
                </c:pt>
                <c:pt idx="37">
                  <c:v>0.85284225756534315</c:v>
                </c:pt>
                <c:pt idx="38">
                  <c:v>0.84925448595709652</c:v>
                </c:pt>
                <c:pt idx="39">
                  <c:v>0.84559728416763902</c:v>
                </c:pt>
                <c:pt idx="40">
                  <c:v>0.84186861709703387</c:v>
                </c:pt>
                <c:pt idx="41">
                  <c:v>0.83806636932490886</c:v>
                </c:pt>
                <c:pt idx="42">
                  <c:v>0.83418834110840412</c:v>
                </c:pt>
                <c:pt idx="43">
                  <c:v>0.83023224413842289</c:v>
                </c:pt>
                <c:pt idx="44">
                  <c:v>0.82619569703698281</c:v>
                </c:pt>
                <c:pt idx="45">
                  <c:v>0.82207622057705199</c:v>
                </c:pt>
                <c:pt idx="46">
                  <c:v>0.81787123260470762</c:v>
                </c:pt>
                <c:pt idx="47">
                  <c:v>0.81357804264176137</c:v>
                </c:pt>
                <c:pt idx="48">
                  <c:v>0.80919384614514756</c:v>
                </c:pt>
                <c:pt idx="49">
                  <c:v>0.80471571839733258</c:v>
                </c:pt>
                <c:pt idx="50">
                  <c:v>0.80014060799978148</c:v>
                </c:pt>
                <c:pt idx="51">
                  <c:v>0.79546532993905772</c:v>
                </c:pt>
                <c:pt idx="52">
                  <c:v>0.79068655819245204</c:v>
                </c:pt>
                <c:pt idx="53">
                  <c:v>0.78580081783706035</c:v>
                </c:pt>
                <c:pt idx="54">
                  <c:v>0.78080447662297026</c:v>
                </c:pt>
                <c:pt idx="55">
                  <c:v>0.77569373596761015</c:v>
                </c:pt>
                <c:pt idx="56">
                  <c:v>0.77046462132433646</c:v>
                </c:pt>
                <c:pt idx="57">
                  <c:v>0.76511297187393745</c:v>
                </c:pt>
                <c:pt idx="58">
                  <c:v>0.75963442948286375</c:v>
                </c:pt>
                <c:pt idx="59">
                  <c:v>0.75402442686659887</c:v>
                </c:pt>
                <c:pt idx="60">
                  <c:v>0.74827817489060844</c:v>
                </c:pt>
                <c:pt idx="61">
                  <c:v>0.74239064893465401</c:v>
                </c:pt>
                <c:pt idx="62">
                  <c:v>0.73635657423887324</c:v>
                </c:pt>
                <c:pt idx="63">
                  <c:v>0.73017041014180006</c:v>
                </c:pt>
                <c:pt idx="64">
                  <c:v>0.72382633311132627</c:v>
                </c:pt>
                <c:pt idx="65">
                  <c:v>0.71731821845936727</c:v>
                </c:pt>
                <c:pt idx="66">
                  <c:v>0.71063962061954933</c:v>
                </c:pt>
                <c:pt idx="67">
                  <c:v>0.70378375185441877</c:v>
                </c:pt>
                <c:pt idx="68">
                  <c:v>0.69674345924431647</c:v>
                </c:pt>
                <c:pt idx="69">
                  <c:v>0.68951119979392517</c:v>
                </c:pt>
                <c:pt idx="70">
                  <c:v>0.68207901347437183</c:v>
                </c:pt>
                <c:pt idx="71">
                  <c:v>0.6744384939983421</c:v>
                </c:pt>
                <c:pt idx="72">
                  <c:v>0.66658075710263398</c:v>
                </c:pt>
                <c:pt idx="73">
                  <c:v>0.65849640608655435</c:v>
                </c:pt>
                <c:pt idx="74">
                  <c:v>0.65017549432511423</c:v>
                </c:pt>
                <c:pt idx="75">
                  <c:v>0.64247571807368031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0.12739130434782578</c:v>
                </c:pt>
                <c:pt idx="1">
                  <c:v>0.23586666666666659</c:v>
                </c:pt>
                <c:pt idx="2">
                  <c:v>0.50435897435897437</c:v>
                </c:pt>
                <c:pt idx="3">
                  <c:v>-8.7654320987654077E-2</c:v>
                </c:pt>
                <c:pt idx="4">
                  <c:v>0.26080246913580252</c:v>
                </c:pt>
                <c:pt idx="5">
                  <c:v>0.48877170564585321</c:v>
                </c:pt>
                <c:pt idx="6">
                  <c:v>0.71674094215590389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4.7006007427769454</c:v>
                </c:pt>
                <c:pt idx="1">
                  <c:v>4.2904038659936594</c:v>
                </c:pt>
                <c:pt idx="2">
                  <c:v>4.2307253727330476</c:v>
                </c:pt>
                <c:pt idx="3">
                  <c:v>3.8300741378248242</c:v>
                </c:pt>
                <c:pt idx="4">
                  <c:v>2.9091887206480229</c:v>
                </c:pt>
                <c:pt idx="5">
                  <c:v>2.343514730136917</c:v>
                </c:pt>
                <c:pt idx="6">
                  <c:v>1.7778407396258111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4.4170060462291323</c:v>
                </c:pt>
                <c:pt idx="1">
                  <c:v>3.9991290428466124</c:v>
                </c:pt>
                <c:pt idx="2">
                  <c:v>3.7663747980033571</c:v>
                </c:pt>
                <c:pt idx="3">
                  <c:v>3.5174334156677212</c:v>
                </c:pt>
                <c:pt idx="4">
                  <c:v>2.6433374789024637</c:v>
                </c:pt>
                <c:pt idx="5">
                  <c:v>2.1629064143312027</c:v>
                </c:pt>
                <c:pt idx="6">
                  <c:v>1.6824753497599416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5.7045344031920466</c:v>
                </c:pt>
                <c:pt idx="1">
                  <c:v>5.7045344031920466</c:v>
                </c:pt>
                <c:pt idx="2">
                  <c:v>5.7045344031920466</c:v>
                </c:pt>
                <c:pt idx="3">
                  <c:v>5.7045344031920466</c:v>
                </c:pt>
                <c:pt idx="4">
                  <c:v>5.7045344031920466</c:v>
                </c:pt>
                <c:pt idx="5">
                  <c:v>5.7045344031920466</c:v>
                </c:pt>
                <c:pt idx="6">
                  <c:v>5.7045344031920466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0.68584762292338231</c:v>
                </c:pt>
                <c:pt idx="2">
                  <c:v>0.71615527323855221</c:v>
                </c:pt>
                <c:pt idx="3">
                  <c:v>0.76399347734835643</c:v>
                </c:pt>
                <c:pt idx="4">
                  <c:v>0.82093106671985216</c:v>
                </c:pt>
                <c:pt idx="5">
                  <c:v>0.92027798684170403</c:v>
                </c:pt>
                <c:pt idx="6">
                  <c:v>0.95026094550717644</c:v>
                </c:pt>
                <c:pt idx="7">
                  <c:v>0.98024390417264895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1.019857923438495</c:v>
                </c:pt>
                <c:pt idx="1">
                  <c:v>1.0165611101212213</c:v>
                </c:pt>
                <c:pt idx="2">
                  <c:v>1.0132267619716167</c:v>
                </c:pt>
                <c:pt idx="3">
                  <c:v>1.0098542343082086</c:v>
                </c:pt>
                <c:pt idx="4">
                  <c:v>1.0064428676008337</c:v>
                </c:pt>
                <c:pt idx="5">
                  <c:v>1.002991987040655</c:v>
                </c:pt>
                <c:pt idx="6">
                  <c:v>0.99950090209515341</c:v>
                </c:pt>
                <c:pt idx="7">
                  <c:v>0.99596890604747401</c:v>
                </c:pt>
                <c:pt idx="8">
                  <c:v>0.99239527551948059</c:v>
                </c:pt>
                <c:pt idx="9">
                  <c:v>0.98877926997784571</c:v>
                </c:pt>
                <c:pt idx="10">
                  <c:v>0.985120131222464</c:v>
                </c:pt>
                <c:pt idx="11">
                  <c:v>0.98141708285645068</c:v>
                </c:pt>
                <c:pt idx="12">
                  <c:v>0.97766932973694298</c:v>
                </c:pt>
                <c:pt idx="13">
                  <c:v>0.97387605740589089</c:v>
                </c:pt>
                <c:pt idx="14">
                  <c:v>0.97003643149998153</c:v>
                </c:pt>
                <c:pt idx="15">
                  <c:v>0.966149597138797</c:v>
                </c:pt>
                <c:pt idx="16">
                  <c:v>0.96221467829026619</c:v>
                </c:pt>
                <c:pt idx="17">
                  <c:v>0.95823077711241911</c:v>
                </c:pt>
                <c:pt idx="18">
                  <c:v>0.95419697327040509</c:v>
                </c:pt>
                <c:pt idx="19">
                  <c:v>0.95011232322768502</c:v>
                </c:pt>
                <c:pt idx="20">
                  <c:v>0.9459758595102491</c:v>
                </c:pt>
                <c:pt idx="21">
                  <c:v>0.94178658994265552</c:v>
                </c:pt>
                <c:pt idx="22">
                  <c:v>0.9375434968546249</c:v>
                </c:pt>
                <c:pt idx="23">
                  <c:v>0.93324553625685369</c:v>
                </c:pt>
                <c:pt idx="24">
                  <c:v>0.92889163698464827</c:v>
                </c:pt>
                <c:pt idx="25">
                  <c:v>0.92448069980790248</c:v>
                </c:pt>
                <c:pt idx="26">
                  <c:v>0.92001159650586573</c:v>
                </c:pt>
                <c:pt idx="27">
                  <c:v>0.9154831689050652</c:v>
                </c:pt>
                <c:pt idx="28">
                  <c:v>0.91089422787865948</c:v>
                </c:pt>
                <c:pt idx="29">
                  <c:v>0.90624355230540699</c:v>
                </c:pt>
                <c:pt idx="30">
                  <c:v>0.90152988798633704</c:v>
                </c:pt>
                <c:pt idx="31">
                  <c:v>0.8967519465171</c:v>
                </c:pt>
                <c:pt idx="32">
                  <c:v>0.89190840411387207</c:v>
                </c:pt>
                <c:pt idx="33">
                  <c:v>0.88699790039056403</c:v>
                </c:pt>
                <c:pt idx="34">
                  <c:v>0.88201903708496232</c:v>
                </c:pt>
                <c:pt idx="35">
                  <c:v>0.87697037673129685</c:v>
                </c:pt>
                <c:pt idx="36">
                  <c:v>0.87185044127658773</c:v>
                </c:pt>
                <c:pt idx="37">
                  <c:v>0.86665771063797403</c:v>
                </c:pt>
                <c:pt idx="38">
                  <c:v>0.8613906211980672</c:v>
                </c:pt>
                <c:pt idx="39">
                  <c:v>0.85604756423519779</c:v>
                </c:pt>
                <c:pt idx="40">
                  <c:v>0.8506268842852478</c:v>
                </c:pt>
                <c:pt idx="41">
                  <c:v>0.84512687743156489</c:v>
                </c:pt>
                <c:pt idx="42">
                  <c:v>0.83954578951924408</c:v>
                </c:pt>
                <c:pt idx="43">
                  <c:v>0.8338818142898492</c:v>
                </c:pt>
                <c:pt idx="44">
                  <c:v>0.82813309143240621</c:v>
                </c:pt>
                <c:pt idx="45">
                  <c:v>0.82229770454625051</c:v>
                </c:pt>
                <c:pt idx="46">
                  <c:v>0.81637367901104141</c:v>
                </c:pt>
                <c:pt idx="47">
                  <c:v>0.81035897975897253</c:v>
                </c:pt>
                <c:pt idx="48">
                  <c:v>0.80425150894389641</c:v>
                </c:pt>
                <c:pt idx="49">
                  <c:v>0.79804910350175529</c:v>
                </c:pt>
                <c:pt idx="50">
                  <c:v>0.79174953259635861</c:v>
                </c:pt>
                <c:pt idx="51">
                  <c:v>0.78535049494417264</c:v>
                </c:pt>
                <c:pt idx="52">
                  <c:v>0.77884961601137981</c:v>
                </c:pt>
                <c:pt idx="53">
                  <c:v>0.7722444450760374</c:v>
                </c:pt>
                <c:pt idx="54">
                  <c:v>0.76553245214770138</c:v>
                </c:pt>
                <c:pt idx="55">
                  <c:v>0.75871102473637853</c:v>
                </c:pt>
                <c:pt idx="56">
                  <c:v>0.75177746446213845</c:v>
                </c:pt>
                <c:pt idx="57">
                  <c:v>0.74472898349614658</c:v>
                </c:pt>
                <c:pt idx="58">
                  <c:v>0.73756270082324982</c:v>
                </c:pt>
                <c:pt idx="59">
                  <c:v>0.73027563831559306</c:v>
                </c:pt>
                <c:pt idx="60">
                  <c:v>0.72286471660602603</c:v>
                </c:pt>
                <c:pt idx="61">
                  <c:v>0.71532675074928309</c:v>
                </c:pt>
                <c:pt idx="62">
                  <c:v>0.70765844565809521</c:v>
                </c:pt>
                <c:pt idx="63">
                  <c:v>0.69985639130049637</c:v>
                </c:pt>
                <c:pt idx="64">
                  <c:v>0.69191705764361366</c:v>
                </c:pt>
                <c:pt idx="65">
                  <c:v>0.68383678932819325</c:v>
                </c:pt>
                <c:pt idx="66">
                  <c:v>0.67561180005698107</c:v>
                </c:pt>
                <c:pt idx="67">
                  <c:v>0.6672381666788616</c:v>
                </c:pt>
                <c:pt idx="68">
                  <c:v>0.65871182294933106</c:v>
                </c:pt>
                <c:pt idx="69">
                  <c:v>0.65002855294645789</c:v>
                </c:pt>
                <c:pt idx="70">
                  <c:v>0.64118398411993327</c:v>
                </c:pt>
                <c:pt idx="71">
                  <c:v>0.63217357994912926</c:v>
                </c:pt>
                <c:pt idx="72">
                  <c:v>0.62299263218426559</c:v>
                </c:pt>
                <c:pt idx="73">
                  <c:v>0.6136362526428053</c:v>
                </c:pt>
                <c:pt idx="74">
                  <c:v>0.6040993645310424</c:v>
                </c:pt>
                <c:pt idx="75">
                  <c:v>0.59535747519590188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-1.5020289855072471</c:v>
                </c:pt>
                <c:pt idx="1">
                  <c:v>-1.4493333333333334</c:v>
                </c:pt>
                <c:pt idx="2">
                  <c:v>-1.5170512820512825</c:v>
                </c:pt>
                <c:pt idx="3">
                  <c:v>-1.5467901234567909</c:v>
                </c:pt>
                <c:pt idx="4">
                  <c:v>-1.3487654320987659</c:v>
                </c:pt>
                <c:pt idx="5">
                  <c:v>-1.0324074074074077</c:v>
                </c:pt>
                <c:pt idx="6">
                  <c:v>-0.71604938271604945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2.8696920258509135</c:v>
                </c:pt>
                <c:pt idx="1">
                  <c:v>2.2864742387449817</c:v>
                </c:pt>
                <c:pt idx="2">
                  <c:v>2.1465879305515871</c:v>
                </c:pt>
                <c:pt idx="3">
                  <c:v>2.0606980718217494</c:v>
                </c:pt>
                <c:pt idx="4">
                  <c:v>1.8867423533219712</c:v>
                </c:pt>
                <c:pt idx="5">
                  <c:v>1.7262934486335086</c:v>
                </c:pt>
                <c:pt idx="6">
                  <c:v>1.5658445439450459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1.86359248515654</c:v>
                </c:pt>
                <c:pt idx="1">
                  <c:v>1.6509601496006789</c:v>
                </c:pt>
                <c:pt idx="2">
                  <c:v>1.5759477874109011</c:v>
                </c:pt>
                <c:pt idx="3">
                  <c:v>1.5632758959115192</c:v>
                </c:pt>
                <c:pt idx="4">
                  <c:v>1.4690046889782427</c:v>
                </c:pt>
                <c:pt idx="5">
                  <c:v>1.4199625470116246</c:v>
                </c:pt>
                <c:pt idx="6">
                  <c:v>1.3709204050450066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3.9482766852035347</c:v>
                </c:pt>
                <c:pt idx="1">
                  <c:v>3.9482766852035347</c:v>
                </c:pt>
                <c:pt idx="2">
                  <c:v>3.9482766852035347</c:v>
                </c:pt>
                <c:pt idx="3">
                  <c:v>3.9482766852035347</c:v>
                </c:pt>
                <c:pt idx="4">
                  <c:v>3.9482766852035347</c:v>
                </c:pt>
                <c:pt idx="5">
                  <c:v>3.9482766852035347</c:v>
                </c:pt>
                <c:pt idx="6">
                  <c:v>3.9482766852035347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2.6197834206361733E-2</c:v>
                </c:pt>
                <c:pt idx="2">
                  <c:v>0.21869945778951663</c:v>
                </c:pt>
                <c:pt idx="3">
                  <c:v>0.35716298444445754</c:v>
                </c:pt>
                <c:pt idx="4">
                  <c:v>0.42973032738618189</c:v>
                </c:pt>
                <c:pt idx="5">
                  <c:v>0.52479001870356901</c:v>
                </c:pt>
                <c:pt idx="6">
                  <c:v>0.56757191954292829</c:v>
                </c:pt>
                <c:pt idx="7">
                  <c:v>0.61035382038228769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0.60431650657076286</c:v>
                </c:pt>
                <c:pt idx="1">
                  <c:v>0.60267338274841609</c:v>
                </c:pt>
                <c:pt idx="2">
                  <c:v>0.60098871303826817</c:v>
                </c:pt>
                <c:pt idx="3">
                  <c:v>0.59926090155176981</c:v>
                </c:pt>
                <c:pt idx="4">
                  <c:v>0.59748826960376822</c:v>
                </c:pt>
                <c:pt idx="5">
                  <c:v>0.59566905027246475</c:v>
                </c:pt>
                <c:pt idx="6">
                  <c:v>0.59380138252474468</c:v>
                </c:pt>
                <c:pt idx="7">
                  <c:v>0.59188330486581897</c:v>
                </c:pt>
                <c:pt idx="8">
                  <c:v>0.58991274846762887</c:v>
                </c:pt>
                <c:pt idx="9">
                  <c:v>0.58788752972540459</c:v>
                </c:pt>
                <c:pt idx="10">
                  <c:v>0.58580534218607905</c:v>
                </c:pt>
                <c:pt idx="11">
                  <c:v>0.58366374778583063</c:v>
                </c:pt>
                <c:pt idx="12">
                  <c:v>0.5814601673267672</c:v>
                </c:pt>
                <c:pt idx="13">
                  <c:v>0.57919187011454243</c:v>
                </c:pt>
                <c:pt idx="14">
                  <c:v>0.57685596266936856</c:v>
                </c:pt>
                <c:pt idx="15">
                  <c:v>0.57444937641230032</c:v>
                </c:pt>
                <c:pt idx="16">
                  <c:v>0.57196885421659815</c:v>
                </c:pt>
                <c:pt idx="17">
                  <c:v>0.56941093570023571</c:v>
                </c:pt>
                <c:pt idx="18">
                  <c:v>0.56677194111989515</c:v>
                </c:pt>
                <c:pt idx="19">
                  <c:v>0.56404795370880778</c:v>
                </c:pt>
                <c:pt idx="20">
                  <c:v>0.56123480028015449</c:v>
                </c:pt>
                <c:pt idx="21">
                  <c:v>0.55832802989400909</c:v>
                </c:pt>
                <c:pt idx="22">
                  <c:v>0.55532289035846027</c:v>
                </c:pt>
                <c:pt idx="23">
                  <c:v>0.55221430230396684</c:v>
                </c:pt>
                <c:pt idx="24">
                  <c:v>0.54899683053344106</c:v>
                </c:pt>
                <c:pt idx="25">
                  <c:v>0.54566465230812666</c:v>
                </c:pt>
                <c:pt idx="26">
                  <c:v>0.54221152217998547</c:v>
                </c:pt>
                <c:pt idx="27">
                  <c:v>0.53863073292373886</c:v>
                </c:pt>
                <c:pt idx="28">
                  <c:v>0.5349150720543856</c:v>
                </c:pt>
                <c:pt idx="29">
                  <c:v>0.53105677333706658</c:v>
                </c:pt>
                <c:pt idx="30">
                  <c:v>0.52704746260328572</c:v>
                </c:pt>
                <c:pt idx="31">
                  <c:v>0.52287809707795463</c:v>
                </c:pt>
                <c:pt idx="32">
                  <c:v>0.51853889729211144</c:v>
                </c:pt>
                <c:pt idx="33">
                  <c:v>0.5140192705022858</c:v>
                </c:pt>
                <c:pt idx="34">
                  <c:v>0.50930772435421112</c:v>
                </c:pt>
                <c:pt idx="35">
                  <c:v>0.50439176930951934</c:v>
                </c:pt>
                <c:pt idx="36">
                  <c:v>0.4992578080912875</c:v>
                </c:pt>
                <c:pt idx="37">
                  <c:v>0.49389101008789799</c:v>
                </c:pt>
                <c:pt idx="38">
                  <c:v>0.48827516827220435</c:v>
                </c:pt>
                <c:pt idx="39">
                  <c:v>0.48239253572875529</c:v>
                </c:pt>
                <c:pt idx="40">
                  <c:v>0.47622363831593117</c:v>
                </c:pt>
                <c:pt idx="41">
                  <c:v>0.46974705929693822</c:v>
                </c:pt>
                <c:pt idx="42">
                  <c:v>0.46293919092119723</c:v>
                </c:pt>
                <c:pt idx="43">
                  <c:v>0.45577394688389883</c:v>
                </c:pt>
                <c:pt idx="44">
                  <c:v>0.44822242828209241</c:v>
                </c:pt>
                <c:pt idx="45">
                  <c:v>0.44025253404982456</c:v>
                </c:pt>
                <c:pt idx="46">
                  <c:v>0.43182850479952761</c:v>
                </c:pt>
                <c:pt idx="47">
                  <c:v>0.42291038639907946</c:v>
                </c:pt>
                <c:pt idx="48">
                  <c:v>0.41345339630980721</c:v>
                </c:pt>
                <c:pt idx="49">
                  <c:v>0.40340717148014749</c:v>
                </c:pt>
                <c:pt idx="50">
                  <c:v>0.39271487113480263</c:v>
                </c:pt>
                <c:pt idx="51">
                  <c:v>0.38131210071329291</c:v>
                </c:pt>
                <c:pt idx="52">
                  <c:v>0.36912561393428184</c:v>
                </c:pt>
                <c:pt idx="53">
                  <c:v>0.35607173771299588</c:v>
                </c:pt>
                <c:pt idx="54">
                  <c:v>0.34205444834193677</c:v>
                </c:pt>
                <c:pt idx="55">
                  <c:v>0.32696300540120138</c:v>
                </c:pt>
                <c:pt idx="56">
                  <c:v>0.31066902005227526</c:v>
                </c:pt>
                <c:pt idx="57">
                  <c:v>0.29302279342307674</c:v>
                </c:pt>
                <c:pt idx="58">
                  <c:v>0.27384870389238863</c:v>
                </c:pt>
                <c:pt idx="59">
                  <c:v>0.25293934200956392</c:v>
                </c:pt>
                <c:pt idx="60">
                  <c:v>0.23004797755785111</c:v>
                </c:pt>
                <c:pt idx="61">
                  <c:v>0.20487877789351883</c:v>
                </c:pt>
                <c:pt idx="62">
                  <c:v>0.17707395338769971</c:v>
                </c:pt>
                <c:pt idx="63">
                  <c:v>0.14619664150694089</c:v>
                </c:pt>
                <c:pt idx="64">
                  <c:v>0.11170778503678302</c:v>
                </c:pt>
                <c:pt idx="65">
                  <c:v>7.2934393080960946E-2</c:v>
                </c:pt>
                <c:pt idx="66">
                  <c:v>2.9025189892161962E-2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1.0954545454545452</c:v>
                </c:pt>
                <c:pt idx="1">
                  <c:v>0.29546666666666682</c:v>
                </c:pt>
                <c:pt idx="2">
                  <c:v>0.1175641025641026</c:v>
                </c:pt>
                <c:pt idx="3">
                  <c:v>0.26345679012345674</c:v>
                </c:pt>
                <c:pt idx="4">
                  <c:v>0.17061728395061732</c:v>
                </c:pt>
                <c:pt idx="5">
                  <c:v>4.8888888888888996E-2</c:v>
                </c:pt>
                <c:pt idx="6">
                  <c:v>-7.2839506172839324E-2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3.622577978749558</c:v>
                </c:pt>
                <c:pt idx="1">
                  <c:v>3.057965772644728</c:v>
                </c:pt>
                <c:pt idx="2">
                  <c:v>2.7754724122410432</c:v>
                </c:pt>
                <c:pt idx="3">
                  <c:v>3.1945109171827863</c:v>
                </c:pt>
                <c:pt idx="4">
                  <c:v>2.4915237582371308</c:v>
                </c:pt>
                <c:pt idx="5">
                  <c:v>2.3094509619903292</c:v>
                </c:pt>
                <c:pt idx="6">
                  <c:v>2.127378165743528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2.0928558329181328</c:v>
                </c:pt>
                <c:pt idx="1">
                  <c:v>2.0105000055255982</c:v>
                </c:pt>
                <c:pt idx="2">
                  <c:v>1.9259936198653065</c:v>
                </c:pt>
                <c:pt idx="3">
                  <c:v>1.9677472783435876</c:v>
                </c:pt>
                <c:pt idx="4">
                  <c:v>1.5570724755501115</c:v>
                </c:pt>
                <c:pt idx="5">
                  <c:v>1.5906483318672737</c:v>
                </c:pt>
                <c:pt idx="6">
                  <c:v>1.6242241881844359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2.6322582193495636</c:v>
                </c:pt>
                <c:pt idx="1">
                  <c:v>2.6322582193495636</c:v>
                </c:pt>
                <c:pt idx="2">
                  <c:v>2.6322582193495636</c:v>
                </c:pt>
                <c:pt idx="3">
                  <c:v>2.6322582193495636</c:v>
                </c:pt>
                <c:pt idx="4">
                  <c:v>2.6322582193495636</c:v>
                </c:pt>
                <c:pt idx="5">
                  <c:v>2.6322582193495636</c:v>
                </c:pt>
                <c:pt idx="6">
                  <c:v>2.6322582193495636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0.51009263475806355</c:v>
                </c:pt>
                <c:pt idx="2">
                  <c:v>0.50748915921974058</c:v>
                </c:pt>
                <c:pt idx="3">
                  <c:v>0.47534668023699722</c:v>
                </c:pt>
                <c:pt idx="4">
                  <c:v>0.48359289238544773</c:v>
                </c:pt>
                <c:pt idx="5">
                  <c:v>0.51311936041433648</c:v>
                </c:pt>
                <c:pt idx="6">
                  <c:v>0.54638582924342027</c:v>
                </c:pt>
                <c:pt idx="7">
                  <c:v>0.57965229807250418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0.56666811205917611</c:v>
                </c:pt>
                <c:pt idx="1">
                  <c:v>0.56528528745182882</c:v>
                </c:pt>
                <c:pt idx="2">
                  <c:v>0.56390239313149948</c:v>
                </c:pt>
                <c:pt idx="3">
                  <c:v>0.56251942909290875</c:v>
                </c:pt>
                <c:pt idx="4">
                  <c:v>0.56113639533079152</c:v>
                </c:pt>
                <c:pt idx="5">
                  <c:v>0.55975329183988976</c:v>
                </c:pt>
                <c:pt idx="6">
                  <c:v>0.55837011861492414</c:v>
                </c:pt>
                <c:pt idx="7">
                  <c:v>0.55698687565060112</c:v>
                </c:pt>
                <c:pt idx="8">
                  <c:v>0.55560356294165558</c:v>
                </c:pt>
                <c:pt idx="9">
                  <c:v>0.55422018048283661</c:v>
                </c:pt>
                <c:pt idx="10">
                  <c:v>0.55283672826884356</c:v>
                </c:pt>
                <c:pt idx="11">
                  <c:v>0.5514532062944042</c:v>
                </c:pt>
                <c:pt idx="12">
                  <c:v>0.55006961455423209</c:v>
                </c:pt>
                <c:pt idx="13">
                  <c:v>0.54868595304306922</c:v>
                </c:pt>
                <c:pt idx="14">
                  <c:v>0.54730222175563625</c:v>
                </c:pt>
                <c:pt idx="15">
                  <c:v>0.54591842068664675</c:v>
                </c:pt>
                <c:pt idx="16">
                  <c:v>0.54453454983081429</c:v>
                </c:pt>
                <c:pt idx="17">
                  <c:v>0.54315060918288083</c:v>
                </c:pt>
                <c:pt idx="18">
                  <c:v>0.54176659873753863</c:v>
                </c:pt>
                <c:pt idx="19">
                  <c:v>0.54038251848954388</c:v>
                </c:pt>
                <c:pt idx="20">
                  <c:v>0.53899836843358173</c:v>
                </c:pt>
                <c:pt idx="21">
                  <c:v>0.53761414856438705</c:v>
                </c:pt>
                <c:pt idx="22">
                  <c:v>0.53622985887668762</c:v>
                </c:pt>
                <c:pt idx="23">
                  <c:v>0.53484549936516856</c:v>
                </c:pt>
                <c:pt idx="24">
                  <c:v>0.53346107002458609</c:v>
                </c:pt>
                <c:pt idx="25">
                  <c:v>0.53207657084961824</c:v>
                </c:pt>
                <c:pt idx="26">
                  <c:v>0.53069200183501408</c:v>
                </c:pt>
                <c:pt idx="27">
                  <c:v>0.52930736297548009</c:v>
                </c:pt>
                <c:pt idx="28">
                  <c:v>0.5279226542657085</c:v>
                </c:pt>
                <c:pt idx="29">
                  <c:v>0.5265378757004342</c:v>
                </c:pt>
                <c:pt idx="30">
                  <c:v>0.52515302727437785</c:v>
                </c:pt>
                <c:pt idx="31">
                  <c:v>0.52376810898224591</c:v>
                </c:pt>
                <c:pt idx="32">
                  <c:v>0.52238312081873772</c:v>
                </c:pt>
                <c:pt idx="33">
                  <c:v>0.52099806277857397</c:v>
                </c:pt>
                <c:pt idx="34">
                  <c:v>0.51961293485647531</c:v>
                </c:pt>
                <c:pt idx="35">
                  <c:v>0.5182277370471553</c:v>
                </c:pt>
                <c:pt idx="36">
                  <c:v>0.5168424693453062</c:v>
                </c:pt>
                <c:pt idx="37">
                  <c:v>0.51545713174564156</c:v>
                </c:pt>
                <c:pt idx="38">
                  <c:v>0.51407172424286784</c:v>
                </c:pt>
                <c:pt idx="39">
                  <c:v>0.51268624683171993</c:v>
                </c:pt>
                <c:pt idx="40">
                  <c:v>0.51130069950689006</c:v>
                </c:pt>
                <c:pt idx="41">
                  <c:v>0.50991508226307047</c:v>
                </c:pt>
                <c:pt idx="42">
                  <c:v>0.50852939509499606</c:v>
                </c:pt>
                <c:pt idx="43">
                  <c:v>0.50714363799734485</c:v>
                </c:pt>
                <c:pt idx="44">
                  <c:v>0.50575781096485173</c:v>
                </c:pt>
                <c:pt idx="45">
                  <c:v>0.50437191399220183</c:v>
                </c:pt>
                <c:pt idx="46">
                  <c:v>0.50298594707411581</c:v>
                </c:pt>
                <c:pt idx="47">
                  <c:v>0.50159991020529304</c:v>
                </c:pt>
                <c:pt idx="48">
                  <c:v>0.50021380338041865</c:v>
                </c:pt>
                <c:pt idx="49">
                  <c:v>0.49882762659422752</c:v>
                </c:pt>
                <c:pt idx="50">
                  <c:v>0.49744137984139769</c:v>
                </c:pt>
                <c:pt idx="51">
                  <c:v>0.49605506311665692</c:v>
                </c:pt>
                <c:pt idx="52">
                  <c:v>0.49466867641468326</c:v>
                </c:pt>
                <c:pt idx="53">
                  <c:v>0.49328221973018316</c:v>
                </c:pt>
                <c:pt idx="54">
                  <c:v>0.49189569305786307</c:v>
                </c:pt>
                <c:pt idx="55">
                  <c:v>0.49050909639242946</c:v>
                </c:pt>
                <c:pt idx="56">
                  <c:v>0.48912242972857456</c:v>
                </c:pt>
                <c:pt idx="57">
                  <c:v>0.48773569306099063</c:v>
                </c:pt>
                <c:pt idx="58">
                  <c:v>0.48634888638438412</c:v>
                </c:pt>
                <c:pt idx="59">
                  <c:v>0.48496200969346148</c:v>
                </c:pt>
                <c:pt idx="60">
                  <c:v>0.48357506298290787</c:v>
                </c:pt>
                <c:pt idx="61">
                  <c:v>0.48218804624742262</c:v>
                </c:pt>
                <c:pt idx="62">
                  <c:v>0.4808009594817122</c:v>
                </c:pt>
                <c:pt idx="63">
                  <c:v>0.47941380268045464</c:v>
                </c:pt>
                <c:pt idx="64">
                  <c:v>0.4780265758383635</c:v>
                </c:pt>
                <c:pt idx="65">
                  <c:v>0.47663927895013103</c:v>
                </c:pt>
                <c:pt idx="66">
                  <c:v>0.47525191201043526</c:v>
                </c:pt>
                <c:pt idx="67">
                  <c:v>0.47386447501398976</c:v>
                </c:pt>
                <c:pt idx="68">
                  <c:v>0.47247696795547256</c:v>
                </c:pt>
                <c:pt idx="69">
                  <c:v>0.47108939082959012</c:v>
                </c:pt>
                <c:pt idx="70">
                  <c:v>0.46970174363102046</c:v>
                </c:pt>
                <c:pt idx="71">
                  <c:v>0.46831402635447716</c:v>
                </c:pt>
                <c:pt idx="72">
                  <c:v>0.46692623899463825</c:v>
                </c:pt>
                <c:pt idx="73">
                  <c:v>0.46553838154618887</c:v>
                </c:pt>
                <c:pt idx="74">
                  <c:v>0.46415045400382837</c:v>
                </c:pt>
                <c:pt idx="75">
                  <c:v>0.46290125928101133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2.7368181818181836</c:v>
                </c:pt>
                <c:pt idx="1">
                  <c:v>1.8981333333333348</c:v>
                </c:pt>
                <c:pt idx="2">
                  <c:v>1.5864000000000009</c:v>
                </c:pt>
                <c:pt idx="3">
                  <c:v>1.7786419753086424</c:v>
                </c:pt>
                <c:pt idx="4">
                  <c:v>1.0875925925925938</c:v>
                </c:pt>
                <c:pt idx="5">
                  <c:v>0.91929012345679118</c:v>
                </c:pt>
                <c:pt idx="6">
                  <c:v>0.75098765432098846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3.8793851694475112</c:v>
                </c:pt>
                <c:pt idx="1">
                  <c:v>2.9371483524746318</c:v>
                </c:pt>
                <c:pt idx="2">
                  <c:v>3.0613704266045438</c:v>
                </c:pt>
                <c:pt idx="3">
                  <c:v>2.9016672516858604</c:v>
                </c:pt>
                <c:pt idx="4">
                  <c:v>2.8119475406190304</c:v>
                </c:pt>
                <c:pt idx="5">
                  <c:v>2.4329979184302131</c:v>
                </c:pt>
                <c:pt idx="6">
                  <c:v>2.0540482962413957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3.7458740291866581</c:v>
                </c:pt>
                <c:pt idx="1">
                  <c:v>2.729733575895648</c:v>
                </c:pt>
                <c:pt idx="2">
                  <c:v>2.6172842635821811</c:v>
                </c:pt>
                <c:pt idx="3">
                  <c:v>2.3407496000950592</c:v>
                </c:pt>
                <c:pt idx="4">
                  <c:v>2.3604872063546307</c:v>
                </c:pt>
                <c:pt idx="5">
                  <c:v>2.0884017443782228</c:v>
                </c:pt>
                <c:pt idx="6">
                  <c:v>1.8163162824018151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6.1274161775046476</c:v>
                </c:pt>
                <c:pt idx="1">
                  <c:v>6.1274161775046476</c:v>
                </c:pt>
                <c:pt idx="2">
                  <c:v>6.1274161775046476</c:v>
                </c:pt>
                <c:pt idx="3">
                  <c:v>6.1274161775046476</c:v>
                </c:pt>
                <c:pt idx="4">
                  <c:v>6.1274161775046476</c:v>
                </c:pt>
                <c:pt idx="5">
                  <c:v>6.1274161775046476</c:v>
                </c:pt>
                <c:pt idx="6">
                  <c:v>6.1274161775046476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0.80347648389806914</c:v>
                </c:pt>
                <c:pt idx="2">
                  <c:v>0.80444604442128487</c:v>
                </c:pt>
                <c:pt idx="3">
                  <c:v>0.80401808878706982</c:v>
                </c:pt>
                <c:pt idx="4">
                  <c:v>0.78390818888844349</c:v>
                </c:pt>
                <c:pt idx="5">
                  <c:v>0.81200499516487601</c:v>
                </c:pt>
                <c:pt idx="6">
                  <c:v>0.83013430618096562</c:v>
                </c:pt>
                <c:pt idx="7">
                  <c:v>0.84826361719705534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0.80876544467889211</c:v>
                </c:pt>
                <c:pt idx="1">
                  <c:v>0.8087654446788517</c:v>
                </c:pt>
                <c:pt idx="2">
                  <c:v>0.80876544467881128</c:v>
                </c:pt>
                <c:pt idx="3">
                  <c:v>0.80876544467877076</c:v>
                </c:pt>
                <c:pt idx="4">
                  <c:v>0.80876544467873035</c:v>
                </c:pt>
                <c:pt idx="5">
                  <c:v>0.80876544467868994</c:v>
                </c:pt>
                <c:pt idx="6">
                  <c:v>0.80876544467864953</c:v>
                </c:pt>
                <c:pt idx="7">
                  <c:v>0.80876544467860911</c:v>
                </c:pt>
                <c:pt idx="8">
                  <c:v>0.80876544467856859</c:v>
                </c:pt>
                <c:pt idx="9">
                  <c:v>0.80876544467852818</c:v>
                </c:pt>
                <c:pt idx="10">
                  <c:v>0.80876544467848777</c:v>
                </c:pt>
                <c:pt idx="11">
                  <c:v>0.80876544467844724</c:v>
                </c:pt>
                <c:pt idx="12">
                  <c:v>0.80876544467840683</c:v>
                </c:pt>
                <c:pt idx="13">
                  <c:v>0.80876544467836642</c:v>
                </c:pt>
                <c:pt idx="14">
                  <c:v>0.8087654446783259</c:v>
                </c:pt>
                <c:pt idx="15">
                  <c:v>0.80876544467828548</c:v>
                </c:pt>
                <c:pt idx="16">
                  <c:v>0.80876544467824496</c:v>
                </c:pt>
                <c:pt idx="17">
                  <c:v>0.80876544467820455</c:v>
                </c:pt>
                <c:pt idx="18">
                  <c:v>0.80876544467816402</c:v>
                </c:pt>
                <c:pt idx="19">
                  <c:v>0.80876544467812361</c:v>
                </c:pt>
                <c:pt idx="20">
                  <c:v>0.80876544467808309</c:v>
                </c:pt>
                <c:pt idx="21">
                  <c:v>0.80876544467804257</c:v>
                </c:pt>
                <c:pt idx="22">
                  <c:v>0.80876544467800215</c:v>
                </c:pt>
                <c:pt idx="23">
                  <c:v>0.80876544467796163</c:v>
                </c:pt>
                <c:pt idx="24">
                  <c:v>0.80876544467792111</c:v>
                </c:pt>
                <c:pt idx="25">
                  <c:v>0.8087654446778807</c:v>
                </c:pt>
                <c:pt idx="26">
                  <c:v>0.80876544467784017</c:v>
                </c:pt>
                <c:pt idx="27">
                  <c:v>0.80876544467779965</c:v>
                </c:pt>
                <c:pt idx="28">
                  <c:v>0.80876544467775924</c:v>
                </c:pt>
                <c:pt idx="29">
                  <c:v>0.80876544467771871</c:v>
                </c:pt>
                <c:pt idx="30">
                  <c:v>0.80876544467767819</c:v>
                </c:pt>
                <c:pt idx="31">
                  <c:v>0.80876544467763767</c:v>
                </c:pt>
                <c:pt idx="32">
                  <c:v>0.80876544467759715</c:v>
                </c:pt>
                <c:pt idx="33">
                  <c:v>0.80876544467755662</c:v>
                </c:pt>
                <c:pt idx="34">
                  <c:v>0.8087654446775161</c:v>
                </c:pt>
                <c:pt idx="35">
                  <c:v>0.80876544467747558</c:v>
                </c:pt>
                <c:pt idx="36">
                  <c:v>0.80876544467743505</c:v>
                </c:pt>
                <c:pt idx="37">
                  <c:v>0.80876544467739453</c:v>
                </c:pt>
                <c:pt idx="38">
                  <c:v>0.80876544467735401</c:v>
                </c:pt>
                <c:pt idx="39">
                  <c:v>0.80876544467731348</c:v>
                </c:pt>
                <c:pt idx="40">
                  <c:v>0.80876544467727296</c:v>
                </c:pt>
                <c:pt idx="41">
                  <c:v>0.80876544467723244</c:v>
                </c:pt>
                <c:pt idx="42">
                  <c:v>0.80876544467719191</c:v>
                </c:pt>
                <c:pt idx="43">
                  <c:v>0.80876544467715139</c:v>
                </c:pt>
                <c:pt idx="44">
                  <c:v>0.80876544467711087</c:v>
                </c:pt>
                <c:pt idx="45">
                  <c:v>0.80876544467707023</c:v>
                </c:pt>
                <c:pt idx="46">
                  <c:v>0.80876544467702971</c:v>
                </c:pt>
                <c:pt idx="47">
                  <c:v>0.80876544467698919</c:v>
                </c:pt>
                <c:pt idx="48">
                  <c:v>0.80876544467694866</c:v>
                </c:pt>
                <c:pt idx="49">
                  <c:v>0.80876544467690803</c:v>
                </c:pt>
                <c:pt idx="50">
                  <c:v>0.80876544467686751</c:v>
                </c:pt>
                <c:pt idx="51">
                  <c:v>0.80876544467682698</c:v>
                </c:pt>
                <c:pt idx="52">
                  <c:v>0.80876544467678635</c:v>
                </c:pt>
                <c:pt idx="53">
                  <c:v>0.80876544467674583</c:v>
                </c:pt>
                <c:pt idx="54">
                  <c:v>0.8087654446767053</c:v>
                </c:pt>
                <c:pt idx="55">
                  <c:v>0.80876544467666467</c:v>
                </c:pt>
                <c:pt idx="56">
                  <c:v>0.80876544467662415</c:v>
                </c:pt>
                <c:pt idx="57">
                  <c:v>0.80876544467658351</c:v>
                </c:pt>
                <c:pt idx="58">
                  <c:v>0.80876544467654299</c:v>
                </c:pt>
                <c:pt idx="59">
                  <c:v>0.80876544467650235</c:v>
                </c:pt>
                <c:pt idx="60">
                  <c:v>0.80876544467646172</c:v>
                </c:pt>
                <c:pt idx="61">
                  <c:v>0.8087654446764212</c:v>
                </c:pt>
                <c:pt idx="62">
                  <c:v>0.80876544467638056</c:v>
                </c:pt>
                <c:pt idx="63">
                  <c:v>0.80876544467634004</c:v>
                </c:pt>
                <c:pt idx="64">
                  <c:v>0.80876544467629941</c:v>
                </c:pt>
                <c:pt idx="65">
                  <c:v>0.80876544467625877</c:v>
                </c:pt>
                <c:pt idx="66">
                  <c:v>0.80876544467621814</c:v>
                </c:pt>
                <c:pt idx="67">
                  <c:v>0.80876544467617761</c:v>
                </c:pt>
                <c:pt idx="68">
                  <c:v>0.80876544467613698</c:v>
                </c:pt>
                <c:pt idx="69">
                  <c:v>0.80876544467609635</c:v>
                </c:pt>
                <c:pt idx="70">
                  <c:v>0.80876544467605571</c:v>
                </c:pt>
                <c:pt idx="71">
                  <c:v>0.80876544467601508</c:v>
                </c:pt>
                <c:pt idx="72">
                  <c:v>0.80876544467597455</c:v>
                </c:pt>
                <c:pt idx="73">
                  <c:v>0.80876544467593392</c:v>
                </c:pt>
                <c:pt idx="74">
                  <c:v>0.80876544467589329</c:v>
                </c:pt>
                <c:pt idx="75">
                  <c:v>0.80876544467585665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1.0390909090909111</c:v>
                </c:pt>
                <c:pt idx="1">
                  <c:v>0.99640000000000095</c:v>
                </c:pt>
                <c:pt idx="2">
                  <c:v>1.0502666666666678</c:v>
                </c:pt>
                <c:pt idx="3">
                  <c:v>1.4095061728395075</c:v>
                </c:pt>
                <c:pt idx="4">
                  <c:v>1.0087654320987665</c:v>
                </c:pt>
                <c:pt idx="5">
                  <c:v>0.81240740740740836</c:v>
                </c:pt>
                <c:pt idx="6">
                  <c:v>0.61604938271605014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5.203360452630589</c:v>
                </c:pt>
                <c:pt idx="1">
                  <c:v>4.0163681164980662</c:v>
                </c:pt>
                <c:pt idx="2">
                  <c:v>3.7863343457462624</c:v>
                </c:pt>
                <c:pt idx="3">
                  <c:v>3.9353092109589793</c:v>
                </c:pt>
                <c:pt idx="4">
                  <c:v>4.1249301470387003</c:v>
                </c:pt>
                <c:pt idx="5">
                  <c:v>3.234369980545134</c:v>
                </c:pt>
                <c:pt idx="6">
                  <c:v>2.3438098140515677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1.8841817176463025</c:v>
                </c:pt>
                <c:pt idx="1">
                  <c:v>3.3165375695441499</c:v>
                </c:pt>
                <c:pt idx="2">
                  <c:v>2.1747201257146807</c:v>
                </c:pt>
                <c:pt idx="3">
                  <c:v>2.4545000757768634</c:v>
                </c:pt>
                <c:pt idx="4">
                  <c:v>3.6619333648385601</c:v>
                </c:pt>
                <c:pt idx="5">
                  <c:v>3.045759844687236</c:v>
                </c:pt>
                <c:pt idx="6">
                  <c:v>2.4295863245359115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6.1366477825392947</c:v>
                </c:pt>
                <c:pt idx="1">
                  <c:v>6.1366477825392947</c:v>
                </c:pt>
                <c:pt idx="2">
                  <c:v>6.1366477825392947</c:v>
                </c:pt>
                <c:pt idx="3">
                  <c:v>6.1366477825392947</c:v>
                </c:pt>
                <c:pt idx="4">
                  <c:v>6.1366477825392947</c:v>
                </c:pt>
                <c:pt idx="5">
                  <c:v>6.1366477825392947</c:v>
                </c:pt>
                <c:pt idx="6">
                  <c:v>6.1366477825392947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0.93566502851241296</c:v>
                </c:pt>
                <c:pt idx="2">
                  <c:v>0.83460243447931093</c:v>
                </c:pt>
                <c:pt idx="3">
                  <c:v>0.76697159330857667</c:v>
                </c:pt>
                <c:pt idx="4">
                  <c:v>0.73946042678498891</c:v>
                </c:pt>
                <c:pt idx="5">
                  <c:v>0.77125461996018441</c:v>
                </c:pt>
                <c:pt idx="6">
                  <c:v>0.8033949328650013</c:v>
                </c:pt>
                <c:pt idx="7">
                  <c:v>0.83553524576981819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0.79840333976781919</c:v>
                </c:pt>
                <c:pt idx="1">
                  <c:v>0.79840333628925919</c:v>
                </c:pt>
                <c:pt idx="2">
                  <c:v>0.7984033327397082</c:v>
                </c:pt>
                <c:pt idx="3">
                  <c:v>0.79840332911697065</c:v>
                </c:pt>
                <c:pt idx="4">
                  <c:v>0.79840332541875936</c:v>
                </c:pt>
                <c:pt idx="5">
                  <c:v>0.79840332164269101</c:v>
                </c:pt>
                <c:pt idx="6">
                  <c:v>0.79840331778628071</c:v>
                </c:pt>
                <c:pt idx="7">
                  <c:v>0.79840331384693697</c:v>
                </c:pt>
                <c:pt idx="8">
                  <c:v>0.79840330982195518</c:v>
                </c:pt>
                <c:pt idx="9">
                  <c:v>0.79840330570851237</c:v>
                </c:pt>
                <c:pt idx="10">
                  <c:v>0.79840330150365968</c:v>
                </c:pt>
                <c:pt idx="11">
                  <c:v>0.79840329720431591</c:v>
                </c:pt>
                <c:pt idx="12">
                  <c:v>0.79840329280725986</c:v>
                </c:pt>
                <c:pt idx="13">
                  <c:v>0.79840328830912188</c:v>
                </c:pt>
                <c:pt idx="14">
                  <c:v>0.79840328370637625</c:v>
                </c:pt>
                <c:pt idx="15">
                  <c:v>0.79840327899533059</c:v>
                </c:pt>
                <c:pt idx="16">
                  <c:v>0.79840327417211721</c:v>
                </c:pt>
                <c:pt idx="17">
                  <c:v>0.79840326923268179</c:v>
                </c:pt>
                <c:pt idx="18">
                  <c:v>0.79840326417277241</c:v>
                </c:pt>
                <c:pt idx="19">
                  <c:v>0.79840325898792697</c:v>
                </c:pt>
                <c:pt idx="20">
                  <c:v>0.79840325367346032</c:v>
                </c:pt>
                <c:pt idx="21">
                  <c:v>0.7984032482244503</c:v>
                </c:pt>
                <c:pt idx="22">
                  <c:v>0.79840324263572204</c:v>
                </c:pt>
                <c:pt idx="23">
                  <c:v>0.79840323690183201</c:v>
                </c:pt>
                <c:pt idx="24">
                  <c:v>0.79840323101705013</c:v>
                </c:pt>
                <c:pt idx="25">
                  <c:v>0.79840322497534078</c:v>
                </c:pt>
                <c:pt idx="26">
                  <c:v>0.79840321877034193</c:v>
                </c:pt>
                <c:pt idx="27">
                  <c:v>0.79840321239534318</c:v>
                </c:pt>
                <c:pt idx="28">
                  <c:v>0.79840320584326108</c:v>
                </c:pt>
                <c:pt idx="29">
                  <c:v>0.79840319910661328</c:v>
                </c:pt>
                <c:pt idx="30">
                  <c:v>0.79840319217748978</c:v>
                </c:pt>
                <c:pt idx="31">
                  <c:v>0.79840318504752217</c:v>
                </c:pt>
                <c:pt idx="32">
                  <c:v>0.79840317770784974</c:v>
                </c:pt>
                <c:pt idx="33">
                  <c:v>0.79840317014908246</c:v>
                </c:pt>
                <c:pt idx="34">
                  <c:v>0.79840316236126163</c:v>
                </c:pt>
                <c:pt idx="35">
                  <c:v>0.79840315433381559</c:v>
                </c:pt>
                <c:pt idx="36">
                  <c:v>0.79840314605551188</c:v>
                </c:pt>
                <c:pt idx="37">
                  <c:v>0.79840313751440484</c:v>
                </c:pt>
                <c:pt idx="38">
                  <c:v>0.7984031286977783</c:v>
                </c:pt>
                <c:pt idx="39">
                  <c:v>0.79840311959208199</c:v>
                </c:pt>
                <c:pt idx="40">
                  <c:v>0.79840311018286247</c:v>
                </c:pt>
                <c:pt idx="41">
                  <c:v>0.79840310045468632</c:v>
                </c:pt>
                <c:pt idx="42">
                  <c:v>0.79840309039105584</c:v>
                </c:pt>
                <c:pt idx="43">
                  <c:v>0.79840307997431548</c:v>
                </c:pt>
                <c:pt idx="44">
                  <c:v>0.79840306918554871</c:v>
                </c:pt>
                <c:pt idx="45">
                  <c:v>0.79840305800446321</c:v>
                </c:pt>
                <c:pt idx="46">
                  <c:v>0.7984030464092633</c:v>
                </c:pt>
                <c:pt idx="47">
                  <c:v>0.79840303437650884</c:v>
                </c:pt>
                <c:pt idx="48">
                  <c:v>0.79840302188095602</c:v>
                </c:pt>
                <c:pt idx="49">
                  <c:v>0.79840300889538152</c:v>
                </c:pt>
                <c:pt idx="50">
                  <c:v>0.79840299539038406</c:v>
                </c:pt>
                <c:pt idx="51">
                  <c:v>0.79840298133416221</c:v>
                </c:pt>
                <c:pt idx="52">
                  <c:v>0.79840296669226452</c:v>
                </c:pt>
                <c:pt idx="53">
                  <c:v>0.79840295142730722</c:v>
                </c:pt>
                <c:pt idx="54">
                  <c:v>0.79840293549865626</c:v>
                </c:pt>
                <c:pt idx="55">
                  <c:v>0.79840291886206516</c:v>
                </c:pt>
                <c:pt idx="56">
                  <c:v>0.7984029014692654</c:v>
                </c:pt>
                <c:pt idx="57">
                  <c:v>0.7984028832674982</c:v>
                </c:pt>
                <c:pt idx="58">
                  <c:v>0.79840286419898021</c:v>
                </c:pt>
                <c:pt idx="59">
                  <c:v>0.79840284420029062</c:v>
                </c:pt>
                <c:pt idx="60">
                  <c:v>0.79840282320166656</c:v>
                </c:pt>
                <c:pt idx="61">
                  <c:v>0.79840280112618989</c:v>
                </c:pt>
                <c:pt idx="62">
                  <c:v>0.79840277788884617</c:v>
                </c:pt>
                <c:pt idx="63">
                  <c:v>0.79840275339542965</c:v>
                </c:pt>
                <c:pt idx="64">
                  <c:v>0.79840272754126795</c:v>
                </c:pt>
                <c:pt idx="65">
                  <c:v>0.79840270020972548</c:v>
                </c:pt>
                <c:pt idx="66">
                  <c:v>0.79840267127044517</c:v>
                </c:pt>
                <c:pt idx="67">
                  <c:v>0.79840264057726917</c:v>
                </c:pt>
                <c:pt idx="68">
                  <c:v>0.79840260796576956</c:v>
                </c:pt>
                <c:pt idx="69">
                  <c:v>0.79840257325030239</c:v>
                </c:pt>
                <c:pt idx="70">
                  <c:v>0.79840253622047064</c:v>
                </c:pt>
                <c:pt idx="71">
                  <c:v>0.79840249663685736</c:v>
                </c:pt>
                <c:pt idx="72">
                  <c:v>0.79840245422584322</c:v>
                </c:pt>
                <c:pt idx="73">
                  <c:v>0.7984024086732725</c:v>
                </c:pt>
                <c:pt idx="74">
                  <c:v>0.79840235961665784</c:v>
                </c:pt>
                <c:pt idx="75">
                  <c:v>0.79840231212360058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5.1639999999999997</c:v>
                </c:pt>
                <c:pt idx="1">
                  <c:v>3.0127083333333333</c:v>
                </c:pt>
                <c:pt idx="2">
                  <c:v>3.4203333333333341</c:v>
                </c:pt>
                <c:pt idx="3">
                  <c:v>3.1503030303030304</c:v>
                </c:pt>
                <c:pt idx="4">
                  <c:v>1.5084615384615381</c:v>
                </c:pt>
                <c:pt idx="5">
                  <c:v>1.1787545787545786</c:v>
                </c:pt>
                <c:pt idx="6">
                  <c:v>0.84904761904761905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2.0004000800160032E-4</c:v>
                </c:pt>
                <c:pt idx="12">
                  <c:v>0</c:v>
                </c:pt>
                <c:pt idx="13">
                  <c:v>0</c:v>
                </c:pt>
                <c:pt idx="14">
                  <c:v>2.0004000800160032E-4</c:v>
                </c:pt>
                <c:pt idx="15">
                  <c:v>4.0008001600320064E-4</c:v>
                </c:pt>
                <c:pt idx="16">
                  <c:v>0</c:v>
                </c:pt>
                <c:pt idx="17">
                  <c:v>0</c:v>
                </c:pt>
                <c:pt idx="18">
                  <c:v>1.0002000400080016E-3</c:v>
                </c:pt>
                <c:pt idx="19">
                  <c:v>0</c:v>
                </c:pt>
                <c:pt idx="20">
                  <c:v>8.0016003200640128E-4</c:v>
                </c:pt>
                <c:pt idx="21">
                  <c:v>1.6003200640128026E-3</c:v>
                </c:pt>
                <c:pt idx="22">
                  <c:v>3.0006001200240046E-3</c:v>
                </c:pt>
                <c:pt idx="23">
                  <c:v>6.2012402480496097E-3</c:v>
                </c:pt>
                <c:pt idx="24">
                  <c:v>9.4018803760752157E-3</c:v>
                </c:pt>
                <c:pt idx="25">
                  <c:v>1.5403080616123225E-2</c:v>
                </c:pt>
                <c:pt idx="26">
                  <c:v>2.0804160832166432E-2</c:v>
                </c:pt>
                <c:pt idx="27">
                  <c:v>2.6605321064212841E-2</c:v>
                </c:pt>
                <c:pt idx="28">
                  <c:v>3.7807561512302461E-2</c:v>
                </c:pt>
                <c:pt idx="29">
                  <c:v>4.3808761752350468E-2</c:v>
                </c:pt>
                <c:pt idx="30">
                  <c:v>5.8211642328465693E-2</c:v>
                </c:pt>
                <c:pt idx="31">
                  <c:v>7.1014202840568114E-2</c:v>
                </c:pt>
                <c:pt idx="32">
                  <c:v>7.7615523104620929E-2</c:v>
                </c:pt>
                <c:pt idx="33">
                  <c:v>8.1016203240648135E-2</c:v>
                </c:pt>
                <c:pt idx="34">
                  <c:v>8.3016603320664129E-2</c:v>
                </c:pt>
                <c:pt idx="35">
                  <c:v>8.2616523304660933E-2</c:v>
                </c:pt>
                <c:pt idx="36">
                  <c:v>8.0016003200640132E-2</c:v>
                </c:pt>
                <c:pt idx="37">
                  <c:v>7.2214442888577715E-2</c:v>
                </c:pt>
                <c:pt idx="38">
                  <c:v>6.0012002400480095E-2</c:v>
                </c:pt>
                <c:pt idx="39">
                  <c:v>5.2010402080416081E-2</c:v>
                </c:pt>
                <c:pt idx="40">
                  <c:v>3.5807161432286461E-2</c:v>
                </c:pt>
                <c:pt idx="41">
                  <c:v>2.8405681136227247E-2</c:v>
                </c:pt>
                <c:pt idx="42">
                  <c:v>1.7403480696139229E-2</c:v>
                </c:pt>
                <c:pt idx="43">
                  <c:v>1.0602120424084817E-2</c:v>
                </c:pt>
                <c:pt idx="44">
                  <c:v>8.4016803360672139E-3</c:v>
                </c:pt>
                <c:pt idx="45">
                  <c:v>6.0012002400480092E-3</c:v>
                </c:pt>
                <c:pt idx="46">
                  <c:v>3.2006401280256051E-3</c:v>
                </c:pt>
                <c:pt idx="47">
                  <c:v>2.2004400880176033E-3</c:v>
                </c:pt>
                <c:pt idx="48">
                  <c:v>1.2002400480096019E-3</c:v>
                </c:pt>
                <c:pt idx="49">
                  <c:v>4.0008001600320064E-4</c:v>
                </c:pt>
                <c:pt idx="50">
                  <c:v>8.0016003200640128E-4</c:v>
                </c:pt>
                <c:pt idx="51">
                  <c:v>4.0008001600320064E-4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2.0004000800160032E-4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20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114"/>
  <sheetViews>
    <sheetView tabSelected="1" workbookViewId="0">
      <pane xSplit="1950" ySplit="5400" topLeftCell="AV94" activePane="bottomRight"/>
      <selection activeCell="B7" sqref="B7"/>
      <selection pane="topRight" activeCell="U17" sqref="U17"/>
      <selection pane="bottomLeft" activeCell="A18" sqref="A18"/>
      <selection pane="bottomRight" activeCell="AX103" sqref="AX103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  <col min="46" max="46" width="67.28515625" customWidth="1"/>
    <col min="47" max="47" width="8.85546875" customWidth="1"/>
    <col min="48" max="48" width="58.5703125" customWidth="1"/>
    <col min="49" max="49" width="11.140625" customWidth="1"/>
    <col min="50" max="50" width="10.5703125" customWidth="1"/>
    <col min="51" max="51" width="13.5703125" customWidth="1"/>
    <col min="52" max="52" width="11.28515625" customWidth="1"/>
    <col min="55" max="55" width="10" customWidth="1"/>
    <col min="56" max="56" width="26.85546875" customWidth="1"/>
  </cols>
  <sheetData>
    <row r="1" spans="1:65" x14ac:dyDescent="0.25">
      <c r="A1" s="40" t="s">
        <v>32</v>
      </c>
      <c r="B1" s="40"/>
      <c r="C1" s="40"/>
      <c r="D1">
        <v>6</v>
      </c>
    </row>
    <row r="2" spans="1:65" x14ac:dyDescent="0.25">
      <c r="C2" s="37" t="s">
        <v>30</v>
      </c>
      <c r="D2" s="38"/>
      <c r="E2" s="38"/>
      <c r="F2" s="38"/>
      <c r="G2" s="38"/>
      <c r="H2" s="38"/>
      <c r="I2" s="38"/>
      <c r="J2" s="38"/>
      <c r="K2" s="38"/>
      <c r="L2" s="39"/>
      <c r="M2" s="37" t="s">
        <v>38</v>
      </c>
      <c r="N2" s="38"/>
      <c r="O2" s="38"/>
      <c r="P2" s="38"/>
      <c r="Q2" s="38"/>
      <c r="R2" s="38"/>
      <c r="S2" s="38"/>
      <c r="T2" s="38"/>
      <c r="U2" s="38"/>
      <c r="V2" s="39"/>
      <c r="W2" s="37" t="s">
        <v>33</v>
      </c>
      <c r="X2" s="38"/>
      <c r="Y2" s="38"/>
      <c r="Z2" s="38"/>
      <c r="AA2" s="38"/>
      <c r="AB2" s="38"/>
      <c r="AC2" s="38"/>
      <c r="AD2" s="38"/>
      <c r="AE2" s="38"/>
      <c r="AF2" s="39"/>
      <c r="AG2" s="37" t="s">
        <v>150</v>
      </c>
      <c r="AH2" s="38"/>
      <c r="AI2" s="38"/>
      <c r="AJ2" s="38"/>
      <c r="AK2" s="38"/>
      <c r="AL2" s="38"/>
      <c r="AM2" s="38"/>
      <c r="AN2" s="38"/>
      <c r="AO2" s="38"/>
      <c r="AP2" s="39"/>
    </row>
    <row r="3" spans="1:65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  <c r="AT3" t="str">
        <f>C3</f>
        <v>OTH</v>
      </c>
      <c r="AU3" t="str">
        <f t="shared" ref="AU3:BC3" si="0">D3</f>
        <v>xOTH</v>
      </c>
      <c r="AV3" t="str">
        <f t="shared" si="0"/>
        <v>ALP</v>
      </c>
      <c r="AW3" t="str">
        <f t="shared" si="0"/>
        <v>LNP</v>
      </c>
      <c r="AX3" t="str">
        <f t="shared" si="0"/>
        <v>GRN</v>
      </c>
      <c r="AY3" t="str">
        <f t="shared" si="0"/>
        <v>ONP</v>
      </c>
      <c r="AZ3" t="str">
        <f t="shared" si="0"/>
        <v>UAP</v>
      </c>
      <c r="BA3" t="str">
        <f t="shared" si="0"/>
        <v>DEM</v>
      </c>
      <c r="BB3" t="str">
        <f t="shared" si="0"/>
        <v>FF</v>
      </c>
      <c r="BC3" t="str">
        <f t="shared" si="0"/>
        <v>DLP</v>
      </c>
      <c r="BF3">
        <v>0</v>
      </c>
      <c r="BG3">
        <f>BF3+1</f>
        <v>1</v>
      </c>
      <c r="BH3">
        <f t="shared" ref="BH3:BM3" si="1">BG3+1</f>
        <v>2</v>
      </c>
      <c r="BI3">
        <f t="shared" si="1"/>
        <v>3</v>
      </c>
      <c r="BJ3">
        <f t="shared" si="1"/>
        <v>4</v>
      </c>
      <c r="BK3">
        <f t="shared" si="1"/>
        <v>5</v>
      </c>
      <c r="BL3">
        <f t="shared" si="1"/>
        <v>6</v>
      </c>
      <c r="BM3">
        <f t="shared" si="1"/>
        <v>7</v>
      </c>
    </row>
    <row r="4" spans="1:65" x14ac:dyDescent="0.25">
      <c r="A4" t="s">
        <v>36</v>
      </c>
      <c r="B4" s="2">
        <v>2022</v>
      </c>
      <c r="M4">
        <f t="shared" ref="M4:T4" ca="1" si="2">MAX(0,_xlfn.FORECAST.LINEAR($B4,OFFSET(C5,0,0,$D$1),OFFSET($B5,0,0,$D$1)))</f>
        <v>15.909333333333052</v>
      </c>
      <c r="N4">
        <f t="shared" ca="1" si="2"/>
        <v>10.429333333333375</v>
      </c>
      <c r="O4">
        <f t="shared" ca="1" si="2"/>
        <v>31.607333333333372</v>
      </c>
      <c r="P4">
        <f t="shared" ca="1" si="2"/>
        <v>41.120666666666637</v>
      </c>
      <c r="Q4">
        <f t="shared" ca="1" si="2"/>
        <v>11.362666666666655</v>
      </c>
      <c r="R4">
        <f t="shared" ca="1" si="2"/>
        <v>2.2839999999999918</v>
      </c>
      <c r="S4">
        <f t="shared" ca="1" si="2"/>
        <v>2.3999999999999773</v>
      </c>
      <c r="T4">
        <f t="shared" ca="1" si="2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3">SUM(D5:D10)/6</f>
        <v>7.5033333333333267</v>
      </c>
      <c r="AI4">
        <f t="shared" si="3"/>
        <v>36.758333333333333</v>
      </c>
      <c r="AJ4">
        <f t="shared" si="3"/>
        <v>43.581666666666671</v>
      </c>
      <c r="AK4">
        <f t="shared" si="3"/>
        <v>9.336666666666666</v>
      </c>
      <c r="AL4">
        <f t="shared" si="3"/>
        <v>1.0349999999999999</v>
      </c>
      <c r="AM4">
        <f t="shared" si="3"/>
        <v>1.4866666666666666</v>
      </c>
      <c r="AN4">
        <f t="shared" si="3"/>
        <v>0.32666666666666666</v>
      </c>
      <c r="AO4">
        <f t="shared" si="3"/>
        <v>1.5250000000000001</v>
      </c>
      <c r="AP4" s="2">
        <f t="shared" si="3"/>
        <v>0</v>
      </c>
      <c r="AR4" t="str">
        <f>LEFT(A4,FIND(" ",A4)-1)</f>
        <v>2022</v>
      </c>
      <c r="AS4" t="str">
        <f>MID(A4,FIND(" ",A4)+1,1000)</f>
        <v>fed</v>
      </c>
      <c r="AT4" t="str">
        <f>$AR4&amp;","&amp;$AS4&amp;","&amp;AT$3&amp;" FP,"&amp;IF(ISBLANK(C5),0,ROUND(C5,2))&amp;","&amp;IF(ISBLANK(C6),0,ROUND(C6,2))&amp;","&amp;IF(ISBLANK(C7),0,ROUND(C7,2))&amp;","&amp;IF(ISBLANK(C8),0,ROUND(C8,2))&amp;","&amp;IF(ISBLANK(C9),0,ROUND(C9,2))&amp;","&amp;IF(ISBLANK(C10),0,ROUND(C10,2))&amp;","&amp;IF(ISBLANK(C11),0,ROUND(C11,2))&amp;","&amp;IF(ISBLANK(C12),0,ROUND(C12,2))</f>
        <v>2022,fed,OTH FP,14.72,13,12.42,6.59,6.74,8.47,14.28,17.77</v>
      </c>
      <c r="AU4" t="str">
        <f t="shared" ref="AU4:BC4" si="4">$AR4&amp;","&amp;$AS4&amp;","&amp;AU$3&amp;" FP,"&amp;IF(ISBLANK(D5),0,ROUND(D5,2))&amp;","&amp;IF(ISBLANK(D6),0,ROUND(D6,2))&amp;","&amp;IF(ISBLANK(D7),0,ROUND(D7,2))&amp;","&amp;IF(ISBLANK(D8),0,ROUND(D8,2))&amp;","&amp;IF(ISBLANK(D9),0,ROUND(D9,2))&amp;","&amp;IF(ISBLANK(D10),0,ROUND(D10,2))&amp;","&amp;IF(ISBLANK(D11),0,ROUND(D11,2))&amp;","&amp;IF(ISBLANK(D12),0,ROUND(D12,2))</f>
        <v>2022,fed,xOTH FP,8.21,11.71,6.93,6.37,5.76,6.04,4.53,3.21</v>
      </c>
      <c r="AV4" t="str">
        <f t="shared" si="4"/>
        <v>2022,fed,ALP FP,33.44,34.73,33.38,37.99,43.38,37.63,37.84,40.1</v>
      </c>
      <c r="AW4" t="str">
        <f t="shared" si="4"/>
        <v>2022,fed,LNP FP,41.44,42.04,45.55,43.66,42.09,46.71,42.92,39.51</v>
      </c>
      <c r="AX4" t="str">
        <f t="shared" si="4"/>
        <v>2022,fed,GRN FP,10.4,10.23,8.65,11.76,7.79,7.19,4.96,2.62</v>
      </c>
      <c r="AY4" t="str">
        <f t="shared" si="4"/>
        <v>2022,fed,ONP FP,3.08,1.29,0.17,0.22,0.26,1.19,4.34,9.43</v>
      </c>
      <c r="AZ4" t="str">
        <f t="shared" si="4"/>
        <v>2022,fed,UAP FP,3.43,0,5.49,0,0,0,0,0</v>
      </c>
      <c r="BA4" t="str">
        <f t="shared" si="4"/>
        <v>2022,fed,DEM FP,0,0,0,0,0.72,1.24,5.41,5.13</v>
      </c>
      <c r="BB4" t="str">
        <f t="shared" si="4"/>
        <v>2022,fed,FF FP,0,1.49,1.41,2.25,1.99,2.01,0,0</v>
      </c>
      <c r="BC4" t="str">
        <f t="shared" si="4"/>
        <v>2022,fed,DLP FP,0,0,0,0,0,0,0,0</v>
      </c>
      <c r="BE4">
        <v>0</v>
      </c>
    </row>
    <row r="5" spans="1:65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5">MAX(0,_xlfn.FORECAST.LINEAR($B5,OFFSET(D6,0,0,$D$1),OFFSET($B6,0,0,$D$1)))</f>
        <v>10.807999999999993</v>
      </c>
      <c r="O5">
        <f t="shared" ca="1" si="5"/>
        <v>34.122666666666646</v>
      </c>
      <c r="P5">
        <f t="shared" ca="1" si="5"/>
        <v>43.197333333333333</v>
      </c>
      <c r="Q5">
        <f t="shared" ca="1" si="5"/>
        <v>11.899999999999864</v>
      </c>
      <c r="R5">
        <f t="shared" ca="1" si="5"/>
        <v>0</v>
      </c>
      <c r="S5" t="e">
        <f t="shared" ca="1" si="5"/>
        <v>#DIV/0!</v>
      </c>
      <c r="T5">
        <f t="shared" ca="1" si="5"/>
        <v>0</v>
      </c>
      <c r="U5">
        <f t="shared" ca="1" si="5"/>
        <v>1.3440000000000083</v>
      </c>
      <c r="V5" s="6"/>
      <c r="W5" s="4">
        <f ca="1">IF(ISBLANK(C5),NA(),C5-M5)</f>
        <v>3.9400000000000119</v>
      </c>
      <c r="X5" s="3">
        <f t="shared" ref="X5:AF5" ca="1" si="6">IF(ISBLANK(D5),NA(),D5-N5)</f>
        <v>-2.597999999999999</v>
      </c>
      <c r="Y5" s="3">
        <f t="shared" ca="1" si="6"/>
        <v>-0.68266666666664833</v>
      </c>
      <c r="Z5" s="3">
        <f t="shared" ca="1" si="6"/>
        <v>-1.7573333333333352</v>
      </c>
      <c r="AA5" s="3">
        <f t="shared" ca="1" si="6"/>
        <v>-1.4999999999998632</v>
      </c>
      <c r="AB5" s="3">
        <f t="shared" ca="1" si="6"/>
        <v>3.08</v>
      </c>
      <c r="AC5" s="3" t="e">
        <f t="shared" ca="1" si="6"/>
        <v>#DIV/0!</v>
      </c>
      <c r="AD5" s="3" t="e">
        <f t="shared" si="6"/>
        <v>#N/A</v>
      </c>
      <c r="AE5" s="3" t="e">
        <f t="shared" si="6"/>
        <v>#N/A</v>
      </c>
      <c r="AF5" s="5" t="e">
        <f t="shared" si="6"/>
        <v>#N/A</v>
      </c>
      <c r="AG5">
        <f t="shared" ref="AG5:AG17" si="7">SUM(C6:C11)/6</f>
        <v>10.249999999999995</v>
      </c>
      <c r="AH5">
        <f t="shared" ref="AH5:AH17" si="8">SUM(D6:D11)/6</f>
        <v>6.8899999999999944</v>
      </c>
      <c r="AI5">
        <f t="shared" ref="AI5:AI17" si="9">SUM(E6:E11)/6</f>
        <v>37.491666666666667</v>
      </c>
      <c r="AJ5">
        <f t="shared" ref="AJ5:AJ17" si="10">SUM(F6:F11)/6</f>
        <v>43.82833333333334</v>
      </c>
      <c r="AK5">
        <f t="shared" ref="AK5:AK17" si="11">SUM(G6:G11)/6</f>
        <v>8.43</v>
      </c>
      <c r="AL5">
        <f t="shared" ref="AL5:AL17" si="12">SUM(H6:H11)/6</f>
        <v>1.2449999999999999</v>
      </c>
      <c r="AM5">
        <f t="shared" ref="AM5:AM17" si="13">SUM(I6:I11)/6</f>
        <v>0.91500000000000004</v>
      </c>
      <c r="AN5">
        <f t="shared" ref="AN5:AN17" si="14">SUM(J6:J11)/6</f>
        <v>1.2283333333333333</v>
      </c>
      <c r="AO5">
        <f t="shared" ref="AO5:AO17" si="15">SUM(K6:K11)/6</f>
        <v>1.5250000000000001</v>
      </c>
      <c r="AP5" s="2">
        <f t="shared" ref="AP5:AP17" si="16">SUM(L6:L11)/6</f>
        <v>0</v>
      </c>
      <c r="AR5" t="str">
        <f t="shared" ref="AR5:AR10" si="17">LEFT(A5,FIND(" ",A5)-1)</f>
        <v>2019</v>
      </c>
      <c r="AS5" t="str">
        <f t="shared" ref="AS5:AS10" si="18">MID(A5,FIND(" ",A5)+1,1000)</f>
        <v>fed</v>
      </c>
      <c r="AT5" t="str">
        <f t="shared" ref="AT5:AT10" si="19">$AR5&amp;","&amp;$AS5&amp;","&amp;AT$3&amp;" FP,"&amp;IF(ISBLANK(C6),0,ROUND(C6,2))&amp;","&amp;IF(ISBLANK(C7),0,ROUND(C7,2))&amp;","&amp;IF(ISBLANK(C8),0,ROUND(C8,2))&amp;","&amp;IF(ISBLANK(C9),0,ROUND(C9,2))&amp;","&amp;IF(ISBLANK(C10),0,ROUND(C10,2))&amp;","&amp;IF(ISBLANK(C11),0,ROUND(C11,2))&amp;","&amp;IF(ISBLANK(C12),0,ROUND(C12,2))&amp;","&amp;IF(ISBLANK(C13),0,ROUND(C13,2))</f>
        <v>2019,fed,OTH FP,13,12.42,6.59,6.74,8.47,14.28,17.77,11.08</v>
      </c>
      <c r="AU5" t="str">
        <f t="shared" ref="AU5:AU10" si="20">$AR5&amp;","&amp;$AS5&amp;","&amp;AU$3&amp;" FP,"&amp;IF(ISBLANK(D6),0,ROUND(D6,2))&amp;","&amp;IF(ISBLANK(D7),0,ROUND(D7,2))&amp;","&amp;IF(ISBLANK(D8),0,ROUND(D8,2))&amp;","&amp;IF(ISBLANK(D9),0,ROUND(D9,2))&amp;","&amp;IF(ISBLANK(D10),0,ROUND(D10,2))&amp;","&amp;IF(ISBLANK(D11),0,ROUND(D11,2))&amp;","&amp;IF(ISBLANK(D12),0,ROUND(D12,2))&amp;","&amp;IF(ISBLANK(D13),0,ROUND(D13,2))</f>
        <v>2019,fed,xOTH FP,11.71,6.93,6.37,5.76,6.04,4.53,3.21,4.32</v>
      </c>
      <c r="AV5" t="str">
        <f t="shared" ref="AV5:AV10" si="21">$AR5&amp;","&amp;$AS5&amp;","&amp;AV$3&amp;" FP,"&amp;IF(ISBLANK(E6),0,ROUND(E6,2))&amp;","&amp;IF(ISBLANK(E7),0,ROUND(E7,2))&amp;","&amp;IF(ISBLANK(E8),0,ROUND(E8,2))&amp;","&amp;IF(ISBLANK(E9),0,ROUND(E9,2))&amp;","&amp;IF(ISBLANK(E10),0,ROUND(E10,2))&amp;","&amp;IF(ISBLANK(E11),0,ROUND(E11,2))&amp;","&amp;IF(ISBLANK(E12),0,ROUND(E12,2))&amp;","&amp;IF(ISBLANK(E13),0,ROUND(E13,2))</f>
        <v>2019,fed,ALP FP,34.73,33.38,37.99,43.38,37.63,37.84,40.1,38.75</v>
      </c>
      <c r="AW5" t="str">
        <f t="shared" ref="AW5:AW10" si="22">$AR5&amp;","&amp;$AS5&amp;","&amp;AW$3&amp;" FP,"&amp;IF(ISBLANK(F6),0,ROUND(F6,2))&amp;","&amp;IF(ISBLANK(F7),0,ROUND(F7,2))&amp;","&amp;IF(ISBLANK(F8),0,ROUND(F8,2))&amp;","&amp;IF(ISBLANK(F9),0,ROUND(F9,2))&amp;","&amp;IF(ISBLANK(F10),0,ROUND(F10,2))&amp;","&amp;IF(ISBLANK(F11),0,ROUND(F11,2))&amp;","&amp;IF(ISBLANK(F12),0,ROUND(F12,2))&amp;","&amp;IF(ISBLANK(F13),0,ROUND(F13,2))</f>
        <v>2019,fed,LNP FP,42.04,45.55,43.66,42.09,46.71,42.92,39.51,47.25</v>
      </c>
      <c r="AX5" t="str">
        <f t="shared" ref="AX5:AX10" si="23">$AR5&amp;","&amp;$AS5&amp;","&amp;AX$3&amp;" FP,"&amp;IF(ISBLANK(G6),0,ROUND(G6,2))&amp;","&amp;IF(ISBLANK(G7),0,ROUND(G7,2))&amp;","&amp;IF(ISBLANK(G8),0,ROUND(G8,2))&amp;","&amp;IF(ISBLANK(G9),0,ROUND(G9,2))&amp;","&amp;IF(ISBLANK(G10),0,ROUND(G10,2))&amp;","&amp;IF(ISBLANK(G11),0,ROUND(G11,2))&amp;","&amp;IF(ISBLANK(G12),0,ROUND(G12,2))&amp;","&amp;IF(ISBLANK(G13),0,ROUND(G13,2))</f>
        <v>2019,fed,GRN FP,10.23,8.65,11.76,7.79,7.19,4.96,2.62,2.92</v>
      </c>
      <c r="AY5" t="str">
        <f t="shared" ref="AY5:AY10" si="24">$AR5&amp;","&amp;$AS5&amp;","&amp;AY$3&amp;" FP,"&amp;IF(ISBLANK(H6),0,ROUND(H6,2))&amp;","&amp;IF(ISBLANK(H7),0,ROUND(H7,2))&amp;","&amp;IF(ISBLANK(H8),0,ROUND(H8,2))&amp;","&amp;IF(ISBLANK(H9),0,ROUND(H9,2))&amp;","&amp;IF(ISBLANK(H10),0,ROUND(H10,2))&amp;","&amp;IF(ISBLANK(H11),0,ROUND(H11,2))&amp;","&amp;IF(ISBLANK(H12),0,ROUND(H12,2))&amp;","&amp;IF(ISBLANK(H13),0,ROUND(H13,2))</f>
        <v>2019,fed,ONP FP,1.29,0.17,0.22,0.26,1.19,4.34,9.43,0</v>
      </c>
      <c r="AZ5" t="str">
        <f t="shared" ref="AZ5:AZ10" si="25">$AR5&amp;","&amp;$AS5&amp;","&amp;AZ$3&amp;" FP,"&amp;IF(ISBLANK(I6),0,ROUND(I6,2))&amp;","&amp;IF(ISBLANK(I7),0,ROUND(I7,2))&amp;","&amp;IF(ISBLANK(I8),0,ROUND(I8,2))&amp;","&amp;IF(ISBLANK(I9),0,ROUND(I9,2))&amp;","&amp;IF(ISBLANK(I10),0,ROUND(I10,2))&amp;","&amp;IF(ISBLANK(I11),0,ROUND(I11,2))&amp;","&amp;IF(ISBLANK(I12),0,ROUND(I12,2))&amp;","&amp;IF(ISBLANK(I13),0,ROUND(I13,2))</f>
        <v>2019,fed,UAP FP,0,5.49,0,0,0,0,0,0</v>
      </c>
      <c r="BA5" t="str">
        <f t="shared" ref="BA5:BA10" si="26">$AR5&amp;","&amp;$AS5&amp;","&amp;BA$3&amp;" FP,"&amp;IF(ISBLANK(J6),0,ROUND(J6,2))&amp;","&amp;IF(ISBLANK(J7),0,ROUND(J7,2))&amp;","&amp;IF(ISBLANK(J8),0,ROUND(J8,2))&amp;","&amp;IF(ISBLANK(J9),0,ROUND(J9,2))&amp;","&amp;IF(ISBLANK(J10),0,ROUND(J10,2))&amp;","&amp;IF(ISBLANK(J11),0,ROUND(J11,2))&amp;","&amp;IF(ISBLANK(J12),0,ROUND(J12,2))&amp;","&amp;IF(ISBLANK(J13),0,ROUND(J13,2))</f>
        <v>2019,fed,DEM FP,0,0,0,0.72,1.24,5.41,5.13,6.76</v>
      </c>
      <c r="BB5" t="str">
        <f t="shared" ref="BB5:BB10" si="27">$AR5&amp;","&amp;$AS5&amp;","&amp;BB$3&amp;" FP,"&amp;IF(ISBLANK(K6),0,ROUND(K6,2))&amp;","&amp;IF(ISBLANK(K7),0,ROUND(K7,2))&amp;","&amp;IF(ISBLANK(K8),0,ROUND(K8,2))&amp;","&amp;IF(ISBLANK(K9),0,ROUND(K9,2))&amp;","&amp;IF(ISBLANK(K10),0,ROUND(K10,2))&amp;","&amp;IF(ISBLANK(K11),0,ROUND(K11,2))&amp;","&amp;IF(ISBLANK(K12),0,ROUND(K12,2))&amp;","&amp;IF(ISBLANK(K13),0,ROUND(K13,2))</f>
        <v>2019,fed,FF FP,1.49,1.41,2.25,1.99,2.01,0,0,0</v>
      </c>
      <c r="BC5" t="str">
        <f t="shared" ref="BC5:BC10" si="28">$AR5&amp;","&amp;$AS5&amp;","&amp;BC$3&amp;" FP,"&amp;IF(ISBLANK(L6),0,ROUND(L6,2))&amp;","&amp;IF(ISBLANK(L7),0,ROUND(L7,2))&amp;","&amp;IF(ISBLANK(L8),0,ROUND(L8,2))&amp;","&amp;IF(ISBLANK(L9),0,ROUND(L9,2))&amp;","&amp;IF(ISBLANK(L10),0,ROUND(L10,2))&amp;","&amp;IF(ISBLANK(L11),0,ROUND(L11,2))&amp;","&amp;IF(ISBLANK(L12),0,ROUND(L12,2))&amp;","&amp;IF(ISBLANK(L13),0,ROUND(L13,2))</f>
        <v>2019,fed,DLP FP,0,0,0,0,0,0,0,0</v>
      </c>
      <c r="BE5">
        <f>BE4+1</f>
        <v>1</v>
      </c>
    </row>
    <row r="6" spans="1:65" x14ac:dyDescent="0.25">
      <c r="A6" t="s">
        <v>9</v>
      </c>
      <c r="B6" s="2">
        <v>2016</v>
      </c>
      <c r="C6">
        <f>100-SUM(E6:G6)</f>
        <v>13</v>
      </c>
      <c r="D6">
        <f t="shared" ref="D6:D23" si="29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30">MAX(0,_xlfn.FORECAST.LINEAR($B6,OFFSET(C7,0,0,$D$1),OFFSET($B7,0,0,$D$1)))</f>
        <v>5.8899999999999864</v>
      </c>
      <c r="N6">
        <f t="shared" ref="N6:N15" ca="1" si="31">MAX(0,_xlfn.FORECAST.LINEAR($B6,OFFSET(D7,0,0,$D$1),OFFSET($B7,0,0,$D$1)))</f>
        <v>7.8573333333333721</v>
      </c>
      <c r="O6">
        <f t="shared" ref="O6:O15" ca="1" si="32">MAX(0,_xlfn.FORECAST.LINEAR($B6,OFFSET(E7,0,0,$D$1),OFFSET($B7,0,0,$D$1)))</f>
        <v>35.646666666666647</v>
      </c>
      <c r="P6">
        <f t="shared" ref="P6:P15" ca="1" si="33">MAX(0,_xlfn.FORECAST.LINEAR($B6,OFFSET(F7,0,0,$D$1),OFFSET($B7,0,0,$D$1)))</f>
        <v>46.186666666666611</v>
      </c>
      <c r="Q6">
        <f t="shared" ref="Q6:Q15" ca="1" si="34">MAX(0,_xlfn.FORECAST.LINEAR($B6,OFFSET(G7,0,0,$D$1),OFFSET($B7,0,0,$D$1)))</f>
        <v>12.276666666666642</v>
      </c>
      <c r="R6">
        <f t="shared" ref="R6:R15" ca="1" si="35">MAX(0,_xlfn.FORECAST.LINEAR($B6,OFFSET(H7,0,0,$D$1),OFFSET($B7,0,0,$D$1)))</f>
        <v>0</v>
      </c>
      <c r="S6" t="e">
        <f t="shared" ref="S6:S15" ca="1" si="36">MAX(0,_xlfn.FORECAST.LINEAR($B6,OFFSET(I7,0,0,$D$1),OFFSET($B7,0,0,$D$1)))</f>
        <v>#DIV/0!</v>
      </c>
      <c r="T6">
        <f t="shared" ref="T6:T15" ca="1" si="37">MAX(0,_xlfn.FORECAST.LINEAR($B6,OFFSET(J7,0,0,$D$1),OFFSET($B7,0,0,$D$1)))</f>
        <v>0</v>
      </c>
      <c r="U6">
        <f t="shared" ref="U6:U15" ca="1" si="38">MAX(0,_xlfn.FORECAST.LINEAR($B6,OFFSET(K7,0,0,$D$1),OFFSET($B7,0,0,$D$1)))</f>
        <v>1.5300000000000153</v>
      </c>
      <c r="W6" s="4">
        <f t="shared" ref="W6:W15" ca="1" si="39">IF(ISBLANK(C6),NA(),C6-M6)</f>
        <v>7.1100000000000136</v>
      </c>
      <c r="X6" s="3">
        <f t="shared" ref="X6:X15" ca="1" si="40">IF(ISBLANK(D6),NA(),D6-N6)</f>
        <v>3.8526666666666216</v>
      </c>
      <c r="Y6" s="3">
        <f t="shared" ref="Y6:Y15" ca="1" si="41">IF(ISBLANK(E6),NA(),E6-O6)</f>
        <v>-0.91666666666665009</v>
      </c>
      <c r="Z6" s="3">
        <f t="shared" ref="Z6:Z15" ca="1" si="42">IF(ISBLANK(F6),NA(),F6-P6)</f>
        <v>-4.1466666666666114</v>
      </c>
      <c r="AA6" s="3">
        <f t="shared" ref="AA6:AA13" ca="1" si="43">IF(ISBLANK(G6),NA(),G6-Q6)</f>
        <v>-2.046666666666642</v>
      </c>
      <c r="AB6" s="3">
        <f t="shared" ref="AB6:AB15" ca="1" si="44">IF(ISBLANK(H6),NA(),H6-R6)</f>
        <v>1.29</v>
      </c>
      <c r="AC6" s="3" t="e">
        <f t="shared" ref="AC6:AC15" si="45">IF(ISBLANK(I6),NA(),I6-S6)</f>
        <v>#N/A</v>
      </c>
      <c r="AD6" s="3" t="e">
        <f t="shared" ref="AD6:AD15" si="46">IF(ISBLANK(J6),NA(),J6-T6)</f>
        <v>#N/A</v>
      </c>
      <c r="AE6" s="3">
        <f t="shared" ref="AE6:AE15" ca="1" si="47">IF(ISBLANK(K6),NA(),K6-U6)</f>
        <v>-4.0000000000015357E-2</v>
      </c>
      <c r="AF6" s="5" t="e">
        <f t="shared" ref="AF6:AF15" si="48">IF(ISBLANK(L6),NA(),L6-V6)</f>
        <v>#N/A</v>
      </c>
      <c r="AG6">
        <f t="shared" si="7"/>
        <v>11.044999999999995</v>
      </c>
      <c r="AH6">
        <f t="shared" si="8"/>
        <v>5.4733333333333301</v>
      </c>
      <c r="AI6">
        <f t="shared" si="9"/>
        <v>38.386666666666663</v>
      </c>
      <c r="AJ6">
        <f t="shared" si="10"/>
        <v>43.406666666666666</v>
      </c>
      <c r="AK6">
        <f t="shared" si="11"/>
        <v>7.1616666666666662</v>
      </c>
      <c r="AL6">
        <f t="shared" si="12"/>
        <v>2.6016666666666666</v>
      </c>
      <c r="AM6">
        <f t="shared" si="13"/>
        <v>0.91500000000000004</v>
      </c>
      <c r="AN6">
        <f t="shared" si="14"/>
        <v>2.0833333333333335</v>
      </c>
      <c r="AO6">
        <f t="shared" si="15"/>
        <v>1.2766666666666666</v>
      </c>
      <c r="AP6" s="2">
        <f t="shared" si="16"/>
        <v>0</v>
      </c>
      <c r="AR6" t="str">
        <f t="shared" si="17"/>
        <v>2016</v>
      </c>
      <c r="AS6" t="str">
        <f t="shared" si="18"/>
        <v>fed</v>
      </c>
      <c r="AT6" t="str">
        <f t="shared" si="19"/>
        <v>2016,fed,OTH FP,12.42,6.59,6.74,8.47,14.28,17.77,11.08,8.98</v>
      </c>
      <c r="AU6" t="str">
        <f t="shared" si="20"/>
        <v>2016,fed,xOTH FP,6.93,6.37,5.76,6.04,4.53,3.21,4.32,5.23</v>
      </c>
      <c r="AV6" t="str">
        <f t="shared" si="21"/>
        <v>2016,fed,ALP FP,33.38,37.99,43.38,37.63,37.84,40.1,38.75,44.92</v>
      </c>
      <c r="AW6" t="str">
        <f t="shared" si="22"/>
        <v>2016,fed,LNP FP,45.55,43.66,42.09,46.71,42.92,39.51,47.25,44.27</v>
      </c>
      <c r="AX6" t="str">
        <f t="shared" si="23"/>
        <v>2016,fed,GRN FP,8.65,11.76,7.79,7.19,4.96,2.62,2.92,1.83</v>
      </c>
      <c r="AY6" t="str">
        <f t="shared" si="24"/>
        <v>2016,fed,ONP FP,0.17,0.22,0.26,1.19,4.34,9.43,0,0</v>
      </c>
      <c r="AZ6" t="str">
        <f t="shared" si="25"/>
        <v>2016,fed,UAP FP,5.49,0,0,0,0,0,0,0</v>
      </c>
      <c r="BA6" t="str">
        <f t="shared" si="26"/>
        <v>2016,fed,DEM FP,0,0,0.72,1.24,5.41,5.13,6.76,3.75</v>
      </c>
      <c r="BB6" t="str">
        <f t="shared" si="27"/>
        <v>2016,fed,FF FP,1.41,2.25,1.99,2.01,0,0,0,0</v>
      </c>
      <c r="BC6" t="str">
        <f t="shared" si="28"/>
        <v>2016,fed,DLP FP,0,0,0,0,0,0,0,0</v>
      </c>
      <c r="BE6">
        <f t="shared" ref="BE6:BE10" si="49">BE5+1</f>
        <v>2</v>
      </c>
    </row>
    <row r="7" spans="1:65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30"/>
        <v>4.2059302325583303</v>
      </c>
      <c r="N7">
        <f t="shared" ca="1" si="31"/>
        <v>7.0855348837209249</v>
      </c>
      <c r="O7">
        <f t="shared" ca="1" si="32"/>
        <v>39.873790697674409</v>
      </c>
      <c r="P7">
        <f t="shared" ca="1" si="33"/>
        <v>43.252395348837226</v>
      </c>
      <c r="Q7">
        <f t="shared" ca="1" si="34"/>
        <v>12.667883720930149</v>
      </c>
      <c r="R7">
        <f t="shared" ca="1" si="35"/>
        <v>0</v>
      </c>
      <c r="S7" t="e">
        <f t="shared" ca="1" si="36"/>
        <v>#DIV/0!</v>
      </c>
      <c r="T7">
        <f t="shared" ca="1" si="37"/>
        <v>0</v>
      </c>
      <c r="U7">
        <f t="shared" ca="1" si="38"/>
        <v>2.3233333333333235</v>
      </c>
      <c r="W7" s="4">
        <f t="shared" ca="1" si="39"/>
        <v>8.2140697674416572</v>
      </c>
      <c r="X7" s="3">
        <f t="shared" ca="1" si="40"/>
        <v>-0.1555348837209376</v>
      </c>
      <c r="Y7" s="3">
        <f t="shared" ca="1" si="41"/>
        <v>-6.493790697674406</v>
      </c>
      <c r="Z7" s="3">
        <f t="shared" ca="1" si="42"/>
        <v>2.2976046511627786</v>
      </c>
      <c r="AA7" s="3">
        <f t="shared" ca="1" si="43"/>
        <v>-4.0178837209301488</v>
      </c>
      <c r="AB7" s="3">
        <f t="shared" ca="1" si="44"/>
        <v>0.17</v>
      </c>
      <c r="AC7" s="3" t="e">
        <f t="shared" ca="1" si="45"/>
        <v>#DIV/0!</v>
      </c>
      <c r="AD7" s="3" t="e">
        <f t="shared" si="46"/>
        <v>#N/A</v>
      </c>
      <c r="AE7" s="3">
        <f t="shared" ca="1" si="47"/>
        <v>-0.91333333333332356</v>
      </c>
      <c r="AF7" s="5" t="e">
        <f t="shared" si="48"/>
        <v>#N/A</v>
      </c>
      <c r="AG7">
        <f t="shared" si="7"/>
        <v>10.821666666666664</v>
      </c>
      <c r="AH7">
        <f t="shared" si="8"/>
        <v>5.0383333333333313</v>
      </c>
      <c r="AI7">
        <f t="shared" si="9"/>
        <v>39.281666666666666</v>
      </c>
      <c r="AJ7">
        <f t="shared" si="10"/>
        <v>43.69</v>
      </c>
      <c r="AK7">
        <f t="shared" si="11"/>
        <v>6.206666666666667</v>
      </c>
      <c r="AL7">
        <f t="shared" si="12"/>
        <v>2.5733333333333333</v>
      </c>
      <c r="AM7">
        <f t="shared" si="13"/>
        <v>0</v>
      </c>
      <c r="AN7">
        <f t="shared" si="14"/>
        <v>3.2099999999999995</v>
      </c>
      <c r="AO7">
        <f t="shared" si="15"/>
        <v>1.0416666666666667</v>
      </c>
      <c r="AP7" s="2">
        <f t="shared" si="16"/>
        <v>0</v>
      </c>
      <c r="AR7" t="str">
        <f t="shared" si="17"/>
        <v>2013</v>
      </c>
      <c r="AS7" t="str">
        <f t="shared" si="18"/>
        <v>fed</v>
      </c>
      <c r="AT7" t="str">
        <f t="shared" si="19"/>
        <v>2013,fed,OTH FP,6.59,6.74,8.47,14.28,17.77,11.08,8.98,15.73</v>
      </c>
      <c r="AU7" t="str">
        <f t="shared" si="20"/>
        <v>2013,fed,xOTH FP,6.37,5.76,6.04,4.53,3.21,4.32,5.23,4.47</v>
      </c>
      <c r="AV7" t="str">
        <f t="shared" si="21"/>
        <v>2013,fed,ALP FP,37.99,43.38,37.63,37.84,40.1,38.75,44.92,39.44</v>
      </c>
      <c r="AW7" t="str">
        <f t="shared" si="22"/>
        <v>2013,fed,LNP FP,43.66,42.09,46.71,42.92,39.51,47.25,44.27,43.46</v>
      </c>
      <c r="AX7" t="str">
        <f t="shared" si="23"/>
        <v>2013,fed,GRN FP,11.76,7.79,7.19,4.96,2.62,2.92,1.83,1.37</v>
      </c>
      <c r="AY7" t="str">
        <f t="shared" si="24"/>
        <v>2013,fed,ONP FP,0.22,0.26,1.19,4.34,9.43,0,0,0</v>
      </c>
      <c r="AZ7" t="str">
        <f t="shared" si="25"/>
        <v>2013,fed,UAP FP,0,0,0,0,0,0,0,0</v>
      </c>
      <c r="BA7" t="str">
        <f t="shared" si="26"/>
        <v>2013,fed,DEM FP,0,0.72,1.24,5.41,5.13,6.76,3.75,11.26</v>
      </c>
      <c r="BB7" t="str">
        <f t="shared" si="27"/>
        <v>2013,fed,FF FP,2.25,1.99,2.01,0,0,0,0,0</v>
      </c>
      <c r="BC7" t="str">
        <f t="shared" si="28"/>
        <v>2013,fed,DLP FP,0,0,0,0,0,0,0,0</v>
      </c>
      <c r="BE7">
        <f t="shared" si="49"/>
        <v>3</v>
      </c>
    </row>
    <row r="8" spans="1:65" x14ac:dyDescent="0.25">
      <c r="A8" t="s">
        <v>11</v>
      </c>
      <c r="B8" s="2">
        <v>2010</v>
      </c>
      <c r="C8">
        <f t="shared" ref="C8:C15" si="50">100-SUM(E8:G8)</f>
        <v>6.5899999999999892</v>
      </c>
      <c r="D8">
        <f t="shared" si="29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30"/>
        <v>8.4934734239802765</v>
      </c>
      <c r="N8">
        <f t="shared" ca="1" si="31"/>
        <v>5.8699011124845413</v>
      </c>
      <c r="O8">
        <f t="shared" ca="1" si="32"/>
        <v>39.14101359703335</v>
      </c>
      <c r="P8">
        <f t="shared" ca="1" si="33"/>
        <v>43.05813349814585</v>
      </c>
      <c r="Q8">
        <f t="shared" ca="1" si="34"/>
        <v>9.3073794808404955</v>
      </c>
      <c r="R8">
        <f t="shared" ca="1" si="35"/>
        <v>0</v>
      </c>
      <c r="S8" t="e">
        <f t="shared" ca="1" si="36"/>
        <v>#DIV/0!</v>
      </c>
      <c r="T8">
        <f t="shared" ca="1" si="37"/>
        <v>0.49432632880098026</v>
      </c>
      <c r="U8">
        <f t="shared" ca="1" si="38"/>
        <v>1.9700000000000006</v>
      </c>
      <c r="W8" s="4">
        <f t="shared" ca="1" si="39"/>
        <v>-1.9034734239802873</v>
      </c>
      <c r="X8" s="3">
        <f t="shared" ca="1" si="40"/>
        <v>0.50009888751544906</v>
      </c>
      <c r="Y8" s="3">
        <f t="shared" ca="1" si="41"/>
        <v>-1.1510135970333479</v>
      </c>
      <c r="Z8" s="3">
        <f t="shared" ca="1" si="42"/>
        <v>0.60186650185415402</v>
      </c>
      <c r="AA8" s="3">
        <f t="shared" ca="1" si="43"/>
        <v>2.4526205191595043</v>
      </c>
      <c r="AB8" s="3">
        <f t="shared" ca="1" si="44"/>
        <v>0.22</v>
      </c>
      <c r="AC8" s="3" t="e">
        <f t="shared" si="45"/>
        <v>#N/A</v>
      </c>
      <c r="AD8" s="3" t="e">
        <f t="shared" si="46"/>
        <v>#N/A</v>
      </c>
      <c r="AE8" s="3">
        <f t="shared" ca="1" si="47"/>
        <v>0.27999999999999936</v>
      </c>
      <c r="AF8" s="5" t="e">
        <f t="shared" si="48"/>
        <v>#N/A</v>
      </c>
      <c r="AG8">
        <f t="shared" si="7"/>
        <v>11.219999999999999</v>
      </c>
      <c r="AH8">
        <f t="shared" si="8"/>
        <v>4.8483333333333336</v>
      </c>
      <c r="AI8">
        <f t="shared" si="9"/>
        <v>40.436666666666667</v>
      </c>
      <c r="AJ8">
        <f t="shared" si="10"/>
        <v>43.791666666666664</v>
      </c>
      <c r="AK8">
        <f t="shared" si="11"/>
        <v>4.5516666666666667</v>
      </c>
      <c r="AL8">
        <f t="shared" si="12"/>
        <v>2.5366666666666666</v>
      </c>
      <c r="AM8">
        <f t="shared" si="13"/>
        <v>0</v>
      </c>
      <c r="AN8">
        <f t="shared" si="14"/>
        <v>3.8349999999999995</v>
      </c>
      <c r="AO8">
        <f t="shared" si="15"/>
        <v>0.66666666666666663</v>
      </c>
      <c r="AP8" s="2">
        <f t="shared" si="16"/>
        <v>0</v>
      </c>
      <c r="AR8" t="str">
        <f t="shared" si="17"/>
        <v>2010</v>
      </c>
      <c r="AS8" t="str">
        <f t="shared" si="18"/>
        <v>fed</v>
      </c>
      <c r="AT8" t="str">
        <f t="shared" si="19"/>
        <v>2010,fed,OTH FP,6.74,8.47,14.28,17.77,11.08,8.98,15.73,8.2</v>
      </c>
      <c r="AU8" t="str">
        <f t="shared" si="20"/>
        <v>2010,fed,xOTH FP,5.76,6.04,4.53,3.21,4.32,5.23,4.47,2.2</v>
      </c>
      <c r="AV8" t="str">
        <f t="shared" si="21"/>
        <v>2010,fed,ALP FP,43.38,37.63,37.84,40.1,38.75,44.92,39.44,45.9</v>
      </c>
      <c r="AW8" t="str">
        <f t="shared" si="22"/>
        <v>2010,fed,LNP FP,42.09,46.71,42.92,39.51,47.25,44.27,43.46,45.9</v>
      </c>
      <c r="AX8" t="str">
        <f t="shared" si="23"/>
        <v>2010,fed,GRN FP,7.79,7.19,4.96,2.62,2.92,1.83,1.37,0</v>
      </c>
      <c r="AY8" t="str">
        <f t="shared" si="24"/>
        <v>2010,fed,ONP FP,0.26,1.19,4.34,9.43,0,0,0,0</v>
      </c>
      <c r="AZ8" t="str">
        <f t="shared" si="25"/>
        <v>2010,fed,UAP FP,0,0,0,0,0,0,0,0</v>
      </c>
      <c r="BA8" t="str">
        <f t="shared" si="26"/>
        <v>2010,fed,DEM FP,0.72,1.24,5.41,5.13,6.76,3.75,11.26,6</v>
      </c>
      <c r="BB8" t="str">
        <f t="shared" si="27"/>
        <v>2010,fed,FF FP,1.99,2.01,0,0,0,0,0,0</v>
      </c>
      <c r="BC8" t="str">
        <f t="shared" si="28"/>
        <v>2010,fed,DLP FP,0,0,0,0,0,0,0,0.04</v>
      </c>
      <c r="BE8">
        <f t="shared" si="49"/>
        <v>4</v>
      </c>
    </row>
    <row r="9" spans="1:65" x14ac:dyDescent="0.25">
      <c r="A9" t="s">
        <v>12</v>
      </c>
      <c r="B9" s="2">
        <v>2007</v>
      </c>
      <c r="C9">
        <f t="shared" si="50"/>
        <v>6.7399999999999949</v>
      </c>
      <c r="D9">
        <f t="shared" si="29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30"/>
        <v>10.981212121212138</v>
      </c>
      <c r="N9">
        <f t="shared" ca="1" si="31"/>
        <v>5.1696969696969717</v>
      </c>
      <c r="O9">
        <f t="shared" ca="1" si="32"/>
        <v>36.776969696969672</v>
      </c>
      <c r="P9">
        <f t="shared" ca="1" si="33"/>
        <v>44.748030303030333</v>
      </c>
      <c r="Q9">
        <f t="shared" ca="1" si="34"/>
        <v>7.4937878787878844</v>
      </c>
      <c r="R9">
        <f t="shared" ca="1" si="35"/>
        <v>0</v>
      </c>
      <c r="S9" t="e">
        <f t="shared" ca="1" si="36"/>
        <v>#DIV/0!</v>
      </c>
      <c r="T9">
        <f t="shared" ca="1" si="37"/>
        <v>0.65757575757572795</v>
      </c>
      <c r="U9">
        <f>K9-K10</f>
        <v>-1.9999999999999796E-2</v>
      </c>
      <c r="W9" s="4">
        <f t="shared" ca="1" si="39"/>
        <v>-4.2412121212121434</v>
      </c>
      <c r="X9" s="3">
        <f t="shared" ca="1" si="40"/>
        <v>0.59030303030301923</v>
      </c>
      <c r="Y9" s="3">
        <f t="shared" ca="1" si="41"/>
        <v>6.6030303030303301</v>
      </c>
      <c r="Z9" s="3">
        <f t="shared" ca="1" si="42"/>
        <v>-2.6580303030303298</v>
      </c>
      <c r="AA9" s="3">
        <f t="shared" ca="1" si="43"/>
        <v>0.2962121212121156</v>
      </c>
      <c r="AB9" s="3">
        <f t="shared" ca="1" si="44"/>
        <v>0.26</v>
      </c>
      <c r="AC9" s="3" t="e">
        <f t="shared" si="45"/>
        <v>#N/A</v>
      </c>
      <c r="AD9" s="3">
        <f t="shared" ca="1" si="46"/>
        <v>6.2424242424272025E-2</v>
      </c>
      <c r="AE9" s="3">
        <f t="shared" si="47"/>
        <v>2.0099999999999998</v>
      </c>
      <c r="AF9" s="5" t="e">
        <f t="shared" si="48"/>
        <v>#N/A</v>
      </c>
      <c r="AG9">
        <f t="shared" si="7"/>
        <v>12.718333333333332</v>
      </c>
      <c r="AH9">
        <f t="shared" si="8"/>
        <v>4.6333333333333329</v>
      </c>
      <c r="AI9">
        <f t="shared" si="9"/>
        <v>39.78</v>
      </c>
      <c r="AJ9">
        <f t="shared" si="10"/>
        <v>44.02</v>
      </c>
      <c r="AK9">
        <f t="shared" si="11"/>
        <v>3.481666666666666</v>
      </c>
      <c r="AL9">
        <f t="shared" si="12"/>
        <v>2.4933333333333332</v>
      </c>
      <c r="AM9">
        <f t="shared" si="13"/>
        <v>0</v>
      </c>
      <c r="AN9">
        <f t="shared" si="14"/>
        <v>5.5916666666666659</v>
      </c>
      <c r="AO9">
        <f t="shared" si="15"/>
        <v>0.33499999999999996</v>
      </c>
      <c r="AP9" s="2">
        <f t="shared" si="16"/>
        <v>0</v>
      </c>
      <c r="AR9" t="str">
        <f t="shared" si="17"/>
        <v>2007</v>
      </c>
      <c r="AS9" t="str">
        <f t="shared" si="18"/>
        <v>fed</v>
      </c>
      <c r="AT9" t="str">
        <f t="shared" si="19"/>
        <v>2007,fed,OTH FP,8.47,14.28,17.77,11.08,8.98,15.73,8.2,7.44</v>
      </c>
      <c r="AU9" t="str">
        <f t="shared" si="20"/>
        <v>2007,fed,xOTH FP,6.04,4.53,3.21,4.32,5.23,4.47,2.2,1.99</v>
      </c>
      <c r="AV9" t="str">
        <f t="shared" si="21"/>
        <v>2007,fed,ALP FP,37.63,37.84,40.1,38.75,44.92,39.44,45.9,47.55</v>
      </c>
      <c r="AW9" t="str">
        <f t="shared" si="22"/>
        <v>2007,fed,LNP FP,46.71,42.92,39.51,47.25,44.27,43.46,45.9,45.01</v>
      </c>
      <c r="AX9" t="str">
        <f t="shared" si="23"/>
        <v>2007,fed,GRN FP,7.19,4.96,2.62,2.92,1.83,1.37,0,0</v>
      </c>
      <c r="AY9" t="str">
        <f t="shared" si="24"/>
        <v>2007,fed,ONP FP,1.19,4.34,9.43,0,0,0,0,0</v>
      </c>
      <c r="AZ9" t="str">
        <f t="shared" si="25"/>
        <v>2007,fed,UAP FP,0,0,0,0,0,0,0,0</v>
      </c>
      <c r="BA9" t="str">
        <f t="shared" si="26"/>
        <v>2007,fed,DEM FP,1.24,5.41,5.13,6.76,3.75,11.26,6,5.45</v>
      </c>
      <c r="BB9" t="str">
        <f t="shared" si="27"/>
        <v>2007,fed,FF FP,2.01,0,0,0,0,0,0,0</v>
      </c>
      <c r="BC9" t="str">
        <f t="shared" si="28"/>
        <v>2007,fed,DLP FP,0,0,0,0,0,0,0.04,0.57</v>
      </c>
      <c r="BE9">
        <f t="shared" si="49"/>
        <v>5</v>
      </c>
    </row>
    <row r="10" spans="1:65" x14ac:dyDescent="0.25">
      <c r="A10" t="s">
        <v>14</v>
      </c>
      <c r="B10" s="2">
        <v>2004</v>
      </c>
      <c r="C10">
        <f t="shared" si="50"/>
        <v>8.4699999999999989</v>
      </c>
      <c r="D10">
        <f t="shared" si="29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30"/>
        <v>16.409270704573373</v>
      </c>
      <c r="N10">
        <f t="shared" ca="1" si="31"/>
        <v>4.7727070457354728</v>
      </c>
      <c r="O10">
        <f t="shared" ca="1" si="32"/>
        <v>36.610568603213778</v>
      </c>
      <c r="P10">
        <f t="shared" ca="1" si="33"/>
        <v>41.67414091470954</v>
      </c>
      <c r="Q10">
        <f t="shared" ca="1" si="34"/>
        <v>5.2427868852460051</v>
      </c>
      <c r="R10">
        <f t="shared" ca="1" si="35"/>
        <v>0</v>
      </c>
      <c r="S10" t="e">
        <f t="shared" ca="1" si="36"/>
        <v>#DIV/0!</v>
      </c>
      <c r="T10">
        <f t="shared" ca="1" si="37"/>
        <v>4.5424351050679661</v>
      </c>
      <c r="U10">
        <f>K10</f>
        <v>2.0099999999999998</v>
      </c>
      <c r="W10" s="4">
        <f t="shared" ca="1" si="39"/>
        <v>-7.9392707045733744</v>
      </c>
      <c r="X10" s="3">
        <f t="shared" ca="1" si="40"/>
        <v>1.2672929542645335</v>
      </c>
      <c r="Y10" s="3">
        <f t="shared" ca="1" si="41"/>
        <v>1.0194313967862243</v>
      </c>
      <c r="Z10" s="3">
        <f t="shared" ca="1" si="42"/>
        <v>5.0358590852904612</v>
      </c>
      <c r="AA10" s="3">
        <f t="shared" ca="1" si="43"/>
        <v>1.9472131147539953</v>
      </c>
      <c r="AB10" s="3">
        <f t="shared" ca="1" si="44"/>
        <v>1.19</v>
      </c>
      <c r="AC10" s="3" t="e">
        <f t="shared" si="45"/>
        <v>#N/A</v>
      </c>
      <c r="AD10" s="3">
        <f t="shared" ca="1" si="46"/>
        <v>-3.3024351050679659</v>
      </c>
      <c r="AE10" s="3">
        <f t="shared" si="47"/>
        <v>0</v>
      </c>
      <c r="AF10" s="5" t="e">
        <f t="shared" si="48"/>
        <v>#N/A</v>
      </c>
      <c r="AG10">
        <f t="shared" si="7"/>
        <v>12.673333333333332</v>
      </c>
      <c r="AH10">
        <f t="shared" si="8"/>
        <v>3.9933333333333323</v>
      </c>
      <c r="AI10">
        <f t="shared" si="9"/>
        <v>41.158333333333339</v>
      </c>
      <c r="AJ10">
        <f t="shared" si="10"/>
        <v>43.884999999999998</v>
      </c>
      <c r="AK10">
        <f t="shared" si="11"/>
        <v>2.2833333333333332</v>
      </c>
      <c r="AL10">
        <f t="shared" si="12"/>
        <v>2.2949999999999999</v>
      </c>
      <c r="AM10">
        <f t="shared" si="13"/>
        <v>0</v>
      </c>
      <c r="AN10">
        <f t="shared" si="14"/>
        <v>6.3849999999999989</v>
      </c>
      <c r="AO10">
        <f t="shared" si="15"/>
        <v>0</v>
      </c>
      <c r="AP10" s="2">
        <f t="shared" si="16"/>
        <v>6.6666666666666671E-3</v>
      </c>
      <c r="AR10" t="str">
        <f t="shared" si="17"/>
        <v>2004</v>
      </c>
      <c r="AS10" t="str">
        <f t="shared" si="18"/>
        <v>fed</v>
      </c>
      <c r="AT10" t="str">
        <f t="shared" si="19"/>
        <v>2004,fed,OTH FP,14.28,17.77,11.08,8.98,15.73,8.2,7.44,6.91</v>
      </c>
      <c r="AU10" t="str">
        <f t="shared" si="20"/>
        <v>2004,fed,xOTH FP,4.53,3.21,4.32,5.23,4.47,2.2,1.99,1.88</v>
      </c>
      <c r="AV10" t="str">
        <f t="shared" si="21"/>
        <v>2004,fed,ALP FP,37.84,40.1,38.75,44.92,39.44,45.9,47.55,49.48</v>
      </c>
      <c r="AW10" t="str">
        <f t="shared" si="22"/>
        <v>2004,fed,LNP FP,42.92,39.51,47.25,44.27,43.46,45.9,45.01,43.61</v>
      </c>
      <c r="AX10" t="str">
        <f t="shared" si="23"/>
        <v>2004,fed,GRN FP,4.96,2.62,2.92,1.83,1.37,0,0,0</v>
      </c>
      <c r="AY10" t="str">
        <f t="shared" si="24"/>
        <v>2004,fed,ONP FP,4.34,9.43,0,0,0,0,0,0</v>
      </c>
      <c r="AZ10" t="str">
        <f t="shared" si="25"/>
        <v>2004,fed,UAP FP,0,0,0,0,0,0,0,0</v>
      </c>
      <c r="BA10" t="str">
        <f t="shared" si="26"/>
        <v>2004,fed,DEM FP,5.41,5.13,6.76,3.75,11.26,6,5.45,5.03</v>
      </c>
      <c r="BB10" t="str">
        <f t="shared" si="27"/>
        <v>2004,fed,FF FP,0,0,0,0,0,0,0,0</v>
      </c>
      <c r="BC10" t="str">
        <f t="shared" si="28"/>
        <v>2004,fed,DLP FP,0,0,0,0,0,0.04,0.57,0.2</v>
      </c>
      <c r="BE10">
        <f t="shared" si="49"/>
        <v>6</v>
      </c>
    </row>
    <row r="11" spans="1:65" x14ac:dyDescent="0.25">
      <c r="A11" t="s">
        <v>15</v>
      </c>
      <c r="B11" s="2">
        <v>2001</v>
      </c>
      <c r="C11">
        <f t="shared" si="50"/>
        <v>14.280000000000001</v>
      </c>
      <c r="D11">
        <f t="shared" si="29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30"/>
        <v>16.528976744186139</v>
      </c>
      <c r="N11">
        <f t="shared" ca="1" si="31"/>
        <v>4.9316511627907289</v>
      </c>
      <c r="O11">
        <f t="shared" ca="1" si="32"/>
        <v>37.573302325581381</v>
      </c>
      <c r="P11">
        <f t="shared" ca="1" si="33"/>
        <v>42.261558139534884</v>
      </c>
      <c r="Q11">
        <f t="shared" ca="1" si="34"/>
        <v>3.4385714285714357</v>
      </c>
      <c r="R11" t="e">
        <f t="shared" ca="1" si="35"/>
        <v>#DIV/0!</v>
      </c>
      <c r="S11" t="e">
        <f t="shared" ca="1" si="36"/>
        <v>#DIV/0!</v>
      </c>
      <c r="T11">
        <f t="shared" ca="1" si="37"/>
        <v>5.7858139534883861</v>
      </c>
      <c r="U11" t="e">
        <f t="shared" ca="1" si="38"/>
        <v>#DIV/0!</v>
      </c>
      <c r="V11" s="2">
        <f t="shared" ref="V11:V17" ca="1" si="51">MAX(0,_xlfn.FORECAST.LINEAR($B11,OFFSET(L12,0,0,$D$1),OFFSET($B12,0,0,$D$1)))</f>
        <v>0</v>
      </c>
      <c r="W11" s="4">
        <f t="shared" ca="1" si="39"/>
        <v>-2.2489767441861375</v>
      </c>
      <c r="X11" s="3">
        <f t="shared" ca="1" si="40"/>
        <v>-0.40165116279072777</v>
      </c>
      <c r="Y11" s="3">
        <f t="shared" ca="1" si="41"/>
        <v>0.26669767441862291</v>
      </c>
      <c r="Z11" s="3">
        <f t="shared" ca="1" si="42"/>
        <v>0.65844186046511766</v>
      </c>
      <c r="AA11" s="3">
        <f t="shared" ca="1" si="43"/>
        <v>1.5214285714285642</v>
      </c>
      <c r="AB11" s="3">
        <f>H11-H12</f>
        <v>-5.09</v>
      </c>
      <c r="AC11" s="3" t="e">
        <f t="shared" si="45"/>
        <v>#N/A</v>
      </c>
      <c r="AD11" s="3">
        <f t="shared" ca="1" si="46"/>
        <v>-0.37581395348838598</v>
      </c>
      <c r="AE11" s="3" t="e">
        <f t="shared" si="47"/>
        <v>#N/A</v>
      </c>
      <c r="AF11" s="5" t="e">
        <f t="shared" si="48"/>
        <v>#N/A</v>
      </c>
      <c r="AG11">
        <f t="shared" si="7"/>
        <v>11.533333333333331</v>
      </c>
      <c r="AH11">
        <f t="shared" si="8"/>
        <v>3.5699999999999981</v>
      </c>
      <c r="AI11">
        <f t="shared" si="9"/>
        <v>42.776666666666664</v>
      </c>
      <c r="AJ11">
        <f t="shared" si="10"/>
        <v>44.233333333333341</v>
      </c>
      <c r="AK11">
        <f t="shared" si="11"/>
        <v>1.4566666666666668</v>
      </c>
      <c r="AL11">
        <f t="shared" si="12"/>
        <v>1.5716666666666665</v>
      </c>
      <c r="AM11">
        <f t="shared" si="13"/>
        <v>0</v>
      </c>
      <c r="AN11">
        <f t="shared" si="14"/>
        <v>6.3916666666666666</v>
      </c>
      <c r="AO11">
        <f t="shared" si="15"/>
        <v>0</v>
      </c>
      <c r="AP11" s="2">
        <f t="shared" si="16"/>
        <v>0.10166666666666667</v>
      </c>
    </row>
    <row r="12" spans="1:65" x14ac:dyDescent="0.25">
      <c r="A12" t="s">
        <v>16</v>
      </c>
      <c r="B12" s="2">
        <v>1998</v>
      </c>
      <c r="C12">
        <f t="shared" si="50"/>
        <v>17.769999999999996</v>
      </c>
      <c r="D12">
        <f t="shared" si="29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30"/>
        <v>12.797261146496794</v>
      </c>
      <c r="N12">
        <f t="shared" ca="1" si="31"/>
        <v>5.6848407643312271</v>
      </c>
      <c r="O12">
        <f t="shared" ca="1" si="32"/>
        <v>37.913757961783404</v>
      </c>
      <c r="P12">
        <f t="shared" ca="1" si="33"/>
        <v>46.156560509554168</v>
      </c>
      <c r="Q12">
        <f t="shared" ca="1" si="34"/>
        <v>3.3316666666667061</v>
      </c>
      <c r="R12" t="e">
        <f t="shared" ca="1" si="35"/>
        <v>#DIV/0!</v>
      </c>
      <c r="S12" t="e">
        <f t="shared" ca="1" si="36"/>
        <v>#DIV/0!</v>
      </c>
      <c r="T12">
        <f t="shared" ca="1" si="37"/>
        <v>7.1124203821656238</v>
      </c>
      <c r="U12" t="e">
        <f t="shared" ca="1" si="38"/>
        <v>#DIV/0!</v>
      </c>
      <c r="V12" s="2">
        <f t="shared" ca="1" si="51"/>
        <v>0</v>
      </c>
      <c r="W12" s="4">
        <f t="shared" ca="1" si="39"/>
        <v>4.972738853503202</v>
      </c>
      <c r="X12" s="3">
        <f t="shared" ca="1" si="40"/>
        <v>-2.4748407643312191</v>
      </c>
      <c r="Y12" s="3">
        <f t="shared" ca="1" si="41"/>
        <v>2.1862420382165979</v>
      </c>
      <c r="Z12" s="3">
        <f t="shared" ca="1" si="42"/>
        <v>-6.6465605095541704</v>
      </c>
      <c r="AA12" s="3">
        <f t="shared" ca="1" si="43"/>
        <v>-0.71166666666670597</v>
      </c>
      <c r="AB12" s="3">
        <f>H12</f>
        <v>9.43</v>
      </c>
      <c r="AC12" s="3" t="e">
        <f t="shared" si="45"/>
        <v>#N/A</v>
      </c>
      <c r="AD12" s="3">
        <f t="shared" ca="1" si="46"/>
        <v>-1.9824203821656239</v>
      </c>
      <c r="AE12" s="3" t="e">
        <f t="shared" si="47"/>
        <v>#N/A</v>
      </c>
      <c r="AF12" s="5" t="e">
        <f t="shared" si="48"/>
        <v>#N/A</v>
      </c>
      <c r="AG12">
        <f t="shared" si="7"/>
        <v>9.7233333333333309</v>
      </c>
      <c r="AH12">
        <f t="shared" si="8"/>
        <v>3.3483333333333292</v>
      </c>
      <c r="AI12">
        <f t="shared" si="9"/>
        <v>44.34</v>
      </c>
      <c r="AJ12">
        <f t="shared" si="10"/>
        <v>44.916666666666664</v>
      </c>
      <c r="AK12">
        <f t="shared" si="11"/>
        <v>1.02</v>
      </c>
      <c r="AL12">
        <f t="shared" si="12"/>
        <v>0</v>
      </c>
      <c r="AM12">
        <f t="shared" si="13"/>
        <v>0</v>
      </c>
      <c r="AN12">
        <f t="shared" si="14"/>
        <v>6.375</v>
      </c>
      <c r="AO12">
        <f t="shared" si="15"/>
        <v>0</v>
      </c>
      <c r="AP12" s="2">
        <f t="shared" si="16"/>
        <v>0.13500000000000001</v>
      </c>
    </row>
    <row r="13" spans="1:65" x14ac:dyDescent="0.25">
      <c r="A13" t="s">
        <v>18</v>
      </c>
      <c r="B13" s="2">
        <v>1996</v>
      </c>
      <c r="C13">
        <f t="shared" si="50"/>
        <v>11.079999999999998</v>
      </c>
      <c r="D13">
        <f t="shared" si="29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30"/>
        <v>12.571959361393283</v>
      </c>
      <c r="N13">
        <f t="shared" ca="1" si="31"/>
        <v>5.7545137880986204</v>
      </c>
      <c r="O13">
        <f t="shared" ca="1" si="32"/>
        <v>41.831843251088458</v>
      </c>
      <c r="P13">
        <f t="shared" ca="1" si="33"/>
        <v>43.542336719883906</v>
      </c>
      <c r="Q13">
        <f t="shared" ca="1" si="34"/>
        <v>2.2900000000000205</v>
      </c>
      <c r="R13" t="e">
        <f t="shared" ca="1" si="35"/>
        <v>#DIV/0!</v>
      </c>
      <c r="S13" t="e">
        <f t="shared" ca="1" si="36"/>
        <v>#DIV/0!</v>
      </c>
      <c r="T13">
        <f t="shared" ca="1" si="37"/>
        <v>6.8174455732946342</v>
      </c>
      <c r="U13" t="e">
        <f t="shared" ca="1" si="38"/>
        <v>#DIV/0!</v>
      </c>
      <c r="V13" s="2">
        <f t="shared" ca="1" si="51"/>
        <v>0</v>
      </c>
      <c r="W13" s="4">
        <f t="shared" ca="1" si="39"/>
        <v>-1.4919593613932847</v>
      </c>
      <c r="X13" s="3">
        <f t="shared" ca="1" si="40"/>
        <v>-1.4345137880986272</v>
      </c>
      <c r="Y13" s="3">
        <f t="shared" ca="1" si="41"/>
        <v>-3.0818432510884577</v>
      </c>
      <c r="Z13" s="3">
        <f t="shared" ca="1" si="42"/>
        <v>3.707663280116094</v>
      </c>
      <c r="AA13" s="3">
        <f t="shared" ca="1" si="43"/>
        <v>0.62999999999997947</v>
      </c>
      <c r="AB13" s="3" t="e">
        <f t="shared" si="44"/>
        <v>#N/A</v>
      </c>
      <c r="AC13" s="3" t="e">
        <f t="shared" si="45"/>
        <v>#N/A</v>
      </c>
      <c r="AD13" s="3">
        <f t="shared" ca="1" si="46"/>
        <v>-5.74455732946344E-2</v>
      </c>
      <c r="AE13" s="3" t="e">
        <f t="shared" si="47"/>
        <v>#N/A</v>
      </c>
      <c r="AF13" s="5" t="e">
        <f t="shared" si="48"/>
        <v>#N/A</v>
      </c>
      <c r="AG13">
        <f t="shared" si="7"/>
        <v>9.2849999999999984</v>
      </c>
      <c r="AH13">
        <f t="shared" si="8"/>
        <v>2.9416666666666629</v>
      </c>
      <c r="AI13">
        <f t="shared" si="9"/>
        <v>45.406666666666666</v>
      </c>
      <c r="AJ13">
        <f t="shared" si="10"/>
        <v>44.774999999999999</v>
      </c>
      <c r="AK13">
        <f t="shared" si="11"/>
        <v>0.53333333333333333</v>
      </c>
      <c r="AL13">
        <f t="shared" si="12"/>
        <v>0</v>
      </c>
      <c r="AM13">
        <f t="shared" si="13"/>
        <v>0</v>
      </c>
      <c r="AN13">
        <f t="shared" si="14"/>
        <v>6.3433333333333337</v>
      </c>
      <c r="AO13">
        <f t="shared" si="15"/>
        <v>0</v>
      </c>
      <c r="AP13" s="2">
        <f t="shared" si="16"/>
        <v>0.18666666666666668</v>
      </c>
    </row>
    <row r="14" spans="1:65" x14ac:dyDescent="0.25">
      <c r="A14" t="s">
        <v>19</v>
      </c>
      <c r="B14" s="2">
        <v>1993</v>
      </c>
      <c r="C14">
        <f t="shared" si="50"/>
        <v>8.980000000000004</v>
      </c>
      <c r="D14">
        <f t="shared" si="29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30"/>
        <v>11.743515981735129</v>
      </c>
      <c r="N14">
        <f t="shared" ca="1" si="31"/>
        <v>3.5565296803652586</v>
      </c>
      <c r="O14">
        <f t="shared" ca="1" si="32"/>
        <v>44.553926940639265</v>
      </c>
      <c r="P14">
        <f t="shared" ca="1" si="33"/>
        <v>42.701643835616437</v>
      </c>
      <c r="Q14" t="e">
        <f t="shared" ca="1" si="34"/>
        <v>#DIV/0!</v>
      </c>
      <c r="R14" t="e">
        <f t="shared" ca="1" si="35"/>
        <v>#DIV/0!</v>
      </c>
      <c r="S14" t="e">
        <f t="shared" ca="1" si="36"/>
        <v>#DIV/0!</v>
      </c>
      <c r="T14">
        <f t="shared" ca="1" si="37"/>
        <v>8.1869863013698705</v>
      </c>
      <c r="U14" t="e">
        <f t="shared" ca="1" si="38"/>
        <v>#DIV/0!</v>
      </c>
      <c r="V14" s="2">
        <f t="shared" ca="1" si="51"/>
        <v>0</v>
      </c>
      <c r="W14" s="4">
        <f t="shared" ca="1" si="39"/>
        <v>-2.7635159817351251</v>
      </c>
      <c r="X14" s="3">
        <f t="shared" ca="1" si="40"/>
        <v>1.6734703196347454</v>
      </c>
      <c r="Y14" s="3">
        <f t="shared" ca="1" si="41"/>
        <v>0.36607305936073686</v>
      </c>
      <c r="Z14" s="3">
        <f t="shared" ca="1" si="42"/>
        <v>1.568356164383566</v>
      </c>
      <c r="AA14" s="3">
        <f>G14-G15</f>
        <v>0.45999999999999996</v>
      </c>
      <c r="AB14" s="3" t="e">
        <f t="shared" si="44"/>
        <v>#N/A</v>
      </c>
      <c r="AC14" s="3" t="e">
        <f t="shared" si="45"/>
        <v>#N/A</v>
      </c>
      <c r="AD14" s="3">
        <f t="shared" ca="1" si="46"/>
        <v>-4.4369863013698705</v>
      </c>
      <c r="AE14" s="3" t="e">
        <f t="shared" si="47"/>
        <v>#N/A</v>
      </c>
      <c r="AF14" s="5" t="e">
        <f t="shared" si="48"/>
        <v>#N/A</v>
      </c>
      <c r="AG14">
        <f t="shared" si="7"/>
        <v>9.8283333333333331</v>
      </c>
      <c r="AH14">
        <f t="shared" si="8"/>
        <v>2.5466666666666646</v>
      </c>
      <c r="AI14">
        <f t="shared" si="9"/>
        <v>44.528333333333329</v>
      </c>
      <c r="AJ14">
        <f t="shared" si="10"/>
        <v>45.414999999999999</v>
      </c>
      <c r="AK14">
        <f t="shared" si="11"/>
        <v>0.22833333333333336</v>
      </c>
      <c r="AL14">
        <f t="shared" si="12"/>
        <v>0</v>
      </c>
      <c r="AM14">
        <f t="shared" si="13"/>
        <v>0</v>
      </c>
      <c r="AN14">
        <f t="shared" si="14"/>
        <v>7.2816666666666672</v>
      </c>
      <c r="AO14">
        <f t="shared" si="15"/>
        <v>0</v>
      </c>
      <c r="AP14" s="2">
        <f t="shared" si="16"/>
        <v>0.42499999999999999</v>
      </c>
    </row>
    <row r="15" spans="1:65" x14ac:dyDescent="0.25">
      <c r="A15" t="s">
        <v>20</v>
      </c>
      <c r="B15" s="2">
        <v>1990</v>
      </c>
      <c r="C15">
        <f t="shared" si="50"/>
        <v>15.72999999999999</v>
      </c>
      <c r="D15">
        <f t="shared" si="29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30"/>
        <v>8.1801960784313721</v>
      </c>
      <c r="N15">
        <f t="shared" ca="1" si="31"/>
        <v>1.1587254901960478</v>
      </c>
      <c r="O15">
        <f t="shared" ca="1" si="32"/>
        <v>50.055588235294181</v>
      </c>
      <c r="P15">
        <f t="shared" ca="1" si="33"/>
        <v>41.764215686274383</v>
      </c>
      <c r="Q15" t="e">
        <f t="shared" ca="1" si="34"/>
        <v>#DIV/0!</v>
      </c>
      <c r="R15" t="e">
        <f t="shared" ca="1" si="35"/>
        <v>#DIV/0!</v>
      </c>
      <c r="S15" t="e">
        <f t="shared" ca="1" si="36"/>
        <v>#DIV/0!</v>
      </c>
      <c r="T15">
        <f t="shared" ca="1" si="37"/>
        <v>3.7538775510204232</v>
      </c>
      <c r="U15" t="e">
        <f t="shared" ca="1" si="38"/>
        <v>#DIV/0!</v>
      </c>
      <c r="V15" s="2">
        <f t="shared" ca="1" si="51"/>
        <v>0</v>
      </c>
      <c r="W15" s="4">
        <f t="shared" ca="1" si="39"/>
        <v>7.5498039215686177</v>
      </c>
      <c r="X15" s="3">
        <f t="shared" ca="1" si="40"/>
        <v>3.3112745098039369</v>
      </c>
      <c r="Y15" s="3">
        <f t="shared" ca="1" si="41"/>
        <v>-10.615588235294183</v>
      </c>
      <c r="Z15" s="3">
        <f t="shared" ca="1" si="42"/>
        <v>1.6957843137256177</v>
      </c>
      <c r="AA15" s="3">
        <f>G15</f>
        <v>1.37</v>
      </c>
      <c r="AB15" s="3" t="e">
        <f t="shared" si="44"/>
        <v>#N/A</v>
      </c>
      <c r="AC15" s="3" t="e">
        <f t="shared" si="45"/>
        <v>#N/A</v>
      </c>
      <c r="AD15" s="3">
        <f t="shared" ca="1" si="46"/>
        <v>7.5061224489795766</v>
      </c>
      <c r="AE15" s="3" t="e">
        <f t="shared" si="47"/>
        <v>#N/A</v>
      </c>
      <c r="AF15" s="5" t="e">
        <f t="shared" si="48"/>
        <v>#N/A</v>
      </c>
      <c r="AG15">
        <f t="shared" si="7"/>
        <v>7.8916666666666684</v>
      </c>
      <c r="AH15">
        <f t="shared" si="8"/>
        <v>2.4866666666666668</v>
      </c>
      <c r="AI15">
        <f t="shared" si="9"/>
        <v>45.094999999999999</v>
      </c>
      <c r="AJ15">
        <f t="shared" si="10"/>
        <v>47.013333333333328</v>
      </c>
      <c r="AK15">
        <f t="shared" si="11"/>
        <v>0</v>
      </c>
      <c r="AL15">
        <f t="shared" si="12"/>
        <v>0</v>
      </c>
      <c r="AM15">
        <f t="shared" si="13"/>
        <v>0</v>
      </c>
      <c r="AN15">
        <f t="shared" si="14"/>
        <v>5.4050000000000002</v>
      </c>
      <c r="AO15">
        <f t="shared" si="15"/>
        <v>0</v>
      </c>
      <c r="AP15" s="2">
        <f t="shared" si="16"/>
        <v>0.64500000000000002</v>
      </c>
    </row>
    <row r="16" spans="1:65" x14ac:dyDescent="0.25">
      <c r="A16" t="s">
        <v>21</v>
      </c>
      <c r="B16" s="2">
        <v>1987</v>
      </c>
      <c r="C16">
        <f t="shared" ref="C16:C23" si="52">100-SUM(E16:G16)</f>
        <v>8.2000000000000028</v>
      </c>
      <c r="D16">
        <f t="shared" si="29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53">MAX(0,_xlfn.FORECAST.LINEAR($B16,OFFSET(C17,0,0,$D$1),OFFSET($B17,0,0,$D$1)))</f>
        <v>8.7521689059501</v>
      </c>
      <c r="N16">
        <f t="shared" ca="1" si="53"/>
        <v>0.62420345489442752</v>
      </c>
      <c r="O16">
        <f t="shared" ca="1" si="53"/>
        <v>48.419366602687205</v>
      </c>
      <c r="P16">
        <f t="shared" ca="1" si="53"/>
        <v>42.828464491362638</v>
      </c>
      <c r="Q16" t="e">
        <f t="shared" ca="1" si="53"/>
        <v>#DIV/0!</v>
      </c>
      <c r="R16" t="e">
        <f t="shared" ca="1" si="53"/>
        <v>#DIV/0!</v>
      </c>
      <c r="S16" t="e">
        <f t="shared" ca="1" si="53"/>
        <v>#DIV/0!</v>
      </c>
      <c r="T16">
        <f t="shared" ca="1" si="53"/>
        <v>3.0715000000000146</v>
      </c>
      <c r="U16" t="e">
        <f t="shared" ca="1" si="53"/>
        <v>#DIV/0!</v>
      </c>
      <c r="V16" s="2">
        <f t="shared" ca="1" si="51"/>
        <v>0</v>
      </c>
      <c r="W16" s="4">
        <f t="shared" ref="W16:AF17" ca="1" si="54">IF(ISBLANK(C16),NA(),C16-M16)</f>
        <v>-0.55216890595009716</v>
      </c>
      <c r="X16" s="3">
        <f t="shared" ca="1" si="54"/>
        <v>1.5757965451055753</v>
      </c>
      <c r="Y16" s="3">
        <f t="shared" ca="1" si="54"/>
        <v>-2.5193666026872066</v>
      </c>
      <c r="Z16" s="3">
        <f t="shared" ca="1" si="54"/>
        <v>3.0715355086373606</v>
      </c>
      <c r="AA16" s="3" t="e">
        <f t="shared" si="54"/>
        <v>#N/A</v>
      </c>
      <c r="AB16" s="3" t="e">
        <f t="shared" si="54"/>
        <v>#N/A</v>
      </c>
      <c r="AC16" s="3" t="e">
        <f t="shared" si="54"/>
        <v>#N/A</v>
      </c>
      <c r="AD16" s="3">
        <f t="shared" ca="1" si="54"/>
        <v>2.9284999999999854</v>
      </c>
      <c r="AE16" s="3" t="e">
        <f t="shared" si="54"/>
        <v>#N/A</v>
      </c>
      <c r="AF16" s="5">
        <f t="shared" ca="1" si="54"/>
        <v>0.04</v>
      </c>
      <c r="AG16">
        <f t="shared" si="7"/>
        <v>7.3533333333333344</v>
      </c>
      <c r="AH16">
        <f t="shared" si="8"/>
        <v>2.9483333333333328</v>
      </c>
      <c r="AI16">
        <f t="shared" si="9"/>
        <v>45.661666666666669</v>
      </c>
      <c r="AJ16">
        <f t="shared" si="10"/>
        <v>46.985000000000007</v>
      </c>
      <c r="AK16">
        <f t="shared" si="11"/>
        <v>0</v>
      </c>
      <c r="AL16">
        <f t="shared" si="12"/>
        <v>0</v>
      </c>
      <c r="AM16">
        <f t="shared" si="13"/>
        <v>0</v>
      </c>
      <c r="AN16">
        <f t="shared" si="14"/>
        <v>4.4050000000000002</v>
      </c>
      <c r="AO16">
        <f t="shared" si="15"/>
        <v>0</v>
      </c>
      <c r="AP16" s="2">
        <f t="shared" si="16"/>
        <v>0.875</v>
      </c>
    </row>
    <row r="17" spans="1:55" x14ac:dyDescent="0.25">
      <c r="A17" t="s">
        <v>22</v>
      </c>
      <c r="B17" s="2">
        <v>1984</v>
      </c>
      <c r="C17">
        <f t="shared" si="52"/>
        <v>7.4399999999999977</v>
      </c>
      <c r="D17">
        <f t="shared" si="29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53"/>
        <v>8.1754325955734259</v>
      </c>
      <c r="N17">
        <f t="shared" ca="1" si="53"/>
        <v>5.9798792756510011E-2</v>
      </c>
      <c r="O17">
        <f t="shared" ca="1" si="53"/>
        <v>45.724949698189121</v>
      </c>
      <c r="P17">
        <f t="shared" ca="1" si="53"/>
        <v>46.099617706237439</v>
      </c>
      <c r="Q17" t="e">
        <f t="shared" ca="1" si="53"/>
        <v>#DIV/0!</v>
      </c>
      <c r="R17" t="e">
        <f t="shared" ca="1" si="53"/>
        <v>#DIV/0!</v>
      </c>
      <c r="S17" t="e">
        <f t="shared" ca="1" si="53"/>
        <v>#DIV/0!</v>
      </c>
      <c r="T17">
        <f t="shared" ca="1" si="53"/>
        <v>4.0933333333334758</v>
      </c>
      <c r="U17" t="e">
        <f t="shared" ca="1" si="53"/>
        <v>#DIV/0!</v>
      </c>
      <c r="V17" s="2">
        <f t="shared" ca="1" si="51"/>
        <v>0</v>
      </c>
      <c r="W17" s="4">
        <f t="shared" ca="1" si="54"/>
        <v>-0.73543259557342822</v>
      </c>
      <c r="X17" s="3">
        <f t="shared" ca="1" si="54"/>
        <v>1.9302012072434849</v>
      </c>
      <c r="Y17" s="3">
        <f t="shared" ca="1" si="54"/>
        <v>1.8250503018108759</v>
      </c>
      <c r="Z17" s="3">
        <f t="shared" ca="1" si="54"/>
        <v>-1.0896177062374406</v>
      </c>
      <c r="AA17" s="3" t="e">
        <f t="shared" si="54"/>
        <v>#N/A</v>
      </c>
      <c r="AB17" s="3" t="e">
        <f t="shared" si="54"/>
        <v>#N/A</v>
      </c>
      <c r="AC17" s="3" t="e">
        <f t="shared" si="54"/>
        <v>#N/A</v>
      </c>
      <c r="AD17" s="3">
        <f t="shared" ca="1" si="54"/>
        <v>1.3566666666665244</v>
      </c>
      <c r="AE17" s="3" t="e">
        <f t="shared" si="54"/>
        <v>#N/A</v>
      </c>
      <c r="AF17" s="5">
        <f t="shared" ca="1" si="54"/>
        <v>0.56999999999999995</v>
      </c>
      <c r="AG17">
        <f t="shared" si="7"/>
        <v>7.6016666666666692</v>
      </c>
      <c r="AH17">
        <f t="shared" si="8"/>
        <v>4.1050000000000013</v>
      </c>
      <c r="AI17">
        <f t="shared" si="9"/>
        <v>46.001666666666665</v>
      </c>
      <c r="AJ17">
        <f t="shared" si="10"/>
        <v>46.396666666666668</v>
      </c>
      <c r="AK17">
        <f t="shared" si="11"/>
        <v>0</v>
      </c>
      <c r="AL17">
        <f t="shared" si="12"/>
        <v>0</v>
      </c>
      <c r="AM17">
        <f t="shared" si="13"/>
        <v>0</v>
      </c>
      <c r="AN17">
        <f t="shared" si="14"/>
        <v>3.4966666666666675</v>
      </c>
      <c r="AO17">
        <f t="shared" si="15"/>
        <v>0</v>
      </c>
      <c r="AP17" s="2">
        <f t="shared" si="16"/>
        <v>1.655</v>
      </c>
    </row>
    <row r="18" spans="1:55" x14ac:dyDescent="0.25">
      <c r="A18" t="s">
        <v>24</v>
      </c>
      <c r="B18" s="2">
        <v>1983</v>
      </c>
      <c r="C18">
        <f t="shared" si="52"/>
        <v>6.9099999999999966</v>
      </c>
      <c r="D18">
        <f t="shared" si="29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55" x14ac:dyDescent="0.25">
      <c r="A19" t="s">
        <v>25</v>
      </c>
      <c r="B19" s="2">
        <v>1980</v>
      </c>
      <c r="C19">
        <f t="shared" si="52"/>
        <v>8.4500000000000028</v>
      </c>
      <c r="D19">
        <f t="shared" si="29"/>
        <v>1.8799999999999955</v>
      </c>
      <c r="E19">
        <v>45.15</v>
      </c>
      <c r="F19">
        <v>46.4</v>
      </c>
      <c r="J19">
        <v>6.57</v>
      </c>
      <c r="L19" s="2">
        <v>0.31</v>
      </c>
      <c r="T19" s="35" t="s">
        <v>34</v>
      </c>
      <c r="U19" s="35"/>
      <c r="V19" s="36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5" t="s">
        <v>34</v>
      </c>
      <c r="AO19" s="35"/>
      <c r="AP19" s="36"/>
    </row>
    <row r="20" spans="1:55" x14ac:dyDescent="0.25">
      <c r="A20" t="s">
        <v>26</v>
      </c>
      <c r="B20" s="2">
        <v>1977</v>
      </c>
      <c r="C20">
        <f t="shared" si="52"/>
        <v>12.240000000000009</v>
      </c>
      <c r="D20">
        <f t="shared" si="29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5" t="s">
        <v>35</v>
      </c>
      <c r="U20" s="35"/>
      <c r="V20" s="36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5" t="s">
        <v>35</v>
      </c>
      <c r="AO20" s="35"/>
      <c r="AP20" s="36"/>
    </row>
    <row r="21" spans="1:55" x14ac:dyDescent="0.25">
      <c r="A21" t="s">
        <v>27</v>
      </c>
      <c r="B21" s="2">
        <v>1975</v>
      </c>
      <c r="C21">
        <f t="shared" si="52"/>
        <v>4.1099999999999994</v>
      </c>
      <c r="D21">
        <f t="shared" si="29"/>
        <v>4.1099999999999994</v>
      </c>
      <c r="E21">
        <v>42.84</v>
      </c>
      <c r="F21">
        <v>53.05</v>
      </c>
      <c r="L21" s="2">
        <v>1.32</v>
      </c>
      <c r="T21" s="35" t="s">
        <v>37</v>
      </c>
      <c r="U21" s="35"/>
      <c r="V21" s="36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5" t="s">
        <v>37</v>
      </c>
      <c r="AO21" s="35"/>
      <c r="AP21" s="36"/>
    </row>
    <row r="22" spans="1:55" x14ac:dyDescent="0.25">
      <c r="A22" t="s">
        <v>28</v>
      </c>
      <c r="B22" s="2">
        <v>1974</v>
      </c>
      <c r="C22">
        <f t="shared" si="52"/>
        <v>4.9699999999999989</v>
      </c>
      <c r="D22">
        <f t="shared" si="29"/>
        <v>4.9699999999999989</v>
      </c>
      <c r="E22">
        <v>49.3</v>
      </c>
      <c r="F22">
        <v>45.73</v>
      </c>
      <c r="L22" s="2">
        <v>1.42</v>
      </c>
    </row>
    <row r="23" spans="1:55" x14ac:dyDescent="0.25">
      <c r="A23" t="s">
        <v>29</v>
      </c>
      <c r="B23" s="2">
        <v>1972</v>
      </c>
      <c r="C23">
        <f t="shared" si="52"/>
        <v>8.9300000000000068</v>
      </c>
      <c r="D23">
        <f t="shared" si="29"/>
        <v>8.9300000000000068</v>
      </c>
      <c r="E23">
        <v>49.59</v>
      </c>
      <c r="F23">
        <v>41.48</v>
      </c>
      <c r="L23" s="2">
        <v>5.25</v>
      </c>
    </row>
    <row r="25" spans="1:55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  <c r="AT25" t="str">
        <f>C25</f>
        <v>OTH</v>
      </c>
      <c r="AU25" t="str">
        <f t="shared" ref="AU25" si="55">D25</f>
        <v>xOTH</v>
      </c>
      <c r="AV25" t="str">
        <f t="shared" ref="AV25" si="56">E25</f>
        <v>ALP</v>
      </c>
      <c r="AW25" t="str">
        <f t="shared" ref="AW25" si="57">F25</f>
        <v>LNP</v>
      </c>
      <c r="AX25" t="str">
        <f t="shared" ref="AX25" si="58">G25</f>
        <v>GRN</v>
      </c>
      <c r="AY25" t="str">
        <f t="shared" ref="AY25" si="59">H25</f>
        <v>ONP</v>
      </c>
      <c r="AZ25" t="str">
        <f t="shared" ref="AZ25" si="60">I25</f>
        <v>UAP</v>
      </c>
      <c r="BA25" t="str">
        <f t="shared" ref="BA25" si="61">J25</f>
        <v>DEM</v>
      </c>
      <c r="BB25" t="str">
        <f t="shared" ref="BB25" si="62">K25</f>
        <v>KAP</v>
      </c>
      <c r="BC25" t="str">
        <f t="shared" ref="BC25" si="63">L25</f>
        <v>FF</v>
      </c>
    </row>
    <row r="26" spans="1:55" x14ac:dyDescent="0.25">
      <c r="A26" t="s">
        <v>67</v>
      </c>
      <c r="B26" s="2">
        <v>2020</v>
      </c>
      <c r="C26">
        <v>15.07</v>
      </c>
      <c r="D26">
        <v>5.43</v>
      </c>
      <c r="E26">
        <v>39.57</v>
      </c>
      <c r="F26">
        <v>35.89</v>
      </c>
      <c r="G26">
        <v>9.4700000000000006</v>
      </c>
      <c r="H26">
        <v>7.12</v>
      </c>
      <c r="I26">
        <v>0.62</v>
      </c>
      <c r="K26" s="6">
        <v>2.52</v>
      </c>
      <c r="M26">
        <f ca="1">MAX(0,_xlfn.FORECAST.LINEAR($B26,OFFSET(C27,0,0,$D$1),OFFSET($B27,0,0,$D$1)))</f>
        <v>20.182097812097709</v>
      </c>
      <c r="N26">
        <f t="shared" ref="N26:N37" ca="1" si="64">MAX(0,_xlfn.FORECAST.LINEAR($B26,OFFSET(D27,0,0,$D$1),OFFSET($B27,0,0,$D$1)))</f>
        <v>5.7275160875160793</v>
      </c>
      <c r="O26">
        <f t="shared" ref="O26:O37" ca="1" si="65">MAX(0,_xlfn.FORECAST.LINEAR($B26,OFFSET(E27,0,0,$D$1),OFFSET($B27,0,0,$D$1)))</f>
        <v>28.933166023165995</v>
      </c>
      <c r="P26">
        <f t="shared" ref="P26:P37" ca="1" si="66">MAX(0,_xlfn.FORECAST.LINEAR($B26,OFFSET(F27,0,0,$D$1),OFFSET($B27,0,0,$D$1)))</f>
        <v>41.106975546975548</v>
      </c>
      <c r="Q26">
        <f t="shared" ref="Q26:Q37" ca="1" si="67">MAX(0,_xlfn.FORECAST.LINEAR($B26,OFFSET(G27,0,0,$D$1),OFFSET($B27,0,0,$D$1)))</f>
        <v>9.7777606177606344</v>
      </c>
      <c r="R26">
        <f t="shared" ref="R26:R37" ca="1" si="68">MAX(0,_xlfn.FORECAST.LINEAR($B26,OFFSET(H27,0,0,$D$1),OFFSET($B27,0,0,$D$1)))</f>
        <v>7.7298069498068571</v>
      </c>
      <c r="S26" t="e">
        <f t="shared" ref="S26:S37" ca="1" si="69">MAX(0,_xlfn.FORECAST.LINEAR($B26,OFFSET(I27,0,0,$D$1),OFFSET($B27,0,0,$D$1)))</f>
        <v>#DIV/0!</v>
      </c>
      <c r="T26" t="e">
        <f t="shared" ref="T26:T37" ca="1" si="70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71">AVERAGE(D27:D32)</f>
        <v>6.156666666666669</v>
      </c>
      <c r="AI26">
        <f t="shared" ref="AI26:AI37" si="72">AVERAGE(E27:E32)</f>
        <v>39.29</v>
      </c>
      <c r="AJ26">
        <f t="shared" ref="AJ26:AJ37" si="73">AVERAGE(F27:F32)</f>
        <v>39.94166666666667</v>
      </c>
      <c r="AK26">
        <f t="shared" ref="AK26:AK37" si="74">AVERAGE(G27:G32)</f>
        <v>8.18</v>
      </c>
      <c r="AL26">
        <f t="shared" ref="AL26:AL37" si="75">AVERAGE(H27:H32)</f>
        <v>3.4350000000000001</v>
      </c>
      <c r="AM26">
        <f t="shared" ref="AM26:AM37" si="76">AVERAGE(I27:I32)</f>
        <v>5.1100000000000003</v>
      </c>
      <c r="AN26">
        <f t="shared" ref="AN26:AN37" si="77">AVERAGE(J27:J32)</f>
        <v>0.04</v>
      </c>
      <c r="AO26">
        <f t="shared" ref="AO26:AO37" si="78">AVERAGE(K27:K32)</f>
        <v>5.26</v>
      </c>
      <c r="AP26" s="2">
        <f t="shared" ref="AP26:AP37" si="79">AVERAGE(L27:L32)</f>
        <v>1.3149999999999999</v>
      </c>
      <c r="AR26" t="str">
        <f>LEFT(A26,FIND(" ",A26)-1)</f>
        <v>2020</v>
      </c>
      <c r="AS26" t="str">
        <f>MID(A26,FIND(" ",A26)+1,1000)</f>
        <v>qld</v>
      </c>
      <c r="AT26" t="str">
        <f>$AR26&amp;","&amp;$AS26&amp;","&amp;AT$25&amp;" FP,"&amp;IF(ISBLANK(C27),0,ROUND(C27,2))&amp;","&amp;IF(ISBLANK(C28),0,ROUND(C28,2))&amp;","&amp;IF(ISBLANK(C29),0,ROUND(C29,2))&amp;","&amp;IF(ISBLANK(C30),0,ROUND(C30,2))&amp;","&amp;IF(ISBLANK(C31),0,ROUND(C31,2))&amp;","&amp;IF(ISBLANK(C32),0,ROUND(C32,2))&amp;","&amp;IF(ISBLANK(C33),0,ROUND(C33,2))&amp;","&amp;IF(ISBLANK(C34),0,ROUND(C34,2))</f>
        <v>2020,qld,OTH FP,20.88,12.78,16.15,7.78,7.17,10.77,20.03,27.52</v>
      </c>
      <c r="AU26" t="str">
        <f t="shared" ref="AU26:BC32" si="80">$AR26&amp;","&amp;$AS26&amp;","&amp;AU$25&amp;" FP,"&amp;IF(ISBLANK(D27),0,ROUND(D27,2))&amp;","&amp;IF(ISBLANK(D28),0,ROUND(D28,2))&amp;","&amp;IF(ISBLANK(D29),0,ROUND(D29,2))&amp;","&amp;IF(ISBLANK(D30),0,ROUND(D30,2))&amp;","&amp;IF(ISBLANK(D31),0,ROUND(D31,2))&amp;","&amp;IF(ISBLANK(D32),0,ROUND(D32,2))&amp;","&amp;IF(ISBLANK(D33),0,ROUND(D33,2))&amp;","&amp;IF(ISBLANK(D34),0,ROUND(D34,2))</f>
        <v>2020,qld,xOTH FP,4.83,7.67,4.62,7.4,6.57,5.85,11,3.23</v>
      </c>
      <c r="AV26" t="str">
        <f t="shared" si="80"/>
        <v>2020,qld,ALP FP,35.43,37.47,26.66,42.25,46.92,47.01,48.98,38.86</v>
      </c>
      <c r="AW26" t="str">
        <f t="shared" si="80"/>
        <v>2020,qld,LNP FP,33.69,41.32,49.66,41.6,37.92,35.46,28.48,31.26</v>
      </c>
      <c r="AX26" t="str">
        <f t="shared" si="80"/>
        <v>2020,qld,GRN FP,10,8.43,7.53,8.37,7.99,6.76,2.51,2.36</v>
      </c>
      <c r="AY26" t="str">
        <f t="shared" si="80"/>
        <v>2020,qld,ONP FP,13.73,0.92,0.1,0.38,0.6,4.88,8.69,22.68</v>
      </c>
      <c r="AZ26" t="str">
        <f t="shared" si="80"/>
        <v>2020,qld,UAP FP,0,5.11,0,0,0,0,0,0</v>
      </c>
      <c r="BA26" t="str">
        <f t="shared" si="80"/>
        <v>2020,qld,DEM FP,0,0,0,0,0,0.04,0.34,1.61</v>
      </c>
      <c r="BB26" t="str">
        <f t="shared" si="80"/>
        <v>2020,qld,KAP FP,2.32,1.93,11.53,0,0,0,0,0</v>
      </c>
      <c r="BC26" t="str">
        <f t="shared" si="80"/>
        <v>2020,qld,FF FP,0,1.19,1.36,0.82,1.89,0,0,0</v>
      </c>
    </row>
    <row r="27" spans="1:55" x14ac:dyDescent="0.25">
      <c r="A27" t="s">
        <v>49</v>
      </c>
      <c r="B27" s="2">
        <v>2017</v>
      </c>
      <c r="C27">
        <f t="shared" ref="C27:C43" si="81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64"/>
        <v>5.3640173053151443</v>
      </c>
      <c r="O27">
        <f t="shared" ca="1" si="65"/>
        <v>29.854091470951971</v>
      </c>
      <c r="P27">
        <f t="shared" ca="1" si="66"/>
        <v>49.373992583436575</v>
      </c>
      <c r="Q27">
        <f t="shared" ca="1" si="67"/>
        <v>9.9122496909765232</v>
      </c>
      <c r="R27">
        <f t="shared" ca="1" si="68"/>
        <v>0</v>
      </c>
      <c r="S27" t="e">
        <f t="shared" ca="1" si="69"/>
        <v>#DIV/0!</v>
      </c>
      <c r="T27">
        <f t="shared" ca="1" si="70"/>
        <v>0</v>
      </c>
      <c r="U27">
        <f t="shared" ref="U27:U33" ca="1" si="82">MAX(0,_xlfn.FORECAST.LINEAR($B27,OFFSET(K28,0,0,$D$1),OFFSET($B28,0,0,$D$1)))</f>
        <v>0</v>
      </c>
      <c r="V27">
        <f t="shared" ref="V27:V33" ca="1" si="83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84">IF(ISBLANK(D27),NA(),D27-N27)</f>
        <v>-0.53401730531514602</v>
      </c>
      <c r="Y27" s="3">
        <f t="shared" ref="Y27:Y37" ca="1" si="85">IF(ISBLANK(E27),NA(),E27-O27)</f>
        <v>5.5759085290480286</v>
      </c>
      <c r="Z27" s="3">
        <f t="shared" ref="Z27:Z37" ca="1" si="86">IF(ISBLANK(F27),NA(),F27-P27)</f>
        <v>-15.683992583436577</v>
      </c>
      <c r="AA27" s="3">
        <f t="shared" ref="AA27:AA35" ca="1" si="87">IF(ISBLANK(G27),NA(),G27-Q27)</f>
        <v>8.7750309023476802E-2</v>
      </c>
      <c r="AB27" s="3">
        <f t="shared" ref="AB27:AB32" ca="1" si="88">IF(ISBLANK(H27),NA(),H27-R27)</f>
        <v>13.73</v>
      </c>
      <c r="AC27" s="3" t="e">
        <f t="shared" ref="AC27:AC37" si="89">IF(ISBLANK(I27),NA(),I27-S27)</f>
        <v>#N/A</v>
      </c>
      <c r="AD27" s="3" t="e">
        <f t="shared" ref="AD27:AD37" si="90">IF(ISBLANK(J27),NA(),J27-T27)</f>
        <v>#N/A</v>
      </c>
      <c r="AE27" s="3">
        <f t="shared" ref="AE27:AE37" ca="1" si="91">IF(ISBLANK(K27),NA(),K27-U27)</f>
        <v>2.3199999999999998</v>
      </c>
      <c r="AF27" s="5" t="e">
        <f t="shared" ref="AF27:AF37" si="92">IF(ISBLANK(L27),NA(),L27-V27)</f>
        <v>#N/A</v>
      </c>
      <c r="AG27">
        <f t="shared" ref="AG27:AG37" si="93">AVERAGE(C28:C33)</f>
        <v>12.446666666666667</v>
      </c>
      <c r="AH27">
        <f t="shared" si="71"/>
        <v>7.1850000000000023</v>
      </c>
      <c r="AI27">
        <f t="shared" si="72"/>
        <v>41.548333333333332</v>
      </c>
      <c r="AJ27">
        <f t="shared" si="73"/>
        <v>39.073333333333331</v>
      </c>
      <c r="AK27">
        <f t="shared" si="74"/>
        <v>6.9316666666666658</v>
      </c>
      <c r="AL27">
        <f t="shared" si="75"/>
        <v>2.5950000000000002</v>
      </c>
      <c r="AM27">
        <f t="shared" si="76"/>
        <v>5.1100000000000003</v>
      </c>
      <c r="AN27">
        <f t="shared" si="77"/>
        <v>0.19</v>
      </c>
      <c r="AO27">
        <f t="shared" si="78"/>
        <v>6.7299999999999995</v>
      </c>
      <c r="AP27" s="2">
        <f t="shared" si="79"/>
        <v>1.3149999999999999</v>
      </c>
      <c r="AR27" t="str">
        <f t="shared" ref="AR27:AR32" si="94">LEFT(A27,FIND(" ",A27)-1)</f>
        <v>2017</v>
      </c>
      <c r="AS27" t="str">
        <f t="shared" ref="AS27:AS32" si="95">MID(A27,FIND(" ",A27)+1,1000)</f>
        <v>qld</v>
      </c>
      <c r="AT27" t="str">
        <f t="shared" ref="AT27:AT32" si="96">$AR27&amp;","&amp;$AS27&amp;","&amp;AT$25&amp;" FP,"&amp;IF(ISBLANK(C28),0,ROUND(C28,2))&amp;","&amp;IF(ISBLANK(C29),0,ROUND(C29,2))&amp;","&amp;IF(ISBLANK(C30),0,ROUND(C30,2))&amp;","&amp;IF(ISBLANK(C31),0,ROUND(C31,2))&amp;","&amp;IF(ISBLANK(C32),0,ROUND(C32,2))&amp;","&amp;IF(ISBLANK(C33),0,ROUND(C33,2))&amp;","&amp;IF(ISBLANK(C34),0,ROUND(C34,2))&amp;","&amp;IF(ISBLANK(C35),0,ROUND(C35,2))</f>
        <v>2017,qld,OTH FP,12.78,16.15,7.78,7.17,10.77,20.03,27.52,5.25</v>
      </c>
      <c r="AU27" t="str">
        <f t="shared" si="80"/>
        <v>2017,qld,xOTH FP,7.67,4.62,7.4,6.57,5.85,11,3.23,4</v>
      </c>
      <c r="AV27" t="str">
        <f t="shared" si="80"/>
        <v>2017,qld,ALP FP,37.47,26.66,42.25,46.92,47.01,48.98,38.86,42.89</v>
      </c>
      <c r="AW27" t="str">
        <f t="shared" si="80"/>
        <v>2017,qld,LNP FP,41.32,49.66,41.6,37.92,35.46,28.48,31.26,48.99</v>
      </c>
      <c r="AX27" t="str">
        <f t="shared" si="80"/>
        <v>2017,qld,GRN FP,8.43,7.53,8.37,7.99,6.76,2.51,2.36,2.87</v>
      </c>
      <c r="AY27" t="str">
        <f t="shared" si="80"/>
        <v>2017,qld,ONP FP,0.92,0.1,0.38,0.6,4.88,8.69,22.68,0</v>
      </c>
      <c r="AZ27" t="str">
        <f t="shared" si="80"/>
        <v>2017,qld,UAP FP,5.11,0,0,0,0,0,0,0</v>
      </c>
      <c r="BA27" t="str">
        <f t="shared" si="80"/>
        <v>2017,qld,DEM FP,0,0,0,0,0.04,0.34,1.61,1.25</v>
      </c>
      <c r="BB27" t="str">
        <f t="shared" si="80"/>
        <v>2017,qld,KAP FP,1.93,11.53,0,0,0,0,0,0</v>
      </c>
      <c r="BC27" t="str">
        <f t="shared" si="80"/>
        <v>2017,qld,FF FP,1.19,1.36,0.82,1.89,0,0,0,0</v>
      </c>
    </row>
    <row r="28" spans="1:55" x14ac:dyDescent="0.25">
      <c r="A28" t="s">
        <v>51</v>
      </c>
      <c r="B28" s="2">
        <v>2015</v>
      </c>
      <c r="C28">
        <f t="shared" si="81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97">MAX(0,_xlfn.FORECAST.LINEAR($B28,OFFSET(C29,0,0,$D$1),OFFSET($B29,0,0,$D$1)))</f>
        <v>4.8889393939393813</v>
      </c>
      <c r="N28">
        <f t="shared" ca="1" si="64"/>
        <v>6.1457575757575782</v>
      </c>
      <c r="O28">
        <f t="shared" ca="1" si="65"/>
        <v>33.264090909090783</v>
      </c>
      <c r="P28">
        <f t="shared" ca="1" si="66"/>
        <v>51.316363636363349</v>
      </c>
      <c r="Q28">
        <f t="shared" ca="1" si="67"/>
        <v>10.530606060606033</v>
      </c>
      <c r="R28">
        <f t="shared" ca="1" si="68"/>
        <v>0</v>
      </c>
      <c r="S28" t="e">
        <f t="shared" ca="1" si="69"/>
        <v>#DIV/0!</v>
      </c>
      <c r="T28">
        <f t="shared" ca="1" si="70"/>
        <v>0</v>
      </c>
      <c r="U28" t="e">
        <f t="shared" ca="1" si="82"/>
        <v>#DIV/0!</v>
      </c>
      <c r="V28">
        <f t="shared" ca="1" si="83"/>
        <v>0.82666666666665378</v>
      </c>
      <c r="W28" s="4">
        <f t="shared" ref="W28:W37" ca="1" si="98">IF(ISBLANK(C28),NA(),C28-M28)</f>
        <v>7.8910606060606199</v>
      </c>
      <c r="X28" s="3">
        <f t="shared" ca="1" si="84"/>
        <v>1.5242424242424235</v>
      </c>
      <c r="Y28" s="3">
        <f t="shared" ca="1" si="85"/>
        <v>4.2059090909092163</v>
      </c>
      <c r="Z28" s="3">
        <f t="shared" ca="1" si="86"/>
        <v>-9.9963636363633483</v>
      </c>
      <c r="AA28" s="3">
        <f t="shared" ca="1" si="87"/>
        <v>-2.1006060606060331</v>
      </c>
      <c r="AB28" s="3">
        <f t="shared" ca="1" si="88"/>
        <v>0.92</v>
      </c>
      <c r="AC28" s="3" t="e">
        <f t="shared" ca="1" si="89"/>
        <v>#DIV/0!</v>
      </c>
      <c r="AD28" s="3" t="e">
        <f t="shared" si="90"/>
        <v>#N/A</v>
      </c>
      <c r="AE28" s="3" t="e">
        <f t="shared" ca="1" si="91"/>
        <v>#DIV/0!</v>
      </c>
      <c r="AF28" s="5">
        <f t="shared" ca="1" si="92"/>
        <v>0.36333333333334616</v>
      </c>
      <c r="AG28">
        <f t="shared" si="93"/>
        <v>14.903333333333334</v>
      </c>
      <c r="AH28">
        <f t="shared" si="71"/>
        <v>6.4450000000000029</v>
      </c>
      <c r="AI28">
        <f t="shared" si="72"/>
        <v>41.78</v>
      </c>
      <c r="AJ28">
        <f t="shared" si="73"/>
        <v>37.396666666666668</v>
      </c>
      <c r="AK28">
        <f t="shared" si="74"/>
        <v>5.919999999999999</v>
      </c>
      <c r="AL28">
        <f t="shared" si="75"/>
        <v>6.2216666666666667</v>
      </c>
      <c r="AM28" t="e">
        <f t="shared" si="76"/>
        <v>#DIV/0!</v>
      </c>
      <c r="AN28">
        <f t="shared" si="77"/>
        <v>0.66333333333333344</v>
      </c>
      <c r="AO28">
        <f t="shared" si="78"/>
        <v>11.53</v>
      </c>
      <c r="AP28" s="2">
        <f t="shared" si="79"/>
        <v>1.3566666666666667</v>
      </c>
      <c r="AR28" t="str">
        <f t="shared" si="94"/>
        <v>2015</v>
      </c>
      <c r="AS28" t="str">
        <f t="shared" si="95"/>
        <v>qld</v>
      </c>
      <c r="AT28" t="str">
        <f t="shared" si="96"/>
        <v>2015,qld,OTH FP,16.15,7.78,7.17,10.77,20.03,27.52,5.25,6.46</v>
      </c>
      <c r="AU28" t="str">
        <f t="shared" si="80"/>
        <v>2015,qld,xOTH FP,4.62,7.4,6.57,5.85,11,3.23,4,6.13</v>
      </c>
      <c r="AV28" t="str">
        <f t="shared" si="80"/>
        <v>2015,qld,ALP FP,26.66,42.25,46.92,47.01,48.98,38.86,42.89,48.73</v>
      </c>
      <c r="AW28" t="str">
        <f t="shared" si="80"/>
        <v>2015,qld,LNP FP,49.66,41.6,37.92,35.46,28.48,31.26,48.99,44.15</v>
      </c>
      <c r="AX28" t="str">
        <f t="shared" si="80"/>
        <v>2015,qld,GRN FP,7.53,8.37,7.99,6.76,2.51,2.36,2.87,0.66</v>
      </c>
      <c r="AY28" t="str">
        <f t="shared" si="80"/>
        <v>2015,qld,ONP FP,0.1,0.38,0.6,4.88,8.69,22.68,0,0</v>
      </c>
      <c r="AZ28" t="str">
        <f t="shared" si="80"/>
        <v>2015,qld,UAP FP,0,0,0,0,0,0,0,0</v>
      </c>
      <c r="BA28" t="str">
        <f t="shared" si="80"/>
        <v>2015,qld,DEM FP,0,0,0,0.04,0.34,1.61,1.25,0.33</v>
      </c>
      <c r="BB28" t="str">
        <f t="shared" si="80"/>
        <v>2015,qld,KAP FP,11.53,0,0,0,0,0,0,0</v>
      </c>
      <c r="BC28" t="str">
        <f t="shared" si="80"/>
        <v>2015,qld,FF FP,1.36,0.82,1.89,0,0,0,0,0</v>
      </c>
    </row>
    <row r="29" spans="1:55" x14ac:dyDescent="0.25">
      <c r="A29" t="s">
        <v>52</v>
      </c>
      <c r="B29" s="2">
        <v>2012</v>
      </c>
      <c r="C29">
        <f t="shared" si="81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97"/>
        <v>7.5975030902347953</v>
      </c>
      <c r="N29">
        <f t="shared" ca="1" si="64"/>
        <v>8.6402843016069255</v>
      </c>
      <c r="O29">
        <f t="shared" ca="1" si="65"/>
        <v>46.550000000000011</v>
      </c>
      <c r="P29">
        <f t="shared" ca="1" si="66"/>
        <v>35.831149567367163</v>
      </c>
      <c r="Q29">
        <f t="shared" ca="1" si="67"/>
        <v>10.02134734239803</v>
      </c>
      <c r="R29">
        <f t="shared" ca="1" si="68"/>
        <v>0</v>
      </c>
      <c r="S29" t="e">
        <f t="shared" ca="1" si="69"/>
        <v>#DIV/0!</v>
      </c>
      <c r="T29">
        <f t="shared" ca="1" si="70"/>
        <v>0</v>
      </c>
      <c r="U29" t="e">
        <f t="shared" ca="1" si="82"/>
        <v>#DIV/0!</v>
      </c>
      <c r="V29">
        <f t="shared" ca="1" si="83"/>
        <v>0</v>
      </c>
      <c r="W29" s="4">
        <f t="shared" ca="1" si="98"/>
        <v>8.5524969097652104</v>
      </c>
      <c r="X29" s="3">
        <f t="shared" ca="1" si="84"/>
        <v>-4.020284301606921</v>
      </c>
      <c r="Y29" s="3">
        <f t="shared" ca="1" si="85"/>
        <v>-19.890000000000011</v>
      </c>
      <c r="Z29" s="3">
        <f t="shared" ca="1" si="86"/>
        <v>13.828850432632834</v>
      </c>
      <c r="AA29" s="3">
        <f t="shared" ca="1" si="87"/>
        <v>-2.4913473423980301</v>
      </c>
      <c r="AB29" s="3">
        <f t="shared" ca="1" si="88"/>
        <v>0.1</v>
      </c>
      <c r="AC29" s="3" t="e">
        <f t="shared" si="89"/>
        <v>#N/A</v>
      </c>
      <c r="AD29" s="3" t="e">
        <f t="shared" si="90"/>
        <v>#N/A</v>
      </c>
      <c r="AE29" s="3" t="e">
        <f t="shared" ca="1" si="91"/>
        <v>#DIV/0!</v>
      </c>
      <c r="AF29" s="5">
        <f t="shared" ca="1" si="92"/>
        <v>1.36</v>
      </c>
      <c r="AG29">
        <f t="shared" si="93"/>
        <v>13.086666666666666</v>
      </c>
      <c r="AH29">
        <f t="shared" si="71"/>
        <v>6.3416666666666686</v>
      </c>
      <c r="AI29">
        <f t="shared" si="72"/>
        <v>44.484999999999992</v>
      </c>
      <c r="AJ29">
        <f t="shared" si="73"/>
        <v>37.285000000000004</v>
      </c>
      <c r="AK29">
        <f t="shared" si="74"/>
        <v>5.1433333333333326</v>
      </c>
      <c r="AL29">
        <f t="shared" si="75"/>
        <v>7.4459999999999997</v>
      </c>
      <c r="AM29" t="e">
        <f t="shared" si="76"/>
        <v>#DIV/0!</v>
      </c>
      <c r="AN29">
        <f t="shared" si="77"/>
        <v>0.81</v>
      </c>
      <c r="AO29" t="e">
        <f t="shared" si="78"/>
        <v>#DIV/0!</v>
      </c>
      <c r="AP29" s="2">
        <f t="shared" si="79"/>
        <v>1.355</v>
      </c>
      <c r="AR29" t="str">
        <f t="shared" si="94"/>
        <v>2012</v>
      </c>
      <c r="AS29" t="str">
        <f t="shared" si="95"/>
        <v>qld</v>
      </c>
      <c r="AT29" t="str">
        <f t="shared" si="96"/>
        <v>2012,qld,OTH FP,7.78,7.17,10.77,20.03,27.52,5.25,6.46,4.21</v>
      </c>
      <c r="AU29" t="str">
        <f t="shared" si="80"/>
        <v>2012,qld,xOTH FP,7.4,6.57,5.85,11,3.23,4,6.13,3.79</v>
      </c>
      <c r="AV29" t="str">
        <f t="shared" si="80"/>
        <v>2012,qld,ALP FP,42.25,46.92,47.01,48.98,38.86,42.89,48.73,50.32</v>
      </c>
      <c r="AW29" t="str">
        <f t="shared" si="80"/>
        <v>2012,qld,LNP FP,41.6,37.92,35.46,28.48,31.26,48.99,44.15,45.14</v>
      </c>
      <c r="AX29" t="str">
        <f t="shared" si="80"/>
        <v>2012,qld,GRN FP,8.37,7.99,6.76,2.51,2.36,2.87,0.66,0.33</v>
      </c>
      <c r="AY29" t="str">
        <f t="shared" si="80"/>
        <v>2012,qld,ONP FP,0.38,0.6,4.88,8.69,22.68,0,0,0</v>
      </c>
      <c r="AZ29" t="str">
        <f t="shared" si="80"/>
        <v>2012,qld,UAP FP,0,0,0,0,0,0,0,0</v>
      </c>
      <c r="BA29" t="str">
        <f t="shared" si="80"/>
        <v>2012,qld,DEM FP,0,0,0.04,0.34,1.61,1.25,0.33,0.42</v>
      </c>
      <c r="BB29" t="str">
        <f t="shared" si="80"/>
        <v>2012,qld,KAP FP,0,0,0,0,0,0,0,0</v>
      </c>
      <c r="BC29" t="str">
        <f t="shared" si="80"/>
        <v>2012,qld,FF FP,0.82,1.89,0,0,0,0,0,0</v>
      </c>
    </row>
    <row r="30" spans="1:55" x14ac:dyDescent="0.25">
      <c r="A30" t="s">
        <v>53</v>
      </c>
      <c r="B30" s="2">
        <v>2009</v>
      </c>
      <c r="C30">
        <f t="shared" si="81"/>
        <v>7.7800000000000011</v>
      </c>
      <c r="D30">
        <f t="shared" ref="D30:D37" si="99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97"/>
        <v>14.527534883720932</v>
      </c>
      <c r="N30">
        <f t="shared" ca="1" si="64"/>
        <v>7.670372093023218</v>
      </c>
      <c r="O30">
        <f t="shared" ca="1" si="65"/>
        <v>46.832232558139538</v>
      </c>
      <c r="P30">
        <f t="shared" ca="1" si="66"/>
        <v>30.157186046511697</v>
      </c>
      <c r="Q30">
        <f t="shared" ca="1" si="67"/>
        <v>8.4830465116278901</v>
      </c>
      <c r="R30">
        <f t="shared" ca="1" si="68"/>
        <v>0</v>
      </c>
      <c r="S30" t="e">
        <f t="shared" ca="1" si="69"/>
        <v>#DIV/0!</v>
      </c>
      <c r="T30">
        <f t="shared" ca="1" si="70"/>
        <v>0.16766666666666197</v>
      </c>
      <c r="U30" t="e">
        <f t="shared" ca="1" si="82"/>
        <v>#DIV/0!</v>
      </c>
      <c r="V30" t="e">
        <f t="shared" ca="1" si="83"/>
        <v>#DIV/0!</v>
      </c>
      <c r="W30" s="4">
        <f t="shared" ca="1" si="98"/>
        <v>-6.747534883720931</v>
      </c>
      <c r="X30" s="3">
        <f t="shared" ca="1" si="84"/>
        <v>-0.2703720930232123</v>
      </c>
      <c r="Y30" s="3">
        <f t="shared" ca="1" si="85"/>
        <v>-4.5822325581395376</v>
      </c>
      <c r="Z30" s="3">
        <f t="shared" ca="1" si="86"/>
        <v>11.442813953488304</v>
      </c>
      <c r="AA30" s="3">
        <f t="shared" ca="1" si="87"/>
        <v>-0.11304651162789092</v>
      </c>
      <c r="AB30" s="3">
        <f t="shared" ca="1" si="88"/>
        <v>0.38</v>
      </c>
      <c r="AC30" s="3" t="e">
        <f t="shared" si="89"/>
        <v>#N/A</v>
      </c>
      <c r="AD30" s="3" t="e">
        <f t="shared" si="90"/>
        <v>#N/A</v>
      </c>
      <c r="AE30" s="3" t="e">
        <f t="shared" si="91"/>
        <v>#N/A</v>
      </c>
      <c r="AF30" s="5" t="e">
        <f t="shared" ca="1" si="92"/>
        <v>#DIV/0!</v>
      </c>
      <c r="AG30">
        <f t="shared" si="93"/>
        <v>12.866666666666667</v>
      </c>
      <c r="AH30">
        <f t="shared" si="71"/>
        <v>6.1300000000000026</v>
      </c>
      <c r="AI30">
        <f t="shared" si="72"/>
        <v>45.564999999999998</v>
      </c>
      <c r="AJ30">
        <f t="shared" si="73"/>
        <v>37.71</v>
      </c>
      <c r="AK30">
        <f t="shared" si="74"/>
        <v>3.8583333333333329</v>
      </c>
      <c r="AL30">
        <f t="shared" si="75"/>
        <v>9.2124999999999986</v>
      </c>
      <c r="AM30" t="e">
        <f t="shared" si="76"/>
        <v>#DIV/0!</v>
      </c>
      <c r="AN30">
        <f t="shared" si="77"/>
        <v>0.71400000000000008</v>
      </c>
      <c r="AO30" t="e">
        <f t="shared" si="78"/>
        <v>#DIV/0!</v>
      </c>
      <c r="AP30" s="2">
        <f t="shared" si="79"/>
        <v>1.89</v>
      </c>
      <c r="AR30" t="str">
        <f t="shared" si="94"/>
        <v>2009</v>
      </c>
      <c r="AS30" t="str">
        <f t="shared" si="95"/>
        <v>qld</v>
      </c>
      <c r="AT30" t="str">
        <f t="shared" si="96"/>
        <v>2009,qld,OTH FP,7.17,10.77,20.03,27.52,5.25,6.46,4.21,2.54</v>
      </c>
      <c r="AU30" t="str">
        <f t="shared" si="80"/>
        <v>2009,qld,xOTH FP,6.57,5.85,11,3.23,4,6.13,3.79,1.91</v>
      </c>
      <c r="AV30" t="str">
        <f t="shared" si="80"/>
        <v>2009,qld,ALP FP,46.92,47.01,48.98,38.86,42.89,48.73,50.32,41.32</v>
      </c>
      <c r="AW30" t="str">
        <f t="shared" si="80"/>
        <v>2009,qld,LNP FP,37.92,35.46,28.48,31.26,48.99,44.15,45.14,56.14</v>
      </c>
      <c r="AX30" t="str">
        <f t="shared" si="80"/>
        <v>2009,qld,GRN FP,7.99,6.76,2.51,2.36,2.87,0.66,0.33,0</v>
      </c>
      <c r="AY30" t="str">
        <f t="shared" si="80"/>
        <v>2009,qld,ONP FP,0.6,4.88,8.69,22.68,0,0,0,0</v>
      </c>
      <c r="AZ30" t="str">
        <f t="shared" si="80"/>
        <v>2009,qld,UAP FP,0,0,0,0,0,0,0,0</v>
      </c>
      <c r="BA30" t="str">
        <f t="shared" si="80"/>
        <v>2009,qld,DEM FP,0,0.04,0.34,1.61,1.25,0.33,0.42,0.63</v>
      </c>
      <c r="BB30" t="str">
        <f t="shared" si="80"/>
        <v>2009,qld,KAP FP,0,0,0,0,0,0,0,0</v>
      </c>
      <c r="BC30" t="str">
        <f t="shared" si="80"/>
        <v>2009,qld,FF FP,1.89,0,0,0,0,0,0,0</v>
      </c>
    </row>
    <row r="31" spans="1:55" x14ac:dyDescent="0.25">
      <c r="A31" t="s">
        <v>54</v>
      </c>
      <c r="B31" s="2">
        <v>2006</v>
      </c>
      <c r="C31">
        <f t="shared" si="81"/>
        <v>7.1700000000000017</v>
      </c>
      <c r="D31">
        <f t="shared" si="99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97"/>
        <v>21.039142857142906</v>
      </c>
      <c r="N31">
        <f t="shared" ca="1" si="64"/>
        <v>7.8507619047618959</v>
      </c>
      <c r="O31">
        <f t="shared" ca="1" si="65"/>
        <v>44.337523809523816</v>
      </c>
      <c r="P31">
        <f t="shared" ca="1" si="66"/>
        <v>28.676857142856989</v>
      </c>
      <c r="Q31">
        <f t="shared" ca="1" si="67"/>
        <v>5.9464761904762327</v>
      </c>
      <c r="R31">
        <f t="shared" ca="1" si="68"/>
        <v>0</v>
      </c>
      <c r="S31" t="e">
        <f t="shared" ca="1" si="69"/>
        <v>#DIV/0!</v>
      </c>
      <c r="T31">
        <f t="shared" ca="1" si="70"/>
        <v>0.52838095238094951</v>
      </c>
      <c r="U31" t="e">
        <f t="shared" ca="1" si="82"/>
        <v>#DIV/0!</v>
      </c>
      <c r="V31" t="e">
        <f t="shared" ca="1" si="83"/>
        <v>#DIV/0!</v>
      </c>
      <c r="W31" s="4">
        <f t="shared" ca="1" si="98"/>
        <v>-13.869142857142904</v>
      </c>
      <c r="X31" s="3">
        <f t="shared" ca="1" si="84"/>
        <v>-1.2807619047618886</v>
      </c>
      <c r="Y31" s="3">
        <f t="shared" ca="1" si="85"/>
        <v>2.5824761904761857</v>
      </c>
      <c r="Z31" s="3">
        <f t="shared" ca="1" si="86"/>
        <v>9.2431428571430132</v>
      </c>
      <c r="AA31" s="3">
        <f t="shared" ca="1" si="87"/>
        <v>2.0435238095237676</v>
      </c>
      <c r="AB31" s="3">
        <f t="shared" ca="1" si="88"/>
        <v>0.6</v>
      </c>
      <c r="AC31" s="3" t="e">
        <f t="shared" si="89"/>
        <v>#N/A</v>
      </c>
      <c r="AD31" s="3" t="e">
        <f t="shared" si="90"/>
        <v>#N/A</v>
      </c>
      <c r="AE31" s="3" t="e">
        <f t="shared" si="91"/>
        <v>#N/A</v>
      </c>
      <c r="AF31" s="5" t="e">
        <f t="shared" ca="1" si="92"/>
        <v>#DIV/0!</v>
      </c>
      <c r="AG31">
        <f t="shared" si="93"/>
        <v>12.373333333333333</v>
      </c>
      <c r="AH31">
        <f t="shared" si="71"/>
        <v>5.666666666666667</v>
      </c>
      <c r="AI31">
        <f t="shared" si="72"/>
        <v>46.131666666666668</v>
      </c>
      <c r="AJ31">
        <f t="shared" si="73"/>
        <v>38.913333333333334</v>
      </c>
      <c r="AK31">
        <f t="shared" si="74"/>
        <v>2.5816666666666666</v>
      </c>
      <c r="AL31">
        <f t="shared" si="75"/>
        <v>12.083333333333334</v>
      </c>
      <c r="AM31" t="e">
        <f t="shared" si="76"/>
        <v>#DIV/0!</v>
      </c>
      <c r="AN31">
        <f t="shared" si="77"/>
        <v>0.66500000000000004</v>
      </c>
      <c r="AO31" t="e">
        <f t="shared" si="78"/>
        <v>#DIV/0!</v>
      </c>
      <c r="AP31" s="2" t="e">
        <f t="shared" si="79"/>
        <v>#DIV/0!</v>
      </c>
      <c r="AR31" t="str">
        <f t="shared" si="94"/>
        <v>2006</v>
      </c>
      <c r="AS31" t="str">
        <f t="shared" si="95"/>
        <v>qld</v>
      </c>
      <c r="AT31" t="str">
        <f t="shared" si="96"/>
        <v>2006,qld,OTH FP,10.77,20.03,27.52,5.25,6.46,4.21,2.54,2.21</v>
      </c>
      <c r="AU31" t="str">
        <f t="shared" si="80"/>
        <v>2006,qld,xOTH FP,5.85,11,3.23,4,6.13,3.79,1.91,1.38</v>
      </c>
      <c r="AV31" t="str">
        <f t="shared" si="80"/>
        <v>2006,qld,ALP FP,47.01,48.98,38.86,42.89,48.73,50.32,41.32,43.98</v>
      </c>
      <c r="AW31" t="str">
        <f t="shared" si="80"/>
        <v>2006,qld,LNP FP,35.46,28.48,31.26,48.99,44.15,45.14,56.14,53.81</v>
      </c>
      <c r="AX31" t="str">
        <f t="shared" si="80"/>
        <v>2006,qld,GRN FP,6.76,2.51,2.36,2.87,0.66,0.33,0,0</v>
      </c>
      <c r="AY31" t="str">
        <f t="shared" si="80"/>
        <v>2006,qld,ONP FP,4.88,8.69,22.68,0,0,0,0,0</v>
      </c>
      <c r="AZ31" t="str">
        <f t="shared" si="80"/>
        <v>2006,qld,UAP FP,0,0,0,0,0,0,0,0</v>
      </c>
      <c r="BA31" t="str">
        <f t="shared" si="80"/>
        <v>2006,qld,DEM FP,0.04,0.34,1.61,1.25,0.33,0.42,0.63,0.83</v>
      </c>
      <c r="BB31" t="str">
        <f t="shared" si="80"/>
        <v>2006,qld,KAP FP,0,0,0,0,0,0,0,0</v>
      </c>
      <c r="BC31" t="str">
        <f t="shared" si="80"/>
        <v>2006,qld,FF FP,0,0,0,0,0,0,0,0</v>
      </c>
    </row>
    <row r="32" spans="1:55" x14ac:dyDescent="0.25">
      <c r="A32" t="s">
        <v>55</v>
      </c>
      <c r="B32" s="2">
        <v>2004</v>
      </c>
      <c r="C32">
        <f t="shared" si="81"/>
        <v>10.769999999999996</v>
      </c>
      <c r="D32">
        <f t="shared" si="99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97"/>
        <v>26.618666666666286</v>
      </c>
      <c r="N32">
        <f t="shared" ca="1" si="64"/>
        <v>9.1739999999999782</v>
      </c>
      <c r="O32">
        <f t="shared" ca="1" si="65"/>
        <v>44.991333333333337</v>
      </c>
      <c r="P32">
        <f t="shared" ca="1" si="66"/>
        <v>24.850000000000364</v>
      </c>
      <c r="Q32">
        <f t="shared" ca="1" si="67"/>
        <v>3.5640000000000214</v>
      </c>
      <c r="R32">
        <f t="shared" ca="1" si="68"/>
        <v>0</v>
      </c>
      <c r="S32" t="e">
        <f t="shared" ca="1" si="69"/>
        <v>#DIV/0!</v>
      </c>
      <c r="T32">
        <f t="shared" ca="1" si="70"/>
        <v>1.0673333333333375</v>
      </c>
      <c r="U32" t="e">
        <f t="shared" ca="1" si="82"/>
        <v>#DIV/0!</v>
      </c>
      <c r="V32" t="e">
        <f t="shared" ca="1" si="83"/>
        <v>#DIV/0!</v>
      </c>
      <c r="W32" s="4">
        <f t="shared" ca="1" si="98"/>
        <v>-15.84866666666629</v>
      </c>
      <c r="X32" s="3">
        <f t="shared" ca="1" si="84"/>
        <v>-3.3239999999999839</v>
      </c>
      <c r="Y32" s="3">
        <f t="shared" ca="1" si="85"/>
        <v>2.0186666666666611</v>
      </c>
      <c r="Z32" s="3">
        <f t="shared" ca="1" si="86"/>
        <v>10.609999999999637</v>
      </c>
      <c r="AA32" s="3">
        <f t="shared" ca="1" si="87"/>
        <v>3.1959999999999784</v>
      </c>
      <c r="AB32" s="3">
        <f t="shared" ca="1" si="88"/>
        <v>4.88</v>
      </c>
      <c r="AC32" s="3" t="e">
        <f t="shared" si="89"/>
        <v>#N/A</v>
      </c>
      <c r="AD32" s="3">
        <f t="shared" ca="1" si="90"/>
        <v>-1.0273333333333374</v>
      </c>
      <c r="AE32" s="3" t="e">
        <f t="shared" si="91"/>
        <v>#N/A</v>
      </c>
      <c r="AF32" s="5" t="e">
        <f t="shared" si="92"/>
        <v>#N/A</v>
      </c>
      <c r="AG32">
        <f t="shared" si="93"/>
        <v>11.001666666666665</v>
      </c>
      <c r="AH32">
        <f t="shared" si="71"/>
        <v>5.0100000000000007</v>
      </c>
      <c r="AI32">
        <f t="shared" si="72"/>
        <v>45.183333333333337</v>
      </c>
      <c r="AJ32">
        <f t="shared" si="73"/>
        <v>42.359999999999992</v>
      </c>
      <c r="AK32">
        <f t="shared" si="74"/>
        <v>1.7459999999999998</v>
      </c>
      <c r="AL32">
        <f t="shared" si="75"/>
        <v>15.684999999999999</v>
      </c>
      <c r="AM32" t="e">
        <f t="shared" si="76"/>
        <v>#DIV/0!</v>
      </c>
      <c r="AN32">
        <f t="shared" si="77"/>
        <v>0.76333333333333331</v>
      </c>
      <c r="AO32" t="e">
        <f t="shared" si="78"/>
        <v>#DIV/0!</v>
      </c>
      <c r="AP32" s="2" t="e">
        <f t="shared" si="79"/>
        <v>#DIV/0!</v>
      </c>
      <c r="AR32" t="str">
        <f t="shared" si="94"/>
        <v>2004</v>
      </c>
      <c r="AS32" t="str">
        <f t="shared" si="95"/>
        <v>qld</v>
      </c>
      <c r="AT32" t="str">
        <f t="shared" si="96"/>
        <v>2004,qld,OTH FP,20.03,27.52,5.25,6.46,4.21,2.54,2.21,3.65</v>
      </c>
      <c r="AU32" t="str">
        <f t="shared" si="80"/>
        <v>2004,qld,xOTH FP,11,3.23,4,6.13,3.79,1.91,1.38,2.27</v>
      </c>
      <c r="AV32" t="str">
        <f t="shared" si="80"/>
        <v>2004,qld,ALP FP,48.98,38.86,42.89,48.73,50.32,41.32,43.98,41.49</v>
      </c>
      <c r="AW32" t="str">
        <f t="shared" si="80"/>
        <v>2004,qld,LNP FP,28.48,31.26,48.99,44.15,45.14,56.14,53.81,54.86</v>
      </c>
      <c r="AX32" t="str">
        <f t="shared" si="80"/>
        <v>2004,qld,GRN FP,2.51,2.36,2.87,0.66,0.33,0,0,0</v>
      </c>
      <c r="AY32" t="str">
        <f t="shared" si="80"/>
        <v>2004,qld,ONP FP,8.69,22.68,0,0,0,0,0,0</v>
      </c>
      <c r="AZ32" t="str">
        <f t="shared" si="80"/>
        <v>2004,qld,UAP FP,0,0,0,0,0,0,0,0</v>
      </c>
      <c r="BA32" t="str">
        <f t="shared" si="80"/>
        <v>2004,qld,DEM FP,0.34,1.61,1.25,0.33,0.42,0.63,0.83,1.38</v>
      </c>
      <c r="BB32" t="str">
        <f t="shared" si="80"/>
        <v>2004,qld,KAP FP,0,0,0,0,0,0,0,0</v>
      </c>
      <c r="BC32" t="str">
        <f t="shared" si="80"/>
        <v>2004,qld,FF FP,0,0,0,0,0,0,0,0</v>
      </c>
    </row>
    <row r="33" spans="1:55" x14ac:dyDescent="0.25">
      <c r="A33" t="s">
        <v>56</v>
      </c>
      <c r="B33" s="2">
        <v>2001</v>
      </c>
      <c r="C33">
        <f t="shared" si="81"/>
        <v>20.03</v>
      </c>
      <c r="D33">
        <f t="shared" si="99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97"/>
        <v>21.724666666666963</v>
      </c>
      <c r="N33">
        <f t="shared" ca="1" si="64"/>
        <v>5.1926666666666961</v>
      </c>
      <c r="O33">
        <f t="shared" ca="1" si="65"/>
        <v>42.101999999999919</v>
      </c>
      <c r="P33">
        <f t="shared" ca="1" si="66"/>
        <v>33.062666666666701</v>
      </c>
      <c r="Q33">
        <f t="shared" ca="1" si="67"/>
        <v>3.6299999999999955</v>
      </c>
      <c r="R33" t="e">
        <f t="shared" ca="1" si="68"/>
        <v>#DIV/0!</v>
      </c>
      <c r="S33" t="e">
        <f t="shared" ca="1" si="69"/>
        <v>#DIV/0!</v>
      </c>
      <c r="T33">
        <f t="shared" ca="1" si="70"/>
        <v>1.4120000000000061</v>
      </c>
      <c r="U33" t="e">
        <f t="shared" ca="1" si="82"/>
        <v>#DIV/0!</v>
      </c>
      <c r="V33" t="e">
        <f t="shared" ca="1" si="83"/>
        <v>#DIV/0!</v>
      </c>
      <c r="W33" s="4">
        <f t="shared" ca="1" si="98"/>
        <v>-1.6946666666669614</v>
      </c>
      <c r="X33" s="3">
        <f t="shared" ca="1" si="84"/>
        <v>5.8073333333333039</v>
      </c>
      <c r="Y33" s="3">
        <f t="shared" ca="1" si="85"/>
        <v>6.8780000000000783</v>
      </c>
      <c r="Z33" s="3">
        <f t="shared" ca="1" si="86"/>
        <v>-4.5826666666667002</v>
      </c>
      <c r="AA33" s="3">
        <f t="shared" ca="1" si="87"/>
        <v>-1.1199999999999957</v>
      </c>
      <c r="AB33" s="3">
        <f>H33-H34</f>
        <v>-13.99</v>
      </c>
      <c r="AC33" s="3" t="e">
        <f t="shared" si="89"/>
        <v>#N/A</v>
      </c>
      <c r="AD33" s="3">
        <f t="shared" ca="1" si="90"/>
        <v>-1.0720000000000061</v>
      </c>
      <c r="AE33" s="3" t="e">
        <f t="shared" si="91"/>
        <v>#N/A</v>
      </c>
      <c r="AF33" s="5" t="e">
        <f t="shared" si="92"/>
        <v>#N/A</v>
      </c>
      <c r="AG33">
        <f t="shared" si="93"/>
        <v>8.0316666666666663</v>
      </c>
      <c r="AH33">
        <f t="shared" si="71"/>
        <v>3.4066666666666685</v>
      </c>
      <c r="AI33">
        <f t="shared" si="72"/>
        <v>44.349999999999994</v>
      </c>
      <c r="AJ33">
        <f t="shared" si="73"/>
        <v>46.581666666666671</v>
      </c>
      <c r="AK33">
        <f t="shared" si="74"/>
        <v>1.5550000000000002</v>
      </c>
      <c r="AL33">
        <f t="shared" si="75"/>
        <v>22.68</v>
      </c>
      <c r="AM33" t="e">
        <f t="shared" si="76"/>
        <v>#DIV/0!</v>
      </c>
      <c r="AN33">
        <f t="shared" si="77"/>
        <v>0.84500000000000008</v>
      </c>
      <c r="AO33" t="e">
        <f t="shared" si="78"/>
        <v>#DIV/0!</v>
      </c>
      <c r="AP33" s="2" t="e">
        <f t="shared" si="79"/>
        <v>#DIV/0!</v>
      </c>
    </row>
    <row r="34" spans="1:55" x14ac:dyDescent="0.25">
      <c r="A34" s="8" t="s">
        <v>57</v>
      </c>
      <c r="B34" s="9">
        <v>1998</v>
      </c>
      <c r="C34">
        <f t="shared" si="81"/>
        <v>27.519999999999996</v>
      </c>
      <c r="D34">
        <f t="shared" si="99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97"/>
        <v>6.2953333333333603</v>
      </c>
      <c r="N34">
        <f t="shared" ca="1" si="64"/>
        <v>5.7246666666666783</v>
      </c>
      <c r="O34">
        <f t="shared" ca="1" si="65"/>
        <v>47.813333333333276</v>
      </c>
      <c r="P34">
        <f t="shared" ca="1" si="66"/>
        <v>43.582000000000107</v>
      </c>
      <c r="Q34">
        <f t="shared" ca="1" si="67"/>
        <v>3.8266666666667106</v>
      </c>
      <c r="R34" t="e">
        <f t="shared" ca="1" si="68"/>
        <v>#DIV/0!</v>
      </c>
      <c r="S34" t="e">
        <f t="shared" ca="1" si="69"/>
        <v>#DIV/0!</v>
      </c>
      <c r="T34">
        <f t="shared" ca="1" si="70"/>
        <v>0.57066666666666777</v>
      </c>
      <c r="U34" t="e">
        <f t="shared" ref="U34:V37" ca="1" si="100">MAX(0,_xlfn.FORECAST.LINEAR($B34,OFFSET(K35,0,0,$D$1),OFFSET($B35,0,0,$D$1)))</f>
        <v>#DIV/0!</v>
      </c>
      <c r="V34" s="2" t="e">
        <f t="shared" ca="1" si="100"/>
        <v>#DIV/0!</v>
      </c>
      <c r="W34" s="4">
        <f t="shared" ca="1" si="98"/>
        <v>21.224666666666636</v>
      </c>
      <c r="X34" s="3">
        <f t="shared" ca="1" si="84"/>
        <v>-2.4946666666666744</v>
      </c>
      <c r="Y34" s="3">
        <f t="shared" ca="1" si="85"/>
        <v>-8.9533333333332763</v>
      </c>
      <c r="Z34" s="3">
        <f t="shared" ca="1" si="86"/>
        <v>-12.322000000000106</v>
      </c>
      <c r="AA34" s="3">
        <f t="shared" ca="1" si="87"/>
        <v>-1.4666666666667107</v>
      </c>
      <c r="AB34" s="3">
        <f>H34</f>
        <v>22.68</v>
      </c>
      <c r="AC34" s="3" t="e">
        <f t="shared" si="89"/>
        <v>#N/A</v>
      </c>
      <c r="AD34" s="3">
        <f t="shared" ca="1" si="90"/>
        <v>1.0393333333333323</v>
      </c>
      <c r="AE34" s="3" t="e">
        <f t="shared" si="91"/>
        <v>#N/A</v>
      </c>
      <c r="AF34" s="5" t="e">
        <f t="shared" si="92"/>
        <v>#N/A</v>
      </c>
      <c r="AG34">
        <f t="shared" si="93"/>
        <v>4.0533333333333346</v>
      </c>
      <c r="AH34">
        <f t="shared" si="71"/>
        <v>3.2466666666666697</v>
      </c>
      <c r="AI34">
        <f t="shared" si="72"/>
        <v>44.788333333333327</v>
      </c>
      <c r="AJ34">
        <f t="shared" si="73"/>
        <v>50.515000000000008</v>
      </c>
      <c r="AK34">
        <f t="shared" si="74"/>
        <v>1.2866666666666668</v>
      </c>
      <c r="AL34" t="e">
        <f t="shared" si="75"/>
        <v>#DIV/0!</v>
      </c>
      <c r="AM34" t="e">
        <f t="shared" si="76"/>
        <v>#DIV/0!</v>
      </c>
      <c r="AN34">
        <f t="shared" si="77"/>
        <v>0.80666666666666664</v>
      </c>
      <c r="AO34" t="e">
        <f t="shared" si="78"/>
        <v>#DIV/0!</v>
      </c>
      <c r="AP34" s="2" t="e">
        <f t="shared" si="79"/>
        <v>#DIV/0!</v>
      </c>
    </row>
    <row r="35" spans="1:55" x14ac:dyDescent="0.25">
      <c r="A35" s="8" t="s">
        <v>58</v>
      </c>
      <c r="B35" s="2">
        <v>1995</v>
      </c>
      <c r="C35">
        <f t="shared" si="81"/>
        <v>5.25</v>
      </c>
      <c r="D35">
        <f t="shared" si="99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97"/>
        <v>5.0093333333333305</v>
      </c>
      <c r="N35">
        <f t="shared" ca="1" si="64"/>
        <v>5.0906666666666638</v>
      </c>
      <c r="O35">
        <f t="shared" ca="1" si="65"/>
        <v>50.111333333333278</v>
      </c>
      <c r="P35">
        <f t="shared" ca="1" si="66"/>
        <v>44.285333333333256</v>
      </c>
      <c r="Q35">
        <f t="shared" ca="1" si="67"/>
        <v>0.98999999999998067</v>
      </c>
      <c r="R35" t="e">
        <f t="shared" ca="1" si="68"/>
        <v>#DIV/0!</v>
      </c>
      <c r="S35" t="e">
        <f t="shared" ca="1" si="69"/>
        <v>#DIV/0!</v>
      </c>
      <c r="T35">
        <f t="shared" ca="1" si="70"/>
        <v>0</v>
      </c>
      <c r="U35" t="e">
        <f t="shared" ca="1" si="100"/>
        <v>#DIV/0!</v>
      </c>
      <c r="V35" s="2" t="e">
        <f t="shared" ca="1" si="100"/>
        <v>#DIV/0!</v>
      </c>
      <c r="W35" s="4">
        <f t="shared" ca="1" si="98"/>
        <v>0.24066666666666947</v>
      </c>
      <c r="X35" s="3">
        <f t="shared" ca="1" si="84"/>
        <v>-1.0906666666666638</v>
      </c>
      <c r="Y35" s="3">
        <f t="shared" ca="1" si="85"/>
        <v>-7.221333333333277</v>
      </c>
      <c r="Z35" s="3">
        <f t="shared" ca="1" si="86"/>
        <v>4.7046666666667463</v>
      </c>
      <c r="AA35" s="3">
        <f t="shared" ca="1" si="87"/>
        <v>1.8800000000000194</v>
      </c>
      <c r="AB35" s="3" t="e">
        <f>IF(ISBLANK(H35),NA(),H35-R35)</f>
        <v>#N/A</v>
      </c>
      <c r="AC35" s="3" t="e">
        <f t="shared" si="89"/>
        <v>#N/A</v>
      </c>
      <c r="AD35" s="3">
        <f t="shared" ca="1" si="90"/>
        <v>1.25</v>
      </c>
      <c r="AE35" s="3" t="e">
        <f t="shared" si="91"/>
        <v>#N/A</v>
      </c>
      <c r="AF35" s="5" t="e">
        <f t="shared" si="92"/>
        <v>#N/A</v>
      </c>
      <c r="AG35">
        <f t="shared" si="93"/>
        <v>3.9783333333333366</v>
      </c>
      <c r="AH35">
        <f t="shared" si="71"/>
        <v>3.1116666666666717</v>
      </c>
      <c r="AI35">
        <f t="shared" si="72"/>
        <v>44.778333333333336</v>
      </c>
      <c r="AJ35">
        <f t="shared" si="73"/>
        <v>51.07833333333334</v>
      </c>
      <c r="AK35">
        <f t="shared" si="74"/>
        <v>0.495</v>
      </c>
      <c r="AL35" t="e">
        <f t="shared" si="75"/>
        <v>#DIV/0!</v>
      </c>
      <c r="AM35" t="e">
        <f t="shared" si="76"/>
        <v>#DIV/0!</v>
      </c>
      <c r="AN35">
        <f t="shared" si="77"/>
        <v>0.8666666666666667</v>
      </c>
      <c r="AO35" t="e">
        <f t="shared" si="78"/>
        <v>#DIV/0!</v>
      </c>
      <c r="AP35" s="2" t="e">
        <f t="shared" si="79"/>
        <v>#DIV/0!</v>
      </c>
    </row>
    <row r="36" spans="1:55" x14ac:dyDescent="0.25">
      <c r="A36" s="8" t="s">
        <v>59</v>
      </c>
      <c r="B36" s="2">
        <v>1992</v>
      </c>
      <c r="C36">
        <f t="shared" si="81"/>
        <v>6.460000000000008</v>
      </c>
      <c r="D36">
        <f t="shared" si="99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97"/>
        <v>2.5180000000000291</v>
      </c>
      <c r="N36">
        <f t="shared" ca="1" si="64"/>
        <v>1.8453333333333148</v>
      </c>
      <c r="O36">
        <f t="shared" ca="1" si="65"/>
        <v>49.602666666666664</v>
      </c>
      <c r="P36">
        <f t="shared" ca="1" si="66"/>
        <v>47.659333333333279</v>
      </c>
      <c r="Q36" t="e">
        <f t="shared" ca="1" si="67"/>
        <v>#DIV/0!</v>
      </c>
      <c r="R36" t="e">
        <f t="shared" ca="1" si="68"/>
        <v>#DIV/0!</v>
      </c>
      <c r="S36" t="e">
        <f t="shared" ca="1" si="69"/>
        <v>#DIV/0!</v>
      </c>
      <c r="T36">
        <f t="shared" ca="1" si="70"/>
        <v>3.4999999999996589E-2</v>
      </c>
      <c r="U36" t="e">
        <f t="shared" ca="1" si="100"/>
        <v>#DIV/0!</v>
      </c>
      <c r="V36" s="2" t="e">
        <f t="shared" ca="1" si="100"/>
        <v>#DIV/0!</v>
      </c>
      <c r="W36" s="4">
        <f t="shared" ca="1" si="98"/>
        <v>3.9419999999999789</v>
      </c>
      <c r="X36" s="3">
        <f t="shared" ca="1" si="84"/>
        <v>4.2846666666666948</v>
      </c>
      <c r="Y36" s="3">
        <f t="shared" ca="1" si="85"/>
        <v>-0.87266666666666737</v>
      </c>
      <c r="Z36" s="3">
        <f t="shared" ca="1" si="86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89"/>
        <v>#N/A</v>
      </c>
      <c r="AD36" s="3">
        <f t="shared" ca="1" si="90"/>
        <v>0.29500000000000343</v>
      </c>
      <c r="AE36" s="3" t="e">
        <f t="shared" si="91"/>
        <v>#N/A</v>
      </c>
      <c r="AF36" s="5" t="e">
        <f t="shared" si="92"/>
        <v>#N/A</v>
      </c>
      <c r="AG36">
        <f t="shared" si="93"/>
        <v>3.7350000000000017</v>
      </c>
      <c r="AH36">
        <f t="shared" si="71"/>
        <v>2.9233333333333369</v>
      </c>
      <c r="AI36">
        <f t="shared" si="72"/>
        <v>42.661666666666669</v>
      </c>
      <c r="AJ36">
        <f t="shared" si="73"/>
        <v>53.548333333333325</v>
      </c>
      <c r="AK36">
        <f t="shared" si="74"/>
        <v>0.33</v>
      </c>
      <c r="AL36" t="e">
        <f t="shared" si="75"/>
        <v>#DIV/0!</v>
      </c>
      <c r="AM36" t="e">
        <f t="shared" si="76"/>
        <v>#DIV/0!</v>
      </c>
      <c r="AN36">
        <f t="shared" si="77"/>
        <v>0.97399999999999998</v>
      </c>
      <c r="AO36" t="e">
        <f t="shared" si="78"/>
        <v>#DIV/0!</v>
      </c>
      <c r="AP36" s="2" t="e">
        <f t="shared" si="79"/>
        <v>#DIV/0!</v>
      </c>
    </row>
    <row r="37" spans="1:55" x14ac:dyDescent="0.25">
      <c r="A37" s="8" t="s">
        <v>60</v>
      </c>
      <c r="B37" s="2">
        <v>1989</v>
      </c>
      <c r="C37">
        <f t="shared" si="81"/>
        <v>4.2099999999999937</v>
      </c>
      <c r="D37">
        <f t="shared" si="99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97"/>
        <v>0</v>
      </c>
      <c r="N37">
        <f t="shared" ca="1" si="64"/>
        <v>0</v>
      </c>
      <c r="O37">
        <f t="shared" ca="1" si="65"/>
        <v>41.902534883720932</v>
      </c>
      <c r="P37">
        <f t="shared" ca="1" si="66"/>
        <v>58.398697674418599</v>
      </c>
      <c r="Q37" t="e">
        <f t="shared" ca="1" si="67"/>
        <v>#DIV/0!</v>
      </c>
      <c r="R37" t="e">
        <f t="shared" ca="1" si="68"/>
        <v>#DIV/0!</v>
      </c>
      <c r="S37" t="e">
        <f t="shared" ca="1" si="69"/>
        <v>#DIV/0!</v>
      </c>
      <c r="T37">
        <f t="shared" ca="1" si="70"/>
        <v>0.24000000000000909</v>
      </c>
      <c r="U37" t="e">
        <f t="shared" ca="1" si="100"/>
        <v>#DIV/0!</v>
      </c>
      <c r="V37" s="2" t="e">
        <f t="shared" ca="1" si="100"/>
        <v>#DIV/0!</v>
      </c>
      <c r="W37" s="4">
        <f t="shared" ca="1" si="98"/>
        <v>4.2099999999999937</v>
      </c>
      <c r="X37" s="3">
        <f t="shared" ca="1" si="84"/>
        <v>3.789999999999992</v>
      </c>
      <c r="Y37" s="3">
        <f t="shared" ca="1" si="85"/>
        <v>8.4174651162790681</v>
      </c>
      <c r="Z37" s="3">
        <f t="shared" ca="1" si="86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89"/>
        <v>#N/A</v>
      </c>
      <c r="AD37" s="3">
        <f t="shared" ca="1" si="90"/>
        <v>0.17999999999999089</v>
      </c>
      <c r="AE37" s="3" t="e">
        <f t="shared" si="91"/>
        <v>#N/A</v>
      </c>
      <c r="AF37" s="5" t="e">
        <f t="shared" si="92"/>
        <v>#N/A</v>
      </c>
      <c r="AG37">
        <f t="shared" si="93"/>
        <v>4.8700000000000045</v>
      </c>
      <c r="AH37">
        <f t="shared" si="71"/>
        <v>4.1283333333333401</v>
      </c>
      <c r="AI37">
        <f t="shared" si="72"/>
        <v>42.06666666666667</v>
      </c>
      <c r="AJ37">
        <f t="shared" si="73"/>
        <v>53.063333333333333</v>
      </c>
      <c r="AK37" t="e">
        <f t="shared" si="74"/>
        <v>#DIV/0!</v>
      </c>
      <c r="AL37" t="e">
        <f t="shared" si="75"/>
        <v>#DIV/0!</v>
      </c>
      <c r="AM37" t="e">
        <f t="shared" si="76"/>
        <v>#DIV/0!</v>
      </c>
      <c r="AN37">
        <f t="shared" si="77"/>
        <v>1.1125</v>
      </c>
      <c r="AO37" t="e">
        <f t="shared" si="78"/>
        <v>#DIV/0!</v>
      </c>
      <c r="AP37" s="2" t="e">
        <f t="shared" si="79"/>
        <v>#DIV/0!</v>
      </c>
    </row>
    <row r="38" spans="1:55" x14ac:dyDescent="0.25">
      <c r="A38" s="8" t="s">
        <v>61</v>
      </c>
      <c r="B38" s="2">
        <v>1986</v>
      </c>
      <c r="C38">
        <f t="shared" si="81"/>
        <v>2.539999999999992</v>
      </c>
      <c r="D38">
        <f t="shared" ref="D38:D43" si="101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55" x14ac:dyDescent="0.25">
      <c r="A39" s="8" t="s">
        <v>62</v>
      </c>
      <c r="B39" s="2">
        <v>1983</v>
      </c>
      <c r="C39">
        <f t="shared" si="81"/>
        <v>2.210000000000008</v>
      </c>
      <c r="D39">
        <f t="shared" si="101"/>
        <v>1.3800000000000097</v>
      </c>
      <c r="E39">
        <v>43.98</v>
      </c>
      <c r="F39">
        <v>53.81</v>
      </c>
      <c r="J39">
        <v>0.83</v>
      </c>
      <c r="T39" s="35" t="s">
        <v>34</v>
      </c>
      <c r="U39" s="35"/>
      <c r="V39" s="36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55" x14ac:dyDescent="0.25">
      <c r="A40" s="8" t="s">
        <v>63</v>
      </c>
      <c r="B40" s="2">
        <v>1980</v>
      </c>
      <c r="C40">
        <f t="shared" si="81"/>
        <v>3.6500000000000057</v>
      </c>
      <c r="D40">
        <f t="shared" si="101"/>
        <v>2.2700000000000102</v>
      </c>
      <c r="E40">
        <v>41.49</v>
      </c>
      <c r="F40">
        <v>54.86</v>
      </c>
      <c r="J40">
        <v>1.38</v>
      </c>
      <c r="T40" s="35" t="s">
        <v>35</v>
      </c>
      <c r="U40" s="35"/>
      <c r="V40" s="36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5"/>
      <c r="AO40" s="35"/>
      <c r="AP40" s="36"/>
    </row>
    <row r="41" spans="1:55" x14ac:dyDescent="0.25">
      <c r="A41" s="8" t="s">
        <v>64</v>
      </c>
      <c r="B41" s="2">
        <v>1977</v>
      </c>
      <c r="C41">
        <f t="shared" si="81"/>
        <v>4.8000000000000114</v>
      </c>
      <c r="D41">
        <f t="shared" si="101"/>
        <v>3.1900000000000119</v>
      </c>
      <c r="E41">
        <v>42.83</v>
      </c>
      <c r="F41">
        <v>52.37</v>
      </c>
      <c r="J41">
        <v>1.61</v>
      </c>
      <c r="T41" s="35" t="s">
        <v>37</v>
      </c>
      <c r="U41" s="35"/>
      <c r="V41" s="36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5"/>
      <c r="AO41" s="35"/>
      <c r="AP41" s="36"/>
    </row>
    <row r="42" spans="1:55" x14ac:dyDescent="0.25">
      <c r="A42" s="8" t="s">
        <v>65</v>
      </c>
      <c r="B42" s="2">
        <v>1974</v>
      </c>
      <c r="C42">
        <f t="shared" si="81"/>
        <v>5</v>
      </c>
      <c r="D42">
        <f t="shared" si="101"/>
        <v>5</v>
      </c>
      <c r="E42">
        <v>36.03</v>
      </c>
      <c r="F42">
        <v>58.97</v>
      </c>
    </row>
    <row r="43" spans="1:55" x14ac:dyDescent="0.25">
      <c r="A43" t="s">
        <v>66</v>
      </c>
      <c r="B43" s="2">
        <v>1972</v>
      </c>
      <c r="C43">
        <f t="shared" si="81"/>
        <v>11.02000000000001</v>
      </c>
      <c r="D43">
        <f t="shared" si="101"/>
        <v>11.02000000000001</v>
      </c>
      <c r="E43">
        <v>46.75</v>
      </c>
      <c r="F43">
        <v>42.23</v>
      </c>
    </row>
    <row r="45" spans="1:55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  <c r="AT45" t="str">
        <f>C45</f>
        <v>OTH</v>
      </c>
      <c r="AU45" t="str">
        <f t="shared" ref="AU45" si="102">D45</f>
        <v>xOTH</v>
      </c>
      <c r="AV45" t="str">
        <f t="shared" ref="AV45" si="103">E45</f>
        <v>ALP</v>
      </c>
      <c r="AW45" t="str">
        <f t="shared" ref="AW45" si="104">F45</f>
        <v>LNP</v>
      </c>
      <c r="AX45" t="str">
        <f t="shared" ref="AX45" si="105">G45</f>
        <v>GRN</v>
      </c>
      <c r="AY45" t="str">
        <f t="shared" ref="AY45" si="106">H45</f>
        <v>ONP</v>
      </c>
      <c r="AZ45" t="str">
        <f t="shared" ref="AZ45" si="107">I45</f>
        <v>UAP</v>
      </c>
      <c r="BA45" t="str">
        <f t="shared" ref="BA45" si="108">J45</f>
        <v>DEM</v>
      </c>
      <c r="BB45" t="str">
        <f t="shared" ref="BB45" si="109">K45</f>
        <v>SFF</v>
      </c>
      <c r="BC45" t="str">
        <f t="shared" ref="BC45" si="110">L45</f>
        <v>CD</v>
      </c>
    </row>
    <row r="46" spans="1:55" x14ac:dyDescent="0.25">
      <c r="A46" t="s">
        <v>68</v>
      </c>
      <c r="B46" s="2">
        <v>2023</v>
      </c>
      <c r="M46">
        <f t="shared" ref="M46:M53" ca="1" si="111">MAX(0,_xlfn.FORECAST.LINEAR($B46,OFFSET(C47,0,0,$D$1),OFFSET($B47,0,0,$D$1)))</f>
        <v>10.837333333333277</v>
      </c>
      <c r="N46">
        <f t="shared" ref="N46:N53" ca="1" si="112">MAX(0,_xlfn.FORECAST.LINEAR($B46,OFFSET(D47,0,0,$D$1),OFFSET($B47,0,0,$D$1)))</f>
        <v>11.552</v>
      </c>
      <c r="O46">
        <f t="shared" ref="O46:O53" ca="1" si="113">MAX(0,_xlfn.FORECAST.LINEAR($B46,OFFSET(E47,0,0,$D$1),OFFSET($B47,0,0,$D$1)))</f>
        <v>27.761999999999944</v>
      </c>
      <c r="P46">
        <f t="shared" ref="P46:P53" ca="1" si="114">MAX(0,_xlfn.FORECAST.LINEAR($B46,OFFSET(F47,0,0,$D$1),OFFSET($B47,0,0,$D$1)))</f>
        <v>49.273999999999887</v>
      </c>
      <c r="Q46">
        <f t="shared" ref="Q46:Q53" ca="1" si="115">MAX(0,_xlfn.FORECAST.LINEAR($B46,OFFSET(G47,0,0,$D$1),OFFSET($B47,0,0,$D$1)))</f>
        <v>12.126666666666608</v>
      </c>
      <c r="R46">
        <f t="shared" ref="R46:R53" ca="1" si="116">MAX(0,_xlfn.FORECAST.LINEAR($B46,OFFSET(H47,0,0,$D$1),OFFSET($B47,0,0,$D$1)))</f>
        <v>0</v>
      </c>
      <c r="S46" t="e">
        <f t="shared" ref="S46:S53" ca="1" si="117">MAX(0,_xlfn.FORECAST.LINEAR($B46,OFFSET(I47,0,0,$D$1),OFFSET($B47,0,0,$D$1)))</f>
        <v>#DIV/0!</v>
      </c>
      <c r="T46">
        <f t="shared" ref="T46:T53" ca="1" si="118">MAX(0,_xlfn.FORECAST.LINEAR($B46,OFFSET(J47,0,0,$D$1),OFFSET($B47,0,0,$D$1)))</f>
        <v>0</v>
      </c>
      <c r="U46" t="e">
        <f t="shared" ref="U46:U53" ca="1" si="119">MAX(0,_xlfn.FORECAST.LINEAR($B46,OFFSET(K47,0,0,$D$1),OFFSET($B47,0,0,$D$1)))</f>
        <v>#DIV/0!</v>
      </c>
      <c r="V46" s="2">
        <f t="shared" ref="V46:V53" ca="1" si="120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121">AVERAGE(D47:D52)</f>
        <v>11.875</v>
      </c>
      <c r="AI46">
        <f t="shared" ref="AI46:AI56" si="122">AVERAGE(E47:E52)</f>
        <v>36.134999999999998</v>
      </c>
      <c r="AJ46">
        <f t="shared" ref="AJ46:AJ56" si="123">AVERAGE(F47:F52)</f>
        <v>40.580000000000005</v>
      </c>
      <c r="AK46">
        <f t="shared" ref="AK46:AK56" si="124">AVERAGE(G47:G52)</f>
        <v>8.5366666666666671</v>
      </c>
      <c r="AL46">
        <f t="shared" ref="AL46:AL56" si="125">AVERAGE(H47:H52)</f>
        <v>3.3033333333333332</v>
      </c>
      <c r="AM46" t="e">
        <f t="shared" ref="AM46:AM56" si="126">AVERAGE(I47:I52)</f>
        <v>#DIV/0!</v>
      </c>
      <c r="AN46">
        <f t="shared" ref="AN46:AN56" si="127">AVERAGE(J47:J52)</f>
        <v>1.9350000000000001</v>
      </c>
      <c r="AO46">
        <f t="shared" ref="AO46:AO56" si="128">AVERAGE(K47:K52)</f>
        <v>3.46</v>
      </c>
      <c r="AP46" s="2">
        <f t="shared" ref="AP46:AP56" si="129">AVERAGE(L47:L52)</f>
        <v>2.1416666666666671</v>
      </c>
      <c r="AR46" t="str">
        <f>LEFT(A46,FIND(" ",A46)-1)</f>
        <v>2023</v>
      </c>
      <c r="AS46" t="str">
        <f>MID(A46,FIND(" ",A46)+1,1000)</f>
        <v>nsw</v>
      </c>
      <c r="AT46" t="str">
        <f>$AR46&amp;","&amp;$AS46&amp;","&amp;AT$45&amp;" FP,"&amp;IF(ISBLANK(C47),0,ROUND(C47,2))&amp;","&amp;IF(ISBLANK(C48),0,ROUND(C48,2))&amp;","&amp;IF(ISBLANK(C49),0,ROUND(C49,2))&amp;","&amp;IF(ISBLANK(C50),0,ROUND(C50,2))&amp;","&amp;IF(ISBLANK(C51),0,ROUND(C51,2))&amp;","&amp;IF(ISBLANK(C52),0,ROUND(C52,2))&amp;","&amp;IF(ISBLANK(C53),0,ROUND(C53,2))&amp;","&amp;IF(ISBLANK(C54),0,ROUND(C54,2))</f>
        <v>2023,nsw,OTH FP,15.54,10,13.03,15.08,14.72,20.12,12.23,15.73</v>
      </c>
      <c r="AU46" t="str">
        <f t="shared" ref="AU46:BC52" si="130">$AR46&amp;","&amp;$AS46&amp;","&amp;AU$45&amp;" FP,"&amp;IF(ISBLANK(D47),0,ROUND(D47,2))&amp;","&amp;IF(ISBLANK(D48),0,ROUND(D48,2))&amp;","&amp;IF(ISBLANK(D49),0,ROUND(D49,2))&amp;","&amp;IF(ISBLANK(D50),0,ROUND(D50,2))&amp;","&amp;IF(ISBLANK(D51),0,ROUND(D51,2))&amp;","&amp;IF(ISBLANK(D52),0,ROUND(D52,2))&amp;","&amp;IF(ISBLANK(D53),0,ROUND(D53,2))&amp;","&amp;IF(ISBLANK(D54),0,ROUND(D54,2))</f>
        <v>2023,nsw,xOTH FP,10.98,10,13.03,14.54,13.44,9.26,9.73,10.37</v>
      </c>
      <c r="AV46" t="str">
        <f t="shared" si="130"/>
        <v>2023,nsw,ALP FP,33.31,34.08,25.55,38.98,42.68,42.21,41.26,39.05</v>
      </c>
      <c r="AW46" t="str">
        <f t="shared" si="130"/>
        <v>2023,nsw,LNP FP,41.58,45.63,51.14,36.99,34.35,33.79,43.94,44.68</v>
      </c>
      <c r="AX46" t="str">
        <f t="shared" si="130"/>
        <v>2023,nsw,GRN FP,9.57,10.29,10.28,8.95,8.25,3.88,2.57,0.54</v>
      </c>
      <c r="AY46" t="str">
        <f t="shared" si="130"/>
        <v>2023,nsw,ONP FP,1.1,0,0,0,1.28,7.53,0,0</v>
      </c>
      <c r="AZ46" t="str">
        <f t="shared" si="130"/>
        <v>2023,nsw,UAP FP,0,0,0,0,0,0,0,0</v>
      </c>
      <c r="BA46" t="str">
        <f t="shared" si="130"/>
        <v>2023,nsw,DEM FP,0,0,0,0.54,0,3.33,2.5,5.36</v>
      </c>
      <c r="BB46" t="str">
        <f t="shared" si="130"/>
        <v>2023,nsw,SFF FP,3.46,0,0,0,0,0,0,0</v>
      </c>
      <c r="BC46" t="str">
        <f t="shared" si="130"/>
        <v>2023,nsw,CD FP,0.8,3.24,3.12,2.47,1.73,1.49,0,0</v>
      </c>
    </row>
    <row r="47" spans="1:55" x14ac:dyDescent="0.25">
      <c r="A47" t="s">
        <v>48</v>
      </c>
      <c r="B47" s="2">
        <v>2019</v>
      </c>
      <c r="C47">
        <f t="shared" ref="C47:C61" si="131">100-SUM(E47:G47)</f>
        <v>15.539999999999992</v>
      </c>
      <c r="D47">
        <f t="shared" ref="D47:D61" si="132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111"/>
        <v>10.990666666666641</v>
      </c>
      <c r="N47">
        <f t="shared" ca="1" si="112"/>
        <v>13.042666666666662</v>
      </c>
      <c r="O47">
        <f t="shared" ca="1" si="113"/>
        <v>28.501999999999953</v>
      </c>
      <c r="P47">
        <f t="shared" ca="1" si="114"/>
        <v>47.287333333333436</v>
      </c>
      <c r="Q47">
        <f t="shared" ca="1" si="115"/>
        <v>13.220000000000027</v>
      </c>
      <c r="R47">
        <f t="shared" ca="1" si="116"/>
        <v>0</v>
      </c>
      <c r="S47" t="e">
        <f t="shared" ca="1" si="117"/>
        <v>#DIV/0!</v>
      </c>
      <c r="T47">
        <f t="shared" ca="1" si="118"/>
        <v>0</v>
      </c>
      <c r="U47" t="e">
        <f t="shared" ca="1" si="119"/>
        <v>#DIV/0!</v>
      </c>
      <c r="V47" s="2">
        <f t="shared" ca="1" si="120"/>
        <v>3.8769999999999811</v>
      </c>
      <c r="W47" s="4">
        <f ca="1">IF(ISBLANK(C47),NA(),C47-M47)</f>
        <v>4.549333333333351</v>
      </c>
      <c r="X47" s="3">
        <f t="shared" ref="X47:X56" ca="1" si="133">IF(ISBLANK(D47),NA(),D47-N47)</f>
        <v>-2.062666666666658</v>
      </c>
      <c r="Y47" s="3">
        <f t="shared" ref="Y47:Y56" ca="1" si="134">IF(ISBLANK(E47),NA(),E47-O47)</f>
        <v>4.8080000000000496</v>
      </c>
      <c r="Z47" s="3">
        <f t="shared" ref="Z47:Z56" ca="1" si="135">IF(ISBLANK(F47),NA(),F47-P47)</f>
        <v>-5.7073333333334375</v>
      </c>
      <c r="AA47" s="3">
        <f t="shared" ref="AA47:AA55" ca="1" si="136">IF(ISBLANK(G47),NA(),G47-Q47)</f>
        <v>-3.650000000000027</v>
      </c>
      <c r="AB47" s="3">
        <f t="shared" ref="AB47:AB52" ca="1" si="137">IF(ISBLANK(H47),NA(),H47-R47)</f>
        <v>1.1000000000000001</v>
      </c>
      <c r="AC47" s="3" t="e">
        <f t="shared" ref="AC47:AC56" si="138">IF(ISBLANK(I47),NA(),I47-S47)</f>
        <v>#N/A</v>
      </c>
      <c r="AD47" s="3" t="e">
        <f t="shared" ref="AD47:AD56" si="139">IF(ISBLANK(J47),NA(),J47-T47)</f>
        <v>#N/A</v>
      </c>
      <c r="AE47" s="3" t="e">
        <f t="shared" ref="AE47:AE56" ca="1" si="140">IF(ISBLANK(K47),NA(),K47-U47)</f>
        <v>#DIV/0!</v>
      </c>
      <c r="AF47" s="5">
        <f t="shared" ref="AF47:AF56" ca="1" si="141">IF(ISBLANK(L47),NA(),L47-V47)</f>
        <v>-3.0769999999999813</v>
      </c>
      <c r="AG47">
        <f t="shared" ref="AG47:AG56" si="142">AVERAGE(C48:C53)</f>
        <v>14.196666666666671</v>
      </c>
      <c r="AH47">
        <f t="shared" si="121"/>
        <v>11.66666666666667</v>
      </c>
      <c r="AI47">
        <f t="shared" si="122"/>
        <v>37.46</v>
      </c>
      <c r="AJ47">
        <f t="shared" si="123"/>
        <v>40.973333333333336</v>
      </c>
      <c r="AK47">
        <f t="shared" si="124"/>
        <v>7.37</v>
      </c>
      <c r="AL47">
        <f t="shared" si="125"/>
        <v>4.4050000000000002</v>
      </c>
      <c r="AM47" t="e">
        <f t="shared" si="126"/>
        <v>#DIV/0!</v>
      </c>
      <c r="AN47">
        <f t="shared" si="127"/>
        <v>2.1233333333333335</v>
      </c>
      <c r="AO47" t="e">
        <f t="shared" si="128"/>
        <v>#DIV/0!</v>
      </c>
      <c r="AP47" s="2">
        <f t="shared" si="129"/>
        <v>2.41</v>
      </c>
      <c r="AR47" t="str">
        <f t="shared" ref="AR47:AR52" si="143">LEFT(A47,FIND(" ",A47)-1)</f>
        <v>2019</v>
      </c>
      <c r="AS47" t="str">
        <f t="shared" ref="AS47:AS52" si="144">MID(A47,FIND(" ",A47)+1,1000)</f>
        <v>nsw</v>
      </c>
      <c r="AT47" t="str">
        <f t="shared" ref="AT47:AT52" si="145">$AR47&amp;","&amp;$AS47&amp;","&amp;AT$45&amp;" FP,"&amp;IF(ISBLANK(C48),0,ROUND(C48,2))&amp;","&amp;IF(ISBLANK(C49),0,ROUND(C49,2))&amp;","&amp;IF(ISBLANK(C50),0,ROUND(C50,2))&amp;","&amp;IF(ISBLANK(C51),0,ROUND(C51,2))&amp;","&amp;IF(ISBLANK(C52),0,ROUND(C52,2))&amp;","&amp;IF(ISBLANK(C53),0,ROUND(C53,2))&amp;","&amp;IF(ISBLANK(C54),0,ROUND(C54,2))&amp;","&amp;IF(ISBLANK(C55),0,ROUND(C55,2))</f>
        <v>2019,nsw,OTH FP,10,13.03,15.08,14.72,20.12,12.23,15.73,11.98</v>
      </c>
      <c r="AU47" t="str">
        <f t="shared" si="130"/>
        <v>2019,nsw,xOTH FP,10,13.03,14.54,13.44,9.26,9.73,10.37,10.17</v>
      </c>
      <c r="AV47" t="str">
        <f t="shared" si="130"/>
        <v>2019,nsw,ALP FP,34.08,25.55,38.98,42.68,42.21,41.26,39.05,38.48</v>
      </c>
      <c r="AW47" t="str">
        <f t="shared" si="130"/>
        <v>2019,nsw,LNP FP,45.63,51.14,36.99,34.35,33.79,43.94,44.68,49.54</v>
      </c>
      <c r="AX47" t="str">
        <f t="shared" si="130"/>
        <v>2019,nsw,GRN FP,10.29,10.28,8.95,8.25,3.88,2.57,0.54,0</v>
      </c>
      <c r="AY47" t="str">
        <f t="shared" si="130"/>
        <v>2019,nsw,ONP FP,0,0,0,1.28,7.53,0,0,0</v>
      </c>
      <c r="AZ47" t="str">
        <f t="shared" si="130"/>
        <v>2019,nsw,UAP FP,0,0,0,0,0,0,0,0</v>
      </c>
      <c r="BA47" t="str">
        <f t="shared" si="130"/>
        <v>2019,nsw,DEM FP,0,0,0.54,0,3.33,2.5,5.36,1.81</v>
      </c>
      <c r="BB47" t="str">
        <f t="shared" si="130"/>
        <v>2019,nsw,SFF FP,0,0,0,0,0,0,0,0</v>
      </c>
      <c r="BC47" t="str">
        <f t="shared" si="130"/>
        <v>2019,nsw,CD FP,3.24,3.12,2.47,1.73,1.49,0,0,0</v>
      </c>
    </row>
    <row r="48" spans="1:55" x14ac:dyDescent="0.25">
      <c r="A48" t="s">
        <v>70</v>
      </c>
      <c r="B48" s="2">
        <v>2015</v>
      </c>
      <c r="C48">
        <f t="shared" si="131"/>
        <v>10</v>
      </c>
      <c r="D48">
        <f t="shared" si="132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111"/>
        <v>14.116666666666646</v>
      </c>
      <c r="N48">
        <f t="shared" ca="1" si="112"/>
        <v>14.919333333333384</v>
      </c>
      <c r="O48">
        <f t="shared" ca="1" si="113"/>
        <v>30.901333333333469</v>
      </c>
      <c r="P48">
        <f t="shared" ca="1" si="114"/>
        <v>42.015999999999991</v>
      </c>
      <c r="Q48">
        <f t="shared" ca="1" si="115"/>
        <v>12.965999999999894</v>
      </c>
      <c r="R48">
        <f t="shared" ca="1" si="116"/>
        <v>0</v>
      </c>
      <c r="S48" t="e">
        <f t="shared" ca="1" si="117"/>
        <v>#DIV/0!</v>
      </c>
      <c r="T48">
        <f t="shared" ca="1" si="118"/>
        <v>0</v>
      </c>
      <c r="U48" t="e">
        <f t="shared" ca="1" si="119"/>
        <v>#DIV/0!</v>
      </c>
      <c r="V48" s="2">
        <f t="shared" ca="1" si="120"/>
        <v>3.6100000000000136</v>
      </c>
      <c r="W48" s="4">
        <f t="shared" ref="W48:W56" ca="1" si="146">IF(ISBLANK(C48),NA(),C48-M48)</f>
        <v>-4.1166666666666458</v>
      </c>
      <c r="X48" s="3">
        <f t="shared" ca="1" si="133"/>
        <v>-4.919333333333384</v>
      </c>
      <c r="Y48" s="3">
        <f t="shared" ca="1" si="134"/>
        <v>3.1786666666665297</v>
      </c>
      <c r="Z48" s="3">
        <f t="shared" ca="1" si="135"/>
        <v>3.6140000000000114</v>
      </c>
      <c r="AA48" s="3">
        <f t="shared" ca="1" si="136"/>
        <v>-2.6759999999998954</v>
      </c>
      <c r="AB48" s="3" t="e">
        <f t="shared" si="137"/>
        <v>#N/A</v>
      </c>
      <c r="AC48" s="3" t="e">
        <f t="shared" si="138"/>
        <v>#N/A</v>
      </c>
      <c r="AD48" s="3" t="e">
        <f t="shared" si="139"/>
        <v>#N/A</v>
      </c>
      <c r="AE48" s="3" t="e">
        <f t="shared" si="140"/>
        <v>#N/A</v>
      </c>
      <c r="AF48" s="5">
        <f t="shared" ca="1" si="141"/>
        <v>-0.37000000000001343</v>
      </c>
      <c r="AG48">
        <f t="shared" si="142"/>
        <v>15.151666666666671</v>
      </c>
      <c r="AH48">
        <f t="shared" si="121"/>
        <v>11.728333333333337</v>
      </c>
      <c r="AI48">
        <f t="shared" si="122"/>
        <v>38.288333333333334</v>
      </c>
      <c r="AJ48">
        <f t="shared" si="123"/>
        <v>40.814999999999998</v>
      </c>
      <c r="AK48">
        <f t="shared" si="124"/>
        <v>5.7449999999999983</v>
      </c>
      <c r="AL48">
        <f t="shared" si="125"/>
        <v>4.4050000000000002</v>
      </c>
      <c r="AM48" t="e">
        <f t="shared" si="126"/>
        <v>#DIV/0!</v>
      </c>
      <c r="AN48">
        <f t="shared" si="127"/>
        <v>2.9325000000000001</v>
      </c>
      <c r="AO48" t="e">
        <f t="shared" si="128"/>
        <v>#DIV/0!</v>
      </c>
      <c r="AP48" s="2">
        <f t="shared" si="129"/>
        <v>2.2025000000000001</v>
      </c>
      <c r="AR48" t="str">
        <f t="shared" si="143"/>
        <v>2015</v>
      </c>
      <c r="AS48" t="str">
        <f t="shared" si="144"/>
        <v>nsw</v>
      </c>
      <c r="AT48" t="str">
        <f t="shared" si="145"/>
        <v>2015,nsw,OTH FP,13.03,15.08,14.72,20.12,12.23,15.73,11.98,8.23</v>
      </c>
      <c r="AU48" t="str">
        <f t="shared" si="130"/>
        <v>2015,nsw,xOTH FP,13.03,14.54,13.44,9.26,9.73,10.37,10.17,5.38</v>
      </c>
      <c r="AV48" t="str">
        <f t="shared" si="130"/>
        <v>2015,nsw,ALP FP,25.55,38.98,42.68,42.21,41.26,39.05,38.48,48.77</v>
      </c>
      <c r="AW48" t="str">
        <f t="shared" si="130"/>
        <v>2015,nsw,LNP FP,51.14,36.99,34.35,33.79,43.94,44.68,49.54,43</v>
      </c>
      <c r="AX48" t="str">
        <f t="shared" si="130"/>
        <v>2015,nsw,GRN FP,10.28,8.95,8.25,3.88,2.57,0.54,0,0</v>
      </c>
      <c r="AY48" t="str">
        <f t="shared" si="130"/>
        <v>2015,nsw,ONP FP,0,0,1.28,7.53,0,0,0,0</v>
      </c>
      <c r="AZ48" t="str">
        <f t="shared" si="130"/>
        <v>2015,nsw,UAP FP,0,0,0,0,0,0,0,0</v>
      </c>
      <c r="BA48" t="str">
        <f t="shared" si="130"/>
        <v>2015,nsw,DEM FP,0,0.54,0,3.33,2.5,5.36,1.81,2.85</v>
      </c>
      <c r="BB48" t="str">
        <f t="shared" si="130"/>
        <v>2015,nsw,SFF FP,0,0,0,0,0,0,0,0</v>
      </c>
      <c r="BC48" t="str">
        <f t="shared" si="130"/>
        <v>2015,nsw,CD FP,3.12,2.47,1.73,1.49,0,0,0,0</v>
      </c>
    </row>
    <row r="49" spans="1:55" x14ac:dyDescent="0.25">
      <c r="A49" t="s">
        <v>72</v>
      </c>
      <c r="B49" s="2">
        <v>2011</v>
      </c>
      <c r="C49">
        <f t="shared" si="131"/>
        <v>13.030000000000001</v>
      </c>
      <c r="D49">
        <f t="shared" si="132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111"/>
        <v>16.977329073482451</v>
      </c>
      <c r="N49">
        <f t="shared" ca="1" si="112"/>
        <v>14.438990415335411</v>
      </c>
      <c r="O49">
        <f t="shared" ca="1" si="113"/>
        <v>41.860255591054312</v>
      </c>
      <c r="P49">
        <f t="shared" ca="1" si="114"/>
        <v>30.005565495207748</v>
      </c>
      <c r="Q49">
        <f t="shared" ca="1" si="115"/>
        <v>11.587999999999965</v>
      </c>
      <c r="R49">
        <f t="shared" ca="1" si="116"/>
        <v>0</v>
      </c>
      <c r="S49" t="e">
        <f t="shared" ca="1" si="117"/>
        <v>#DIV/0!</v>
      </c>
      <c r="T49">
        <f t="shared" ca="1" si="118"/>
        <v>0.80913636363635533</v>
      </c>
      <c r="U49" t="e">
        <f t="shared" ca="1" si="119"/>
        <v>#DIV/0!</v>
      </c>
      <c r="V49" s="2">
        <f t="shared" ca="1" si="120"/>
        <v>2.8766666666666652</v>
      </c>
      <c r="W49" s="4">
        <f t="shared" ca="1" si="146"/>
        <v>-3.9473290734824502</v>
      </c>
      <c r="X49" s="3">
        <f t="shared" ca="1" si="133"/>
        <v>-1.4089904153354098</v>
      </c>
      <c r="Y49" s="3">
        <f t="shared" ca="1" si="134"/>
        <v>-16.310255591054311</v>
      </c>
      <c r="Z49" s="3">
        <f t="shared" ca="1" si="135"/>
        <v>21.134434504792253</v>
      </c>
      <c r="AA49" s="3">
        <f t="shared" ca="1" si="136"/>
        <v>-1.3079999999999661</v>
      </c>
      <c r="AB49" s="3" t="e">
        <f t="shared" si="137"/>
        <v>#N/A</v>
      </c>
      <c r="AC49" s="3" t="e">
        <f t="shared" si="138"/>
        <v>#N/A</v>
      </c>
      <c r="AD49" s="3" t="e">
        <f t="shared" si="139"/>
        <v>#N/A</v>
      </c>
      <c r="AE49" s="3" t="e">
        <f t="shared" si="140"/>
        <v>#N/A</v>
      </c>
      <c r="AF49" s="5">
        <f t="shared" ca="1" si="141"/>
        <v>0.24333333333333496</v>
      </c>
      <c r="AG49">
        <f t="shared" si="142"/>
        <v>14.976666666666672</v>
      </c>
      <c r="AH49">
        <f t="shared" si="121"/>
        <v>11.25166666666667</v>
      </c>
      <c r="AI49">
        <f t="shared" si="122"/>
        <v>40.443333333333335</v>
      </c>
      <c r="AJ49">
        <f t="shared" si="123"/>
        <v>40.548333333333332</v>
      </c>
      <c r="AK49">
        <f t="shared" si="124"/>
        <v>4.8379999999999992</v>
      </c>
      <c r="AL49">
        <f t="shared" si="125"/>
        <v>4.4050000000000002</v>
      </c>
      <c r="AM49" t="e">
        <f t="shared" si="126"/>
        <v>#DIV/0!</v>
      </c>
      <c r="AN49">
        <f t="shared" si="127"/>
        <v>2.7080000000000002</v>
      </c>
      <c r="AO49" t="e">
        <f t="shared" si="128"/>
        <v>#DIV/0!</v>
      </c>
      <c r="AP49" s="2">
        <f t="shared" si="129"/>
        <v>1.8966666666666667</v>
      </c>
      <c r="AR49" t="str">
        <f t="shared" si="143"/>
        <v>2011</v>
      </c>
      <c r="AS49" t="str">
        <f t="shared" si="144"/>
        <v>nsw</v>
      </c>
      <c r="AT49" t="str">
        <f t="shared" si="145"/>
        <v>2011,nsw,OTH FP,15.08,14.72,20.12,12.23,15.73,11.98,8.23,5.44</v>
      </c>
      <c r="AU49" t="str">
        <f t="shared" si="130"/>
        <v>2011,nsw,xOTH FP,14.54,13.44,9.26,9.73,10.37,10.17,5.38,3.01</v>
      </c>
      <c r="AV49" t="str">
        <f t="shared" si="130"/>
        <v>2011,nsw,ALP FP,38.98,42.68,42.21,41.26,39.05,38.48,48.77,55.73</v>
      </c>
      <c r="AW49" t="str">
        <f t="shared" si="130"/>
        <v>2011,nsw,LNP FP,36.99,34.35,33.79,43.94,44.68,49.54,43,38.83</v>
      </c>
      <c r="AX49" t="str">
        <f t="shared" si="130"/>
        <v>2011,nsw,GRN FP,8.95,8.25,3.88,2.57,0.54,0,0,0</v>
      </c>
      <c r="AY49" t="str">
        <f t="shared" si="130"/>
        <v>2011,nsw,ONP FP,0,1.28,7.53,0,0,0,0,0</v>
      </c>
      <c r="AZ49" t="str">
        <f t="shared" si="130"/>
        <v>2011,nsw,UAP FP,0,0,0,0,0,0,0,0</v>
      </c>
      <c r="BA49" t="str">
        <f t="shared" si="130"/>
        <v>2011,nsw,DEM FP,0.54,0,3.33,2.5,5.36,1.81,2.85,2.43</v>
      </c>
      <c r="BB49" t="str">
        <f t="shared" si="130"/>
        <v>2011,nsw,SFF FP,0,0,0,0,0,0,0,0</v>
      </c>
      <c r="BC49" t="str">
        <f t="shared" si="130"/>
        <v>2011,nsw,CD FP,2.47,1.73,1.49,0,0,0,0,0</v>
      </c>
    </row>
    <row r="50" spans="1:55" x14ac:dyDescent="0.25">
      <c r="A50" t="s">
        <v>73</v>
      </c>
      <c r="B50" s="2">
        <v>2007</v>
      </c>
      <c r="C50">
        <f t="shared" si="131"/>
        <v>15.079999999999998</v>
      </c>
      <c r="D50">
        <f t="shared" si="132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111"/>
        <v>19.276818181818271</v>
      </c>
      <c r="N50">
        <f t="shared" ca="1" si="112"/>
        <v>13.559705882353001</v>
      </c>
      <c r="O50">
        <f t="shared" ca="1" si="113"/>
        <v>40.375802139037432</v>
      </c>
      <c r="P50">
        <f t="shared" ca="1" si="114"/>
        <v>32.065187165775342</v>
      </c>
      <c r="Q50">
        <f t="shared" ca="1" si="115"/>
        <v>9.9200000000000728</v>
      </c>
      <c r="R50">
        <f t="shared" ca="1" si="116"/>
        <v>0</v>
      </c>
      <c r="S50" t="e">
        <f t="shared" ca="1" si="117"/>
        <v>#DIV/0!</v>
      </c>
      <c r="T50">
        <f t="shared" ca="1" si="118"/>
        <v>3.7294169096209941</v>
      </c>
      <c r="U50" t="e">
        <f t="shared" ca="1" si="119"/>
        <v>#DIV/0!</v>
      </c>
      <c r="V50" s="2">
        <f t="shared" ca="1" si="120"/>
        <v>1.9699999999999989</v>
      </c>
      <c r="W50" s="4">
        <f t="shared" ca="1" si="146"/>
        <v>-4.1968181818182728</v>
      </c>
      <c r="X50" s="3">
        <f t="shared" ca="1" si="133"/>
        <v>0.98029411764699148</v>
      </c>
      <c r="Y50" s="3">
        <f t="shared" ca="1" si="134"/>
        <v>-1.3958021390374356</v>
      </c>
      <c r="Z50" s="3">
        <f t="shared" ca="1" si="135"/>
        <v>4.9248128342246602</v>
      </c>
      <c r="AA50" s="3">
        <f t="shared" ca="1" si="136"/>
        <v>-0.97000000000007347</v>
      </c>
      <c r="AB50" s="3" t="e">
        <f t="shared" si="137"/>
        <v>#N/A</v>
      </c>
      <c r="AC50" s="3" t="e">
        <f t="shared" si="138"/>
        <v>#N/A</v>
      </c>
      <c r="AD50" s="3">
        <f t="shared" ca="1" si="139"/>
        <v>-3.1894169096209941</v>
      </c>
      <c r="AE50" s="3" t="e">
        <f t="shared" si="140"/>
        <v>#N/A</v>
      </c>
      <c r="AF50" s="5">
        <f t="shared" ca="1" si="141"/>
        <v>0.50000000000000133</v>
      </c>
      <c r="AG50">
        <f t="shared" si="142"/>
        <v>13.835000000000003</v>
      </c>
      <c r="AH50">
        <f t="shared" si="121"/>
        <v>9.7250000000000032</v>
      </c>
      <c r="AI50">
        <f t="shared" si="122"/>
        <v>42.074999999999996</v>
      </c>
      <c r="AJ50">
        <f t="shared" si="123"/>
        <v>41.55</v>
      </c>
      <c r="AK50">
        <f t="shared" si="124"/>
        <v>3.8099999999999996</v>
      </c>
      <c r="AL50">
        <f t="shared" si="125"/>
        <v>4.4050000000000002</v>
      </c>
      <c r="AM50" t="e">
        <f t="shared" si="126"/>
        <v>#DIV/0!</v>
      </c>
      <c r="AN50">
        <f t="shared" si="127"/>
        <v>3.1700000000000004</v>
      </c>
      <c r="AO50" t="e">
        <f t="shared" si="128"/>
        <v>#DIV/0!</v>
      </c>
      <c r="AP50" s="2">
        <f t="shared" si="129"/>
        <v>1.6099999999999999</v>
      </c>
      <c r="AR50" t="str">
        <f t="shared" si="143"/>
        <v>2007</v>
      </c>
      <c r="AS50" t="str">
        <f t="shared" si="144"/>
        <v>nsw</v>
      </c>
      <c r="AT50" t="str">
        <f t="shared" si="145"/>
        <v>2007,nsw,OTH FP,14.72,20.12,12.23,15.73,11.98,8.23,5.44,5.35</v>
      </c>
      <c r="AU50" t="str">
        <f t="shared" si="130"/>
        <v>2007,nsw,xOTH FP,13.44,9.26,9.73,10.37,10.17,5.38,3.01,2.7</v>
      </c>
      <c r="AV50" t="str">
        <f t="shared" si="130"/>
        <v>2007,nsw,ALP FP,42.68,42.21,41.26,39.05,38.48,48.77,55.73,57.77</v>
      </c>
      <c r="AW50" t="str">
        <f t="shared" si="130"/>
        <v>2007,nsw,LNP FP,34.35,33.79,43.94,44.68,49.54,43,38.83,36.88</v>
      </c>
      <c r="AX50" t="str">
        <f t="shared" si="130"/>
        <v>2007,nsw,GRN FP,8.25,3.88,2.57,0.54,0,0,0,0</v>
      </c>
      <c r="AY50" t="str">
        <f t="shared" si="130"/>
        <v>2007,nsw,ONP FP,1.28,7.53,0,0,0,0,0,0</v>
      </c>
      <c r="AZ50" t="str">
        <f t="shared" si="130"/>
        <v>2007,nsw,UAP FP,0,0,0,0,0,0,0,0</v>
      </c>
      <c r="BA50" t="str">
        <f t="shared" si="130"/>
        <v>2007,nsw,DEM FP,0,3.33,2.5,5.36,1.81,2.85,2.43,2.65</v>
      </c>
      <c r="BB50" t="str">
        <f t="shared" si="130"/>
        <v>2007,nsw,SFF FP,0,0,0,0,0,0,0,0</v>
      </c>
      <c r="BC50" t="str">
        <f t="shared" si="130"/>
        <v>2007,nsw,CD FP,1.73,1.49,0,0,0,0,0,0</v>
      </c>
    </row>
    <row r="51" spans="1:55" x14ac:dyDescent="0.25">
      <c r="A51" t="s">
        <v>74</v>
      </c>
      <c r="B51" s="2">
        <v>2003</v>
      </c>
      <c r="C51">
        <f t="shared" si="131"/>
        <v>14.719999999999999</v>
      </c>
      <c r="D51">
        <f t="shared" si="132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111"/>
        <v>21.686378299120179</v>
      </c>
      <c r="N51">
        <f t="shared" ca="1" si="112"/>
        <v>12.598005865102664</v>
      </c>
      <c r="O51">
        <f t="shared" ca="1" si="113"/>
        <v>35.017741935483855</v>
      </c>
      <c r="P51">
        <f t="shared" ca="1" si="114"/>
        <v>39.160791788856329</v>
      </c>
      <c r="Q51">
        <f t="shared" ca="1" si="115"/>
        <v>5.6700000000000728</v>
      </c>
      <c r="R51" t="e">
        <f t="shared" ca="1" si="116"/>
        <v>#DIV/0!</v>
      </c>
      <c r="S51" t="e">
        <f t="shared" ca="1" si="117"/>
        <v>#DIV/0!</v>
      </c>
      <c r="T51">
        <f t="shared" ca="1" si="118"/>
        <v>3.7113782991202271</v>
      </c>
      <c r="U51" t="e">
        <f t="shared" ca="1" si="119"/>
        <v>#DIV/0!</v>
      </c>
      <c r="V51" s="2" t="e">
        <f t="shared" ca="1" si="120"/>
        <v>#DIV/0!</v>
      </c>
      <c r="W51" s="4">
        <f t="shared" ca="1" si="146"/>
        <v>-6.9663782991201799</v>
      </c>
      <c r="X51" s="3">
        <f t="shared" ca="1" si="133"/>
        <v>0.84199413489733388</v>
      </c>
      <c r="Y51" s="3">
        <f t="shared" ca="1" si="134"/>
        <v>7.6622580645161449</v>
      </c>
      <c r="Z51" s="3">
        <f t="shared" ca="1" si="135"/>
        <v>-4.8107917888563279</v>
      </c>
      <c r="AA51" s="3">
        <f t="shared" ca="1" si="136"/>
        <v>2.5799999999999272</v>
      </c>
      <c r="AB51" s="3" t="e">
        <f t="shared" ca="1" si="137"/>
        <v>#DIV/0!</v>
      </c>
      <c r="AC51" s="3" t="e">
        <f t="shared" si="138"/>
        <v>#N/A</v>
      </c>
      <c r="AD51" s="3" t="e">
        <f t="shared" si="139"/>
        <v>#N/A</v>
      </c>
      <c r="AE51" s="3" t="e">
        <f t="shared" si="140"/>
        <v>#N/A</v>
      </c>
      <c r="AF51" s="5" t="e">
        <f t="shared" ca="1" si="141"/>
        <v>#DIV/0!</v>
      </c>
      <c r="AG51">
        <f t="shared" si="142"/>
        <v>12.288333333333336</v>
      </c>
      <c r="AH51">
        <f t="shared" si="121"/>
        <v>7.986666666666669</v>
      </c>
      <c r="AI51">
        <f t="shared" si="122"/>
        <v>44.25</v>
      </c>
      <c r="AJ51">
        <f t="shared" si="123"/>
        <v>42.29666666666666</v>
      </c>
      <c r="AK51">
        <f t="shared" si="124"/>
        <v>2.3299999999999996</v>
      </c>
      <c r="AL51">
        <f t="shared" si="125"/>
        <v>7.53</v>
      </c>
      <c r="AM51" t="e">
        <f t="shared" si="126"/>
        <v>#DIV/0!</v>
      </c>
      <c r="AN51">
        <f t="shared" si="127"/>
        <v>3.0466666666666669</v>
      </c>
      <c r="AO51" t="e">
        <f t="shared" si="128"/>
        <v>#DIV/0!</v>
      </c>
      <c r="AP51" s="2">
        <f t="shared" si="129"/>
        <v>1.49</v>
      </c>
    </row>
    <row r="52" spans="1:55" x14ac:dyDescent="0.25">
      <c r="A52" t="s">
        <v>75</v>
      </c>
      <c r="B52" s="2">
        <v>1999</v>
      </c>
      <c r="C52">
        <f t="shared" si="131"/>
        <v>20.120000000000005</v>
      </c>
      <c r="D52">
        <f t="shared" si="132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111"/>
        <v>17.19091207888232</v>
      </c>
      <c r="N52">
        <f t="shared" ca="1" si="112"/>
        <v>13.565612161051831</v>
      </c>
      <c r="O52">
        <f t="shared" ca="1" si="113"/>
        <v>31.554478225144067</v>
      </c>
      <c r="P52">
        <f t="shared" ca="1" si="114"/>
        <v>49.134798685291685</v>
      </c>
      <c r="Q52">
        <f t="shared" ca="1" si="115"/>
        <v>4.6000000000000227</v>
      </c>
      <c r="R52" t="e">
        <f t="shared" ca="1" si="116"/>
        <v>#DIV/0!</v>
      </c>
      <c r="S52" t="e">
        <f t="shared" ca="1" si="117"/>
        <v>#DIV/0!</v>
      </c>
      <c r="T52">
        <f t="shared" ca="1" si="118"/>
        <v>3.6252999178307306</v>
      </c>
      <c r="U52" t="e">
        <f t="shared" ca="1" si="119"/>
        <v>#DIV/0!</v>
      </c>
      <c r="V52" s="2" t="e">
        <f t="shared" ca="1" si="120"/>
        <v>#DIV/0!</v>
      </c>
      <c r="W52" s="4">
        <f t="shared" ca="1" si="146"/>
        <v>2.9290879211176843</v>
      </c>
      <c r="X52" s="3">
        <f t="shared" ca="1" si="133"/>
        <v>-4.3056121610518261</v>
      </c>
      <c r="Y52" s="3">
        <f t="shared" ca="1" si="134"/>
        <v>10.655521774855934</v>
      </c>
      <c r="Z52" s="3">
        <f t="shared" ca="1" si="135"/>
        <v>-15.344798685291686</v>
      </c>
      <c r="AA52" s="3">
        <f t="shared" ca="1" si="136"/>
        <v>-0.72000000000002284</v>
      </c>
      <c r="AB52" s="3" t="e">
        <f t="shared" ca="1" si="137"/>
        <v>#DIV/0!</v>
      </c>
      <c r="AC52" s="3" t="e">
        <f t="shared" si="138"/>
        <v>#N/A</v>
      </c>
      <c r="AD52" s="3">
        <f t="shared" ca="1" si="139"/>
        <v>-0.29529991783073051</v>
      </c>
      <c r="AE52" s="3" t="e">
        <f t="shared" si="140"/>
        <v>#N/A</v>
      </c>
      <c r="AF52" s="5" t="e">
        <f t="shared" ca="1" si="141"/>
        <v>#DIV/0!</v>
      </c>
      <c r="AG52">
        <f t="shared" si="142"/>
        <v>9.826666666666668</v>
      </c>
      <c r="AH52">
        <f t="shared" si="121"/>
        <v>6.8933333333333335</v>
      </c>
      <c r="AI52">
        <f t="shared" si="122"/>
        <v>46.843333333333334</v>
      </c>
      <c r="AJ52">
        <f t="shared" si="123"/>
        <v>42.811666666666667</v>
      </c>
      <c r="AK52">
        <f t="shared" si="124"/>
        <v>1.5549999999999999</v>
      </c>
      <c r="AL52" t="e">
        <f t="shared" si="125"/>
        <v>#DIV/0!</v>
      </c>
      <c r="AM52" t="e">
        <f t="shared" si="126"/>
        <v>#DIV/0!</v>
      </c>
      <c r="AN52">
        <f t="shared" si="127"/>
        <v>2.9333333333333331</v>
      </c>
      <c r="AO52" t="e">
        <f t="shared" si="128"/>
        <v>#DIV/0!</v>
      </c>
      <c r="AP52" s="2" t="e">
        <f t="shared" si="129"/>
        <v>#DIV/0!</v>
      </c>
    </row>
    <row r="53" spans="1:55" x14ac:dyDescent="0.25">
      <c r="A53" t="s">
        <v>76</v>
      </c>
      <c r="B53" s="2">
        <v>1995</v>
      </c>
      <c r="C53">
        <f t="shared" si="131"/>
        <v>12.230000000000018</v>
      </c>
      <c r="D53">
        <f t="shared" si="132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111"/>
        <v>17.645476190476302</v>
      </c>
      <c r="N53">
        <f t="shared" ca="1" si="112"/>
        <v>12.509523809523898</v>
      </c>
      <c r="O53">
        <f t="shared" ca="1" si="113"/>
        <v>34.33047619047602</v>
      </c>
      <c r="P53">
        <f t="shared" ca="1" si="114"/>
        <v>47.62547619047632</v>
      </c>
      <c r="Q53" t="e">
        <f t="shared" ca="1" si="115"/>
        <v>#DIV/0!</v>
      </c>
      <c r="R53" t="e">
        <f t="shared" ca="1" si="116"/>
        <v>#DIV/0!</v>
      </c>
      <c r="S53" t="e">
        <f t="shared" ca="1" si="117"/>
        <v>#DIV/0!</v>
      </c>
      <c r="T53">
        <f t="shared" ca="1" si="118"/>
        <v>4.5274908424908062</v>
      </c>
      <c r="U53" t="e">
        <f t="shared" ca="1" si="119"/>
        <v>#DIV/0!</v>
      </c>
      <c r="V53" s="2" t="e">
        <f t="shared" ca="1" si="120"/>
        <v>#DIV/0!</v>
      </c>
      <c r="W53" s="4">
        <f t="shared" ca="1" si="146"/>
        <v>-5.4154761904762836</v>
      </c>
      <c r="X53" s="3">
        <f t="shared" ca="1" si="133"/>
        <v>-2.7795238095238801</v>
      </c>
      <c r="Y53" s="3">
        <f t="shared" ca="1" si="134"/>
        <v>6.9295238095239782</v>
      </c>
      <c r="Z53" s="3">
        <f t="shared" ca="1" si="135"/>
        <v>-3.6854761904763222</v>
      </c>
      <c r="AA53" s="3" t="e">
        <f t="shared" ca="1" si="136"/>
        <v>#DIV/0!</v>
      </c>
      <c r="AB53" s="3">
        <f>H53-H54</f>
        <v>0</v>
      </c>
      <c r="AC53" s="3" t="e">
        <f t="shared" si="138"/>
        <v>#N/A</v>
      </c>
      <c r="AD53" s="3">
        <f t="shared" ca="1" si="139"/>
        <v>-2.0274908424908062</v>
      </c>
      <c r="AE53" s="3" t="e">
        <f t="shared" si="140"/>
        <v>#N/A</v>
      </c>
      <c r="AF53" s="5" t="e">
        <f t="shared" si="141"/>
        <v>#N/A</v>
      </c>
      <c r="AG53">
        <f t="shared" si="142"/>
        <v>8.4433333333333334</v>
      </c>
      <c r="AH53">
        <f t="shared" si="121"/>
        <v>5.926666666666665</v>
      </c>
      <c r="AI53">
        <f t="shared" si="122"/>
        <v>48.258333333333333</v>
      </c>
      <c r="AJ53">
        <f t="shared" si="123"/>
        <v>43.208333333333336</v>
      </c>
      <c r="AK53">
        <f t="shared" si="124"/>
        <v>0.54</v>
      </c>
      <c r="AL53" t="e">
        <f t="shared" si="125"/>
        <v>#DIV/0!</v>
      </c>
      <c r="AM53" t="e">
        <f t="shared" si="126"/>
        <v>#DIV/0!</v>
      </c>
      <c r="AN53">
        <f t="shared" si="127"/>
        <v>3.02</v>
      </c>
      <c r="AO53" t="e">
        <f t="shared" si="128"/>
        <v>#DIV/0!</v>
      </c>
      <c r="AP53" s="2" t="e">
        <f t="shared" si="129"/>
        <v>#DIV/0!</v>
      </c>
    </row>
    <row r="54" spans="1:55" x14ac:dyDescent="0.25">
      <c r="A54" t="s">
        <v>77</v>
      </c>
      <c r="B54" s="2">
        <v>1991</v>
      </c>
      <c r="C54">
        <f t="shared" si="131"/>
        <v>15.730000000000004</v>
      </c>
      <c r="D54">
        <f t="shared" si="132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47">MAX(0,_xlfn.FORECAST.LINEAR($B54,OFFSET(C55,0,0,$D$1),OFFSET($B55,0,0,$D$1)))</f>
        <v>9.3089999999999975</v>
      </c>
      <c r="N54">
        <f t="shared" ca="1" si="147"/>
        <v>5.998266666666666</v>
      </c>
      <c r="O54">
        <f t="shared" ca="1" si="147"/>
        <v>44.769000000000005</v>
      </c>
      <c r="P54">
        <f t="shared" ca="1" si="147"/>
        <v>45.922000000000025</v>
      </c>
      <c r="Q54" t="e">
        <f t="shared" ca="1" si="147"/>
        <v>#DIV/0!</v>
      </c>
      <c r="R54" t="e">
        <f t="shared" ca="1" si="147"/>
        <v>#DIV/0!</v>
      </c>
      <c r="S54" t="e">
        <f t="shared" ca="1" si="147"/>
        <v>#DIV/0!</v>
      </c>
      <c r="T54">
        <f t="shared" ca="1" si="147"/>
        <v>1.866164383561653</v>
      </c>
      <c r="U54" t="e">
        <f t="shared" ca="1" si="147"/>
        <v>#DIV/0!</v>
      </c>
      <c r="V54" s="2" t="e">
        <f t="shared" ca="1" si="147"/>
        <v>#DIV/0!</v>
      </c>
      <c r="W54" s="4">
        <f t="shared" ca="1" si="146"/>
        <v>6.4210000000000065</v>
      </c>
      <c r="X54" s="3">
        <f t="shared" ca="1" si="133"/>
        <v>4.3717333333333386</v>
      </c>
      <c r="Y54" s="3">
        <f t="shared" ca="1" si="134"/>
        <v>-5.7190000000000083</v>
      </c>
      <c r="Z54" s="3">
        <f t="shared" ca="1" si="135"/>
        <v>-1.2420000000000258</v>
      </c>
      <c r="AA54" s="3" t="e">
        <f t="shared" ca="1" si="136"/>
        <v>#DIV/0!</v>
      </c>
      <c r="AB54" s="3">
        <f>H54</f>
        <v>0</v>
      </c>
      <c r="AC54" s="3" t="e">
        <f t="shared" si="138"/>
        <v>#N/A</v>
      </c>
      <c r="AD54" s="3">
        <f t="shared" ca="1" si="139"/>
        <v>3.4938356164383473</v>
      </c>
      <c r="AE54" s="3" t="e">
        <f t="shared" si="140"/>
        <v>#N/A</v>
      </c>
      <c r="AF54" s="5" t="e">
        <f t="shared" si="141"/>
        <v>#N/A</v>
      </c>
      <c r="AG54">
        <f t="shared" si="142"/>
        <v>7.9450000000000003</v>
      </c>
      <c r="AH54">
        <f t="shared" si="121"/>
        <v>6.3216666666666654</v>
      </c>
      <c r="AI54">
        <f t="shared" si="122"/>
        <v>48.905000000000001</v>
      </c>
      <c r="AJ54">
        <f t="shared" si="123"/>
        <v>43.15</v>
      </c>
      <c r="AK54" t="e">
        <f t="shared" si="124"/>
        <v>#DIV/0!</v>
      </c>
      <c r="AL54" t="e">
        <f t="shared" si="125"/>
        <v>#DIV/0!</v>
      </c>
      <c r="AM54" t="e">
        <f t="shared" si="126"/>
        <v>#DIV/0!</v>
      </c>
      <c r="AN54">
        <f t="shared" si="127"/>
        <v>2.4350000000000001</v>
      </c>
      <c r="AO54" t="e">
        <f t="shared" si="128"/>
        <v>#DIV/0!</v>
      </c>
      <c r="AP54" s="2" t="e">
        <f t="shared" si="129"/>
        <v>#DIV/0!</v>
      </c>
    </row>
    <row r="55" spans="1:55" x14ac:dyDescent="0.25">
      <c r="A55" t="s">
        <v>78</v>
      </c>
      <c r="B55" s="2">
        <v>1988</v>
      </c>
      <c r="C55">
        <f t="shared" si="131"/>
        <v>11.980000000000004</v>
      </c>
      <c r="D55">
        <f t="shared" si="132"/>
        <v>10.170000000000002</v>
      </c>
      <c r="E55">
        <v>38.479999999999997</v>
      </c>
      <c r="F55">
        <v>49.54</v>
      </c>
      <c r="J55">
        <v>1.81</v>
      </c>
      <c r="M55">
        <f t="shared" ca="1" si="147"/>
        <v>3.9370126227209994</v>
      </c>
      <c r="N55">
        <f t="shared" ca="1" si="147"/>
        <v>0</v>
      </c>
      <c r="O55">
        <f t="shared" ca="1" si="147"/>
        <v>57.333253856942292</v>
      </c>
      <c r="P55">
        <f t="shared" ca="1" si="147"/>
        <v>38.729733520336595</v>
      </c>
      <c r="Q55" t="e">
        <f t="shared" ca="1" si="147"/>
        <v>#DIV/0!</v>
      </c>
      <c r="R55" t="e">
        <f t="shared" ca="1" si="147"/>
        <v>#DIV/0!</v>
      </c>
      <c r="S55" t="e">
        <f t="shared" ca="1" si="147"/>
        <v>#DIV/0!</v>
      </c>
      <c r="T55">
        <f t="shared" ca="1" si="147"/>
        <v>2.8766666666666652</v>
      </c>
      <c r="U55" t="e">
        <f t="shared" ca="1" si="147"/>
        <v>#DIV/0!</v>
      </c>
      <c r="V55" s="2" t="e">
        <f t="shared" ca="1" si="147"/>
        <v>#DIV/0!</v>
      </c>
      <c r="W55" s="4">
        <f t="shared" ca="1" si="146"/>
        <v>8.0429873772790046</v>
      </c>
      <c r="X55" s="3">
        <f t="shared" ca="1" si="133"/>
        <v>10.170000000000002</v>
      </c>
      <c r="Y55" s="3">
        <f t="shared" ca="1" si="134"/>
        <v>-18.853253856942295</v>
      </c>
      <c r="Z55" s="3">
        <f t="shared" ca="1" si="135"/>
        <v>10.810266479663404</v>
      </c>
      <c r="AA55" s="3" t="e">
        <f t="shared" si="136"/>
        <v>#N/A</v>
      </c>
      <c r="AB55" s="3" t="e">
        <f>IF(ISBLANK(H55),NA(),H55-R55)</f>
        <v>#N/A</v>
      </c>
      <c r="AC55" s="3" t="e">
        <f t="shared" si="138"/>
        <v>#N/A</v>
      </c>
      <c r="AD55" s="3">
        <f t="shared" ca="1" si="139"/>
        <v>-1.0666666666666651</v>
      </c>
      <c r="AE55" s="3" t="e">
        <f t="shared" si="140"/>
        <v>#N/A</v>
      </c>
      <c r="AF55" s="5" t="e">
        <f t="shared" si="141"/>
        <v>#N/A</v>
      </c>
      <c r="AG55">
        <f t="shared" si="142"/>
        <v>7.7133333333333338</v>
      </c>
      <c r="AH55">
        <f t="shared" si="121"/>
        <v>6.3916666666666657</v>
      </c>
      <c r="AI55">
        <f t="shared" si="122"/>
        <v>49.995000000000005</v>
      </c>
      <c r="AJ55">
        <f t="shared" si="123"/>
        <v>42.291666666666664</v>
      </c>
      <c r="AK55" t="e">
        <f t="shared" si="124"/>
        <v>#DIV/0!</v>
      </c>
      <c r="AL55" t="e">
        <f t="shared" si="125"/>
        <v>#DIV/0!</v>
      </c>
      <c r="AM55" t="e">
        <f t="shared" si="126"/>
        <v>#DIV/0!</v>
      </c>
      <c r="AN55">
        <f t="shared" si="127"/>
        <v>2.6433333333333331</v>
      </c>
      <c r="AO55" t="e">
        <f t="shared" si="128"/>
        <v>#DIV/0!</v>
      </c>
      <c r="AP55" s="2" t="e">
        <f t="shared" si="129"/>
        <v>#DIV/0!</v>
      </c>
    </row>
    <row r="56" spans="1:55" x14ac:dyDescent="0.25">
      <c r="A56" t="s">
        <v>79</v>
      </c>
      <c r="B56" s="2">
        <v>1984</v>
      </c>
      <c r="C56">
        <f t="shared" si="131"/>
        <v>8.2299999999999898</v>
      </c>
      <c r="D56">
        <f t="shared" si="132"/>
        <v>5.3799999999999955</v>
      </c>
      <c r="E56">
        <v>48.77</v>
      </c>
      <c r="F56">
        <v>43</v>
      </c>
      <c r="J56">
        <v>2.85</v>
      </c>
      <c r="M56">
        <f t="shared" ca="1" si="147"/>
        <v>1.6480254777068239</v>
      </c>
      <c r="N56">
        <f t="shared" ca="1" si="147"/>
        <v>0</v>
      </c>
      <c r="O56">
        <f t="shared" ca="1" si="147"/>
        <v>62.062101910828005</v>
      </c>
      <c r="P56">
        <f t="shared" ca="1" si="147"/>
        <v>36.289872611464943</v>
      </c>
      <c r="Q56" t="e">
        <f t="shared" ca="1" si="147"/>
        <v>#DIV/0!</v>
      </c>
      <c r="R56" t="e">
        <f t="shared" ca="1" si="147"/>
        <v>#DIV/0!</v>
      </c>
      <c r="S56" t="e">
        <f t="shared" ca="1" si="147"/>
        <v>#DIV/0!</v>
      </c>
      <c r="T56">
        <f t="shared" ca="1" si="147"/>
        <v>2.2099999999999795</v>
      </c>
      <c r="U56" t="e">
        <f t="shared" ca="1" si="147"/>
        <v>#DIV/0!</v>
      </c>
      <c r="V56" s="2" t="e">
        <f t="shared" ca="1" si="147"/>
        <v>#DIV/0!</v>
      </c>
      <c r="W56" s="4">
        <f t="shared" ca="1" si="146"/>
        <v>6.5819745222931658</v>
      </c>
      <c r="X56" s="3">
        <f t="shared" ca="1" si="133"/>
        <v>5.3799999999999955</v>
      </c>
      <c r="Y56" s="3">
        <f t="shared" ca="1" si="134"/>
        <v>-13.292101910828002</v>
      </c>
      <c r="Z56" s="3">
        <f t="shared" ca="1" si="135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138"/>
        <v>#N/A</v>
      </c>
      <c r="AD56" s="3">
        <f t="shared" ca="1" si="139"/>
        <v>0.64000000000002055</v>
      </c>
      <c r="AE56" s="3" t="e">
        <f t="shared" si="140"/>
        <v>#N/A</v>
      </c>
      <c r="AF56" s="5" t="e">
        <f t="shared" si="141"/>
        <v>#N/A</v>
      </c>
      <c r="AG56">
        <f t="shared" si="142"/>
        <v>7.6100000000000021</v>
      </c>
      <c r="AH56">
        <f t="shared" si="121"/>
        <v>6.5939999999999994</v>
      </c>
      <c r="AI56">
        <f t="shared" si="122"/>
        <v>50.24</v>
      </c>
      <c r="AJ56">
        <f t="shared" si="123"/>
        <v>42.15</v>
      </c>
      <c r="AK56" t="e">
        <f t="shared" si="124"/>
        <v>#DIV/0!</v>
      </c>
      <c r="AL56" t="e">
        <f t="shared" si="125"/>
        <v>#DIV/0!</v>
      </c>
      <c r="AM56" t="e">
        <f t="shared" si="126"/>
        <v>#DIV/0!</v>
      </c>
      <c r="AN56">
        <f t="shared" si="127"/>
        <v>2.54</v>
      </c>
      <c r="AO56" t="e">
        <f t="shared" si="128"/>
        <v>#DIV/0!</v>
      </c>
      <c r="AP56" s="2" t="e">
        <f t="shared" si="129"/>
        <v>#DIV/0!</v>
      </c>
    </row>
    <row r="57" spans="1:55" x14ac:dyDescent="0.25">
      <c r="A57" t="s">
        <v>80</v>
      </c>
      <c r="B57" s="2">
        <v>1981</v>
      </c>
      <c r="C57">
        <f t="shared" si="131"/>
        <v>5.4399999999999977</v>
      </c>
      <c r="D57">
        <f t="shared" si="132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55" x14ac:dyDescent="0.25">
      <c r="A58" t="s">
        <v>81</v>
      </c>
      <c r="B58" s="2">
        <v>1978</v>
      </c>
      <c r="C58">
        <f t="shared" si="131"/>
        <v>5.3499999999999943</v>
      </c>
      <c r="D58">
        <f t="shared" si="132"/>
        <v>2.6999999999999886</v>
      </c>
      <c r="E58">
        <v>57.77</v>
      </c>
      <c r="F58">
        <v>36.880000000000003</v>
      </c>
      <c r="J58">
        <v>2.65</v>
      </c>
      <c r="T58" s="35" t="s">
        <v>34</v>
      </c>
      <c r="U58" s="35"/>
      <c r="V58" s="36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55" x14ac:dyDescent="0.25">
      <c r="A59" t="s">
        <v>82</v>
      </c>
      <c r="B59" s="2">
        <v>1976</v>
      </c>
      <c r="C59">
        <f t="shared" si="131"/>
        <v>3.9300000000000068</v>
      </c>
      <c r="D59">
        <f t="shared" si="132"/>
        <v>3.9300000000000068</v>
      </c>
      <c r="E59">
        <v>49.75</v>
      </c>
      <c r="F59">
        <v>46.32</v>
      </c>
      <c r="T59" s="35" t="s">
        <v>35</v>
      </c>
      <c r="U59" s="35"/>
      <c r="V59" s="36"/>
      <c r="W59">
        <f t="shared" ref="W59:AB59" ca="1" si="148">AVERAGE(W47:W56)</f>
        <v>0.38817147424593801</v>
      </c>
      <c r="X59">
        <f t="shared" ca="1" si="148"/>
        <v>0.62678951999665034</v>
      </c>
      <c r="Y59">
        <f t="shared" ca="1" si="148"/>
        <v>-2.2336443182299415</v>
      </c>
      <c r="Z59">
        <f t="shared" ca="1" si="148"/>
        <v>1.6403241209257586</v>
      </c>
      <c r="AA59" t="e">
        <f t="shared" ca="1" si="148"/>
        <v>#DIV/0!</v>
      </c>
      <c r="AB59" t="e">
        <f t="shared" ca="1" si="148"/>
        <v>#N/A</v>
      </c>
      <c r="AN59" s="8"/>
      <c r="AO59" s="8"/>
      <c r="AP59" s="9"/>
    </row>
    <row r="60" spans="1:55" x14ac:dyDescent="0.25">
      <c r="A60" t="s">
        <v>83</v>
      </c>
      <c r="B60" s="2">
        <v>1973</v>
      </c>
      <c r="C60">
        <f t="shared" si="131"/>
        <v>12.740000000000009</v>
      </c>
      <c r="D60">
        <f t="shared" si="132"/>
        <v>12.740000000000009</v>
      </c>
      <c r="E60">
        <v>42.93</v>
      </c>
      <c r="F60">
        <v>44.33</v>
      </c>
      <c r="T60" s="35" t="s">
        <v>37</v>
      </c>
      <c r="U60" s="35"/>
      <c r="V60" s="36"/>
      <c r="W60">
        <f t="shared" ref="W60:AB60" ca="1" si="149">SQRT(SUMSQ(W47:W56)/COUNT(W47:W56))</f>
        <v>5.5363951130380311</v>
      </c>
      <c r="X60">
        <f t="shared" ca="1" si="149"/>
        <v>4.5810372179224856</v>
      </c>
      <c r="Y60">
        <f t="shared" ca="1" si="149"/>
        <v>10.422544052222642</v>
      </c>
      <c r="Z60">
        <f t="shared" ca="1" si="149"/>
        <v>9.7579315793737962</v>
      </c>
      <c r="AA60" t="e">
        <f t="shared" ca="1" si="149"/>
        <v>#DIV/0!</v>
      </c>
      <c r="AB60" t="e">
        <f t="shared" ca="1" si="149"/>
        <v>#N/A</v>
      </c>
      <c r="AN60" s="8"/>
      <c r="AO60" s="8"/>
      <c r="AP60" s="9"/>
    </row>
    <row r="61" spans="1:55" x14ac:dyDescent="0.25">
      <c r="A61" t="s">
        <v>84</v>
      </c>
      <c r="B61" s="2">
        <v>1971</v>
      </c>
      <c r="C61">
        <f t="shared" si="131"/>
        <v>10.590000000000003</v>
      </c>
      <c r="D61">
        <f t="shared" si="132"/>
        <v>10.590000000000003</v>
      </c>
      <c r="E61">
        <v>45.02</v>
      </c>
      <c r="F61">
        <v>44.39</v>
      </c>
    </row>
    <row r="63" spans="1:55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  <c r="AT63" t="str">
        <f>C63</f>
        <v>OTH</v>
      </c>
      <c r="AU63" t="str">
        <f t="shared" ref="AU63" si="150">D63</f>
        <v>xOTH</v>
      </c>
      <c r="AV63" t="str">
        <f t="shared" ref="AV63" si="151">E63</f>
        <v>ALP</v>
      </c>
      <c r="AW63" t="str">
        <f t="shared" ref="AW63" si="152">F63</f>
        <v>LNP</v>
      </c>
      <c r="AX63" t="str">
        <f t="shared" ref="AX63" si="153">G63</f>
        <v>GRN</v>
      </c>
      <c r="AY63" t="str">
        <f t="shared" ref="AY63" si="154">H63</f>
        <v>ONP</v>
      </c>
      <c r="AZ63" t="str">
        <f t="shared" ref="AZ63" si="155">I63</f>
        <v>DLP</v>
      </c>
      <c r="BA63" t="str">
        <f t="shared" ref="BA63" si="156">J63</f>
        <v>DEM</v>
      </c>
      <c r="BB63" t="str">
        <f t="shared" ref="BB63" si="157">K63</f>
        <v>SFF</v>
      </c>
      <c r="BC63" t="str">
        <f t="shared" ref="BC63" si="158">L63</f>
        <v>FF</v>
      </c>
    </row>
    <row r="64" spans="1:55" x14ac:dyDescent="0.25">
      <c r="A64" t="s">
        <v>90</v>
      </c>
      <c r="B64" s="2">
        <v>2022</v>
      </c>
      <c r="M64">
        <f t="shared" ref="M64:M73" ca="1" si="159">MAX(0,_xlfn.FORECAST.LINEAR($B64,OFFSET(C65,0,0,$D$1),OFFSET($B65,0,0,$D$1)))</f>
        <v>11.509872204472799</v>
      </c>
      <c r="N64">
        <f t="shared" ref="N64:N73" ca="1" si="160">MAX(0,_xlfn.FORECAST.LINEAR($B64,OFFSET(D65,0,0,$D$1),OFFSET($B65,0,0,$D$1)))</f>
        <v>11.020888178913765</v>
      </c>
      <c r="O64">
        <f t="shared" ref="O64:O73" ca="1" si="161">MAX(0,_xlfn.FORECAST.LINEAR($B64,OFFSET(E65,0,0,$D$1),OFFSET($B65,0,0,$D$1)))</f>
        <v>37.177878594249137</v>
      </c>
      <c r="P64">
        <f t="shared" ref="P64:P73" ca="1" si="162">MAX(0,_xlfn.FORECAST.LINEAR($B64,OFFSET(F65,0,0,$D$1),OFFSET($B65,0,0,$D$1)))</f>
        <v>36.926939297124591</v>
      </c>
      <c r="Q64">
        <f t="shared" ref="Q64:Q73" ca="1" si="163">MAX(0,_xlfn.FORECAST.LINEAR($B64,OFFSET(G65,0,0,$D$1),OFFSET($B65,0,0,$D$1)))</f>
        <v>14.385309904153246</v>
      </c>
      <c r="R64" t="e">
        <f t="shared" ref="R64:R73" ca="1" si="164">MAX(0,_xlfn.FORECAST.LINEAR($B64,OFFSET(H65,0,0,$D$1),OFFSET($B65,0,0,$D$1)))</f>
        <v>#DIV/0!</v>
      </c>
      <c r="S64">
        <f t="shared" ref="S64:S73" ca="1" si="165">MAX(0,_xlfn.FORECAST.LINEAR($B64,OFFSET(I65,0,0,$D$1),OFFSET($B65,0,0,$D$1)))</f>
        <v>0.68791536050157021</v>
      </c>
      <c r="T64" t="e">
        <f t="shared" ref="T64:T73" ca="1" si="166">MAX(0,_xlfn.FORECAST.LINEAR($B64,OFFSET(J65,0,0,$D$1),OFFSET($B65,0,0,$D$1)))</f>
        <v>#DIV/0!</v>
      </c>
      <c r="U64" t="e">
        <f t="shared" ref="U64:U73" ca="1" si="167">MAX(0,_xlfn.FORECAST.LINEAR($B64,OFFSET(K65,0,0,$D$1),OFFSET($B65,0,0,$D$1)))</f>
        <v>#DIV/0!</v>
      </c>
      <c r="V64" s="2">
        <f t="shared" ref="V64:V73" ca="1" si="168">MAX(0,_xlfn.FORECAST.LINEAR($B64,OFFSET(L65,0,0,$D$1),OFFSET($B65,0,0,$D$1)))</f>
        <v>0</v>
      </c>
      <c r="AG64">
        <f>AVERAGE(C65:C70)</f>
        <v>7.5150000000000006</v>
      </c>
      <c r="AH64">
        <f t="shared" ref="AH64:AH73" si="169">AVERAGE(D65:D70)</f>
        <v>7.0999999999999988</v>
      </c>
      <c r="AI64">
        <f t="shared" ref="AI64:AI73" si="170">AVERAGE(E65:E70)</f>
        <v>42.298333333333339</v>
      </c>
      <c r="AJ64">
        <f t="shared" ref="AJ64:AJ73" si="171">AVERAGE(F65:F70)</f>
        <v>41.133333333333333</v>
      </c>
      <c r="AK64">
        <f t="shared" ref="AK64:AK73" si="172">AVERAGE(G65:G70)</f>
        <v>9.0533333333333328</v>
      </c>
      <c r="AL64">
        <f t="shared" ref="AL64:AL73" si="173">AVERAGE(H65:H70)</f>
        <v>0.28999999999999998</v>
      </c>
      <c r="AM64">
        <f t="shared" ref="AM64:AM73" si="174">AVERAGE(I65:I70)</f>
        <v>0.38400000000000001</v>
      </c>
      <c r="AN64">
        <f t="shared" ref="AN64:AN73" si="175">AVERAGE(J65:J70)</f>
        <v>0.28000000000000003</v>
      </c>
      <c r="AO64" t="e">
        <f t="shared" ref="AO64:AO73" si="176">AVERAGE(K65:K70)</f>
        <v>#DIV/0!</v>
      </c>
      <c r="AP64" s="2">
        <f t="shared" ref="AP64:AP73" si="177">AVERAGE(L65:L70)</f>
        <v>2.5633333333333335</v>
      </c>
      <c r="AR64" t="str">
        <f>LEFT(A64,FIND(" ",A64)-1)</f>
        <v>2022</v>
      </c>
      <c r="AS64" t="str">
        <f>MID(A64,FIND(" ",A64)+1,1000)</f>
        <v>vic</v>
      </c>
      <c r="AT64" t="str">
        <f>$AR64&amp;","&amp;$AS64&amp;","&amp;AT$63&amp;" FP,"&amp;IF(ISBLANK(C65),0,ROUND(C65,2))&amp;","&amp;IF(ISBLANK(C66),0,ROUND(C66,2))&amp;","&amp;IF(ISBLANK(C67),0,ROUND(C67,2))&amp;","&amp;IF(ISBLANK(C68),0,ROUND(C68,2))&amp;","&amp;IF(ISBLANK(C69),0,ROUND(C69,2))&amp;","&amp;IF(ISBLANK(C70),0,ROUND(C70,2))&amp;","&amp;IF(ISBLANK(C71),0,ROUND(C71,2))&amp;","&amp;IF(ISBLANK(C72),0,ROUND(C72,2))</f>
        <v>2022,vic,OTH FP,11.24,8.42,7.76,7.3,4.11,6.26,6.19,9.6</v>
      </c>
      <c r="AU64" t="str">
        <f t="shared" ref="AU64:BC68" si="178">$AR64&amp;","&amp;$AS64&amp;","&amp;AU$63&amp;" FP,"&amp;IF(ISBLANK(D65),0,ROUND(D65,2))&amp;","&amp;IF(ISBLANK(D66),0,ROUND(D66,2))&amp;","&amp;IF(ISBLANK(D67),0,ROUND(D67,2))&amp;","&amp;IF(ISBLANK(D68),0,ROUND(D68,2))&amp;","&amp;IF(ISBLANK(D69),0,ROUND(D69,2))&amp;","&amp;IF(ISBLANK(D70),0,ROUND(D70,2))&amp;","&amp;IF(ISBLANK(D71),0,ROUND(D71,2))&amp;","&amp;IF(ISBLANK(D72),0,ROUND(D72,2))</f>
        <v>2022,vic,xOTH FP,10.55,8.34,6.87,7.3,4.07,5.47,6.19,9.41</v>
      </c>
      <c r="AV64" t="str">
        <f t="shared" si="178"/>
        <v>2022,vic,ALP FP,42.86,38.1,36.25,43.06,47.95,45.57,43.13,38.41</v>
      </c>
      <c r="AW64" t="str">
        <f t="shared" si="178"/>
        <v>2022,vic,LNP FP,35.19,42,44.78,39.6,38.21,47.02,50.68,51.99</v>
      </c>
      <c r="AX64" t="str">
        <f t="shared" si="178"/>
        <v>2022,vic,GRN FP,10.71,11.48,11.21,10.04,9.73,1.15,0,0</v>
      </c>
      <c r="AY64" t="str">
        <f t="shared" si="178"/>
        <v>2022,vic,ONP FP,0,0,0,0,0,0.29,0,0</v>
      </c>
      <c r="AZ64" t="str">
        <f t="shared" si="178"/>
        <v>2022,vic,DLP FP,0.69,0.08,0.89,0,0.04,0.22,0,0</v>
      </c>
      <c r="BA64" t="str">
        <f t="shared" si="178"/>
        <v>2022,vic,DEM FP,0,0,0,0,0,0.28,0,0.19</v>
      </c>
      <c r="BB64" t="str">
        <f t="shared" si="178"/>
        <v>2022,vic,SFF FP,0,0,0,0,0,0,0,0</v>
      </c>
      <c r="BC64" t="str">
        <f t="shared" si="178"/>
        <v>2022,vic,FF FP,0,1.11,2.29,4.29,0,0,0,0</v>
      </c>
    </row>
    <row r="65" spans="1:55" x14ac:dyDescent="0.25">
      <c r="A65" t="s">
        <v>91</v>
      </c>
      <c r="B65" s="2">
        <v>2018</v>
      </c>
      <c r="C65">
        <f t="shared" ref="C65:C79" si="179">100-SUM(E65:G65)</f>
        <v>11.240000000000009</v>
      </c>
      <c r="D65">
        <f t="shared" ref="D65:D79" si="180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59"/>
        <v>8.7901799856011849</v>
      </c>
      <c r="N65">
        <f t="shared" ca="1" si="160"/>
        <v>8.4196184305255883</v>
      </c>
      <c r="O65">
        <f t="shared" ca="1" si="161"/>
        <v>35.85866810655159</v>
      </c>
      <c r="P65">
        <f t="shared" ca="1" si="162"/>
        <v>39.036652267818567</v>
      </c>
      <c r="Q65">
        <f t="shared" ca="1" si="163"/>
        <v>15.321850828729112</v>
      </c>
      <c r="R65" t="e">
        <f t="shared" ca="1" si="164"/>
        <v>#DIV/0!</v>
      </c>
      <c r="S65">
        <f t="shared" ca="1" si="165"/>
        <v>0.48547495682210595</v>
      </c>
      <c r="T65" t="e">
        <f t="shared" ca="1" si="166"/>
        <v>#DIV/0!</v>
      </c>
      <c r="U65" t="e">
        <f t="shared" ca="1" si="167"/>
        <v>#DIV/0!</v>
      </c>
      <c r="V65" s="2">
        <f t="shared" ca="1" si="168"/>
        <v>0</v>
      </c>
      <c r="W65" s="4">
        <f t="shared" ref="W65:AF65" ca="1" si="181">IF(ISBLANK(C65),NA(),C65-M65)</f>
        <v>2.4498200143988242</v>
      </c>
      <c r="X65" s="3">
        <f t="shared" ca="1" si="181"/>
        <v>2.130381569474423</v>
      </c>
      <c r="Y65" s="3">
        <f t="shared" ca="1" si="181"/>
        <v>7.001331893448409</v>
      </c>
      <c r="Z65" s="3">
        <f t="shared" ca="1" si="181"/>
        <v>-3.8466522678185697</v>
      </c>
      <c r="AA65" s="3">
        <f t="shared" ca="1" si="181"/>
        <v>-4.6118508287291107</v>
      </c>
      <c r="AB65" s="3" t="e">
        <f t="shared" si="181"/>
        <v>#N/A</v>
      </c>
      <c r="AC65" s="3">
        <f t="shared" ca="1" si="181"/>
        <v>0.20452504317789399</v>
      </c>
      <c r="AD65" s="3" t="e">
        <f t="shared" si="181"/>
        <v>#N/A</v>
      </c>
      <c r="AE65" s="3" t="e">
        <f t="shared" si="181"/>
        <v>#N/A</v>
      </c>
      <c r="AF65" s="5" t="e">
        <f t="shared" si="181"/>
        <v>#N/A</v>
      </c>
      <c r="AG65">
        <f t="shared" ref="AG65:AG73" si="182">AVERAGE(C66:C71)</f>
        <v>6.673333333333332</v>
      </c>
      <c r="AH65">
        <f t="shared" si="169"/>
        <v>6.3733333333333304</v>
      </c>
      <c r="AI65">
        <f t="shared" si="170"/>
        <v>42.343333333333334</v>
      </c>
      <c r="AJ65">
        <f t="shared" si="171"/>
        <v>43.715000000000003</v>
      </c>
      <c r="AK65">
        <f t="shared" si="172"/>
        <v>8.7220000000000013</v>
      </c>
      <c r="AL65">
        <f t="shared" si="173"/>
        <v>0.28999999999999998</v>
      </c>
      <c r="AM65">
        <f t="shared" si="174"/>
        <v>0.3075</v>
      </c>
      <c r="AN65">
        <f t="shared" si="175"/>
        <v>0.28000000000000003</v>
      </c>
      <c r="AO65" t="e">
        <f t="shared" si="176"/>
        <v>#DIV/0!</v>
      </c>
      <c r="AP65" s="2">
        <f t="shared" si="177"/>
        <v>2.5633333333333335</v>
      </c>
      <c r="AR65" t="str">
        <f t="shared" ref="AR65:AR68" si="183">LEFT(A65,FIND(" ",A65)-1)</f>
        <v>2018</v>
      </c>
      <c r="AS65" t="str">
        <f t="shared" ref="AS65:AS68" si="184">MID(A65,FIND(" ",A65)+1,1000)</f>
        <v>vic</v>
      </c>
      <c r="AT65" t="str">
        <f t="shared" ref="AT65:AT68" si="185">$AR65&amp;","&amp;$AS65&amp;","&amp;AT$63&amp;" FP,"&amp;IF(ISBLANK(C66),0,ROUND(C66,2))&amp;","&amp;IF(ISBLANK(C67),0,ROUND(C67,2))&amp;","&amp;IF(ISBLANK(C68),0,ROUND(C68,2))&amp;","&amp;IF(ISBLANK(C69),0,ROUND(C69,2))&amp;","&amp;IF(ISBLANK(C70),0,ROUND(C70,2))&amp;","&amp;IF(ISBLANK(C71),0,ROUND(C71,2))&amp;","&amp;IF(ISBLANK(C72),0,ROUND(C72,2))&amp;","&amp;IF(ISBLANK(C73),0,ROUND(C73,2))</f>
        <v>2018,vic,OTH FP,8.42,7.76,7.3,4.11,6.26,6.19,9.6,5.18</v>
      </c>
      <c r="AU65" t="str">
        <f t="shared" si="178"/>
        <v>2018,vic,xOTH FP,8.34,6.87,7.3,4.07,5.47,6.19,9.41,3.88</v>
      </c>
      <c r="AV65" t="str">
        <f t="shared" si="178"/>
        <v>2018,vic,ALP FP,38.1,36.25,43.06,47.95,45.57,43.13,38.41,46.55</v>
      </c>
      <c r="AW65" t="str">
        <f t="shared" si="178"/>
        <v>2018,vic,LNP FP,42,44.78,39.6,38.21,47.02,50.68,51.99,48.27</v>
      </c>
      <c r="AX65" t="str">
        <f t="shared" si="178"/>
        <v>2018,vic,GRN FP,11.48,11.21,10.04,9.73,1.15,0,0,0</v>
      </c>
      <c r="AY65" t="str">
        <f t="shared" si="178"/>
        <v>2018,vic,ONP FP,0,0,0,0,0.29,0,0,0</v>
      </c>
      <c r="AZ65" t="str">
        <f t="shared" si="178"/>
        <v>2018,vic,DLP FP,0.08,0.89,0,0.04,0.22,0,0,0.25</v>
      </c>
      <c r="BA65" t="str">
        <f t="shared" si="178"/>
        <v>2018,vic,DEM FP,0,0,0,0,0.28,0,0.19,1.05</v>
      </c>
      <c r="BB65" t="str">
        <f t="shared" si="178"/>
        <v>2018,vic,SFF FP,0,0,0,0,0,0,0,0</v>
      </c>
      <c r="BC65" t="str">
        <f t="shared" si="178"/>
        <v>2018,vic,FF FP,1.11,2.29,4.29,0,0,0,0,0</v>
      </c>
    </row>
    <row r="66" spans="1:55" x14ac:dyDescent="0.25">
      <c r="A66" t="s">
        <v>92</v>
      </c>
      <c r="B66" s="2">
        <v>2014</v>
      </c>
      <c r="C66">
        <f t="shared" si="179"/>
        <v>8.4200000000000017</v>
      </c>
      <c r="D66">
        <f t="shared" si="180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59"/>
        <v>6.1079323597232928</v>
      </c>
      <c r="N66">
        <f t="shared" ca="1" si="160"/>
        <v>5.4812298232129422</v>
      </c>
      <c r="O66">
        <f t="shared" ca="1" si="161"/>
        <v>41.145026902382796</v>
      </c>
      <c r="P66">
        <f t="shared" ca="1" si="162"/>
        <v>37.441137586471996</v>
      </c>
      <c r="Q66">
        <f t="shared" ca="1" si="163"/>
        <v>15.704509090909141</v>
      </c>
      <c r="R66" t="e">
        <f t="shared" ca="1" si="164"/>
        <v>#DIV/0!</v>
      </c>
      <c r="S66">
        <f t="shared" ca="1" si="165"/>
        <v>1.1093298969072123</v>
      </c>
      <c r="T66">
        <f t="shared" ca="1" si="166"/>
        <v>0.4728571428571442</v>
      </c>
      <c r="U66" t="e">
        <f t="shared" ca="1" si="167"/>
        <v>#DIV/0!</v>
      </c>
      <c r="V66" s="2">
        <f t="shared" ca="1" si="168"/>
        <v>0.28999999999996362</v>
      </c>
      <c r="W66" s="4">
        <f t="shared" ref="W66:W73" ca="1" si="186">IF(ISBLANK(C66),NA(),C66-M66)</f>
        <v>2.3120676402767089</v>
      </c>
      <c r="X66" s="3">
        <f t="shared" ref="X66:X73" ca="1" si="187">IF(ISBLANK(D66),NA(),D66-N66)</f>
        <v>2.8587701767870612</v>
      </c>
      <c r="Y66" s="3">
        <f t="shared" ref="Y66:Y73" ca="1" si="188">IF(ISBLANK(E66),NA(),E66-O66)</f>
        <v>-3.0450269023827943</v>
      </c>
      <c r="Z66" s="3">
        <f t="shared" ref="Z66:Z73" ca="1" si="189">IF(ISBLANK(F66),NA(),F66-P66)</f>
        <v>4.5588624135280043</v>
      </c>
      <c r="AA66" s="3">
        <f t="shared" ref="AA66:AA73" ca="1" si="190">IF(ISBLANK(G66),NA(),G66-Q66)</f>
        <v>-4.224509090909141</v>
      </c>
      <c r="AB66" s="3" t="e">
        <f t="shared" ref="AB66:AB73" si="191">IF(ISBLANK(H66),NA(),H66-R66)</f>
        <v>#N/A</v>
      </c>
      <c r="AC66" s="3">
        <f t="shared" ref="AC66:AC73" ca="1" si="192">IF(ISBLANK(I66),NA(),I66-S66)</f>
        <v>-1.0293298969072122</v>
      </c>
      <c r="AD66" s="3" t="e">
        <f t="shared" ref="AD66:AD73" si="193">IF(ISBLANK(J66),NA(),J66-T66)</f>
        <v>#N/A</v>
      </c>
      <c r="AE66" s="3" t="e">
        <f t="shared" ref="AE66:AE73" si="194">IF(ISBLANK(K66),NA(),K66-U66)</f>
        <v>#N/A</v>
      </c>
      <c r="AF66" s="5">
        <f t="shared" ref="AF66:AF73" ca="1" si="195">IF(ISBLANK(L66),NA(),L66-V66)</f>
        <v>0.82000000000003648</v>
      </c>
      <c r="AG66">
        <f t="shared" si="182"/>
        <v>6.8699999999999974</v>
      </c>
      <c r="AH66">
        <f t="shared" si="169"/>
        <v>6.5516666666666623</v>
      </c>
      <c r="AI66">
        <f t="shared" si="170"/>
        <v>42.395000000000003</v>
      </c>
      <c r="AJ66">
        <f t="shared" si="171"/>
        <v>45.38</v>
      </c>
      <c r="AK66">
        <f t="shared" si="172"/>
        <v>8.0325000000000006</v>
      </c>
      <c r="AL66">
        <f t="shared" si="173"/>
        <v>0.28999999999999998</v>
      </c>
      <c r="AM66">
        <f t="shared" si="174"/>
        <v>0.38333333333333336</v>
      </c>
      <c r="AN66">
        <f t="shared" si="175"/>
        <v>0.23500000000000001</v>
      </c>
      <c r="AO66" t="e">
        <f t="shared" si="176"/>
        <v>#DIV/0!</v>
      </c>
      <c r="AP66" s="2">
        <f t="shared" si="177"/>
        <v>3.29</v>
      </c>
      <c r="AR66" t="str">
        <f t="shared" si="183"/>
        <v>2014</v>
      </c>
      <c r="AS66" t="str">
        <f t="shared" si="184"/>
        <v>vic</v>
      </c>
      <c r="AT66" t="str">
        <f t="shared" si="185"/>
        <v>2014,vic,OTH FP,7.76,7.3,4.11,6.26,6.19,9.6,5.18,0.84</v>
      </c>
      <c r="AU66" t="str">
        <f t="shared" si="178"/>
        <v>2014,vic,xOTH FP,6.87,7.3,4.07,5.47,6.19,9.41,3.88,0.84</v>
      </c>
      <c r="AV66" t="str">
        <f t="shared" si="178"/>
        <v>2014,vic,ALP FP,36.25,43.06,47.95,45.57,43.13,38.41,46.55,50.01</v>
      </c>
      <c r="AW66" t="str">
        <f t="shared" si="178"/>
        <v>2014,vic,LNP FP,44.78,39.6,38.21,47.02,50.68,51.99,48.27,49.15</v>
      </c>
      <c r="AX66" t="str">
        <f t="shared" si="178"/>
        <v>2014,vic,GRN FP,11.21,10.04,9.73,1.15,0,0,0,0</v>
      </c>
      <c r="AY66" t="str">
        <f t="shared" si="178"/>
        <v>2014,vic,ONP FP,0,0,0,0.29,0,0,0,0</v>
      </c>
      <c r="AZ66" t="str">
        <f t="shared" si="178"/>
        <v>2014,vic,DLP FP,0.89,0,0.04,0.22,0,0,0.25,0</v>
      </c>
      <c r="BA66" t="str">
        <f t="shared" si="178"/>
        <v>2014,vic,DEM FP,0,0,0,0.28,0,0.19,1.05,0</v>
      </c>
      <c r="BB66" t="str">
        <f t="shared" si="178"/>
        <v>2014,vic,SFF FP,0,0,0,0,0,0,0,0</v>
      </c>
      <c r="BC66" t="str">
        <f t="shared" si="178"/>
        <v>2014,vic,FF FP,2.29,4.29,0,0,0,0,0,0</v>
      </c>
    </row>
    <row r="67" spans="1:55" x14ac:dyDescent="0.25">
      <c r="A67" t="s">
        <v>93</v>
      </c>
      <c r="B67" s="2">
        <v>2010</v>
      </c>
      <c r="C67">
        <f t="shared" si="179"/>
        <v>7.7599999999999909</v>
      </c>
      <c r="D67">
        <f t="shared" si="180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59"/>
        <v>5.9381091468101488</v>
      </c>
      <c r="N67">
        <f t="shared" ca="1" si="160"/>
        <v>6.217671022290542</v>
      </c>
      <c r="O67">
        <f t="shared" ca="1" si="161"/>
        <v>45.306518063028449</v>
      </c>
      <c r="P67">
        <f t="shared" ca="1" si="162"/>
        <v>37.11159877017667</v>
      </c>
      <c r="Q67">
        <f t="shared" ca="1" si="163"/>
        <v>16.215810810811035</v>
      </c>
      <c r="R67" t="e">
        <f t="shared" ca="1" si="164"/>
        <v>#DIV/0!</v>
      </c>
      <c r="S67">
        <f t="shared" ca="1" si="165"/>
        <v>1.0276073619632342E-2</v>
      </c>
      <c r="T67">
        <f t="shared" ca="1" si="166"/>
        <v>0</v>
      </c>
      <c r="U67" t="e">
        <f t="shared" ca="1" si="167"/>
        <v>#DIV/0!</v>
      </c>
      <c r="V67" s="2" t="e">
        <f t="shared" ca="1" si="168"/>
        <v>#DIV/0!</v>
      </c>
      <c r="W67" s="4">
        <f t="shared" ca="1" si="186"/>
        <v>1.8218908531898421</v>
      </c>
      <c r="X67" s="3">
        <f t="shared" ca="1" si="187"/>
        <v>0.65232897770944831</v>
      </c>
      <c r="Y67" s="3">
        <f t="shared" ca="1" si="188"/>
        <v>-9.0565180630284488</v>
      </c>
      <c r="Z67" s="3">
        <f t="shared" ca="1" si="189"/>
        <v>7.6684012298233313</v>
      </c>
      <c r="AA67" s="3">
        <f t="shared" ca="1" si="190"/>
        <v>-5.0058108108110346</v>
      </c>
      <c r="AB67" s="3" t="e">
        <f t="shared" si="191"/>
        <v>#N/A</v>
      </c>
      <c r="AC67" s="3">
        <f t="shared" ca="1" si="192"/>
        <v>0.87972392638036767</v>
      </c>
      <c r="AD67" s="3" t="e">
        <f t="shared" si="193"/>
        <v>#N/A</v>
      </c>
      <c r="AE67" s="3" t="e">
        <f t="shared" si="194"/>
        <v>#N/A</v>
      </c>
      <c r="AF67" s="5" t="e">
        <f t="shared" ca="1" si="195"/>
        <v>#DIV/0!</v>
      </c>
      <c r="AG67">
        <f t="shared" si="182"/>
        <v>6.44</v>
      </c>
      <c r="AH67">
        <f t="shared" si="169"/>
        <v>6.0533333333333319</v>
      </c>
      <c r="AI67">
        <f t="shared" si="170"/>
        <v>44.111666666666672</v>
      </c>
      <c r="AJ67">
        <f t="shared" si="171"/>
        <v>45.961666666666673</v>
      </c>
      <c r="AK67">
        <f t="shared" si="172"/>
        <v>6.9733333333333327</v>
      </c>
      <c r="AL67">
        <f t="shared" si="173"/>
        <v>0.28999999999999998</v>
      </c>
      <c r="AM67">
        <f t="shared" si="174"/>
        <v>0.17</v>
      </c>
      <c r="AN67">
        <f t="shared" si="175"/>
        <v>0.50666666666666671</v>
      </c>
      <c r="AO67" t="e">
        <f t="shared" si="176"/>
        <v>#DIV/0!</v>
      </c>
      <c r="AP67" s="2">
        <f t="shared" si="177"/>
        <v>4.29</v>
      </c>
      <c r="AR67" t="str">
        <f t="shared" si="183"/>
        <v>2010</v>
      </c>
      <c r="AS67" t="str">
        <f t="shared" si="184"/>
        <v>vic</v>
      </c>
      <c r="AT67" t="str">
        <f t="shared" si="185"/>
        <v>2010,vic,OTH FP,7.3,4.11,6.26,6.19,9.6,5.18,0.84,6.69</v>
      </c>
      <c r="AU67" t="str">
        <f t="shared" si="178"/>
        <v>2010,vic,xOTH FP,7.3,4.07,5.47,6.19,9.41,3.88,0.84,1.05</v>
      </c>
      <c r="AV67" t="str">
        <f t="shared" si="178"/>
        <v>2010,vic,ALP FP,43.06,47.95,45.57,43.13,38.41,46.55,50.01,50.01</v>
      </c>
      <c r="AW67" t="str">
        <f t="shared" si="178"/>
        <v>2010,vic,LNP FP,39.6,38.21,47.02,50.68,51.99,48.27,49.15,43.3</v>
      </c>
      <c r="AX67" t="str">
        <f t="shared" si="178"/>
        <v>2010,vic,GRN FP,10.04,9.73,1.15,0,0,0,0,0</v>
      </c>
      <c r="AY67" t="str">
        <f t="shared" si="178"/>
        <v>2010,vic,ONP FP,0,0,0.29,0,0,0,0,0</v>
      </c>
      <c r="AZ67" t="str">
        <f t="shared" si="178"/>
        <v>2010,vic,DLP FP,0,0.04,0.22,0,0,0.25,0,0.34</v>
      </c>
      <c r="BA67" t="str">
        <f t="shared" si="178"/>
        <v>2010,vic,DEM FP,0,0,0.28,0,0.19,1.05,0,5.3</v>
      </c>
      <c r="BB67" t="str">
        <f t="shared" si="178"/>
        <v>2010,vic,SFF FP,0,0,0,0,0,0,0,0</v>
      </c>
      <c r="BC67" t="str">
        <f t="shared" si="178"/>
        <v>2010,vic,FF FP,4.29,0,0,0,0,0,0,0</v>
      </c>
    </row>
    <row r="68" spans="1:55" x14ac:dyDescent="0.25">
      <c r="A68" t="s">
        <v>94</v>
      </c>
      <c r="B68" s="2">
        <v>2006</v>
      </c>
      <c r="C68">
        <f t="shared" si="179"/>
        <v>7.3000000000000114</v>
      </c>
      <c r="D68">
        <f t="shared" si="180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59"/>
        <v>7.0657187499999736</v>
      </c>
      <c r="N68">
        <f t="shared" ca="1" si="160"/>
        <v>6.8603906250000364</v>
      </c>
      <c r="O68">
        <f t="shared" ca="1" si="161"/>
        <v>44.231687500000021</v>
      </c>
      <c r="P68">
        <f t="shared" ca="1" si="162"/>
        <v>41.847046874999933</v>
      </c>
      <c r="Q68">
        <f t="shared" ca="1" si="163"/>
        <v>21.170000000000073</v>
      </c>
      <c r="R68" t="e">
        <f t="shared" ca="1" si="164"/>
        <v>#DIV/0!</v>
      </c>
      <c r="S68">
        <f t="shared" ca="1" si="165"/>
        <v>5.7024539877300384E-2</v>
      </c>
      <c r="T68">
        <f t="shared" ca="1" si="166"/>
        <v>0</v>
      </c>
      <c r="U68" t="e">
        <f t="shared" ca="1" si="167"/>
        <v>#DIV/0!</v>
      </c>
      <c r="V68" s="2" t="e">
        <f t="shared" ca="1" si="168"/>
        <v>#DIV/0!</v>
      </c>
      <c r="W68" s="4">
        <f t="shared" ca="1" si="186"/>
        <v>0.23428125000003774</v>
      </c>
      <c r="X68" s="3">
        <f t="shared" ca="1" si="187"/>
        <v>0.43960937499997499</v>
      </c>
      <c r="Y68" s="3">
        <f t="shared" ca="1" si="188"/>
        <v>-1.1716875000000186</v>
      </c>
      <c r="Z68" s="3">
        <f t="shared" ca="1" si="189"/>
        <v>-2.2470468749999313</v>
      </c>
      <c r="AA68" s="3">
        <f t="shared" ca="1" si="190"/>
        <v>-11.130000000000074</v>
      </c>
      <c r="AB68" s="3" t="e">
        <f t="shared" si="191"/>
        <v>#N/A</v>
      </c>
      <c r="AC68" s="3" t="e">
        <f t="shared" si="192"/>
        <v>#N/A</v>
      </c>
      <c r="AD68" s="3" t="e">
        <f t="shared" si="193"/>
        <v>#N/A</v>
      </c>
      <c r="AE68" s="3" t="e">
        <f t="shared" si="194"/>
        <v>#N/A</v>
      </c>
      <c r="AF68" s="5" t="e">
        <f t="shared" ca="1" si="195"/>
        <v>#DIV/0!</v>
      </c>
      <c r="AG68">
        <f t="shared" si="182"/>
        <v>5.3633333333333324</v>
      </c>
      <c r="AH68">
        <f t="shared" si="169"/>
        <v>4.9766666666666639</v>
      </c>
      <c r="AI68">
        <f t="shared" si="170"/>
        <v>45.27</v>
      </c>
      <c r="AJ68">
        <f t="shared" si="171"/>
        <v>47.553333333333335</v>
      </c>
      <c r="AK68">
        <f t="shared" si="172"/>
        <v>5.44</v>
      </c>
      <c r="AL68">
        <f t="shared" si="173"/>
        <v>0.28999999999999998</v>
      </c>
      <c r="AM68">
        <f t="shared" si="174"/>
        <v>0.17</v>
      </c>
      <c r="AN68">
        <f t="shared" si="175"/>
        <v>0.50666666666666671</v>
      </c>
      <c r="AO68" t="e">
        <f t="shared" si="176"/>
        <v>#DIV/0!</v>
      </c>
      <c r="AP68" s="2" t="e">
        <f t="shared" si="177"/>
        <v>#DIV/0!</v>
      </c>
      <c r="AR68" t="str">
        <f t="shared" si="183"/>
        <v>2006</v>
      </c>
      <c r="AS68" t="str">
        <f t="shared" si="184"/>
        <v>vic</v>
      </c>
      <c r="AT68" t="str">
        <f t="shared" si="185"/>
        <v>2006,vic,OTH FP,4.11,6.26,6.19,9.6,5.18,0.84,6.69,7.72</v>
      </c>
      <c r="AU68" t="str">
        <f t="shared" si="178"/>
        <v>2006,vic,xOTH FP,4.07,5.47,6.19,9.41,3.88,0.84,1.05,1.85</v>
      </c>
      <c r="AV68" t="str">
        <f t="shared" si="178"/>
        <v>2006,vic,ALP FP,47.95,45.57,43.13,38.41,46.55,50.01,50.01,45.23</v>
      </c>
      <c r="AW68" t="str">
        <f t="shared" si="178"/>
        <v>2006,vic,LNP FP,38.21,47.02,50.68,51.99,48.27,49.15,43.3,47.05</v>
      </c>
      <c r="AX68" t="str">
        <f t="shared" si="178"/>
        <v>2006,vic,GRN FP,9.73,1.15,0,0,0,0,0,0</v>
      </c>
      <c r="AY68" t="str">
        <f t="shared" si="178"/>
        <v>2006,vic,ONP FP,0,0.29,0,0,0,0,0,0</v>
      </c>
      <c r="AZ68" t="str">
        <f t="shared" si="178"/>
        <v>2006,vic,DLP FP,0.04,0.22,0,0,0.25,0,0.34,0.51</v>
      </c>
      <c r="BA68" t="str">
        <f t="shared" si="178"/>
        <v>2006,vic,DEM FP,0,0.28,0,0.19,1.05,0,5.3,5.36</v>
      </c>
      <c r="BB68" t="str">
        <f t="shared" si="178"/>
        <v>2006,vic,SFF FP,0,0,0,0,0,0,0,0</v>
      </c>
      <c r="BC68" t="str">
        <f t="shared" si="178"/>
        <v>2006,vic,FF FP,0,0,0,0,0,0,0,0</v>
      </c>
    </row>
    <row r="69" spans="1:55" x14ac:dyDescent="0.25">
      <c r="A69" t="s">
        <v>95</v>
      </c>
      <c r="B69" s="2">
        <v>2002</v>
      </c>
      <c r="C69">
        <f t="shared" si="179"/>
        <v>4.1099999999999994</v>
      </c>
      <c r="D69">
        <f t="shared" si="180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59"/>
        <v>7.5987499999999955</v>
      </c>
      <c r="N69">
        <f t="shared" ca="1" si="160"/>
        <v>8.6232031250000318</v>
      </c>
      <c r="O69">
        <f t="shared" ca="1" si="161"/>
        <v>40.761093749999986</v>
      </c>
      <c r="P69">
        <f t="shared" ca="1" si="162"/>
        <v>50.903437499999995</v>
      </c>
      <c r="Q69" t="e">
        <f t="shared" ca="1" si="163"/>
        <v>#DIV/0!</v>
      </c>
      <c r="R69" t="e">
        <f t="shared" ca="1" si="164"/>
        <v>#DIV/0!</v>
      </c>
      <c r="S69">
        <f t="shared" ca="1" si="165"/>
        <v>0.18952914798206244</v>
      </c>
      <c r="T69">
        <f t="shared" ca="1" si="166"/>
        <v>0</v>
      </c>
      <c r="U69" t="e">
        <f t="shared" ca="1" si="167"/>
        <v>#DIV/0!</v>
      </c>
      <c r="V69" s="2" t="e">
        <f t="shared" ca="1" si="168"/>
        <v>#DIV/0!</v>
      </c>
      <c r="W69" s="4">
        <f t="shared" ca="1" si="186"/>
        <v>-3.488749999999996</v>
      </c>
      <c r="X69" s="3">
        <f t="shared" ca="1" si="187"/>
        <v>-4.5532031250000387</v>
      </c>
      <c r="Y69" s="3">
        <f t="shared" ca="1" si="188"/>
        <v>7.1889062500000165</v>
      </c>
      <c r="Z69" s="3">
        <f t="shared" ca="1" si="189"/>
        <v>-12.693437499999995</v>
      </c>
      <c r="AA69" s="3" t="e">
        <f t="shared" ca="1" si="190"/>
        <v>#DIV/0!</v>
      </c>
      <c r="AB69" s="3" t="e">
        <f t="shared" si="191"/>
        <v>#N/A</v>
      </c>
      <c r="AC69" s="3">
        <f t="shared" ca="1" si="192"/>
        <v>-0.14952914798206243</v>
      </c>
      <c r="AD69" s="3" t="e">
        <f t="shared" si="193"/>
        <v>#N/A</v>
      </c>
      <c r="AE69" s="3" t="e">
        <f t="shared" si="194"/>
        <v>#N/A</v>
      </c>
      <c r="AF69" s="5" t="e">
        <f t="shared" si="195"/>
        <v>#N/A</v>
      </c>
      <c r="AG69">
        <f t="shared" si="182"/>
        <v>5.7933333333333321</v>
      </c>
      <c r="AH69">
        <f t="shared" si="169"/>
        <v>4.4733333333333318</v>
      </c>
      <c r="AI69">
        <f t="shared" si="170"/>
        <v>45.613333333333337</v>
      </c>
      <c r="AJ69">
        <f t="shared" si="171"/>
        <v>48.401666666666671</v>
      </c>
      <c r="AK69">
        <f t="shared" si="172"/>
        <v>1.1499999999999999</v>
      </c>
      <c r="AL69">
        <f t="shared" si="173"/>
        <v>0.28999999999999998</v>
      </c>
      <c r="AM69">
        <f t="shared" si="174"/>
        <v>0.27</v>
      </c>
      <c r="AN69">
        <f t="shared" si="175"/>
        <v>1.7050000000000001</v>
      </c>
      <c r="AO69" t="e">
        <f t="shared" si="176"/>
        <v>#DIV/0!</v>
      </c>
      <c r="AP69" s="2" t="e">
        <f t="shared" si="177"/>
        <v>#DIV/0!</v>
      </c>
    </row>
    <row r="70" spans="1:55" x14ac:dyDescent="0.25">
      <c r="A70" t="s">
        <v>96</v>
      </c>
      <c r="B70" s="2">
        <v>1999</v>
      </c>
      <c r="C70">
        <f t="shared" si="179"/>
        <v>6.2599999999999909</v>
      </c>
      <c r="D70">
        <f t="shared" si="180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59"/>
        <v>6.7566666666666606</v>
      </c>
      <c r="N70">
        <f t="shared" ca="1" si="160"/>
        <v>8.9646000000000186</v>
      </c>
      <c r="O70">
        <f t="shared" ca="1" si="161"/>
        <v>40.448266666666541</v>
      </c>
      <c r="P70">
        <f t="shared" ca="1" si="162"/>
        <v>52.795066666666685</v>
      </c>
      <c r="Q70" t="e">
        <f t="shared" ca="1" si="163"/>
        <v>#DIV/0!</v>
      </c>
      <c r="R70" t="e">
        <f t="shared" ca="1" si="164"/>
        <v>#DIV/0!</v>
      </c>
      <c r="S70">
        <f t="shared" ca="1" si="165"/>
        <v>0</v>
      </c>
      <c r="T70">
        <f t="shared" ca="1" si="166"/>
        <v>0</v>
      </c>
      <c r="U70" t="e">
        <f t="shared" ca="1" si="167"/>
        <v>#DIV/0!</v>
      </c>
      <c r="V70" s="2" t="e">
        <f t="shared" ca="1" si="168"/>
        <v>#DIV/0!</v>
      </c>
      <c r="W70" s="4">
        <f t="shared" ca="1" si="186"/>
        <v>-0.4966666666666697</v>
      </c>
      <c r="X70" s="3">
        <f t="shared" ca="1" si="187"/>
        <v>-3.4946000000000339</v>
      </c>
      <c r="Y70" s="3">
        <f t="shared" ca="1" si="188"/>
        <v>5.1217333333334594</v>
      </c>
      <c r="Z70" s="3">
        <f t="shared" ca="1" si="189"/>
        <v>-5.7750666666666817</v>
      </c>
      <c r="AA70" s="3" t="e">
        <f t="shared" ca="1" si="190"/>
        <v>#DIV/0!</v>
      </c>
      <c r="AB70" s="3" t="e">
        <f t="shared" ca="1" si="191"/>
        <v>#DIV/0!</v>
      </c>
      <c r="AC70" s="3">
        <f t="shared" ca="1" si="192"/>
        <v>0.22</v>
      </c>
      <c r="AD70" s="3">
        <f t="shared" ca="1" si="193"/>
        <v>0.28000000000000003</v>
      </c>
      <c r="AE70" s="3" t="e">
        <f t="shared" si="194"/>
        <v>#N/A</v>
      </c>
      <c r="AF70" s="5" t="e">
        <f t="shared" si="195"/>
        <v>#N/A</v>
      </c>
      <c r="AG70">
        <f t="shared" si="182"/>
        <v>6.0366666666666662</v>
      </c>
      <c r="AH70">
        <f t="shared" si="169"/>
        <v>3.8699999999999997</v>
      </c>
      <c r="AI70">
        <f t="shared" si="170"/>
        <v>45.556666666666665</v>
      </c>
      <c r="AJ70">
        <f t="shared" si="171"/>
        <v>48.406666666666666</v>
      </c>
      <c r="AK70" t="e">
        <f t="shared" si="172"/>
        <v>#DIV/0!</v>
      </c>
      <c r="AL70" t="e">
        <f t="shared" si="173"/>
        <v>#DIV/0!</v>
      </c>
      <c r="AM70">
        <f t="shared" si="174"/>
        <v>0.3666666666666667</v>
      </c>
      <c r="AN70">
        <f t="shared" si="175"/>
        <v>2.9750000000000001</v>
      </c>
      <c r="AO70" t="e">
        <f t="shared" si="176"/>
        <v>#DIV/0!</v>
      </c>
      <c r="AP70" s="2" t="e">
        <f t="shared" si="177"/>
        <v>#DIV/0!</v>
      </c>
    </row>
    <row r="71" spans="1:55" x14ac:dyDescent="0.25">
      <c r="A71" t="s">
        <v>97</v>
      </c>
      <c r="B71" s="2">
        <v>1996</v>
      </c>
      <c r="C71">
        <f t="shared" si="179"/>
        <v>6.1899999999999977</v>
      </c>
      <c r="D71">
        <f t="shared" si="180"/>
        <v>6.1899999999999977</v>
      </c>
      <c r="E71">
        <v>43.13</v>
      </c>
      <c r="F71">
        <v>50.68</v>
      </c>
      <c r="M71">
        <f t="shared" ca="1" si="159"/>
        <v>7.2633076923077056</v>
      </c>
      <c r="N71">
        <f t="shared" ca="1" si="160"/>
        <v>8.1785576923075496</v>
      </c>
      <c r="O71">
        <f t="shared" ca="1" si="161"/>
        <v>43.217153846153849</v>
      </c>
      <c r="P71">
        <f t="shared" ca="1" si="162"/>
        <v>49.51953846153846</v>
      </c>
      <c r="Q71" t="e">
        <f t="shared" ca="1" si="163"/>
        <v>#DIV/0!</v>
      </c>
      <c r="R71" t="e">
        <f t="shared" ca="1" si="164"/>
        <v>#DIV/0!</v>
      </c>
      <c r="S71">
        <f t="shared" ca="1" si="165"/>
        <v>0</v>
      </c>
      <c r="T71">
        <f t="shared" ca="1" si="166"/>
        <v>0</v>
      </c>
      <c r="U71" t="e">
        <f t="shared" ca="1" si="167"/>
        <v>#DIV/0!</v>
      </c>
      <c r="V71" s="2" t="e">
        <f t="shared" ca="1" si="168"/>
        <v>#DIV/0!</v>
      </c>
      <c r="W71" s="4">
        <f t="shared" ca="1" si="186"/>
        <v>-1.0733076923077078</v>
      </c>
      <c r="X71" s="3">
        <f t="shared" ca="1" si="187"/>
        <v>-1.9885576923075519</v>
      </c>
      <c r="Y71" s="3">
        <f t="shared" ca="1" si="188"/>
        <v>-8.7153846153846359E-2</v>
      </c>
      <c r="Z71" s="3">
        <f t="shared" ca="1" si="189"/>
        <v>1.16046153846154</v>
      </c>
      <c r="AA71" s="3" t="e">
        <f t="shared" si="190"/>
        <v>#N/A</v>
      </c>
      <c r="AB71" s="3" t="e">
        <f t="shared" si="191"/>
        <v>#N/A</v>
      </c>
      <c r="AC71" s="3" t="e">
        <f t="shared" si="192"/>
        <v>#N/A</v>
      </c>
      <c r="AD71" s="3" t="e">
        <f t="shared" si="193"/>
        <v>#N/A</v>
      </c>
      <c r="AE71" s="3" t="e">
        <f t="shared" si="194"/>
        <v>#N/A</v>
      </c>
      <c r="AF71" s="5" t="e">
        <f t="shared" si="195"/>
        <v>#N/A</v>
      </c>
      <c r="AG71">
        <f t="shared" si="182"/>
        <v>5.7766666666666664</v>
      </c>
      <c r="AH71">
        <f t="shared" si="169"/>
        <v>3.1799999999999997</v>
      </c>
      <c r="AI71">
        <f t="shared" si="170"/>
        <v>45.44</v>
      </c>
      <c r="AJ71">
        <f t="shared" si="171"/>
        <v>48.783333333333331</v>
      </c>
      <c r="AK71" t="e">
        <f t="shared" si="172"/>
        <v>#DIV/0!</v>
      </c>
      <c r="AL71" t="e">
        <f t="shared" si="173"/>
        <v>#DIV/0!</v>
      </c>
      <c r="AM71">
        <f t="shared" si="174"/>
        <v>0.92</v>
      </c>
      <c r="AN71">
        <f t="shared" si="175"/>
        <v>2.9750000000000001</v>
      </c>
      <c r="AO71" t="e">
        <f t="shared" si="176"/>
        <v>#DIV/0!</v>
      </c>
      <c r="AP71" s="2" t="e">
        <f t="shared" si="177"/>
        <v>#DIV/0!</v>
      </c>
    </row>
    <row r="72" spans="1:55" x14ac:dyDescent="0.25">
      <c r="A72" t="s">
        <v>98</v>
      </c>
      <c r="B72" s="2">
        <v>1992</v>
      </c>
      <c r="C72">
        <f t="shared" si="179"/>
        <v>9.5999999999999943</v>
      </c>
      <c r="D72">
        <f t="shared" si="180"/>
        <v>9.4099999999999966</v>
      </c>
      <c r="E72">
        <v>38.409999999999997</v>
      </c>
      <c r="F72">
        <v>51.99</v>
      </c>
      <c r="J72">
        <v>0.19</v>
      </c>
      <c r="M72">
        <f t="shared" ca="1" si="159"/>
        <v>1.8114285714285643</v>
      </c>
      <c r="N72">
        <f t="shared" ca="1" si="160"/>
        <v>2.3750476190476277</v>
      </c>
      <c r="O72">
        <f t="shared" ca="1" si="161"/>
        <v>51.692666666666696</v>
      </c>
      <c r="P72">
        <f t="shared" ca="1" si="162"/>
        <v>46.495904761904796</v>
      </c>
      <c r="Q72" t="e">
        <f t="shared" ca="1" si="163"/>
        <v>#DIV/0!</v>
      </c>
      <c r="R72" t="e">
        <f t="shared" ca="1" si="164"/>
        <v>#DIV/0!</v>
      </c>
      <c r="S72">
        <f t="shared" ca="1" si="165"/>
        <v>0</v>
      </c>
      <c r="T72">
        <f t="shared" ca="1" si="166"/>
        <v>0</v>
      </c>
      <c r="U72" t="e">
        <f t="shared" ca="1" si="167"/>
        <v>#DIV/0!</v>
      </c>
      <c r="V72" s="2" t="e">
        <f t="shared" ca="1" si="168"/>
        <v>#DIV/0!</v>
      </c>
      <c r="W72" s="4">
        <f t="shared" ca="1" si="186"/>
        <v>7.78857142857143</v>
      </c>
      <c r="X72" s="3">
        <f t="shared" ca="1" si="187"/>
        <v>7.0349523809523689</v>
      </c>
      <c r="Y72" s="3">
        <f t="shared" ca="1" si="188"/>
        <v>-13.282666666666699</v>
      </c>
      <c r="Z72" s="3">
        <f t="shared" ca="1" si="189"/>
        <v>5.4940952380952055</v>
      </c>
      <c r="AA72" s="3" t="e">
        <f t="shared" si="190"/>
        <v>#N/A</v>
      </c>
      <c r="AB72" s="3" t="e">
        <f t="shared" si="191"/>
        <v>#N/A</v>
      </c>
      <c r="AC72" s="3" t="e">
        <f t="shared" si="192"/>
        <v>#N/A</v>
      </c>
      <c r="AD72" s="3">
        <f t="shared" ca="1" si="193"/>
        <v>0.19</v>
      </c>
      <c r="AE72" s="3" t="e">
        <f t="shared" si="194"/>
        <v>#N/A</v>
      </c>
      <c r="AF72" s="5" t="e">
        <f t="shared" si="195"/>
        <v>#N/A</v>
      </c>
      <c r="AG72">
        <f t="shared" si="182"/>
        <v>5.8583333333333343</v>
      </c>
      <c r="AH72">
        <f t="shared" si="169"/>
        <v>1.9949999999999999</v>
      </c>
      <c r="AI72">
        <f t="shared" si="170"/>
        <v>45.973333333333329</v>
      </c>
      <c r="AJ72">
        <f t="shared" si="171"/>
        <v>48.168333333333329</v>
      </c>
      <c r="AK72" t="e">
        <f t="shared" si="172"/>
        <v>#DIV/0!</v>
      </c>
      <c r="AL72" t="e">
        <f t="shared" si="173"/>
        <v>#DIV/0!</v>
      </c>
      <c r="AM72">
        <f t="shared" si="174"/>
        <v>2.294</v>
      </c>
      <c r="AN72">
        <f t="shared" si="175"/>
        <v>3.9033333333333338</v>
      </c>
      <c r="AO72" t="e">
        <f t="shared" si="176"/>
        <v>#DIV/0!</v>
      </c>
      <c r="AP72" s="2" t="e">
        <f t="shared" si="177"/>
        <v>#DIV/0!</v>
      </c>
    </row>
    <row r="73" spans="1:55" x14ac:dyDescent="0.25">
      <c r="A73" t="s">
        <v>99</v>
      </c>
      <c r="B73" s="2">
        <v>1988</v>
      </c>
      <c r="C73">
        <f t="shared" si="179"/>
        <v>5.1800000000000068</v>
      </c>
      <c r="D73">
        <f t="shared" si="180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59"/>
        <v>1.1173333333335904</v>
      </c>
      <c r="N73">
        <f t="shared" ca="1" si="160"/>
        <v>2.2199999999999704</v>
      </c>
      <c r="O73">
        <f t="shared" ca="1" si="161"/>
        <v>52.213333333333367</v>
      </c>
      <c r="P73">
        <f t="shared" ca="1" si="162"/>
        <v>46.669333333333384</v>
      </c>
      <c r="Q73" t="e">
        <f t="shared" ca="1" si="163"/>
        <v>#DIV/0!</v>
      </c>
      <c r="R73" t="e">
        <f t="shared" ca="1" si="164"/>
        <v>#DIV/0!</v>
      </c>
      <c r="S73">
        <f t="shared" ca="1" si="165"/>
        <v>0</v>
      </c>
      <c r="T73">
        <f t="shared" ca="1" si="166"/>
        <v>5.18</v>
      </c>
      <c r="U73" t="e">
        <f t="shared" ca="1" si="167"/>
        <v>#DIV/0!</v>
      </c>
      <c r="V73" s="2" t="e">
        <f t="shared" ca="1" si="168"/>
        <v>#DIV/0!</v>
      </c>
      <c r="W73" s="4">
        <f t="shared" ca="1" si="186"/>
        <v>4.0626666666664164</v>
      </c>
      <c r="X73" s="3">
        <f t="shared" ca="1" si="187"/>
        <v>1.6600000000000392</v>
      </c>
      <c r="Y73" s="3">
        <f t="shared" ca="1" si="188"/>
        <v>-5.6633333333333695</v>
      </c>
      <c r="Z73" s="3">
        <f t="shared" ca="1" si="189"/>
        <v>1.6006666666666192</v>
      </c>
      <c r="AA73" s="3" t="e">
        <f t="shared" si="190"/>
        <v>#N/A</v>
      </c>
      <c r="AB73" s="3" t="e">
        <f t="shared" si="191"/>
        <v>#N/A</v>
      </c>
      <c r="AC73" s="3">
        <f t="shared" ca="1" si="192"/>
        <v>0.25</v>
      </c>
      <c r="AD73" s="3">
        <f t="shared" ca="1" si="193"/>
        <v>-4.13</v>
      </c>
      <c r="AE73" s="3" t="e">
        <f t="shared" si="194"/>
        <v>#N/A</v>
      </c>
      <c r="AF73" s="5" t="e">
        <f t="shared" si="195"/>
        <v>#N/A</v>
      </c>
      <c r="AG73">
        <f t="shared" si="182"/>
        <v>6.7883333333333313</v>
      </c>
      <c r="AH73">
        <f t="shared" si="169"/>
        <v>0.92499999999999716</v>
      </c>
      <c r="AI73">
        <f t="shared" si="170"/>
        <v>45.118333333333339</v>
      </c>
      <c r="AJ73">
        <f t="shared" si="171"/>
        <v>48.093333333333334</v>
      </c>
      <c r="AK73" t="e">
        <f t="shared" si="172"/>
        <v>#DIV/0!</v>
      </c>
      <c r="AL73" t="e">
        <f t="shared" si="173"/>
        <v>#DIV/0!</v>
      </c>
      <c r="AM73">
        <f t="shared" si="174"/>
        <v>4.9040000000000008</v>
      </c>
      <c r="AN73">
        <f t="shared" si="175"/>
        <v>5.33</v>
      </c>
      <c r="AO73" t="e">
        <f t="shared" si="176"/>
        <v>#DIV/0!</v>
      </c>
      <c r="AP73" s="2" t="e">
        <f t="shared" si="177"/>
        <v>#DIV/0!</v>
      </c>
    </row>
    <row r="74" spans="1:55" x14ac:dyDescent="0.25">
      <c r="A74" t="s">
        <v>100</v>
      </c>
      <c r="B74" s="2">
        <v>1985</v>
      </c>
      <c r="C74">
        <f t="shared" si="179"/>
        <v>0.84000000000000341</v>
      </c>
      <c r="D74">
        <f t="shared" si="180"/>
        <v>0.84000000000000341</v>
      </c>
      <c r="E74">
        <v>50.01</v>
      </c>
      <c r="F74">
        <v>49.15</v>
      </c>
    </row>
    <row r="75" spans="1:55" x14ac:dyDescent="0.25">
      <c r="A75" t="s">
        <v>101</v>
      </c>
      <c r="B75" s="2">
        <v>1982</v>
      </c>
      <c r="C75">
        <f t="shared" si="179"/>
        <v>6.6899999999999977</v>
      </c>
      <c r="D75">
        <f t="shared" si="180"/>
        <v>1.0499999999999972</v>
      </c>
      <c r="E75">
        <v>50.01</v>
      </c>
      <c r="F75">
        <v>43.3</v>
      </c>
      <c r="I75">
        <v>0.34</v>
      </c>
      <c r="J75">
        <v>5.3</v>
      </c>
      <c r="T75" s="35" t="s">
        <v>34</v>
      </c>
      <c r="U75" s="35"/>
      <c r="V75" s="36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55" x14ac:dyDescent="0.25">
      <c r="A76" t="s">
        <v>102</v>
      </c>
      <c r="B76" s="2">
        <v>1979</v>
      </c>
      <c r="C76">
        <f t="shared" si="179"/>
        <v>7.7199999999999989</v>
      </c>
      <c r="D76">
        <f t="shared" si="180"/>
        <v>1.8499999999999943</v>
      </c>
      <c r="E76">
        <v>45.23</v>
      </c>
      <c r="F76">
        <v>47.05</v>
      </c>
      <c r="I76">
        <v>0.51</v>
      </c>
      <c r="J76">
        <v>5.36</v>
      </c>
      <c r="T76" s="35" t="s">
        <v>35</v>
      </c>
      <c r="U76" s="35"/>
      <c r="V76" s="36"/>
      <c r="W76">
        <f t="shared" ref="W76:AB76" ca="1" si="196">AVERAGE(W65:W73)</f>
        <v>1.5122859437920984</v>
      </c>
      <c r="X76">
        <f t="shared" ca="1" si="196"/>
        <v>0.52663129584618795</v>
      </c>
      <c r="Y76">
        <f t="shared" ca="1" si="196"/>
        <v>-1.443823870531477</v>
      </c>
      <c r="Z76">
        <f t="shared" ca="1" si="196"/>
        <v>-0.45330180254560859</v>
      </c>
      <c r="AA76" t="e">
        <f t="shared" ca="1" si="196"/>
        <v>#DIV/0!</v>
      </c>
      <c r="AB76" t="e">
        <f t="shared" si="196"/>
        <v>#N/A</v>
      </c>
      <c r="AN76" s="8"/>
      <c r="AO76" s="8"/>
      <c r="AP76" s="9"/>
    </row>
    <row r="77" spans="1:55" x14ac:dyDescent="0.25">
      <c r="A77" t="s">
        <v>103</v>
      </c>
      <c r="B77" s="2">
        <v>1976</v>
      </c>
      <c r="C77">
        <f t="shared" si="179"/>
        <v>4.6299999999999955</v>
      </c>
      <c r="D77">
        <f t="shared" si="180"/>
        <v>2.0499999999999972</v>
      </c>
      <c r="E77">
        <v>42.43</v>
      </c>
      <c r="F77">
        <v>52.94</v>
      </c>
      <c r="I77">
        <v>2.58</v>
      </c>
      <c r="T77" s="35" t="s">
        <v>37</v>
      </c>
      <c r="U77" s="35"/>
      <c r="V77" s="36"/>
      <c r="W77">
        <f t="shared" ref="W77:AB77" ca="1" si="197">SQRT(SUMSQ(W65:W73)/COUNT(W65:W73))</f>
        <v>3.4231012246247703</v>
      </c>
      <c r="X77">
        <f t="shared" ca="1" si="197"/>
        <v>3.3743194640368954</v>
      </c>
      <c r="Y77">
        <f t="shared" ca="1" si="197"/>
        <v>6.8969148301272352</v>
      </c>
      <c r="Z77">
        <f t="shared" ca="1" si="197"/>
        <v>6.0369436258123956</v>
      </c>
      <c r="AA77" t="e">
        <f t="shared" ca="1" si="197"/>
        <v>#DIV/0!</v>
      </c>
      <c r="AB77" t="e">
        <f t="shared" ca="1" si="197"/>
        <v>#N/A</v>
      </c>
      <c r="AN77" s="8"/>
      <c r="AO77" s="8"/>
      <c r="AP77" s="9"/>
    </row>
    <row r="78" spans="1:55" x14ac:dyDescent="0.25">
      <c r="A78" t="s">
        <v>104</v>
      </c>
      <c r="B78" s="2">
        <v>1973</v>
      </c>
      <c r="C78">
        <f t="shared" si="179"/>
        <v>10.090000000000003</v>
      </c>
      <c r="D78">
        <f t="shared" si="180"/>
        <v>2.2999999999999972</v>
      </c>
      <c r="E78">
        <v>41.61</v>
      </c>
      <c r="F78">
        <v>48.3</v>
      </c>
      <c r="I78">
        <v>7.79</v>
      </c>
    </row>
    <row r="79" spans="1:55" x14ac:dyDescent="0.25">
      <c r="A79" t="s">
        <v>105</v>
      </c>
      <c r="B79" s="2">
        <v>1970</v>
      </c>
      <c r="C79">
        <f t="shared" si="179"/>
        <v>10.759999999999991</v>
      </c>
      <c r="D79">
        <f t="shared" si="180"/>
        <v>-2.5400000000000063</v>
      </c>
      <c r="E79">
        <v>41.42</v>
      </c>
      <c r="F79">
        <v>47.82</v>
      </c>
      <c r="I79">
        <v>13.3</v>
      </c>
    </row>
    <row r="81" spans="1:55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218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218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218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218</v>
      </c>
      <c r="AP81" s="2" t="s">
        <v>71</v>
      </c>
      <c r="AT81" t="str">
        <f>C81</f>
        <v>OTH</v>
      </c>
      <c r="AU81" t="str">
        <f t="shared" ref="AU81" si="198">D81</f>
        <v>xOTH</v>
      </c>
      <c r="AV81" t="str">
        <f t="shared" ref="AV81" si="199">E81</f>
        <v>ALP</v>
      </c>
      <c r="AW81" t="str">
        <f t="shared" ref="AW81" si="200">F81</f>
        <v>LNP</v>
      </c>
      <c r="AX81" t="str">
        <f t="shared" ref="AX81" si="201">G81</f>
        <v>GRN</v>
      </c>
      <c r="AY81" t="str">
        <f t="shared" ref="AY81" si="202">H81</f>
        <v>ONP</v>
      </c>
      <c r="AZ81" t="str">
        <f t="shared" ref="AZ81" si="203">I81</f>
        <v>DLP</v>
      </c>
      <c r="BA81" t="str">
        <f t="shared" ref="BA81" si="204">J81</f>
        <v>DEM</v>
      </c>
      <c r="BB81" t="str">
        <f t="shared" ref="BB81" si="205">K81</f>
        <v>NAT</v>
      </c>
      <c r="BC81" t="str">
        <f t="shared" ref="BC81" si="206">L81</f>
        <v>AC/FF</v>
      </c>
    </row>
    <row r="82" spans="1:55" x14ac:dyDescent="0.25">
      <c r="A82" t="s">
        <v>109</v>
      </c>
      <c r="B82" s="2">
        <v>2021</v>
      </c>
      <c r="M82">
        <f t="shared" ref="M82:M90" ca="1" si="207">MAX(0,_xlfn.FORECAST.LINEAR($B82,OFFSET(C83,0,0,$D$1),OFFSET($B83,0,0,$D$1)))</f>
        <v>6.6592825112107903</v>
      </c>
      <c r="N82">
        <f t="shared" ref="N82:N90" ca="1" si="208">MAX(0,_xlfn.FORECAST.LINEAR($B82,OFFSET(D83,0,0,$D$1),OFFSET($B83,0,0,$D$1)))</f>
        <v>6.3071860986547392</v>
      </c>
      <c r="O82">
        <f t="shared" ref="O82:O90" ca="1" si="209">MAX(0,_xlfn.FORECAST.LINEAR($B82,OFFSET(E83,0,0,$D$1),OFFSET($B83,0,0,$D$1)))</f>
        <v>39.168307174887872</v>
      </c>
      <c r="P82">
        <f t="shared" ref="P82:P90" ca="1" si="210">MAX(0,_xlfn.FORECAST.LINEAR($B82,OFFSET(F83,0,0,$D$1),OFFSET($B83,0,0,$D$1)))</f>
        <v>43.301020179372188</v>
      </c>
      <c r="Q82">
        <f t="shared" ref="Q82:Q90" ca="1" si="211">MAX(0,_xlfn.FORECAST.LINEAR($B82,OFFSET(G83,0,0,$D$1),OFFSET($B83,0,0,$D$1)))</f>
        <v>10.871390134529122</v>
      </c>
      <c r="R82">
        <f t="shared" ref="R82:R90" ca="1" si="212">MAX(0,_xlfn.FORECAST.LINEAR($B82,OFFSET(H83,0,0,$D$1),OFFSET($B83,0,0,$D$1)))</f>
        <v>3.2461538461539021</v>
      </c>
      <c r="S82" t="e">
        <f t="shared" ref="S82:S90" ca="1" si="213">MAX(0,_xlfn.FORECAST.LINEAR($B82,OFFSET(I83,0,0,$D$1),OFFSET($B83,0,0,$D$1)))</f>
        <v>#DIV/0!</v>
      </c>
      <c r="T82">
        <f t="shared" ref="T82:T90" ca="1" si="214">MAX(0,_xlfn.FORECAST.LINEAR($B82,OFFSET(J83,0,0,$D$1),OFFSET($B83,0,0,$D$1)))</f>
        <v>0</v>
      </c>
      <c r="U82">
        <f t="shared" ref="U82:U90" ca="1" si="215">MAX(0,_xlfn.FORECAST.LINEAR($B82,OFFSET(K83,0,0,$D$1),OFFSET($B83,0,0,$D$1)))</f>
        <v>5.5395739910313893</v>
      </c>
      <c r="V82" s="2">
        <f t="shared" ref="V82:V90" ca="1" si="216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217">AVERAGE(D83:D88)</f>
        <v>8.1083333333333325</v>
      </c>
      <c r="AI82">
        <f t="shared" ref="AI82:AI90" si="218">AVERAGE(E83:E88)</f>
        <v>37.685000000000002</v>
      </c>
      <c r="AJ82">
        <f t="shared" ref="AJ82:AJ90" si="219">AVERAGE(F83:F88)</f>
        <v>42.096666666666664</v>
      </c>
      <c r="AK82">
        <f t="shared" ref="AK82:AK90" si="220">AVERAGE(G83:G88)</f>
        <v>8.1316666666666677</v>
      </c>
      <c r="AL82">
        <f t="shared" ref="AL82:AL90" si="221">AVERAGE(H83:H88)</f>
        <v>5.3833333333333329</v>
      </c>
      <c r="AM82" t="e">
        <f t="shared" ref="AM82:AM90" si="222">AVERAGE(I83:I88)</f>
        <v>#DIV/0!</v>
      </c>
      <c r="AN82">
        <f t="shared" ref="AN82:AN90" si="223">AVERAGE(J83:J88)</f>
        <v>3.8600000000000003</v>
      </c>
      <c r="AO82">
        <f t="shared" ref="AO82:AO90" si="224">AVERAGE(K83:K88)</f>
        <v>4.8383333333333338</v>
      </c>
      <c r="AP82" s="2">
        <f t="shared" ref="AP82:AP90" si="225">AVERAGE(L83:L88)</f>
        <v>2.4939999999999998</v>
      </c>
      <c r="AR82" t="str">
        <f>LEFT(A82,FIND(" ",A82)-1)</f>
        <v>2021</v>
      </c>
      <c r="AS82" t="str">
        <f>MID(A82,FIND(" ",A82)+1,1000)</f>
        <v>wa</v>
      </c>
      <c r="AT82" t="str">
        <f>$AR82&amp;","&amp;$AS82&amp;","&amp;AT$81&amp;" FP,"&amp;IF(ISBLANK(C83),0,ROUND(C83,2))&amp;","&amp;IF(ISBLANK(C84),0,ROUND(C84,2))&amp;","&amp;IF(ISBLANK(C85),0,ROUND(C85,2))&amp;","&amp;IF(ISBLANK(C86),0,ROUND(C86,2))&amp;","&amp;IF(ISBLANK(C87),0,ROUND(C87,2))&amp;","&amp;IF(ISBLANK(C88),0,ROUND(C88,2))&amp;","&amp;IF(ISBLANK(C89),0,ROUND(C89,2))&amp;","&amp;IF(ISBLANK(C90),0,ROUND(C90,2))</f>
        <v>2021,wa,OTH FP,12.26,5.33,8.88,11.22,21.07,13.76,9.15,9.62</v>
      </c>
      <c r="AU82" t="str">
        <f t="shared" ref="AU82:BC85" si="226">$AR82&amp;","&amp;$AS82&amp;","&amp;AU$81&amp;" FP,"&amp;IF(ISBLANK(D83),0,ROUND(D83,2))&amp;","&amp;IF(ISBLANK(D84),0,ROUND(D84,2))&amp;","&amp;IF(ISBLANK(D85),0,ROUND(D85,2))&amp;","&amp;IF(ISBLANK(D86),0,ROUND(D86,2))&amp;","&amp;IF(ISBLANK(D87),0,ROUND(D87,2))&amp;","&amp;IF(ISBLANK(D88),0,ROUND(D88,2))&amp;","&amp;IF(ISBLANK(D89),0,ROUND(D89,2))&amp;","&amp;IF(ISBLANK(D90),0,ROUND(D90,2))</f>
        <v>2021,wa,xOTH FP,7.33,5.33,8.88,9.58,8.85,8.68,6.83,8.19</v>
      </c>
      <c r="AV82" t="str">
        <f t="shared" si="226"/>
        <v>2021,wa,ALP FP,42.2,33.13,35.84,41.88,37.24,35.82,37.08,42.46</v>
      </c>
      <c r="AW82" t="str">
        <f t="shared" si="226"/>
        <v>2021,wa,LNP FP,36.63,53.15,43.36,39.33,34.42,45.69,49.46,47.39</v>
      </c>
      <c r="AX82" t="str">
        <f t="shared" si="226"/>
        <v>2021,wa,GRN FP,8.91,8.39,11.92,7.57,7.27,4.73,4.31,0.53</v>
      </c>
      <c r="AY82" t="str">
        <f t="shared" si="226"/>
        <v>2021,wa,ONP FP,4.93,0,0,1.64,9.58,0,0,0</v>
      </c>
      <c r="AZ82" t="str">
        <f t="shared" si="226"/>
        <v>2021,wa,DLP FP,0,0,0,0,0,0,0,0</v>
      </c>
      <c r="BA82" t="str">
        <f t="shared" si="226"/>
        <v>2021,wa,DEM FP,0,0,0,0,2.64,5.08,2.32,1.43</v>
      </c>
      <c r="BB82" t="str">
        <f t="shared" si="226"/>
        <v>2021,wa,NAT FP,5.4,6.05,4.87,3.69,3.26,5.76,5.31,4.6</v>
      </c>
      <c r="BC82" t="str">
        <f t="shared" si="226"/>
        <v>2021,wa,AC/FF FP,2.21,2.4,1.95,4.95,0.96,0,0,0</v>
      </c>
    </row>
    <row r="83" spans="1:55" x14ac:dyDescent="0.25">
      <c r="A83" t="s">
        <v>106</v>
      </c>
      <c r="B83" s="2">
        <v>2017</v>
      </c>
      <c r="C83">
        <f t="shared" ref="C83:C96" si="227">100-SUM(E83:G83)</f>
        <v>12.259999999999991</v>
      </c>
      <c r="D83">
        <f>100-SUM(E83:J83)</f>
        <v>7.3299999999999841</v>
      </c>
      <c r="E83">
        <v>42.2</v>
      </c>
      <c r="F83">
        <v>36.630000000000003</v>
      </c>
      <c r="G83">
        <v>8.91</v>
      </c>
      <c r="H83">
        <v>4.93</v>
      </c>
      <c r="K83">
        <v>5.4</v>
      </c>
      <c r="L83" s="2">
        <v>2.21</v>
      </c>
      <c r="M83">
        <f t="shared" ca="1" si="207"/>
        <v>7.1520023696683666</v>
      </c>
      <c r="N83">
        <f t="shared" ca="1" si="208"/>
        <v>7.3193720379146896</v>
      </c>
      <c r="O83">
        <f t="shared" ca="1" si="209"/>
        <v>35.400201421800972</v>
      </c>
      <c r="P83">
        <f t="shared" ca="1" si="210"/>
        <v>45.873483412322258</v>
      </c>
      <c r="Q83">
        <f t="shared" ca="1" si="211"/>
        <v>11.57431279620846</v>
      </c>
      <c r="R83">
        <f t="shared" ca="1" si="212"/>
        <v>0</v>
      </c>
      <c r="S83" t="e">
        <f t="shared" ca="1" si="213"/>
        <v>#DIV/0!</v>
      </c>
      <c r="T83">
        <f t="shared" ca="1" si="214"/>
        <v>3.0644897959183695</v>
      </c>
      <c r="U83">
        <f t="shared" ca="1" si="215"/>
        <v>4.9220023696682453</v>
      </c>
      <c r="V83" s="2">
        <f t="shared" ca="1" si="216"/>
        <v>2.9997068403908713</v>
      </c>
      <c r="W83" s="4">
        <f ca="1">IF(ISBLANK(C83),NA(),C83-M83)</f>
        <v>5.1079976303316244</v>
      </c>
      <c r="X83" s="3">
        <f t="shared" ref="X83:X90" ca="1" si="228">IF(ISBLANK(D83),NA(),D83-N83)</f>
        <v>1.0627962085294484E-2</v>
      </c>
      <c r="Y83" s="3">
        <f t="shared" ref="Y83:Y90" ca="1" si="229">IF(ISBLANK(E83),NA(),E83-O83)</f>
        <v>6.7997985781990309</v>
      </c>
      <c r="Z83" s="3">
        <f t="shared" ref="Z83:Z90" ca="1" si="230">IF(ISBLANK(F83),NA(),F83-P83)</f>
        <v>-9.2434834123222558</v>
      </c>
      <c r="AA83" s="3">
        <f t="shared" ref="AA83:AA90" ca="1" si="231">IF(ISBLANK(G83),NA(),G83-Q83)</f>
        <v>-2.6643127962084598</v>
      </c>
      <c r="AB83" s="3">
        <f t="shared" ref="AB83:AB90" ca="1" si="232">IF(ISBLANK(H83),NA(),H83-R83)</f>
        <v>4.93</v>
      </c>
      <c r="AC83" s="3" t="e">
        <f t="shared" ref="AC83:AC90" si="233">IF(ISBLANK(I83),NA(),I83-S83)</f>
        <v>#N/A</v>
      </c>
      <c r="AD83" s="3" t="e">
        <f t="shared" ref="AD83:AD90" si="234">IF(ISBLANK(J83),NA(),J83-T83)</f>
        <v>#N/A</v>
      </c>
      <c r="AE83" s="3">
        <f t="shared" ref="AE83:AE90" ca="1" si="235">IF(ISBLANK(K83),NA(),K83-U83)</f>
        <v>0.47799763033175502</v>
      </c>
      <c r="AF83" s="5">
        <f t="shared" ref="AF83:AF90" ca="1" si="236">IF(ISBLANK(L83),NA(),L83-V83)</f>
        <v>-0.78970684039087136</v>
      </c>
      <c r="AG83">
        <f t="shared" ref="AG83:AG90" si="237">AVERAGE(C84:C89)</f>
        <v>11.568333333333335</v>
      </c>
      <c r="AH83">
        <f t="shared" si="217"/>
        <v>8.0250000000000039</v>
      </c>
      <c r="AI83">
        <f t="shared" si="218"/>
        <v>36.831666666666671</v>
      </c>
      <c r="AJ83">
        <f t="shared" si="219"/>
        <v>44.234999999999992</v>
      </c>
      <c r="AK83">
        <f t="shared" si="220"/>
        <v>7.365000000000002</v>
      </c>
      <c r="AL83">
        <f t="shared" si="221"/>
        <v>5.61</v>
      </c>
      <c r="AM83" t="e">
        <f t="shared" si="222"/>
        <v>#DIV/0!</v>
      </c>
      <c r="AN83">
        <f t="shared" si="223"/>
        <v>3.3466666666666671</v>
      </c>
      <c r="AO83">
        <f t="shared" si="224"/>
        <v>4.8233333333333324</v>
      </c>
      <c r="AP83" s="2">
        <f t="shared" si="225"/>
        <v>2.5650000000000004</v>
      </c>
      <c r="AR83" t="str">
        <f t="shared" ref="AR83:AR86" si="238">LEFT(A83,FIND(" ",A83)-1)</f>
        <v>2017</v>
      </c>
      <c r="AS83" t="str">
        <f t="shared" ref="AS83:AS86" si="239">MID(A83,FIND(" ",A83)+1,1000)</f>
        <v>wa</v>
      </c>
      <c r="AT83" t="str">
        <f t="shared" ref="AT83:AT85" si="240">$AR83&amp;","&amp;$AS83&amp;","&amp;AT$81&amp;" FP,"&amp;IF(ISBLANK(C84),0,ROUND(C84,2))&amp;","&amp;IF(ISBLANK(C85),0,ROUND(C85,2))&amp;","&amp;IF(ISBLANK(C86),0,ROUND(C86,2))&amp;","&amp;IF(ISBLANK(C87),0,ROUND(C87,2))&amp;","&amp;IF(ISBLANK(C88),0,ROUND(C88,2))&amp;","&amp;IF(ISBLANK(C89),0,ROUND(C89,2))&amp;","&amp;IF(ISBLANK(C90),0,ROUND(C90,2))&amp;","&amp;IF(ISBLANK(C91),0,ROUND(C91,2))</f>
        <v>2017,wa,OTH FP,5.33,8.88,11.22,21.07,13.76,9.15,9.62,1.97</v>
      </c>
      <c r="AU83" t="str">
        <f t="shared" si="226"/>
        <v>2017,wa,xOTH FP,5.33,8.88,9.58,8.85,8.68,6.83,8.19,1.31</v>
      </c>
      <c r="AV83" t="str">
        <f t="shared" si="226"/>
        <v>2017,wa,ALP FP,33.13,35.84,41.88,37.24,35.82,37.08,42.46,53</v>
      </c>
      <c r="AW83" t="str">
        <f t="shared" si="226"/>
        <v>2017,wa,LNP FP,53.15,43.36,39.33,34.42,45.69,49.46,47.39,45.03</v>
      </c>
      <c r="AX83" t="str">
        <f t="shared" si="226"/>
        <v>2017,wa,GRN FP,8.39,11.92,7.57,7.27,4.73,4.31,0.53,0</v>
      </c>
      <c r="AY83" t="str">
        <f t="shared" si="226"/>
        <v>2017,wa,ONP FP,0,0,1.64,9.58,0,0,0,0</v>
      </c>
      <c r="AZ83" t="str">
        <f t="shared" si="226"/>
        <v>2017,wa,DLP FP,0,0,0,0,0,0,0,0</v>
      </c>
      <c r="BA83" t="str">
        <f t="shared" si="226"/>
        <v>2017,wa,DEM FP,0,0,0,2.64,5.08,2.32,1.43,0.66</v>
      </c>
      <c r="BB83" t="str">
        <f t="shared" si="226"/>
        <v>2017,wa,NAT FP,6.05,4.87,3.69,3.26,5.76,5.31,4.6,3.71</v>
      </c>
      <c r="BC83" t="str">
        <f t="shared" si="226"/>
        <v>2017,wa,AC/FF FP,2.4,1.95,4.95,0.96,0,0,0,0</v>
      </c>
    </row>
    <row r="84" spans="1:55" x14ac:dyDescent="0.25">
      <c r="A84" t="s">
        <v>107</v>
      </c>
      <c r="B84" s="2">
        <v>2013</v>
      </c>
      <c r="C84">
        <f t="shared" si="227"/>
        <v>5.3299999999999983</v>
      </c>
      <c r="D84">
        <f t="shared" ref="D84:D96" si="241">100-SUM(E84:J84)</f>
        <v>5.3299999999999983</v>
      </c>
      <c r="E84">
        <v>33.130000000000003</v>
      </c>
      <c r="F84">
        <v>53.15</v>
      </c>
      <c r="G84">
        <v>8.39</v>
      </c>
      <c r="K84">
        <v>6.05</v>
      </c>
      <c r="L84" s="2">
        <v>2.4</v>
      </c>
      <c r="M84">
        <f t="shared" ca="1" si="207"/>
        <v>13.448366834170827</v>
      </c>
      <c r="N84">
        <f t="shared" ca="1" si="208"/>
        <v>9.7540326633165648</v>
      </c>
      <c r="O84">
        <f t="shared" ca="1" si="209"/>
        <v>36.795954773869369</v>
      </c>
      <c r="P84">
        <f t="shared" ca="1" si="210"/>
        <v>36.461984924623152</v>
      </c>
      <c r="Q84">
        <f t="shared" ca="1" si="211"/>
        <v>13.293693467336652</v>
      </c>
      <c r="R84">
        <f t="shared" ca="1" si="212"/>
        <v>0</v>
      </c>
      <c r="S84" t="e">
        <f t="shared" ca="1" si="213"/>
        <v>#DIV/0!</v>
      </c>
      <c r="T84">
        <f t="shared" ca="1" si="214"/>
        <v>5.3802931596091526</v>
      </c>
      <c r="U84">
        <f t="shared" ca="1" si="215"/>
        <v>3.8531155778894401</v>
      </c>
      <c r="V84" s="2">
        <f t="shared" ca="1" si="216"/>
        <v>4.1841891891891692</v>
      </c>
      <c r="W84" s="4">
        <f t="shared" ref="W84:W90" ca="1" si="242">IF(ISBLANK(C84),NA(),C84-M84)</f>
        <v>-8.1183668341708284</v>
      </c>
      <c r="X84" s="3">
        <f t="shared" ca="1" si="228"/>
        <v>-4.4240326633165665</v>
      </c>
      <c r="Y84" s="3">
        <f t="shared" ca="1" si="229"/>
        <v>-3.6659547738693661</v>
      </c>
      <c r="Z84" s="3">
        <f t="shared" ca="1" si="230"/>
        <v>16.688015075376846</v>
      </c>
      <c r="AA84" s="3">
        <f t="shared" ca="1" si="231"/>
        <v>-4.9036934673366517</v>
      </c>
      <c r="AB84" s="3" t="e">
        <f t="shared" si="232"/>
        <v>#N/A</v>
      </c>
      <c r="AC84" s="3" t="e">
        <f t="shared" si="233"/>
        <v>#N/A</v>
      </c>
      <c r="AD84" s="3" t="e">
        <f t="shared" si="234"/>
        <v>#N/A</v>
      </c>
      <c r="AE84" s="3">
        <f t="shared" ca="1" si="235"/>
        <v>2.1968844221105597</v>
      </c>
      <c r="AF84" s="5">
        <f t="shared" ca="1" si="236"/>
        <v>-1.7841891891891692</v>
      </c>
      <c r="AG84">
        <f t="shared" si="237"/>
        <v>12.283333333333337</v>
      </c>
      <c r="AH84">
        <f t="shared" si="217"/>
        <v>8.5016666666666705</v>
      </c>
      <c r="AI84">
        <f t="shared" si="218"/>
        <v>38.38666666666667</v>
      </c>
      <c r="AJ84">
        <f t="shared" si="219"/>
        <v>43.275000000000006</v>
      </c>
      <c r="AK84">
        <f t="shared" si="220"/>
        <v>6.0550000000000006</v>
      </c>
      <c r="AL84">
        <f t="shared" si="221"/>
        <v>5.61</v>
      </c>
      <c r="AM84" t="e">
        <f t="shared" si="222"/>
        <v>#DIV/0!</v>
      </c>
      <c r="AN84">
        <f t="shared" si="223"/>
        <v>2.8675000000000002</v>
      </c>
      <c r="AO84">
        <f t="shared" si="224"/>
        <v>4.5816666666666661</v>
      </c>
      <c r="AP84" s="2">
        <f t="shared" si="225"/>
        <v>2.62</v>
      </c>
      <c r="AR84" t="str">
        <f t="shared" si="238"/>
        <v>2013</v>
      </c>
      <c r="AS84" t="str">
        <f t="shared" si="239"/>
        <v>wa</v>
      </c>
      <c r="AT84" t="str">
        <f t="shared" si="240"/>
        <v>2013,wa,OTH FP,8.88,11.22,21.07,13.76,9.15,9.62,1.97,1.87</v>
      </c>
      <c r="AU84" t="str">
        <f t="shared" si="226"/>
        <v>2013,wa,xOTH FP,8.88,9.58,8.85,8.68,6.83,8.19,1.31,1.07</v>
      </c>
      <c r="AV84" t="str">
        <f t="shared" si="226"/>
        <v>2013,wa,ALP FP,35.84,41.88,37.24,35.82,37.08,42.46,53,53.16</v>
      </c>
      <c r="AW84" t="str">
        <f t="shared" si="226"/>
        <v>2013,wa,LNP FP,43.36,39.33,34.42,45.69,49.46,47.39,45.03,44.97</v>
      </c>
      <c r="AX84" t="str">
        <f t="shared" si="226"/>
        <v>2013,wa,GRN FP,11.92,7.57,7.27,4.73,4.31,0.53,0,0</v>
      </c>
      <c r="AY84" t="str">
        <f t="shared" si="226"/>
        <v>2013,wa,ONP FP,0,1.64,9.58,0,0,0,0,0</v>
      </c>
      <c r="AZ84" t="str">
        <f t="shared" si="226"/>
        <v>2013,wa,DLP FP,0,0,0,0,0,0,0,0</v>
      </c>
      <c r="BA84" t="str">
        <f t="shared" si="226"/>
        <v>2013,wa,DEM FP,0,0,2.64,5.08,2.32,1.43,0.66,0.8</v>
      </c>
      <c r="BB84" t="str">
        <f t="shared" si="226"/>
        <v>2013,wa,NAT FP,4.87,3.69,3.26,5.76,5.31,4.6,3.71,5.11</v>
      </c>
      <c r="BC84" t="str">
        <f t="shared" si="226"/>
        <v>2013,wa,AC/FF FP,1.95,4.95,0.96,0,0,0,0,0</v>
      </c>
    </row>
    <row r="85" spans="1:55" x14ac:dyDescent="0.25">
      <c r="A85" t="s">
        <v>108</v>
      </c>
      <c r="B85" s="2">
        <v>2008</v>
      </c>
      <c r="C85">
        <f t="shared" si="227"/>
        <v>8.8799999999999955</v>
      </c>
      <c r="D85">
        <f t="shared" si="241"/>
        <v>8.8799999999999955</v>
      </c>
      <c r="E85">
        <v>35.840000000000003</v>
      </c>
      <c r="F85">
        <v>43.36</v>
      </c>
      <c r="G85">
        <v>11.92</v>
      </c>
      <c r="K85">
        <v>4.87</v>
      </c>
      <c r="L85" s="2">
        <v>1.95</v>
      </c>
      <c r="M85">
        <f t="shared" ca="1" si="207"/>
        <v>19.124651162790542</v>
      </c>
      <c r="N85">
        <f t="shared" ca="1" si="208"/>
        <v>11.421666666666624</v>
      </c>
      <c r="O85">
        <f t="shared" ca="1" si="209"/>
        <v>34.804108527131575</v>
      </c>
      <c r="P85">
        <f t="shared" ca="1" si="210"/>
        <v>36.346899224806066</v>
      </c>
      <c r="Q85">
        <f t="shared" ca="1" si="211"/>
        <v>9.6400497512437369</v>
      </c>
      <c r="R85">
        <f t="shared" ca="1" si="212"/>
        <v>0</v>
      </c>
      <c r="S85" t="e">
        <f t="shared" ca="1" si="213"/>
        <v>#DIV/0!</v>
      </c>
      <c r="T85">
        <f t="shared" ca="1" si="214"/>
        <v>5.2542608695652007</v>
      </c>
      <c r="U85">
        <f t="shared" ca="1" si="215"/>
        <v>3.9151937984496215</v>
      </c>
      <c r="V85" s="2">
        <f t="shared" ca="1" si="216"/>
        <v>7.9424999999998818</v>
      </c>
      <c r="W85" s="4">
        <f t="shared" ca="1" si="242"/>
        <v>-10.244651162790547</v>
      </c>
      <c r="X85" s="3">
        <f t="shared" ca="1" si="228"/>
        <v>-2.5416666666666288</v>
      </c>
      <c r="Y85" s="3">
        <f t="shared" ca="1" si="229"/>
        <v>1.0358914728684283</v>
      </c>
      <c r="Z85" s="3">
        <f t="shared" ca="1" si="230"/>
        <v>7.0131007751939336</v>
      </c>
      <c r="AA85" s="3">
        <f t="shared" ca="1" si="231"/>
        <v>2.2799502487562631</v>
      </c>
      <c r="AB85" s="3" t="e">
        <f t="shared" si="232"/>
        <v>#N/A</v>
      </c>
      <c r="AC85" s="3" t="e">
        <f t="shared" si="233"/>
        <v>#N/A</v>
      </c>
      <c r="AD85" s="3" t="e">
        <f t="shared" si="234"/>
        <v>#N/A</v>
      </c>
      <c r="AE85" s="3">
        <f t="shared" ca="1" si="235"/>
        <v>0.95480620155037865</v>
      </c>
      <c r="AF85" s="5">
        <f t="shared" ca="1" si="236"/>
        <v>-5.9924999999998816</v>
      </c>
      <c r="AG85">
        <f t="shared" si="237"/>
        <v>11.131666666666669</v>
      </c>
      <c r="AH85">
        <f t="shared" si="217"/>
        <v>7.2400000000000047</v>
      </c>
      <c r="AI85">
        <f t="shared" si="218"/>
        <v>41.246666666666663</v>
      </c>
      <c r="AJ85">
        <f t="shared" si="219"/>
        <v>43.553333333333342</v>
      </c>
      <c r="AK85">
        <f t="shared" si="220"/>
        <v>4.8819999999999997</v>
      </c>
      <c r="AL85">
        <f t="shared" si="221"/>
        <v>5.61</v>
      </c>
      <c r="AM85" t="e">
        <f t="shared" si="222"/>
        <v>#DIV/0!</v>
      </c>
      <c r="AN85">
        <f t="shared" si="223"/>
        <v>2.4260000000000002</v>
      </c>
      <c r="AO85">
        <f t="shared" si="224"/>
        <v>4.3883333333333328</v>
      </c>
      <c r="AP85" s="2">
        <f t="shared" si="225"/>
        <v>2.9550000000000001</v>
      </c>
      <c r="AR85" t="str">
        <f t="shared" si="238"/>
        <v>2008</v>
      </c>
      <c r="AS85" t="str">
        <f t="shared" si="239"/>
        <v>wa</v>
      </c>
      <c r="AT85" t="str">
        <f t="shared" si="240"/>
        <v>2008,wa,OTH FP,11.22,21.07,13.76,9.15,9.62,1.97,1.87,3.04</v>
      </c>
      <c r="AU85" t="str">
        <f t="shared" si="226"/>
        <v>2008,wa,xOTH FP,9.58,8.85,8.68,6.83,8.19,1.31,1.07,1.08</v>
      </c>
      <c r="AV85" t="str">
        <f t="shared" si="226"/>
        <v>2008,wa,ALP FP,41.88,37.24,35.82,37.08,42.46,53,53.16,45.95</v>
      </c>
      <c r="AW85" t="str">
        <f t="shared" si="226"/>
        <v>2008,wa,LNP FP,39.33,34.42,45.69,49.46,47.39,45.03,44.97,51.01</v>
      </c>
      <c r="AX85" t="str">
        <f t="shared" si="226"/>
        <v>2008,wa,GRN FP,7.57,7.27,4.73,4.31,0.53,0,0,0</v>
      </c>
      <c r="AY85" t="str">
        <f t="shared" si="226"/>
        <v>2008,wa,ONP FP,1.64,9.58,0,0,0,0,0,0</v>
      </c>
      <c r="AZ85" t="str">
        <f t="shared" si="226"/>
        <v>2008,wa,DLP FP,0,0,0,0,0,0,0,0</v>
      </c>
      <c r="BA85" t="str">
        <f t="shared" si="226"/>
        <v>2008,wa,DEM FP,0,2.64,5.08,2.32,1.43,0.66,0.8,1.96</v>
      </c>
      <c r="BB85" t="str">
        <f t="shared" si="226"/>
        <v>2008,wa,NAT FP,3.69,3.26,5.76,5.31,4.6,3.71,5.11,7.26</v>
      </c>
      <c r="BC85" t="str">
        <f t="shared" si="226"/>
        <v>2008,wa,AC/FF FP,4.95,0.96,0,0,0,0,0,0</v>
      </c>
    </row>
    <row r="86" spans="1:55" x14ac:dyDescent="0.25">
      <c r="A86" t="s">
        <v>111</v>
      </c>
      <c r="B86" s="2">
        <v>2005</v>
      </c>
      <c r="C86">
        <f t="shared" si="227"/>
        <v>11.219999999999999</v>
      </c>
      <c r="D86">
        <f t="shared" si="241"/>
        <v>9.5799999999999983</v>
      </c>
      <c r="E86">
        <v>41.88</v>
      </c>
      <c r="F86">
        <v>39.33</v>
      </c>
      <c r="G86">
        <v>7.57</v>
      </c>
      <c r="H86">
        <v>1.64</v>
      </c>
      <c r="K86">
        <v>3.69</v>
      </c>
      <c r="L86" s="2">
        <v>4.95</v>
      </c>
      <c r="M86">
        <f t="shared" ca="1" si="207"/>
        <v>24.059382530120274</v>
      </c>
      <c r="N86">
        <f t="shared" ca="1" si="208"/>
        <v>12.146204819277159</v>
      </c>
      <c r="O86">
        <f t="shared" ca="1" si="209"/>
        <v>28.567138554216399</v>
      </c>
      <c r="P86">
        <f t="shared" ca="1" si="210"/>
        <v>38.497289156626493</v>
      </c>
      <c r="Q86">
        <f t="shared" ca="1" si="211"/>
        <v>9.6535179153095214</v>
      </c>
      <c r="R86" t="e">
        <f t="shared" ca="1" si="212"/>
        <v>#DIV/0!</v>
      </c>
      <c r="S86" t="e">
        <f t="shared" ca="1" si="213"/>
        <v>#DIV/0!</v>
      </c>
      <c r="T86">
        <f t="shared" ca="1" si="214"/>
        <v>4.5983283132529778</v>
      </c>
      <c r="U86">
        <f t="shared" ca="1" si="215"/>
        <v>4.2631626506024105</v>
      </c>
      <c r="V86" s="2" t="e">
        <f t="shared" ca="1" si="216"/>
        <v>#DIV/0!</v>
      </c>
      <c r="W86" s="4">
        <f t="shared" ca="1" si="242"/>
        <v>-12.839382530120275</v>
      </c>
      <c r="X86" s="3">
        <f t="shared" ca="1" si="228"/>
        <v>-2.5662048192771607</v>
      </c>
      <c r="Y86" s="3">
        <f t="shared" ca="1" si="229"/>
        <v>13.312861445783604</v>
      </c>
      <c r="Z86" s="3">
        <f t="shared" ca="1" si="230"/>
        <v>0.83271084337350487</v>
      </c>
      <c r="AA86" s="3">
        <f t="shared" ca="1" si="231"/>
        <v>-2.0835179153095211</v>
      </c>
      <c r="AB86" s="3" t="e">
        <f t="shared" ca="1" si="232"/>
        <v>#DIV/0!</v>
      </c>
      <c r="AC86" s="3" t="e">
        <f t="shared" si="233"/>
        <v>#N/A</v>
      </c>
      <c r="AD86" s="3" t="e">
        <f t="shared" si="234"/>
        <v>#N/A</v>
      </c>
      <c r="AE86" s="3">
        <f t="shared" ca="1" si="235"/>
        <v>-0.57316265060241056</v>
      </c>
      <c r="AF86" s="5" t="e">
        <f t="shared" ca="1" si="236"/>
        <v>#DIV/0!</v>
      </c>
      <c r="AG86">
        <f t="shared" si="237"/>
        <v>9.5733333333333377</v>
      </c>
      <c r="AH86">
        <f t="shared" si="217"/>
        <v>5.8216666666666725</v>
      </c>
      <c r="AI86">
        <f t="shared" si="218"/>
        <v>43.126666666666665</v>
      </c>
      <c r="AJ86">
        <f t="shared" si="219"/>
        <v>44.493333333333332</v>
      </c>
      <c r="AK86">
        <f t="shared" si="220"/>
        <v>4.21</v>
      </c>
      <c r="AL86">
        <f t="shared" si="221"/>
        <v>9.58</v>
      </c>
      <c r="AM86" t="e">
        <f t="shared" si="222"/>
        <v>#DIV/0!</v>
      </c>
      <c r="AN86">
        <f t="shared" si="223"/>
        <v>2.1550000000000002</v>
      </c>
      <c r="AO86">
        <f t="shared" si="224"/>
        <v>4.625</v>
      </c>
      <c r="AP86" s="2">
        <f t="shared" si="225"/>
        <v>0.96</v>
      </c>
    </row>
    <row r="87" spans="1:55" x14ac:dyDescent="0.25">
      <c r="A87" t="s">
        <v>112</v>
      </c>
      <c r="B87" s="2">
        <v>2001</v>
      </c>
      <c r="C87">
        <f t="shared" si="227"/>
        <v>21.070000000000007</v>
      </c>
      <c r="D87">
        <f t="shared" si="241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K87">
        <v>3.26</v>
      </c>
      <c r="L87" s="2">
        <v>0.96</v>
      </c>
      <c r="M87">
        <f t="shared" ca="1" si="207"/>
        <v>16.24769371011871</v>
      </c>
      <c r="N87">
        <f t="shared" ca="1" si="208"/>
        <v>11.706280765724841</v>
      </c>
      <c r="O87">
        <f t="shared" ca="1" si="209"/>
        <v>31.586782133090082</v>
      </c>
      <c r="P87">
        <f t="shared" ca="1" si="210"/>
        <v>46.140546946216944</v>
      </c>
      <c r="Q87">
        <f t="shared" ca="1" si="211"/>
        <v>8.3454054054054723</v>
      </c>
      <c r="R87" t="e">
        <f t="shared" ca="1" si="212"/>
        <v>#DIV/0!</v>
      </c>
      <c r="S87" t="e">
        <f t="shared" ca="1" si="213"/>
        <v>#DIV/0!</v>
      </c>
      <c r="T87">
        <f t="shared" ca="1" si="214"/>
        <v>4.5414129443938691</v>
      </c>
      <c r="U87">
        <f t="shared" ca="1" si="215"/>
        <v>4.6775022789425691</v>
      </c>
      <c r="V87" s="2" t="e">
        <f t="shared" ca="1" si="216"/>
        <v>#DIV/0!</v>
      </c>
      <c r="W87" s="4">
        <f t="shared" ca="1" si="242"/>
        <v>4.8223062898812969</v>
      </c>
      <c r="X87" s="3">
        <f t="shared" ca="1" si="228"/>
        <v>-2.8562807657248328</v>
      </c>
      <c r="Y87" s="3">
        <f t="shared" ca="1" si="229"/>
        <v>5.6532178669099196</v>
      </c>
      <c r="Z87" s="3">
        <f t="shared" ca="1" si="230"/>
        <v>-11.720546946216942</v>
      </c>
      <c r="AA87" s="3">
        <f t="shared" ca="1" si="231"/>
        <v>-1.0754054054054727</v>
      </c>
      <c r="AB87" s="3" t="e">
        <f t="shared" ca="1" si="232"/>
        <v>#DIV/0!</v>
      </c>
      <c r="AC87" s="3" t="e">
        <f t="shared" si="233"/>
        <v>#N/A</v>
      </c>
      <c r="AD87" s="3">
        <f t="shared" ca="1" si="234"/>
        <v>-1.901412944393869</v>
      </c>
      <c r="AE87" s="3">
        <f t="shared" ca="1" si="235"/>
        <v>-1.4175022789425693</v>
      </c>
      <c r="AF87" s="5" t="e">
        <f t="shared" ca="1" si="236"/>
        <v>#DIV/0!</v>
      </c>
      <c r="AG87">
        <f t="shared" si="237"/>
        <v>6.5683333333333351</v>
      </c>
      <c r="AH87">
        <f t="shared" si="217"/>
        <v>4.5266666666666708</v>
      </c>
      <c r="AI87">
        <f t="shared" si="218"/>
        <v>44.57833333333334</v>
      </c>
      <c r="AJ87">
        <f t="shared" si="219"/>
        <v>47.258333333333333</v>
      </c>
      <c r="AK87">
        <f t="shared" si="220"/>
        <v>3.1899999999999995</v>
      </c>
      <c r="AL87" t="e">
        <f t="shared" si="221"/>
        <v>#DIV/0!</v>
      </c>
      <c r="AM87" t="e">
        <f t="shared" si="222"/>
        <v>#DIV/0!</v>
      </c>
      <c r="AN87">
        <f t="shared" si="223"/>
        <v>2.0416666666666665</v>
      </c>
      <c r="AO87">
        <f t="shared" si="224"/>
        <v>5.291666666666667</v>
      </c>
      <c r="AP87" s="2" t="e">
        <f t="shared" si="225"/>
        <v>#DIV/0!</v>
      </c>
    </row>
    <row r="88" spans="1:55" x14ac:dyDescent="0.25">
      <c r="A88" t="s">
        <v>113</v>
      </c>
      <c r="B88" s="2">
        <v>1996</v>
      </c>
      <c r="C88">
        <f t="shared" si="227"/>
        <v>13.760000000000005</v>
      </c>
      <c r="D88">
        <f t="shared" si="241"/>
        <v>8.6800000000000068</v>
      </c>
      <c r="E88">
        <v>35.82</v>
      </c>
      <c r="F88">
        <v>45.69</v>
      </c>
      <c r="G88">
        <v>4.7300000000000004</v>
      </c>
      <c r="J88">
        <v>5.08</v>
      </c>
      <c r="K88">
        <v>5.76</v>
      </c>
      <c r="M88">
        <f t="shared" ca="1" si="207"/>
        <v>10.641807692307566</v>
      </c>
      <c r="N88">
        <f t="shared" ca="1" si="208"/>
        <v>8.4052307692307977</v>
      </c>
      <c r="O88">
        <f t="shared" ca="1" si="209"/>
        <v>40.852615384615433</v>
      </c>
      <c r="P88">
        <f t="shared" ca="1" si="210"/>
        <v>45.200346153846226</v>
      </c>
      <c r="Q88">
        <f t="shared" ca="1" si="211"/>
        <v>7.1449999999999818</v>
      </c>
      <c r="R88" t="e">
        <f t="shared" ca="1" si="212"/>
        <v>#DIV/0!</v>
      </c>
      <c r="S88" t="e">
        <f t="shared" ca="1" si="213"/>
        <v>#DIV/0!</v>
      </c>
      <c r="T88">
        <f t="shared" ca="1" si="214"/>
        <v>1.9045525291828795</v>
      </c>
      <c r="U88">
        <f t="shared" ca="1" si="215"/>
        <v>4.3128461538461522</v>
      </c>
      <c r="V88" s="2" t="e">
        <f t="shared" ca="1" si="216"/>
        <v>#DIV/0!</v>
      </c>
      <c r="W88" s="4">
        <f t="shared" ca="1" si="242"/>
        <v>3.1181923076924392</v>
      </c>
      <c r="X88" s="3">
        <f t="shared" ca="1" si="228"/>
        <v>0.27476923076920912</v>
      </c>
      <c r="Y88" s="3">
        <f t="shared" ca="1" si="229"/>
        <v>-5.0326153846154327</v>
      </c>
      <c r="Z88" s="3">
        <f t="shared" ca="1" si="230"/>
        <v>0.48965384615377161</v>
      </c>
      <c r="AA88" s="3">
        <f t="shared" ca="1" si="231"/>
        <v>-2.4149999999999814</v>
      </c>
      <c r="AB88" s="3" t="e">
        <f t="shared" si="232"/>
        <v>#N/A</v>
      </c>
      <c r="AC88" s="3" t="e">
        <f t="shared" si="233"/>
        <v>#N/A</v>
      </c>
      <c r="AD88" s="3">
        <f t="shared" ca="1" si="234"/>
        <v>3.1754474708171205</v>
      </c>
      <c r="AE88" s="3">
        <f t="shared" ca="1" si="235"/>
        <v>1.4471538461538476</v>
      </c>
      <c r="AF88" s="5" t="e">
        <f t="shared" si="236"/>
        <v>#N/A</v>
      </c>
      <c r="AG88">
        <f t="shared" si="237"/>
        <v>4.4666666666666686</v>
      </c>
      <c r="AH88">
        <f t="shared" si="217"/>
        <v>3.2716666666666705</v>
      </c>
      <c r="AI88">
        <f t="shared" si="218"/>
        <v>45.978333333333332</v>
      </c>
      <c r="AJ88">
        <f t="shared" si="219"/>
        <v>48.748333333333335</v>
      </c>
      <c r="AK88">
        <f t="shared" si="220"/>
        <v>2.42</v>
      </c>
      <c r="AL88" t="e">
        <f t="shared" si="221"/>
        <v>#DIV/0!</v>
      </c>
      <c r="AM88" t="e">
        <f t="shared" si="222"/>
        <v>#DIV/0!</v>
      </c>
      <c r="AN88">
        <f t="shared" si="223"/>
        <v>1.4339999999999999</v>
      </c>
      <c r="AO88">
        <f t="shared" si="224"/>
        <v>5.2116666666666669</v>
      </c>
      <c r="AP88" s="2" t="e">
        <f t="shared" si="225"/>
        <v>#DIV/0!</v>
      </c>
    </row>
    <row r="89" spans="1:55" x14ac:dyDescent="0.25">
      <c r="A89" t="s">
        <v>114</v>
      </c>
      <c r="B89" s="2">
        <v>1993</v>
      </c>
      <c r="C89">
        <f t="shared" si="227"/>
        <v>9.1500000000000057</v>
      </c>
      <c r="D89">
        <f t="shared" si="241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K89">
        <v>5.31</v>
      </c>
      <c r="M89">
        <f t="shared" ca="1" si="207"/>
        <v>8.057714285714269</v>
      </c>
      <c r="N89">
        <f t="shared" ca="1" si="208"/>
        <v>6.3764761904761826</v>
      </c>
      <c r="O89">
        <f t="shared" ca="1" si="209"/>
        <v>48.400952380952376</v>
      </c>
      <c r="P89">
        <f t="shared" ca="1" si="210"/>
        <v>43.162761904761851</v>
      </c>
      <c r="Q89" t="e">
        <f t="shared" ca="1" si="211"/>
        <v>#DIV/0!</v>
      </c>
      <c r="R89" t="e">
        <f t="shared" ca="1" si="212"/>
        <v>#DIV/0!</v>
      </c>
      <c r="S89" t="e">
        <f t="shared" ca="1" si="213"/>
        <v>#DIV/0!</v>
      </c>
      <c r="T89">
        <f t="shared" ca="1" si="214"/>
        <v>0.7223333333333386</v>
      </c>
      <c r="U89">
        <f t="shared" ca="1" si="215"/>
        <v>3.5553333333333512</v>
      </c>
      <c r="V89" s="2" t="e">
        <f t="shared" ca="1" si="216"/>
        <v>#DIV/0!</v>
      </c>
      <c r="W89" s="4">
        <f t="shared" ca="1" si="242"/>
        <v>1.0922857142857367</v>
      </c>
      <c r="X89" s="3">
        <f t="shared" ca="1" si="228"/>
        <v>0.45352380952382987</v>
      </c>
      <c r="Y89" s="3">
        <f t="shared" ca="1" si="229"/>
        <v>-11.320952380952377</v>
      </c>
      <c r="Z89" s="3">
        <f t="shared" ca="1" si="230"/>
        <v>6.2972380952381499</v>
      </c>
      <c r="AA89" s="3" t="e">
        <f t="shared" ca="1" si="231"/>
        <v>#DIV/0!</v>
      </c>
      <c r="AB89" s="3" t="e">
        <f t="shared" si="232"/>
        <v>#N/A</v>
      </c>
      <c r="AC89" s="3" t="e">
        <f t="shared" si="233"/>
        <v>#N/A</v>
      </c>
      <c r="AD89" s="3">
        <f t="shared" ca="1" si="234"/>
        <v>1.5976666666666612</v>
      </c>
      <c r="AE89" s="3">
        <f t="shared" ca="1" si="235"/>
        <v>1.7546666666666484</v>
      </c>
      <c r="AF89" s="5" t="e">
        <f t="shared" si="236"/>
        <v>#N/A</v>
      </c>
      <c r="AG89">
        <f t="shared" si="237"/>
        <v>3.0700000000000003</v>
      </c>
      <c r="AH89">
        <f t="shared" si="217"/>
        <v>2.261666666666668</v>
      </c>
      <c r="AI89">
        <f t="shared" si="218"/>
        <v>47.814999999999998</v>
      </c>
      <c r="AJ89">
        <f t="shared" si="219"/>
        <v>49.026666666666664</v>
      </c>
      <c r="AK89">
        <f t="shared" si="220"/>
        <v>0.53</v>
      </c>
      <c r="AL89" t="e">
        <f t="shared" si="221"/>
        <v>#DIV/0!</v>
      </c>
      <c r="AM89" t="e">
        <f t="shared" si="222"/>
        <v>#DIV/0!</v>
      </c>
      <c r="AN89">
        <f t="shared" si="223"/>
        <v>1.2124999999999999</v>
      </c>
      <c r="AO89">
        <f t="shared" si="224"/>
        <v>5.1920000000000002</v>
      </c>
      <c r="AP89" s="2" t="e">
        <f t="shared" si="225"/>
        <v>#DIV/0!</v>
      </c>
    </row>
    <row r="90" spans="1:55" x14ac:dyDescent="0.25">
      <c r="A90" t="s">
        <v>115</v>
      </c>
      <c r="B90" s="2">
        <v>1989</v>
      </c>
      <c r="C90">
        <f t="shared" si="227"/>
        <v>9.6200000000000045</v>
      </c>
      <c r="D90">
        <f t="shared" si="241"/>
        <v>8.1899999999999977</v>
      </c>
      <c r="E90">
        <v>42.46</v>
      </c>
      <c r="F90">
        <v>47.39</v>
      </c>
      <c r="G90">
        <v>0.53</v>
      </c>
      <c r="J90">
        <v>1.43</v>
      </c>
      <c r="K90">
        <v>4.5999999999999996</v>
      </c>
      <c r="M90">
        <f t="shared" ca="1" si="207"/>
        <v>0</v>
      </c>
      <c r="N90">
        <f t="shared" ca="1" si="208"/>
        <v>0</v>
      </c>
      <c r="O90">
        <f t="shared" ca="1" si="209"/>
        <v>52.625999999999976</v>
      </c>
      <c r="P90">
        <f t="shared" ca="1" si="210"/>
        <v>49.666666666666629</v>
      </c>
      <c r="Q90" t="e">
        <f t="shared" ca="1" si="211"/>
        <v>#DIV/0!</v>
      </c>
      <c r="R90" t="e">
        <f t="shared" ca="1" si="212"/>
        <v>#DIV/0!</v>
      </c>
      <c r="S90" t="e">
        <f t="shared" ca="1" si="213"/>
        <v>#DIV/0!</v>
      </c>
      <c r="T90">
        <f t="shared" ca="1" si="214"/>
        <v>0</v>
      </c>
      <c r="U90">
        <f t="shared" ca="1" si="215"/>
        <v>4.476756756756771</v>
      </c>
      <c r="V90" s="2" t="e">
        <f t="shared" ca="1" si="216"/>
        <v>#DIV/0!</v>
      </c>
      <c r="W90" s="4">
        <f t="shared" ca="1" si="242"/>
        <v>9.6200000000000045</v>
      </c>
      <c r="X90" s="3">
        <f t="shared" ca="1" si="228"/>
        <v>8.1899999999999977</v>
      </c>
      <c r="Y90" s="3">
        <f t="shared" ca="1" si="229"/>
        <v>-10.165999999999976</v>
      </c>
      <c r="Z90" s="3">
        <f t="shared" ca="1" si="230"/>
        <v>-2.2766666666666282</v>
      </c>
      <c r="AA90" s="3" t="e">
        <f t="shared" ca="1" si="231"/>
        <v>#DIV/0!</v>
      </c>
      <c r="AB90" s="3" t="e">
        <f t="shared" si="232"/>
        <v>#N/A</v>
      </c>
      <c r="AC90" s="3" t="e">
        <f t="shared" si="233"/>
        <v>#N/A</v>
      </c>
      <c r="AD90" s="3">
        <f t="shared" ca="1" si="234"/>
        <v>1.43</v>
      </c>
      <c r="AE90" s="3">
        <f t="shared" ca="1" si="235"/>
        <v>0.12324324324322866</v>
      </c>
      <c r="AF90" s="5" t="e">
        <f t="shared" si="236"/>
        <v>#N/A</v>
      </c>
      <c r="AG90">
        <f t="shared" si="237"/>
        <v>4.0983333333333336</v>
      </c>
      <c r="AH90">
        <f t="shared" si="217"/>
        <v>1.743333333333337</v>
      </c>
      <c r="AI90">
        <f t="shared" si="218"/>
        <v>48.890000000000008</v>
      </c>
      <c r="AJ90">
        <f t="shared" si="219"/>
        <v>47.011666666666663</v>
      </c>
      <c r="AK90" t="e">
        <f t="shared" si="220"/>
        <v>#DIV/0!</v>
      </c>
      <c r="AL90" t="e">
        <f t="shared" si="221"/>
        <v>#DIV/0!</v>
      </c>
      <c r="AM90">
        <f t="shared" si="222"/>
        <v>10.71</v>
      </c>
      <c r="AN90">
        <f t="shared" si="223"/>
        <v>1.1399999999999999</v>
      </c>
      <c r="AO90">
        <f t="shared" si="224"/>
        <v>5.4</v>
      </c>
      <c r="AP90" s="2" t="e">
        <f t="shared" si="225"/>
        <v>#DIV/0!</v>
      </c>
    </row>
    <row r="91" spans="1:55" x14ac:dyDescent="0.25">
      <c r="A91" t="s">
        <v>116</v>
      </c>
      <c r="B91" s="2">
        <v>1986</v>
      </c>
      <c r="C91">
        <f t="shared" si="227"/>
        <v>1.9699999999999989</v>
      </c>
      <c r="D91">
        <f t="shared" si="241"/>
        <v>1.3100000000000023</v>
      </c>
      <c r="E91">
        <v>53</v>
      </c>
      <c r="F91">
        <v>45.03</v>
      </c>
      <c r="J91">
        <v>0.66</v>
      </c>
      <c r="K91">
        <v>3.71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55" x14ac:dyDescent="0.25">
      <c r="A92" t="s">
        <v>117</v>
      </c>
      <c r="B92" s="2">
        <v>1983</v>
      </c>
      <c r="C92">
        <f t="shared" si="227"/>
        <v>1.8700000000000045</v>
      </c>
      <c r="D92">
        <f t="shared" si="241"/>
        <v>1.0700000000000074</v>
      </c>
      <c r="E92">
        <v>53.16</v>
      </c>
      <c r="F92">
        <f>39.86+3.44+1.67</f>
        <v>44.97</v>
      </c>
      <c r="J92">
        <v>0.8</v>
      </c>
      <c r="K92">
        <v>5.1100000000000003</v>
      </c>
    </row>
    <row r="93" spans="1:55" x14ac:dyDescent="0.25">
      <c r="A93" t="s">
        <v>118</v>
      </c>
      <c r="B93" s="2">
        <v>1980</v>
      </c>
      <c r="C93">
        <f t="shared" si="227"/>
        <v>3.039999999999992</v>
      </c>
      <c r="D93">
        <f t="shared" si="241"/>
        <v>1.0799999999999983</v>
      </c>
      <c r="E93">
        <v>45.95</v>
      </c>
      <c r="F93">
        <f>43.75+4.3+2.96</f>
        <v>51.01</v>
      </c>
      <c r="J93">
        <v>1.96</v>
      </c>
      <c r="K93">
        <v>7.26</v>
      </c>
    </row>
    <row r="94" spans="1:55" x14ac:dyDescent="0.25">
      <c r="A94" t="s">
        <v>119</v>
      </c>
      <c r="B94" s="2">
        <v>1977</v>
      </c>
      <c r="C94">
        <f t="shared" si="227"/>
        <v>1.1500000000000057</v>
      </c>
      <c r="D94">
        <f t="shared" si="241"/>
        <v>1.1500000000000057</v>
      </c>
      <c r="E94">
        <v>44.22</v>
      </c>
      <c r="F94">
        <f>49.35+5.28</f>
        <v>54.63</v>
      </c>
      <c r="K94">
        <v>5.28</v>
      </c>
    </row>
    <row r="95" spans="1:55" x14ac:dyDescent="0.25">
      <c r="A95" t="s">
        <v>120</v>
      </c>
      <c r="B95" s="2">
        <v>1974</v>
      </c>
      <c r="C95">
        <f t="shared" si="227"/>
        <v>0.76999999999999602</v>
      </c>
      <c r="D95">
        <f t="shared" si="241"/>
        <v>0.76999999999999602</v>
      </c>
      <c r="E95">
        <v>48.1</v>
      </c>
      <c r="F95">
        <v>51.13</v>
      </c>
    </row>
    <row r="96" spans="1:55" x14ac:dyDescent="0.25">
      <c r="A96" t="s">
        <v>121</v>
      </c>
      <c r="B96" s="2">
        <v>1971</v>
      </c>
      <c r="C96">
        <f t="shared" si="227"/>
        <v>15.790000000000006</v>
      </c>
      <c r="D96">
        <f t="shared" si="241"/>
        <v>5.0800000000000125</v>
      </c>
      <c r="E96">
        <v>48.91</v>
      </c>
      <c r="F96">
        <v>35.299999999999997</v>
      </c>
      <c r="I96">
        <v>10.71</v>
      </c>
      <c r="K96">
        <v>5.64</v>
      </c>
    </row>
    <row r="98" spans="1:55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137</v>
      </c>
      <c r="J98" t="s">
        <v>6</v>
      </c>
      <c r="K98" s="6" t="s">
        <v>125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  <c r="AT98" t="str">
        <f>C98</f>
        <v>OTH</v>
      </c>
      <c r="AU98" t="str">
        <f t="shared" ref="AU98" si="243">D98</f>
        <v>xOTH</v>
      </c>
      <c r="AV98" t="str">
        <f t="shared" ref="AV98" si="244">E98</f>
        <v>ALP</v>
      </c>
      <c r="AW98" t="str">
        <f t="shared" ref="AW98" si="245">F98</f>
        <v>LNP</v>
      </c>
      <c r="AX98" t="str">
        <f t="shared" ref="AX98" si="246">G98</f>
        <v>GRN</v>
      </c>
      <c r="AY98" t="str">
        <f t="shared" ref="AY98" si="247">H98</f>
        <v>ONP</v>
      </c>
      <c r="AZ98" t="str">
        <f t="shared" ref="AZ98" si="248">I98</f>
        <v>LM</v>
      </c>
      <c r="BA98" t="str">
        <f t="shared" ref="BA98" si="249">J98</f>
        <v>DEM</v>
      </c>
      <c r="BB98" t="str">
        <f t="shared" ref="BB98" si="250">K98</f>
        <v>SAB</v>
      </c>
      <c r="BC98" t="str">
        <f t="shared" ref="BC98" si="251">L98</f>
        <v>AC/FF</v>
      </c>
    </row>
    <row r="99" spans="1:55" x14ac:dyDescent="0.25">
      <c r="A99" t="s">
        <v>122</v>
      </c>
      <c r="B99" s="2">
        <v>2022</v>
      </c>
      <c r="M99">
        <f t="shared" ref="M99:M107" ca="1" si="252">MAX(0,_xlfn.FORECAST.LINEAR($B99,OFFSET(C100,0,0,$D$1),OFFSET($B100,0,0,$D$1)))</f>
        <v>13.549141274238195</v>
      </c>
      <c r="N99">
        <f t="shared" ref="N99:N107" ca="1" si="253">MAX(0,_xlfn.FORECAST.LINEAR($B99,OFFSET(D100,0,0,$D$1),OFFSET($B100,0,0,$D$1)))</f>
        <v>10.916842105263186</v>
      </c>
      <c r="O99">
        <f t="shared" ref="O99:O107" ca="1" si="254">MAX(0,_xlfn.FORECAST.LINEAR($B99,OFFSET(E100,0,0,$D$1),OFFSET($B100,0,0,$D$1)))</f>
        <v>35.230664819944536</v>
      </c>
      <c r="P99">
        <f t="shared" ref="P99:P107" ca="1" si="255">MAX(0,_xlfn.FORECAST.LINEAR($B99,OFFSET(F100,0,0,$D$1),OFFSET($B100,0,0,$D$1)))</f>
        <v>40.47382271468144</v>
      </c>
      <c r="Q99">
        <f t="shared" ref="Q99:Q107" ca="1" si="256">MAX(0,_xlfn.FORECAST.LINEAR($B99,OFFSET(G100,0,0,$D$1),OFFSET($B100,0,0,$D$1)))</f>
        <v>9.7390000000000327</v>
      </c>
      <c r="R99">
        <f t="shared" ref="R99:R107" ca="1" si="257">MAX(0,_xlfn.FORECAST.LINEAR($B99,OFFSET(H100,0,0,$D$1),OFFSET($B100,0,0,$D$1)))</f>
        <v>0</v>
      </c>
      <c r="S99" t="e">
        <f t="shared" ref="S99:S107" ca="1" si="258">MAX(0,_xlfn.FORECAST.LINEAR($B99,OFFSET(I100,0,0,$D$1),OFFSET($B100,0,0,$D$1)))</f>
        <v>#DIV/0!</v>
      </c>
      <c r="T99">
        <f t="shared" ref="T99:T107" ca="1" si="259">MAX(0,_xlfn.FORECAST.LINEAR($B99,OFFSET(J100,0,0,$D$1),OFFSET($B100,0,0,$D$1)))</f>
        <v>0</v>
      </c>
      <c r="U99" t="e">
        <f t="shared" ref="U99:U107" ca="1" si="260">MAX(0,_xlfn.FORECAST.LINEAR($B99,OFFSET(K100,0,0,$D$1),OFFSET($B100,0,0,$D$1)))</f>
        <v>#DIV/0!</v>
      </c>
      <c r="V99" s="2">
        <f t="shared" ref="V99:V107" ca="1" si="261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262">AVERAGE(D100:D105)</f>
        <v>8.4250000000000007</v>
      </c>
      <c r="AI99">
        <f t="shared" ref="AI99:AI107" si="263">AVERAGE(E100:E105)</f>
        <v>37.131666666666668</v>
      </c>
      <c r="AJ99">
        <f t="shared" ref="AJ99:AJ107" si="264">AVERAGE(F100:F105)</f>
        <v>40.87166666666667</v>
      </c>
      <c r="AK99">
        <f t="shared" ref="AK99:AK107" si="265">AVERAGE(G100:G105)</f>
        <v>6.4719999999999995</v>
      </c>
      <c r="AL99">
        <f t="shared" ref="AL99:AL107" si="266">AVERAGE(H100:H105)</f>
        <v>1.3450000000000002</v>
      </c>
      <c r="AM99" t="e">
        <f t="shared" ref="AM99:AM107" si="267">AVERAGE(I100:I105)</f>
        <v>#DIV/0!</v>
      </c>
      <c r="AN99">
        <f t="shared" ref="AN99:AN107" si="268">AVERAGE(J100:J105)</f>
        <v>6.8025000000000002</v>
      </c>
      <c r="AO99">
        <f t="shared" ref="AO99:AO107" si="269">AVERAGE(K100:K105)</f>
        <v>14.2</v>
      </c>
      <c r="AP99" s="2">
        <f t="shared" ref="AP99:AP107" si="270">AVERAGE(L100:L105)</f>
        <v>4.63</v>
      </c>
      <c r="AR99" t="str">
        <f>LEFT(A99,FIND(" ",A99)-1)</f>
        <v>2022</v>
      </c>
      <c r="AS99" t="str">
        <f>MID(A99,FIND(" ",A99)+1,1000)</f>
        <v>sa</v>
      </c>
      <c r="AT99" t="str">
        <f>$AR99&amp;","&amp;$AS99&amp;","&amp;AT$98&amp;" FP,"&amp;IF(ISBLANK(C100),0,ROUND(C100,2))&amp;","&amp;IF(ISBLANK(C101),0,ROUND(C101,2))&amp;","&amp;IF(ISBLANK(C102),0,ROUND(C102,2))&amp;","&amp;IF(ISBLANK(C103),0,ROUND(C103,2))&amp;","&amp;IF(ISBLANK(C104),0,ROUND(C104,2))&amp;","&amp;IF(ISBLANK(C105),0,ROUND(C105,2))&amp;","&amp;IF(ISBLANK(C106),0,ROUND(C106,2))&amp;","&amp;IF(ISBLANK(C107),0,ROUND(C107,2))</f>
        <v>2022,sa,OTH FP,22.5,10.59,11.72,12.23,19.88,22.7,15.72,14.52</v>
      </c>
      <c r="AU99" t="str">
        <f t="shared" ref="AU99:BC103" si="271">$AR99&amp;","&amp;$AS99&amp;","&amp;AU$98&amp;" FP,"&amp;IF(ISBLANK(D100),0,ROUND(D100,2))&amp;","&amp;IF(ISBLANK(D101),0,ROUND(D101,2))&amp;","&amp;IF(ISBLANK(D102),0,ROUND(D102,2))&amp;","&amp;IF(ISBLANK(D103),0,ROUND(D103,2))&amp;","&amp;IF(ISBLANK(D104),0,ROUND(D104,2))&amp;","&amp;IF(ISBLANK(D105),0,ROUND(D105,2))&amp;","&amp;IF(ISBLANK(D106),0,ROUND(D106,2))&amp;","&amp;IF(ISBLANK(D107),0,ROUND(D107,2))</f>
        <v>2022,sa,xOTH FP,8.3,10.59,11.72,6.35,7.34,6.25,6.63,4.25</v>
      </c>
      <c r="AV99" t="str">
        <f t="shared" si="271"/>
        <v>2022,sa,ALP FP,32.8,35.8,37.47,45.22,36.34,35.16,30.37,40.09</v>
      </c>
      <c r="AW99" t="str">
        <f t="shared" si="271"/>
        <v>2022,sa,LNP FP,38,44.91,42.7,36.06,41.42,42.14,53.91,45.39</v>
      </c>
      <c r="AX99" t="str">
        <f t="shared" si="271"/>
        <v>2022,sa,GRN FP,6.7,8.7,8.11,6.49,2.36,0,0,0</v>
      </c>
      <c r="AY99" t="str">
        <f t="shared" si="271"/>
        <v>2022,sa,ONP FP,0,0,0,0.28,2.41,0,0,0</v>
      </c>
      <c r="AZ99" t="str">
        <f t="shared" si="271"/>
        <v>2022,sa,LM FP,0,0,0,0,0,0,0,0</v>
      </c>
      <c r="BA99" t="str">
        <f t="shared" si="271"/>
        <v>2022,sa,DEM FP,0,0,0.38,2.89,7.49,16.45,9.09,10.27</v>
      </c>
      <c r="BB99" t="str">
        <f t="shared" si="271"/>
        <v>2022,sa,SAB FP,14.2,0,0,0,0,0,0,0</v>
      </c>
      <c r="BC99" t="str">
        <f t="shared" si="271"/>
        <v>2022,sa,AC/FF FP,3,6.25,5.38,5.88,2.64,0,0,0</v>
      </c>
    </row>
    <row r="100" spans="1:55" x14ac:dyDescent="0.25">
      <c r="A100" t="s">
        <v>123</v>
      </c>
      <c r="B100" s="2">
        <v>2018</v>
      </c>
      <c r="C100">
        <f t="shared" ref="C100:C114" si="272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252"/>
        <v>9.0712127659575117</v>
      </c>
      <c r="N100">
        <f t="shared" ca="1" si="253"/>
        <v>11.5250638297872</v>
      </c>
      <c r="O100">
        <f t="shared" ca="1" si="254"/>
        <v>41.019499999999994</v>
      </c>
      <c r="P100">
        <f t="shared" ca="1" si="255"/>
        <v>38.657776595744622</v>
      </c>
      <c r="Q100">
        <f t="shared" ca="1" si="256"/>
        <v>11.575000000000045</v>
      </c>
      <c r="R100">
        <f t="shared" ca="1" si="257"/>
        <v>0</v>
      </c>
      <c r="S100" t="e">
        <f t="shared" ca="1" si="258"/>
        <v>#DIV/0!</v>
      </c>
      <c r="T100">
        <f t="shared" ca="1" si="259"/>
        <v>0</v>
      </c>
      <c r="U100" t="e">
        <f t="shared" ca="1" si="260"/>
        <v>#DIV/0!</v>
      </c>
      <c r="V100" s="2">
        <f t="shared" ca="1" si="261"/>
        <v>7.6200000000001182</v>
      </c>
      <c r="W100" s="4">
        <f ca="1">IF(ISBLANK(C100),NA(),C100-M100)</f>
        <v>13.428787234042488</v>
      </c>
      <c r="X100" s="3">
        <f t="shared" ref="X100:X107" ca="1" si="273">IF(ISBLANK(D100),NA(),D100-N100)</f>
        <v>-3.225063829787203</v>
      </c>
      <c r="Y100" s="3">
        <f t="shared" ref="Y100:Y107" ca="1" si="274">IF(ISBLANK(E100),NA(),E100-O100)</f>
        <v>-8.2194999999999965</v>
      </c>
      <c r="Z100" s="3">
        <f t="shared" ref="Z100:Z107" ca="1" si="275">IF(ISBLANK(F100),NA(),F100-P100)</f>
        <v>-0.65777659574462177</v>
      </c>
      <c r="AA100" s="3">
        <f t="shared" ref="AA100:AA107" ca="1" si="276">IF(ISBLANK(G100),NA(),G100-Q100)</f>
        <v>-4.8750000000000453</v>
      </c>
      <c r="AB100" s="3" t="e">
        <f t="shared" ref="AB100:AB107" si="277">IF(ISBLANK(H100),NA(),H100-R100)</f>
        <v>#N/A</v>
      </c>
      <c r="AC100" s="3" t="e">
        <f t="shared" ref="AC100:AC107" si="278">IF(ISBLANK(I100),NA(),I100-S100)</f>
        <v>#N/A</v>
      </c>
      <c r="AD100" s="3" t="e">
        <f t="shared" ref="AD100:AD107" si="279">IF(ISBLANK(J100),NA(),J100-T100)</f>
        <v>#N/A</v>
      </c>
      <c r="AE100" s="3" t="e">
        <f t="shared" ref="AE100:AE107" ca="1" si="280">IF(ISBLANK(K100),NA(),K100-U100)</f>
        <v>#DIV/0!</v>
      </c>
      <c r="AF100" s="5">
        <f t="shared" ref="AF100:AF107" ca="1" si="281">IF(ISBLANK(L100),NA(),L100-V100)</f>
        <v>-4.6200000000001182</v>
      </c>
      <c r="AG100">
        <f t="shared" ref="AG100:AG107" si="282">AVERAGE(C101:C106)</f>
        <v>15.473333333333334</v>
      </c>
      <c r="AH100">
        <f t="shared" si="262"/>
        <v>8.1466666666666683</v>
      </c>
      <c r="AI100">
        <f t="shared" si="263"/>
        <v>36.726666666666667</v>
      </c>
      <c r="AJ100">
        <f t="shared" si="264"/>
        <v>43.523333333333333</v>
      </c>
      <c r="AK100">
        <f t="shared" si="265"/>
        <v>6.4149999999999991</v>
      </c>
      <c r="AL100">
        <f t="shared" si="266"/>
        <v>1.3450000000000002</v>
      </c>
      <c r="AM100" t="e">
        <f t="shared" si="267"/>
        <v>#DIV/0!</v>
      </c>
      <c r="AN100">
        <f t="shared" si="268"/>
        <v>7.26</v>
      </c>
      <c r="AO100" t="e">
        <f t="shared" si="269"/>
        <v>#DIV/0!</v>
      </c>
      <c r="AP100" s="2">
        <f t="shared" si="270"/>
        <v>5.0374999999999996</v>
      </c>
      <c r="AR100" t="str">
        <f t="shared" ref="AR100:AR102" si="283">LEFT(A100,FIND(" ",A100)-1)</f>
        <v>2018</v>
      </c>
      <c r="AS100" t="str">
        <f t="shared" ref="AS100:AS102" si="284">MID(A100,FIND(" ",A100)+1,1000)</f>
        <v>sa</v>
      </c>
      <c r="AT100" t="str">
        <f t="shared" ref="AT100:AT103" si="285">$AR100&amp;","&amp;$AS100&amp;","&amp;AT$98&amp;" FP,"&amp;IF(ISBLANK(C101),0,ROUND(C101,2))&amp;","&amp;IF(ISBLANK(C102),0,ROUND(C102,2))&amp;","&amp;IF(ISBLANK(C103),0,ROUND(C103,2))&amp;","&amp;IF(ISBLANK(C104),0,ROUND(C104,2))&amp;","&amp;IF(ISBLANK(C105),0,ROUND(C105,2))&amp;","&amp;IF(ISBLANK(C106),0,ROUND(C106,2))&amp;","&amp;IF(ISBLANK(C107),0,ROUND(C107,2))&amp;","&amp;IF(ISBLANK(C108),0,ROUND(C108,2))</f>
        <v>2018,sa,OTH FP,10.59,11.72,12.23,19.88,22.7,15.72,14.52,7.94</v>
      </c>
      <c r="AU100" t="str">
        <f t="shared" si="271"/>
        <v>2018,sa,xOTH FP,10.59,11.72,6.35,7.34,6.25,6.63,4.25,3.69</v>
      </c>
      <c r="AV100" t="str">
        <f t="shared" si="271"/>
        <v>2018,sa,ALP FP,35.8,37.47,45.22,36.34,35.16,30.37,40.09,48.19</v>
      </c>
      <c r="AW100" t="str">
        <f t="shared" si="271"/>
        <v>2018,sa,LNP FP,44.91,42.7,36.06,41.42,42.14,53.91,45.39,43.87</v>
      </c>
      <c r="AX100" t="str">
        <f t="shared" si="271"/>
        <v>2018,sa,GRN FP,8.7,8.11,6.49,2.36,0,0,0,0</v>
      </c>
      <c r="AY100" t="str">
        <f t="shared" si="271"/>
        <v>2018,sa,ONP FP,0,0,0.28,2.41,0,0,0,0</v>
      </c>
      <c r="AZ100" t="str">
        <f t="shared" si="271"/>
        <v>2018,sa,LM FP,0,0,0,0,0,0,0,0</v>
      </c>
      <c r="BA100" t="str">
        <f t="shared" si="271"/>
        <v>2018,sa,DEM FP,0,0.38,2.89,7.49,16.45,9.09,10.27,4.25</v>
      </c>
      <c r="BB100" t="str">
        <f t="shared" si="271"/>
        <v>2018,sa,SAB FP,0,0,0,0,0,0,0,0</v>
      </c>
      <c r="BC100" t="str">
        <f t="shared" si="271"/>
        <v>2018,sa,AC/FF FP,6.25,5.38,5.88,2.64,0,0,0,0</v>
      </c>
    </row>
    <row r="101" spans="1:55" x14ac:dyDescent="0.25">
      <c r="A101" t="s">
        <v>124</v>
      </c>
      <c r="B101" s="2">
        <v>2014</v>
      </c>
      <c r="C101">
        <f t="shared" si="272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252"/>
        <v>13.427679790026275</v>
      </c>
      <c r="N101">
        <f t="shared" ca="1" si="253"/>
        <v>10.713401574803129</v>
      </c>
      <c r="O101">
        <f t="shared" ca="1" si="254"/>
        <v>40.728257217847784</v>
      </c>
      <c r="P101">
        <f t="shared" ca="1" si="255"/>
        <v>36.93241994750656</v>
      </c>
      <c r="Q101">
        <f t="shared" ca="1" si="256"/>
        <v>11.403333333333421</v>
      </c>
      <c r="R101">
        <f t="shared" ca="1" si="257"/>
        <v>0</v>
      </c>
      <c r="S101" t="e">
        <f t="shared" ca="1" si="258"/>
        <v>#DIV/0!</v>
      </c>
      <c r="T101">
        <f t="shared" ca="1" si="259"/>
        <v>0.15567454068263942</v>
      </c>
      <c r="U101" t="e">
        <f t="shared" ca="1" si="260"/>
        <v>#DIV/0!</v>
      </c>
      <c r="V101" s="2">
        <f t="shared" ca="1" si="261"/>
        <v>7.3733333333333348</v>
      </c>
      <c r="W101" s="4">
        <f t="shared" ref="W101:W107" ca="1" si="286">IF(ISBLANK(C101),NA(),C101-M101)</f>
        <v>-2.8376797900262716</v>
      </c>
      <c r="X101" s="3">
        <f t="shared" ca="1" si="273"/>
        <v>-0.12340157480312541</v>
      </c>
      <c r="Y101" s="3">
        <f t="shared" ca="1" si="274"/>
        <v>-4.9282572178477864</v>
      </c>
      <c r="Z101" s="3">
        <f t="shared" ca="1" si="275"/>
        <v>7.9775800524934368</v>
      </c>
      <c r="AA101" s="3">
        <f t="shared" ca="1" si="276"/>
        <v>-2.703333333333422</v>
      </c>
      <c r="AB101" s="3" t="e">
        <f t="shared" si="277"/>
        <v>#N/A</v>
      </c>
      <c r="AC101" s="3" t="e">
        <f t="shared" si="278"/>
        <v>#N/A</v>
      </c>
      <c r="AD101" s="3" t="e">
        <f t="shared" si="279"/>
        <v>#N/A</v>
      </c>
      <c r="AE101" s="3" t="e">
        <f t="shared" si="280"/>
        <v>#N/A</v>
      </c>
      <c r="AF101" s="5">
        <f t="shared" ca="1" si="281"/>
        <v>-1.1233333333333348</v>
      </c>
      <c r="AG101">
        <f t="shared" si="282"/>
        <v>16.128333333333334</v>
      </c>
      <c r="AH101">
        <f t="shared" si="262"/>
        <v>7.0900000000000007</v>
      </c>
      <c r="AI101">
        <f t="shared" si="263"/>
        <v>37.44166666666667</v>
      </c>
      <c r="AJ101">
        <f t="shared" si="264"/>
        <v>43.603333333333332</v>
      </c>
      <c r="AK101">
        <f t="shared" si="265"/>
        <v>5.6533333333333333</v>
      </c>
      <c r="AL101">
        <f t="shared" si="266"/>
        <v>1.3450000000000002</v>
      </c>
      <c r="AM101" t="e">
        <f t="shared" si="267"/>
        <v>#DIV/0!</v>
      </c>
      <c r="AN101">
        <f t="shared" si="268"/>
        <v>7.7616666666666658</v>
      </c>
      <c r="AO101" t="e">
        <f t="shared" si="269"/>
        <v>#DIV/0!</v>
      </c>
      <c r="AP101" s="2">
        <f t="shared" si="270"/>
        <v>4.6333333333333337</v>
      </c>
      <c r="AR101" t="str">
        <f t="shared" si="283"/>
        <v>2014</v>
      </c>
      <c r="AS101" t="str">
        <f t="shared" si="284"/>
        <v>sa</v>
      </c>
      <c r="AT101" t="str">
        <f t="shared" si="285"/>
        <v>2014,sa,OTH FP,11.72,12.23,19.88,22.7,15.72,14.52,7.94,8.73</v>
      </c>
      <c r="AU101" t="str">
        <f t="shared" si="271"/>
        <v>2014,sa,xOTH FP,11.72,6.35,7.34,6.25,6.63,4.25,3.69,1.61</v>
      </c>
      <c r="AV101" t="str">
        <f t="shared" si="271"/>
        <v>2014,sa,ALP FP,37.47,45.22,36.34,35.16,30.37,40.09,48.19,46.28</v>
      </c>
      <c r="AW101" t="str">
        <f t="shared" si="271"/>
        <v>2014,sa,LNP FP,42.7,36.06,41.42,42.14,53.91,45.39,43.87,44.99</v>
      </c>
      <c r="AX101" t="str">
        <f t="shared" si="271"/>
        <v>2014,sa,GRN FP,8.11,6.49,2.36,0,0,0,0,0</v>
      </c>
      <c r="AY101" t="str">
        <f t="shared" si="271"/>
        <v>2014,sa,ONP FP,0,0.28,2.41,0,0,0,0,0</v>
      </c>
      <c r="AZ101" t="str">
        <f t="shared" si="271"/>
        <v>2014,sa,LM FP,0,0,0,0,0,0,0,0</v>
      </c>
      <c r="BA101" t="str">
        <f t="shared" si="271"/>
        <v>2014,sa,DEM FP,0.38,2.89,7.49,16.45,9.09,10.27,4.25,7.12</v>
      </c>
      <c r="BB101" t="str">
        <f t="shared" si="271"/>
        <v>2014,sa,SAB FP,0,0,0,0,0,0,0,0</v>
      </c>
      <c r="BC101" t="str">
        <f t="shared" si="271"/>
        <v>2014,sa,AC/FF FP,5.38,5.88,2.64,0,0,0,0,0</v>
      </c>
    </row>
    <row r="102" spans="1:55" x14ac:dyDescent="0.25">
      <c r="A102" t="s">
        <v>126</v>
      </c>
      <c r="B102" s="2">
        <v>2010</v>
      </c>
      <c r="C102">
        <f t="shared" si="272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252"/>
        <v>19.717340425531916</v>
      </c>
      <c r="N102">
        <f t="shared" ca="1" si="253"/>
        <v>7.9313829787233772</v>
      </c>
      <c r="O102">
        <f t="shared" ca="1" si="254"/>
        <v>37.378617021276625</v>
      </c>
      <c r="P102">
        <f t="shared" ca="1" si="255"/>
        <v>37.452191489361667</v>
      </c>
      <c r="Q102">
        <f t="shared" ca="1" si="256"/>
        <v>10.619999999999891</v>
      </c>
      <c r="R102">
        <f t="shared" ca="1" si="257"/>
        <v>0</v>
      </c>
      <c r="S102" t="e">
        <f t="shared" ca="1" si="258"/>
        <v>#DIV/0!</v>
      </c>
      <c r="T102">
        <f t="shared" ca="1" si="259"/>
        <v>7.3771914893617065</v>
      </c>
      <c r="U102" t="e">
        <f t="shared" ca="1" si="260"/>
        <v>#DIV/0!</v>
      </c>
      <c r="V102" s="2">
        <f t="shared" ca="1" si="261"/>
        <v>9.1200000000001182</v>
      </c>
      <c r="W102" s="4">
        <f t="shared" ca="1" si="286"/>
        <v>-7.9973404255319167</v>
      </c>
      <c r="X102" s="3">
        <f t="shared" ca="1" si="273"/>
        <v>3.7886170212766217</v>
      </c>
      <c r="Y102" s="3">
        <f t="shared" ca="1" si="274"/>
        <v>9.1382978723373753E-2</v>
      </c>
      <c r="Z102" s="3">
        <f t="shared" ca="1" si="275"/>
        <v>5.2478085106383361</v>
      </c>
      <c r="AA102" s="3">
        <f t="shared" ca="1" si="276"/>
        <v>-2.5099999999998914</v>
      </c>
      <c r="AB102" s="3" t="e">
        <f t="shared" si="277"/>
        <v>#N/A</v>
      </c>
      <c r="AC102" s="3" t="e">
        <f t="shared" si="278"/>
        <v>#N/A</v>
      </c>
      <c r="AD102" s="3">
        <f t="shared" ca="1" si="279"/>
        <v>-6.9971914893617067</v>
      </c>
      <c r="AE102" s="3" t="e">
        <f t="shared" si="280"/>
        <v>#N/A</v>
      </c>
      <c r="AF102" s="5">
        <f t="shared" ca="1" si="281"/>
        <v>-3.7400000000001183</v>
      </c>
      <c r="AG102">
        <f t="shared" si="282"/>
        <v>15.498333333333333</v>
      </c>
      <c r="AH102">
        <f t="shared" si="262"/>
        <v>5.7516666666666678</v>
      </c>
      <c r="AI102">
        <f t="shared" si="263"/>
        <v>39.228333333333332</v>
      </c>
      <c r="AJ102">
        <f t="shared" si="264"/>
        <v>43.798333333333339</v>
      </c>
      <c r="AK102">
        <f t="shared" si="265"/>
        <v>4.4249999999999998</v>
      </c>
      <c r="AL102">
        <f t="shared" si="266"/>
        <v>1.3450000000000002</v>
      </c>
      <c r="AM102" t="e">
        <f t="shared" si="267"/>
        <v>#DIV/0!</v>
      </c>
      <c r="AN102">
        <f t="shared" si="268"/>
        <v>8.4066666666666663</v>
      </c>
      <c r="AO102" t="e">
        <f t="shared" si="269"/>
        <v>#DIV/0!</v>
      </c>
      <c r="AP102" s="2">
        <f t="shared" si="270"/>
        <v>4.26</v>
      </c>
      <c r="AR102" t="str">
        <f t="shared" si="283"/>
        <v>2010</v>
      </c>
      <c r="AS102" t="str">
        <f t="shared" si="284"/>
        <v>sa</v>
      </c>
      <c r="AT102" t="str">
        <f t="shared" si="285"/>
        <v>2010,sa,OTH FP,12.23,19.88,22.7,15.72,14.52,7.94,8.73,9.29</v>
      </c>
      <c r="AU102" t="str">
        <f t="shared" si="271"/>
        <v>2010,sa,xOTH FP,6.35,7.34,6.25,6.63,4.25,3.69,1.61,0.99</v>
      </c>
      <c r="AV102" t="str">
        <f t="shared" si="271"/>
        <v>2010,sa,ALP FP,45.22,36.34,35.16,30.37,40.09,48.19,46.28,40.86</v>
      </c>
      <c r="AW102" t="str">
        <f t="shared" si="271"/>
        <v>2010,sa,LNP FP,36.06,41.42,42.14,53.91,45.39,43.87,44.99,49.85</v>
      </c>
      <c r="AX102" t="str">
        <f t="shared" si="271"/>
        <v>2010,sa,GRN FP,6.49,2.36,0,0,0,0,0,0</v>
      </c>
      <c r="AY102" t="str">
        <f t="shared" si="271"/>
        <v>2010,sa,ONP FP,0.28,2.41,0,0,0,0,0,0</v>
      </c>
      <c r="AZ102" t="str">
        <f t="shared" si="271"/>
        <v>2010,sa,LM FP,0,0,0,0,0,0,0,0</v>
      </c>
      <c r="BA102" t="str">
        <f t="shared" si="271"/>
        <v>2010,sa,DEM FP,2.89,7.49,16.45,9.09,10.27,4.25,7.12,8.3</v>
      </c>
      <c r="BB102" t="str">
        <f t="shared" si="271"/>
        <v>2010,sa,SAB FP,0,0,0,0,0,0,0,0</v>
      </c>
      <c r="BC102" t="str">
        <f t="shared" si="271"/>
        <v>2010,sa,AC/FF FP,5.88,2.64,0,0,0,0,0,0</v>
      </c>
    </row>
    <row r="103" spans="1:55" x14ac:dyDescent="0.25">
      <c r="A103" t="s">
        <v>127</v>
      </c>
      <c r="B103" s="2">
        <v>2006</v>
      </c>
      <c r="C103">
        <f t="shared" si="272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252"/>
        <v>25.406184834123223</v>
      </c>
      <c r="N103">
        <f t="shared" ca="1" si="253"/>
        <v>8.9470379146920322</v>
      </c>
      <c r="O103">
        <f t="shared" ca="1" si="254"/>
        <v>29.332440758293842</v>
      </c>
      <c r="P103">
        <f t="shared" ca="1" si="255"/>
        <v>43.555687203791479</v>
      </c>
      <c r="Q103" t="e">
        <f t="shared" ca="1" si="256"/>
        <v>#DIV/0!</v>
      </c>
      <c r="R103" t="e">
        <f t="shared" ca="1" si="257"/>
        <v>#DIV/0!</v>
      </c>
      <c r="S103" t="e">
        <f t="shared" ca="1" si="258"/>
        <v>#DIV/0!</v>
      </c>
      <c r="T103">
        <f t="shared" ca="1" si="259"/>
        <v>12.809265402843664</v>
      </c>
      <c r="U103" t="e">
        <f t="shared" ca="1" si="260"/>
        <v>#DIV/0!</v>
      </c>
      <c r="V103" s="2" t="e">
        <f t="shared" ca="1" si="261"/>
        <v>#DIV/0!</v>
      </c>
      <c r="W103" s="4">
        <f t="shared" ca="1" si="286"/>
        <v>-13.17618483412322</v>
      </c>
      <c r="X103" s="3">
        <f t="shared" ca="1" si="273"/>
        <v>-2.5970379146920282</v>
      </c>
      <c r="Y103" s="3">
        <f t="shared" ca="1" si="274"/>
        <v>15.887559241706157</v>
      </c>
      <c r="Z103" s="3">
        <f t="shared" ca="1" si="275"/>
        <v>-7.4956872037914763</v>
      </c>
      <c r="AA103" s="3" t="e">
        <f t="shared" ca="1" si="276"/>
        <v>#DIV/0!</v>
      </c>
      <c r="AB103" s="3" t="e">
        <f t="shared" ca="1" si="277"/>
        <v>#DIV/0!</v>
      </c>
      <c r="AC103" s="3" t="e">
        <f t="shared" si="278"/>
        <v>#N/A</v>
      </c>
      <c r="AD103" s="3">
        <f t="shared" ca="1" si="279"/>
        <v>-9.9192654028436635</v>
      </c>
      <c r="AE103" s="3" t="e">
        <f t="shared" si="280"/>
        <v>#N/A</v>
      </c>
      <c r="AF103" s="5" t="e">
        <f t="shared" ca="1" si="281"/>
        <v>#DIV/0!</v>
      </c>
      <c r="AG103">
        <f t="shared" si="282"/>
        <v>14.914999999999997</v>
      </c>
      <c r="AH103">
        <f t="shared" si="262"/>
        <v>4.9616666666666633</v>
      </c>
      <c r="AI103">
        <f t="shared" si="263"/>
        <v>39.405000000000001</v>
      </c>
      <c r="AJ103">
        <f t="shared" si="264"/>
        <v>45.286666666666669</v>
      </c>
      <c r="AK103">
        <f t="shared" si="265"/>
        <v>2.36</v>
      </c>
      <c r="AL103">
        <f t="shared" si="266"/>
        <v>2.41</v>
      </c>
      <c r="AM103" t="e">
        <f t="shared" si="267"/>
        <v>#DIV/0!</v>
      </c>
      <c r="AN103">
        <f t="shared" si="268"/>
        <v>9.1116666666666664</v>
      </c>
      <c r="AO103" t="e">
        <f t="shared" si="269"/>
        <v>#DIV/0!</v>
      </c>
      <c r="AP103" s="2">
        <f t="shared" si="270"/>
        <v>2.64</v>
      </c>
      <c r="AR103" t="str">
        <f t="shared" ref="AR103" si="287">LEFT(A103,FIND(" ",A103)-1)</f>
        <v>2006</v>
      </c>
      <c r="AS103" t="str">
        <f t="shared" ref="AS103" si="288">MID(A103,FIND(" ",A103)+1,1000)</f>
        <v>sa</v>
      </c>
      <c r="AT103" t="str">
        <f t="shared" si="285"/>
        <v>2006,sa,OTH FP,19.88,22.7,15.72,14.52,7.94,8.73,9.29,5.56</v>
      </c>
      <c r="AU103" t="str">
        <f t="shared" si="271"/>
        <v>2006,sa,xOTH FP,7.34,6.25,6.63,4.25,3.69,1.61,0.99,2.08</v>
      </c>
      <c r="AV103" t="str">
        <f t="shared" si="271"/>
        <v>2006,sa,ALP FP,36.34,35.16,30.37,40.09,48.19,46.28,40.86,51.64</v>
      </c>
      <c r="AW103" t="str">
        <f t="shared" si="271"/>
        <v>2006,sa,LNP FP,41.42,42.14,53.91,45.39,43.87,44.99,49.85,42.8</v>
      </c>
      <c r="AX103" t="str">
        <f t="shared" si="271"/>
        <v>2006,sa,GRN FP,2.36,0,0,0,0,0,0,0</v>
      </c>
      <c r="AY103" t="str">
        <f t="shared" si="271"/>
        <v>2006,sa,ONP FP,2.41,0,0,0,0,0,0,0</v>
      </c>
      <c r="AZ103" t="str">
        <f t="shared" si="271"/>
        <v>2006,sa,LM FP,0,0,0,0,0,0,0,0</v>
      </c>
      <c r="BA103" t="str">
        <f t="shared" si="271"/>
        <v>2006,sa,DEM FP,7.49,16.45,9.09,10.27,4.25,7.12,8.3,3.48</v>
      </c>
      <c r="BB103" t="str">
        <f t="shared" si="271"/>
        <v>2006,sa,SAB FP,0,0,0,0,0,0,0,0</v>
      </c>
      <c r="BC103" t="str">
        <f t="shared" si="271"/>
        <v>2006,sa,AC/FF FP,2.64,0,0,0,0,0,0,0</v>
      </c>
    </row>
    <row r="104" spans="1:55" x14ac:dyDescent="0.25">
      <c r="A104" t="s">
        <v>128</v>
      </c>
      <c r="B104" s="2">
        <v>2002</v>
      </c>
      <c r="C104">
        <f t="shared" si="272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252"/>
        <v>24.240151187904985</v>
      </c>
      <c r="N104">
        <f t="shared" ca="1" si="253"/>
        <v>8.6460547156226539</v>
      </c>
      <c r="O104">
        <f t="shared" ca="1" si="254"/>
        <v>30.065644348452224</v>
      </c>
      <c r="P104">
        <f t="shared" ca="1" si="255"/>
        <v>45.694204463642905</v>
      </c>
      <c r="Q104" t="e">
        <f t="shared" ca="1" si="256"/>
        <v>#DIV/0!</v>
      </c>
      <c r="R104" t="e">
        <f t="shared" ca="1" si="257"/>
        <v>#DIV/0!</v>
      </c>
      <c r="S104" t="e">
        <f t="shared" ca="1" si="258"/>
        <v>#DIV/0!</v>
      </c>
      <c r="T104">
        <f t="shared" ca="1" si="259"/>
        <v>15.594096472282217</v>
      </c>
      <c r="U104" t="e">
        <f t="shared" ca="1" si="260"/>
        <v>#DIV/0!</v>
      </c>
      <c r="V104" s="2" t="e">
        <f t="shared" ca="1" si="261"/>
        <v>#DIV/0!</v>
      </c>
      <c r="W104" s="4">
        <f t="shared" ca="1" si="286"/>
        <v>-4.3601511879049895</v>
      </c>
      <c r="X104" s="3">
        <f t="shared" ca="1" si="273"/>
        <v>-1.3060547156226505</v>
      </c>
      <c r="Y104" s="3">
        <f t="shared" ca="1" si="274"/>
        <v>6.2743556515477792</v>
      </c>
      <c r="Z104" s="3">
        <f t="shared" ca="1" si="275"/>
        <v>-4.2742044636429029</v>
      </c>
      <c r="AA104" s="3" t="e">
        <f t="shared" ca="1" si="276"/>
        <v>#DIV/0!</v>
      </c>
      <c r="AB104" s="3" t="e">
        <f t="shared" ca="1" si="277"/>
        <v>#DIV/0!</v>
      </c>
      <c r="AC104" s="3" t="e">
        <f t="shared" si="278"/>
        <v>#N/A</v>
      </c>
      <c r="AD104" s="3">
        <f t="shared" ca="1" si="279"/>
        <v>-8.1040964722822171</v>
      </c>
      <c r="AE104" s="3" t="e">
        <f t="shared" si="280"/>
        <v>#N/A</v>
      </c>
      <c r="AF104" s="5" t="e">
        <f t="shared" ca="1" si="281"/>
        <v>#DIV/0!</v>
      </c>
      <c r="AG104">
        <f t="shared" si="282"/>
        <v>13.149999999999997</v>
      </c>
      <c r="AH104">
        <f t="shared" si="262"/>
        <v>3.9033333333333289</v>
      </c>
      <c r="AI104">
        <f t="shared" si="263"/>
        <v>40.158333333333331</v>
      </c>
      <c r="AJ104">
        <f t="shared" si="264"/>
        <v>46.69166666666667</v>
      </c>
      <c r="AK104" t="e">
        <f t="shared" si="265"/>
        <v>#DIV/0!</v>
      </c>
      <c r="AL104" t="e">
        <f t="shared" si="266"/>
        <v>#DIV/0!</v>
      </c>
      <c r="AM104" t="e">
        <f t="shared" si="267"/>
        <v>#DIV/0!</v>
      </c>
      <c r="AN104">
        <f t="shared" si="268"/>
        <v>9.2466666666666679</v>
      </c>
      <c r="AO104" t="e">
        <f t="shared" si="269"/>
        <v>#DIV/0!</v>
      </c>
      <c r="AP104" s="2" t="e">
        <f t="shared" si="270"/>
        <v>#DIV/0!</v>
      </c>
    </row>
    <row r="105" spans="1:55" x14ac:dyDescent="0.25">
      <c r="A105" t="s">
        <v>129</v>
      </c>
      <c r="B105" s="2">
        <v>1997</v>
      </c>
      <c r="C105">
        <f t="shared" si="272"/>
        <v>22.700000000000003</v>
      </c>
      <c r="D105">
        <f t="shared" ref="D105:D113" si="289">100-SUM(E105:L105)</f>
        <v>6.25</v>
      </c>
      <c r="E105">
        <v>35.159999999999997</v>
      </c>
      <c r="F105">
        <v>42.14</v>
      </c>
      <c r="J105">
        <v>16.45</v>
      </c>
      <c r="M105">
        <f t="shared" ca="1" si="252"/>
        <v>17.854238052299252</v>
      </c>
      <c r="N105">
        <f t="shared" ca="1" si="253"/>
        <v>7.2820198376915641</v>
      </c>
      <c r="O105">
        <f t="shared" ca="1" si="254"/>
        <v>30.457592425608709</v>
      </c>
      <c r="P105">
        <f t="shared" ca="1" si="255"/>
        <v>51.688169522091812</v>
      </c>
      <c r="Q105" t="e">
        <f t="shared" ca="1" si="256"/>
        <v>#DIV/0!</v>
      </c>
      <c r="R105" t="e">
        <f t="shared" ca="1" si="257"/>
        <v>#DIV/0!</v>
      </c>
      <c r="S105" t="e">
        <f t="shared" ca="1" si="258"/>
        <v>#DIV/0!</v>
      </c>
      <c r="T105">
        <f t="shared" ca="1" si="259"/>
        <v>10.572218214607801</v>
      </c>
      <c r="U105" t="e">
        <f t="shared" ca="1" si="260"/>
        <v>#DIV/0!</v>
      </c>
      <c r="V105" s="2" t="e">
        <f t="shared" ca="1" si="261"/>
        <v>#DIV/0!</v>
      </c>
      <c r="W105" s="4">
        <f t="shared" ca="1" si="286"/>
        <v>4.8457619477007512</v>
      </c>
      <c r="X105" s="3">
        <f t="shared" ca="1" si="273"/>
        <v>-1.0320198376915641</v>
      </c>
      <c r="Y105" s="3">
        <f t="shared" ca="1" si="274"/>
        <v>4.7024075743912874</v>
      </c>
      <c r="Z105" s="3">
        <f t="shared" ca="1" si="275"/>
        <v>-9.5481695220918112</v>
      </c>
      <c r="AA105" s="3" t="e">
        <f t="shared" si="276"/>
        <v>#N/A</v>
      </c>
      <c r="AB105" s="3" t="e">
        <f t="shared" si="277"/>
        <v>#N/A</v>
      </c>
      <c r="AC105" s="3" t="e">
        <f t="shared" si="278"/>
        <v>#N/A</v>
      </c>
      <c r="AD105" s="3">
        <f t="shared" ca="1" si="279"/>
        <v>5.8777817853921981</v>
      </c>
      <c r="AE105" s="3" t="e">
        <f t="shared" si="280"/>
        <v>#N/A</v>
      </c>
      <c r="AF105" s="5" t="e">
        <f t="shared" si="281"/>
        <v>#N/A</v>
      </c>
      <c r="AG105">
        <f t="shared" si="282"/>
        <v>10.293333333333329</v>
      </c>
      <c r="AH105">
        <f t="shared" si="262"/>
        <v>3.2083333333333286</v>
      </c>
      <c r="AI105">
        <f t="shared" si="263"/>
        <v>42.905000000000001</v>
      </c>
      <c r="AJ105">
        <f t="shared" si="264"/>
        <v>46.801666666666669</v>
      </c>
      <c r="AK105" t="e">
        <f t="shared" si="265"/>
        <v>#DIV/0!</v>
      </c>
      <c r="AL105" t="e">
        <f t="shared" si="266"/>
        <v>#DIV/0!</v>
      </c>
      <c r="AM105" t="e">
        <f t="shared" si="267"/>
        <v>#DIV/0!</v>
      </c>
      <c r="AN105">
        <f t="shared" si="268"/>
        <v>7.085</v>
      </c>
      <c r="AO105" t="e">
        <f t="shared" si="269"/>
        <v>#DIV/0!</v>
      </c>
      <c r="AP105" s="2" t="e">
        <f t="shared" si="270"/>
        <v>#DIV/0!</v>
      </c>
    </row>
    <row r="106" spans="1:55" x14ac:dyDescent="0.25">
      <c r="A106" t="s">
        <v>130</v>
      </c>
      <c r="B106" s="2">
        <v>1993</v>
      </c>
      <c r="C106">
        <f t="shared" si="272"/>
        <v>15.719999999999999</v>
      </c>
      <c r="D106">
        <f t="shared" si="289"/>
        <v>6.6299999999999955</v>
      </c>
      <c r="E106">
        <v>30.37</v>
      </c>
      <c r="F106">
        <v>53.91</v>
      </c>
      <c r="J106">
        <v>9.09</v>
      </c>
      <c r="M106">
        <f t="shared" ca="1" si="252"/>
        <v>9.9214981729598151</v>
      </c>
      <c r="N106">
        <f t="shared" ca="1" si="253"/>
        <v>4.9797320341047566</v>
      </c>
      <c r="O106">
        <f t="shared" ca="1" si="254"/>
        <v>41.066090133983039</v>
      </c>
      <c r="P106">
        <f t="shared" ca="1" si="255"/>
        <v>49.012411693057174</v>
      </c>
      <c r="Q106" t="e">
        <f t="shared" ca="1" si="256"/>
        <v>#DIV/0!</v>
      </c>
      <c r="R106" t="e">
        <f t="shared" ca="1" si="257"/>
        <v>#DIV/0!</v>
      </c>
      <c r="S106" t="e">
        <f t="shared" ca="1" si="258"/>
        <v>#DIV/0!</v>
      </c>
      <c r="T106">
        <f t="shared" ca="1" si="259"/>
        <v>10.051359649122787</v>
      </c>
      <c r="U106" t="e">
        <f t="shared" ca="1" si="260"/>
        <v>#DIV/0!</v>
      </c>
      <c r="V106" s="2" t="e">
        <f t="shared" ca="1" si="261"/>
        <v>#DIV/0!</v>
      </c>
      <c r="W106" s="4">
        <f t="shared" ca="1" si="286"/>
        <v>5.7985018270401838</v>
      </c>
      <c r="X106" s="3">
        <f t="shared" ca="1" si="273"/>
        <v>1.6502679658952388</v>
      </c>
      <c r="Y106" s="3">
        <f t="shared" ca="1" si="274"/>
        <v>-10.696090133983038</v>
      </c>
      <c r="Z106" s="3">
        <f t="shared" ca="1" si="275"/>
        <v>4.8975883069428221</v>
      </c>
      <c r="AA106" s="3" t="e">
        <f t="shared" si="276"/>
        <v>#N/A</v>
      </c>
      <c r="AB106" s="3" t="e">
        <f t="shared" si="277"/>
        <v>#N/A</v>
      </c>
      <c r="AC106" s="3" t="e">
        <f t="shared" si="278"/>
        <v>#N/A</v>
      </c>
      <c r="AD106" s="3">
        <f t="shared" ca="1" si="279"/>
        <v>-0.96135964912278737</v>
      </c>
      <c r="AE106" s="3" t="e">
        <f t="shared" si="280"/>
        <v>#N/A</v>
      </c>
      <c r="AF106" s="5" t="e">
        <f t="shared" si="281"/>
        <v>#N/A</v>
      </c>
      <c r="AG106">
        <f t="shared" si="282"/>
        <v>10.903333333333329</v>
      </c>
      <c r="AH106">
        <f t="shared" si="262"/>
        <v>2.2883333333333291</v>
      </c>
      <c r="AI106">
        <f t="shared" si="263"/>
        <v>45.563333333333333</v>
      </c>
      <c r="AJ106">
        <f t="shared" si="264"/>
        <v>43.533333333333331</v>
      </c>
      <c r="AK106" t="e">
        <f t="shared" si="265"/>
        <v>#DIV/0!</v>
      </c>
      <c r="AL106" t="e">
        <f t="shared" si="266"/>
        <v>#DIV/0!</v>
      </c>
      <c r="AM106">
        <f t="shared" si="267"/>
        <v>18.27</v>
      </c>
      <c r="AN106">
        <f t="shared" si="268"/>
        <v>6.6840000000000002</v>
      </c>
      <c r="AO106" t="e">
        <f t="shared" si="269"/>
        <v>#DIV/0!</v>
      </c>
      <c r="AP106" s="2" t="e">
        <f t="shared" si="270"/>
        <v>#DIV/0!</v>
      </c>
    </row>
    <row r="107" spans="1:55" x14ac:dyDescent="0.25">
      <c r="A107" t="s">
        <v>131</v>
      </c>
      <c r="B107" s="2">
        <v>1989</v>
      </c>
      <c r="C107">
        <f t="shared" si="272"/>
        <v>14.519999999999996</v>
      </c>
      <c r="D107">
        <f t="shared" si="289"/>
        <v>4.25</v>
      </c>
      <c r="E107">
        <v>40.090000000000003</v>
      </c>
      <c r="F107">
        <v>45.39</v>
      </c>
      <c r="J107">
        <v>10.27</v>
      </c>
      <c r="M107">
        <f t="shared" ca="1" si="252"/>
        <v>7.6409045226130843</v>
      </c>
      <c r="N107">
        <f t="shared" ca="1" si="253"/>
        <v>2.0535008375209287</v>
      </c>
      <c r="O107">
        <f t="shared" ca="1" si="254"/>
        <v>44.5879564489112</v>
      </c>
      <c r="P107">
        <f t="shared" ca="1" si="255"/>
        <v>47.771139028475659</v>
      </c>
      <c r="Q107" t="e">
        <f t="shared" ca="1" si="256"/>
        <v>#DIV/0!</v>
      </c>
      <c r="R107" t="e">
        <f t="shared" ca="1" si="257"/>
        <v>#DIV/0!</v>
      </c>
      <c r="S107" t="e">
        <f t="shared" ca="1" si="258"/>
        <v>#DIV/0!</v>
      </c>
      <c r="T107">
        <f t="shared" ca="1" si="259"/>
        <v>5.6499999999999986</v>
      </c>
      <c r="U107" t="e">
        <f t="shared" ca="1" si="260"/>
        <v>#DIV/0!</v>
      </c>
      <c r="V107" s="2" t="e">
        <f t="shared" ca="1" si="261"/>
        <v>#DIV/0!</v>
      </c>
      <c r="W107" s="4">
        <f t="shared" ca="1" si="286"/>
        <v>6.8790954773869117</v>
      </c>
      <c r="X107" s="3">
        <f t="shared" ca="1" si="273"/>
        <v>2.1964991624790713</v>
      </c>
      <c r="Y107" s="3">
        <f t="shared" ca="1" si="274"/>
        <v>-4.4979564489111965</v>
      </c>
      <c r="Z107" s="3">
        <f t="shared" ca="1" si="275"/>
        <v>-2.3811390284756584</v>
      </c>
      <c r="AA107" s="3" t="e">
        <f t="shared" si="276"/>
        <v>#N/A</v>
      </c>
      <c r="AB107" s="3" t="e">
        <f t="shared" si="277"/>
        <v>#N/A</v>
      </c>
      <c r="AC107" s="3" t="e">
        <f t="shared" si="278"/>
        <v>#N/A</v>
      </c>
      <c r="AD107" s="3">
        <f t="shared" ca="1" si="279"/>
        <v>4.620000000000001</v>
      </c>
      <c r="AE107" s="3" t="e">
        <f t="shared" si="280"/>
        <v>#N/A</v>
      </c>
      <c r="AF107" s="5" t="e">
        <f t="shared" si="281"/>
        <v>#N/A</v>
      </c>
      <c r="AG107">
        <f t="shared" si="282"/>
        <v>9.2749999999999968</v>
      </c>
      <c r="AH107">
        <f t="shared" si="262"/>
        <v>2.3716666666666626</v>
      </c>
      <c r="AI107">
        <f t="shared" si="263"/>
        <v>47.468333333333327</v>
      </c>
      <c r="AJ107">
        <f t="shared" si="264"/>
        <v>43.256666666666668</v>
      </c>
      <c r="AK107" t="e">
        <f t="shared" si="265"/>
        <v>#DIV/0!</v>
      </c>
      <c r="AL107" t="e">
        <f t="shared" si="266"/>
        <v>#DIV/0!</v>
      </c>
      <c r="AM107">
        <f t="shared" si="267"/>
        <v>18.27</v>
      </c>
      <c r="AN107">
        <f t="shared" si="268"/>
        <v>5.7875000000000005</v>
      </c>
      <c r="AO107" t="e">
        <f t="shared" si="269"/>
        <v>#DIV/0!</v>
      </c>
      <c r="AP107" s="2" t="e">
        <f t="shared" si="270"/>
        <v>#DIV/0!</v>
      </c>
    </row>
    <row r="108" spans="1:55" x14ac:dyDescent="0.25">
      <c r="A108" t="s">
        <v>132</v>
      </c>
      <c r="B108" s="2">
        <v>1985</v>
      </c>
      <c r="C108">
        <f t="shared" si="272"/>
        <v>7.9399999999999977</v>
      </c>
      <c r="D108">
        <f t="shared" si="289"/>
        <v>3.6899999999999977</v>
      </c>
      <c r="E108">
        <v>48.19</v>
      </c>
      <c r="F108">
        <v>43.87</v>
      </c>
      <c r="J108">
        <v>4.25</v>
      </c>
      <c r="M108">
        <f t="shared" ref="M108:V108" ca="1" si="290">MAX(0,_xlfn.FORECAST.LINEAR($B108,OFFSET(C109,0,0,$D$1),OFFSET($B109,0,0,$D$1)))</f>
        <v>11.921449275362306</v>
      </c>
      <c r="N108">
        <f t="shared" ca="1" si="290"/>
        <v>0.55829710144928413</v>
      </c>
      <c r="O108">
        <f t="shared" ca="1" si="290"/>
        <v>42.289202898550684</v>
      </c>
      <c r="P108">
        <f t="shared" ca="1" si="290"/>
        <v>45.789347826086953</v>
      </c>
      <c r="Q108" t="e">
        <f t="shared" ca="1" si="290"/>
        <v>#DIV/0!</v>
      </c>
      <c r="R108" t="e">
        <f t="shared" ca="1" si="290"/>
        <v>#DIV/0!</v>
      </c>
      <c r="S108" t="e">
        <f t="shared" ca="1" si="290"/>
        <v>#DIV/0!</v>
      </c>
      <c r="T108">
        <f t="shared" ca="1" si="290"/>
        <v>9.9236842105262895</v>
      </c>
      <c r="U108" t="e">
        <f t="shared" ca="1" si="290"/>
        <v>#DIV/0!</v>
      </c>
      <c r="V108" s="2" t="e">
        <f t="shared" ca="1" si="290"/>
        <v>#DIV/0!</v>
      </c>
      <c r="W108" s="4">
        <f t="shared" ref="W108:AF108" ca="1" si="291">IF(ISBLANK(C108),NA(),C108-M108)</f>
        <v>-3.9814492753623085</v>
      </c>
      <c r="X108" s="3">
        <f t="shared" ca="1" si="291"/>
        <v>3.1317028985507136</v>
      </c>
      <c r="Y108" s="3">
        <f t="shared" ca="1" si="291"/>
        <v>5.9007971014493137</v>
      </c>
      <c r="Z108" s="3">
        <f t="shared" ca="1" si="291"/>
        <v>-1.9193478260869554</v>
      </c>
      <c r="AA108" s="3" t="e">
        <f t="shared" si="291"/>
        <v>#N/A</v>
      </c>
      <c r="AB108" s="3" t="e">
        <f t="shared" si="291"/>
        <v>#N/A</v>
      </c>
      <c r="AC108" s="3" t="e">
        <f t="shared" si="291"/>
        <v>#N/A</v>
      </c>
      <c r="AD108" s="3">
        <f t="shared" ca="1" si="291"/>
        <v>-5.6736842105262895</v>
      </c>
      <c r="AE108" s="3" t="e">
        <f t="shared" si="291"/>
        <v>#N/A</v>
      </c>
      <c r="AF108" s="5" t="e">
        <f t="shared" si="291"/>
        <v>#N/A</v>
      </c>
      <c r="AG108">
        <f t="shared" ref="AG108:AP108" si="292">AVERAGE(C109:C114)</f>
        <v>8.4016666666666637</v>
      </c>
      <c r="AH108">
        <f t="shared" si="292"/>
        <v>2.2066666666666634</v>
      </c>
      <c r="AI108">
        <f t="shared" si="292"/>
        <v>48.043333333333329</v>
      </c>
      <c r="AJ108">
        <f t="shared" si="292"/>
        <v>43.555</v>
      </c>
      <c r="AK108" t="e">
        <f t="shared" si="292"/>
        <v>#DIV/0!</v>
      </c>
      <c r="AL108" t="e">
        <f t="shared" si="292"/>
        <v>#DIV/0!</v>
      </c>
      <c r="AM108">
        <f t="shared" si="292"/>
        <v>18.27</v>
      </c>
      <c r="AN108">
        <f t="shared" si="292"/>
        <v>6.3000000000000007</v>
      </c>
      <c r="AO108" t="e">
        <f t="shared" si="292"/>
        <v>#DIV/0!</v>
      </c>
      <c r="AP108" s="2" t="e">
        <f t="shared" si="292"/>
        <v>#DIV/0!</v>
      </c>
    </row>
    <row r="109" spans="1:55" x14ac:dyDescent="0.25">
      <c r="A109" t="s">
        <v>133</v>
      </c>
      <c r="B109" s="2">
        <v>1982</v>
      </c>
      <c r="C109">
        <f t="shared" si="272"/>
        <v>8.7299999999999898</v>
      </c>
      <c r="D109">
        <f t="shared" si="289"/>
        <v>1.6099999999999852</v>
      </c>
      <c r="E109">
        <v>46.28</v>
      </c>
      <c r="F109">
        <v>44.99</v>
      </c>
      <c r="J109">
        <v>7.12</v>
      </c>
    </row>
    <row r="110" spans="1:55" x14ac:dyDescent="0.25">
      <c r="A110" t="s">
        <v>134</v>
      </c>
      <c r="B110" s="2">
        <v>1979</v>
      </c>
      <c r="C110">
        <f t="shared" si="272"/>
        <v>9.289999999999992</v>
      </c>
      <c r="D110">
        <f t="shared" si="289"/>
        <v>0.98999999999999488</v>
      </c>
      <c r="E110">
        <v>40.86</v>
      </c>
      <c r="F110">
        <v>49.85</v>
      </c>
      <c r="J110">
        <v>8.3000000000000007</v>
      </c>
    </row>
    <row r="111" spans="1:55" x14ac:dyDescent="0.25">
      <c r="A111" t="s">
        <v>135</v>
      </c>
      <c r="B111" s="2">
        <v>1977</v>
      </c>
      <c r="C111">
        <f t="shared" si="272"/>
        <v>5.5600000000000023</v>
      </c>
      <c r="D111">
        <f t="shared" si="289"/>
        <v>2.0799999999999983</v>
      </c>
      <c r="E111">
        <v>51.64</v>
      </c>
      <c r="F111">
        <v>42.8</v>
      </c>
      <c r="J111">
        <v>3.48</v>
      </c>
    </row>
    <row r="112" spans="1:55" x14ac:dyDescent="0.25">
      <c r="A112" t="s">
        <v>136</v>
      </c>
      <c r="B112" s="2">
        <v>1975</v>
      </c>
      <c r="C112">
        <f t="shared" si="272"/>
        <v>19.379999999999995</v>
      </c>
      <c r="D112">
        <f t="shared" si="289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138</v>
      </c>
      <c r="B113" s="2">
        <v>1973</v>
      </c>
      <c r="C113">
        <f t="shared" si="272"/>
        <v>4.75</v>
      </c>
      <c r="D113">
        <f t="shared" si="289"/>
        <v>4.75</v>
      </c>
      <c r="E113">
        <v>51.52</v>
      </c>
      <c r="F113">
        <v>43.73</v>
      </c>
    </row>
    <row r="114" spans="1:6" x14ac:dyDescent="0.25">
      <c r="A114" t="s">
        <v>139</v>
      </c>
      <c r="B114" s="2">
        <v>1970</v>
      </c>
      <c r="C114">
        <f t="shared" si="272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1:C1"/>
    <mergeCell ref="AN40:AP40"/>
    <mergeCell ref="T19:V19"/>
    <mergeCell ref="T20:V20"/>
    <mergeCell ref="C2:L2"/>
    <mergeCell ref="M2:V2"/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Z4" workbookViewId="0">
      <selection activeCell="BD31" sqref="BD3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141</v>
      </c>
      <c r="X3" s="6" t="s">
        <v>142</v>
      </c>
      <c r="Y3" s="6" t="s">
        <v>143</v>
      </c>
      <c r="Z3" s="6" t="s">
        <v>146</v>
      </c>
      <c r="AA3" s="6" t="s">
        <v>147</v>
      </c>
      <c r="AB3" s="2" t="s">
        <v>148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141</v>
      </c>
      <c r="AZ3" s="3" t="s">
        <v>144</v>
      </c>
      <c r="BA3" s="6" t="s">
        <v>145</v>
      </c>
      <c r="BB3" s="6" t="s">
        <v>146</v>
      </c>
      <c r="BC3" s="6" t="s">
        <v>147</v>
      </c>
      <c r="BD3" s="2" t="s">
        <v>148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0.12739130434782578</v>
      </c>
      <c r="R4" s="10">
        <f t="shared" si="0"/>
        <v>0.23586666666666659</v>
      </c>
      <c r="S4" s="10">
        <f t="shared" si="0"/>
        <v>0.50435897435897437</v>
      </c>
      <c r="T4" s="10">
        <f t="shared" si="0"/>
        <v>-8.7654320987654077E-2</v>
      </c>
      <c r="U4" s="10">
        <f t="shared" si="0"/>
        <v>0.26080246913580252</v>
      </c>
      <c r="V4" s="10">
        <f t="shared" si="0"/>
        <v>0.16432098765432102</v>
      </c>
      <c r="W4" s="14">
        <v>0.71674094215590389</v>
      </c>
      <c r="X4" s="10">
        <v>0.74314453233140509</v>
      </c>
      <c r="Y4" s="10">
        <v>0.78219861732424678</v>
      </c>
      <c r="Z4" s="10">
        <v>0.84432692317225888</v>
      </c>
      <c r="AA4" s="10">
        <v>0.85725064738717471</v>
      </c>
      <c r="AB4" s="15">
        <v>0.93878824965277252</v>
      </c>
      <c r="AC4" s="15"/>
      <c r="AE4" s="14">
        <f ca="1">SQRT(SUMSQ(AE5:AE1002)/COUNT(AE5:AE1002))</f>
        <v>6.9925147700552213</v>
      </c>
      <c r="AF4" s="10">
        <f t="shared" ref="AF4:BD4" ca="1" si="1">SQRT(SUMSQ(AF5:AF1002)/COUNT(AF5:AF1002))</f>
        <v>6.4341784131194135</v>
      </c>
      <c r="AG4" s="10">
        <f t="shared" ca="1" si="1"/>
        <v>6.5643001940067505</v>
      </c>
      <c r="AH4" s="10">
        <f t="shared" ca="1" si="1"/>
        <v>6.4400346023148316</v>
      </c>
      <c r="AI4" s="10">
        <f t="shared" ca="1" si="1"/>
        <v>6.3200819519710043</v>
      </c>
      <c r="AJ4" s="10">
        <f t="shared" ca="1" si="1"/>
        <v>5.9459834684774728</v>
      </c>
      <c r="AK4" s="10">
        <f t="shared" ca="1" si="1"/>
        <v>6.0175902645986614</v>
      </c>
      <c r="AL4" s="10">
        <f t="shared" ca="1" si="1"/>
        <v>6.521502436457614</v>
      </c>
      <c r="AM4" s="14">
        <f t="shared" si="1"/>
        <v>4.9422519755038774</v>
      </c>
      <c r="AN4" s="10">
        <f t="shared" si="1"/>
        <v>4.2780001038907054</v>
      </c>
      <c r="AO4" s="10">
        <f t="shared" si="1"/>
        <v>3.6814164869554422</v>
      </c>
      <c r="AP4" s="10">
        <f t="shared" si="1"/>
        <v>3.0930004610170769</v>
      </c>
      <c r="AQ4" s="10">
        <f t="shared" si="1"/>
        <v>3.0040572187730628</v>
      </c>
      <c r="AR4" s="10">
        <f t="shared" si="1"/>
        <v>2.0283219969858806</v>
      </c>
      <c r="AS4" s="14">
        <f t="shared" si="1"/>
        <v>5.1603569134811176</v>
      </c>
      <c r="AT4" s="10">
        <f t="shared" si="1"/>
        <v>4.4476997538177265</v>
      </c>
      <c r="AU4" s="10">
        <f t="shared" si="1"/>
        <v>3.7743119793197359</v>
      </c>
      <c r="AV4" s="10">
        <f t="shared" si="1"/>
        <v>3.1943244121387599</v>
      </c>
      <c r="AW4" s="10">
        <f t="shared" si="1"/>
        <v>3.1027296285565882</v>
      </c>
      <c r="AX4" s="10">
        <f t="shared" si="1"/>
        <v>2.0942181939591937</v>
      </c>
      <c r="AY4" s="14">
        <f t="shared" ca="1" si="1"/>
        <v>4.7729431154850825</v>
      </c>
      <c r="AZ4" s="10">
        <f t="shared" ca="1" si="1"/>
        <v>4.1726615108015022</v>
      </c>
      <c r="BA4" s="10">
        <f t="shared" ca="1" si="1"/>
        <v>3.52014890547603</v>
      </c>
      <c r="BB4" s="10">
        <f t="shared" ca="1" si="1"/>
        <v>3.0477013911857904</v>
      </c>
      <c r="BC4" s="10">
        <f t="shared" ca="1" si="1"/>
        <v>2.9780446136220822</v>
      </c>
      <c r="BD4" s="15">
        <f t="shared" ca="1" si="1"/>
        <v>2.0615214008734597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K5-MAX(0,AVERAGE(AM6:AM$31)-0.5)</f>
        <v>35.82</v>
      </c>
      <c r="R5" s="31">
        <f>L5-AVERAGE(AN6:AN$31)</f>
        <v>36.277638888888887</v>
      </c>
      <c r="S5" s="31">
        <f>M5-AVERAGE(AO6:AO$31)</f>
        <v>38.281866666666666</v>
      </c>
      <c r="T5" s="31">
        <f>N5-AVERAGE(AP6:AP$31)</f>
        <v>38.058717948717948</v>
      </c>
      <c r="U5" s="31">
        <f>O5-AVERAGE(AQ6:AQ$31)</f>
        <v>36.658397435897434</v>
      </c>
      <c r="V5" s="31">
        <f>P5-AVERAGE(AR6:AR$31)</f>
        <v>35.969358974358975</v>
      </c>
      <c r="W5" s="13">
        <f t="shared" ref="W5:AB5" ca="1" si="2">Q5*W$4+$I5*(1-W$4)</f>
        <v>36.293514725029382</v>
      </c>
      <c r="X5" s="6">
        <f t="shared" ca="1" si="2"/>
        <v>36.58946856151266</v>
      </c>
      <c r="Y5" s="6">
        <f t="shared" ca="1" si="2"/>
        <v>38.109760014076286</v>
      </c>
      <c r="Z5" s="6">
        <f t="shared" ca="1" si="2"/>
        <v>37.97044333092191</v>
      </c>
      <c r="AA5" s="6">
        <f t="shared" ca="1" si="2"/>
        <v>36.777346079141928</v>
      </c>
      <c r="AB5" s="2">
        <f t="shared" ca="1" si="2"/>
        <v>36.062542092772176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1" si="4">R5-$AC5</f>
        <v>2.8376388888888897</v>
      </c>
      <c r="AU5">
        <f t="shared" si="4"/>
        <v>4.8418666666666681</v>
      </c>
      <c r="AV5">
        <f t="shared" si="4"/>
        <v>4.6187179487179506</v>
      </c>
      <c r="AW5">
        <f t="shared" si="4"/>
        <v>3.2183974358974368</v>
      </c>
      <c r="AX5">
        <f t="shared" si="4"/>
        <v>2.5293589743589777</v>
      </c>
      <c r="AY5" s="13">
        <f t="shared" ref="AY5:BD9" ca="1" si="5">W5-$AC5</f>
        <v>2.8535147250293846</v>
      </c>
      <c r="AZ5" s="6">
        <f t="shared" ca="1" si="5"/>
        <v>3.1494685615126627</v>
      </c>
      <c r="BA5" s="6">
        <f t="shared" ca="1" si="5"/>
        <v>4.6697600140762887</v>
      </c>
      <c r="BB5" s="6">
        <f t="shared" ca="1" si="5"/>
        <v>4.5304433309219121</v>
      </c>
      <c r="BC5" s="6">
        <f t="shared" ca="1" si="5"/>
        <v>3.3373460791419305</v>
      </c>
      <c r="BD5" s="2">
        <f t="shared" ca="1" si="5"/>
        <v>2.6225420927721785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K6-AVERAGE(AM5:AM$5,AM7:AM$31)</f>
        <v>38.851818181818182</v>
      </c>
      <c r="R6" s="31">
        <f>L6-AVERAGE(AN5:AN$5,AN7:AN$31)</f>
        <v>37.890555555555558</v>
      </c>
      <c r="S6" s="31">
        <f>M6-AVERAGE(AO5:AO$5,AO7:AO$31)</f>
        <v>33.467066666666661</v>
      </c>
      <c r="T6" s="31">
        <f>N6-AVERAGE(AP5:AP$5,AP7:AP$31)</f>
        <v>35.8075641025641</v>
      </c>
      <c r="U6" s="31">
        <f>O6-AVERAGE(AQ5:AQ$5,AQ7:AQ$31)</f>
        <v>35.653397435897439</v>
      </c>
      <c r="V6" s="31">
        <f>P6-AVERAGE(AR5:AR$5,AR7:AR$31)</f>
        <v>35.376282051282047</v>
      </c>
      <c r="W6" s="13">
        <f t="shared" ref="W6:W31" ca="1" si="6">Q6*W$4+$I6*(1-W$4)</f>
        <v>38.720059801881611</v>
      </c>
      <c r="X6" s="6">
        <f t="shared" ref="X6:X31" ca="1" si="7">R6*X$4+$I6*(1-X$4)</f>
        <v>38.017984407015589</v>
      </c>
      <c r="Y6" s="6">
        <f t="shared" ref="Y6:Y31" ca="1" si="8">S6*Y$4+$I6*(1-Y$4)</f>
        <v>34.538562348878301</v>
      </c>
      <c r="Z6" s="6">
        <f t="shared" ref="Z6:Z31" ca="1" si="9">T6*Z$4+$I6*(1-Z$4)</f>
        <v>36.209060934172264</v>
      </c>
      <c r="AA6" s="6">
        <f t="shared" ref="AA6:AA31" ca="1" si="10">U6*AA$4+$I6*(1-AA$4)</f>
        <v>36.043569849106305</v>
      </c>
      <c r="AB6" s="2">
        <f t="shared" ref="AB6:AB31" ca="1" si="11">V6*AB$4+$I6*(1-AB$4)</f>
        <v>35.56055296280811</v>
      </c>
      <c r="AC6" s="2">
        <f>'Historical Trends'!E6</f>
        <v>34.729999999999997</v>
      </c>
      <c r="AE6" s="13">
        <f t="shared" ref="AE6:AR9" ca="1" si="12">C6-$AC6</f>
        <v>0.91666666666665009</v>
      </c>
      <c r="AF6">
        <f t="shared" ca="1" si="12"/>
        <v>-1.3499999999999943</v>
      </c>
      <c r="AG6">
        <f t="shared" ca="1" si="12"/>
        <v>0.9550000000000054</v>
      </c>
      <c r="AH6">
        <f t="shared" ca="1" si="12"/>
        <v>3.5200000000000031</v>
      </c>
      <c r="AI6">
        <f t="shared" ca="1" si="12"/>
        <v>3.365000000000002</v>
      </c>
      <c r="AJ6">
        <f t="shared" ca="1" si="12"/>
        <v>3.3140000000000001</v>
      </c>
      <c r="AK6">
        <f t="shared" ca="1" si="12"/>
        <v>3.6566666666666663</v>
      </c>
      <c r="AL6">
        <f t="shared" ca="1" si="12"/>
        <v>3.7085714285714317</v>
      </c>
      <c r="AM6" s="13">
        <f t="shared" si="12"/>
        <v>4.07</v>
      </c>
      <c r="AN6">
        <f t="shared" si="12"/>
        <v>3.2700000000000031</v>
      </c>
      <c r="AO6">
        <f t="shared" si="12"/>
        <v>-0.71000000000000085</v>
      </c>
      <c r="AP6">
        <f t="shared" si="12"/>
        <v>0.95000000000000284</v>
      </c>
      <c r="AQ6">
        <f t="shared" si="12"/>
        <v>1.1500000000000057</v>
      </c>
      <c r="AR6">
        <f t="shared" si="12"/>
        <v>0.78666666666666885</v>
      </c>
      <c r="AS6" s="30">
        <f>Q6-$AC6</f>
        <v>4.1218181818181847</v>
      </c>
      <c r="AT6">
        <f t="shared" si="4"/>
        <v>3.1605555555555611</v>
      </c>
      <c r="AU6">
        <f t="shared" si="4"/>
        <v>-1.2629333333333363</v>
      </c>
      <c r="AV6">
        <f t="shared" si="4"/>
        <v>1.0775641025641036</v>
      </c>
      <c r="AW6">
        <f t="shared" si="4"/>
        <v>0.92339743589744216</v>
      </c>
      <c r="AX6">
        <f t="shared" si="4"/>
        <v>0.64628205128204996</v>
      </c>
      <c r="AY6" s="13">
        <f t="shared" ca="1" si="5"/>
        <v>3.990059801881614</v>
      </c>
      <c r="AZ6" s="6">
        <f t="shared" ca="1" si="5"/>
        <v>3.2879844070155926</v>
      </c>
      <c r="BA6" s="6">
        <f t="shared" ca="1" si="5"/>
        <v>-0.19143765112169575</v>
      </c>
      <c r="BB6" s="6">
        <f t="shared" ca="1" si="5"/>
        <v>1.4790609341722671</v>
      </c>
      <c r="BC6" s="6">
        <f t="shared" ca="1" si="5"/>
        <v>1.3135698491063081</v>
      </c>
      <c r="BD6" s="2">
        <f t="shared" ca="1" si="5"/>
        <v>0.83055296280811319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3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K7-AVERAGE(AM$5:AM6,AM8:AM$31)</f>
        <v>28.249545454545455</v>
      </c>
      <c r="R7" s="31">
        <f>L7-AVERAGE(AN$5:AN6,AN8:AN$31)</f>
        <v>32.321805555555557</v>
      </c>
      <c r="S7" s="31">
        <f>M7-AVERAGE(AO$5:AO6,AO8:AO$31)</f>
        <v>31.420266666666667</v>
      </c>
      <c r="T7" s="31">
        <f>N7-AVERAGE(AP$5:AP6,AP8:AP$31)</f>
        <v>31.622564102564105</v>
      </c>
      <c r="U7" s="31">
        <f>O7-AVERAGE(AQ$5:AQ6,AQ8:AQ$31)</f>
        <v>38.073012820512822</v>
      </c>
      <c r="V7" s="31">
        <f>P7-AVERAGE(AR$5:AR6,AR8:AR$31)</f>
        <v>33.313205128205134</v>
      </c>
      <c r="W7" s="13">
        <f t="shared" ca="1" si="6"/>
        <v>31.374493715112777</v>
      </c>
      <c r="X7" s="6">
        <f t="shared" ca="1" si="7"/>
        <v>34.109483936158469</v>
      </c>
      <c r="Y7" s="6">
        <f t="shared" ca="1" si="8"/>
        <v>33.132490456433835</v>
      </c>
      <c r="Z7" s="6">
        <f t="shared" ca="1" si="9"/>
        <v>32.814880164457193</v>
      </c>
      <c r="AA7" s="6">
        <f t="shared" ca="1" si="10"/>
        <v>38.245547374584284</v>
      </c>
      <c r="AB7" s="2">
        <f t="shared" ca="1" si="11"/>
        <v>33.678545105854468</v>
      </c>
      <c r="AC7" s="2">
        <f>'Historical Trends'!E7</f>
        <v>33.380000000000003</v>
      </c>
      <c r="AE7" s="13">
        <f t="shared" ca="1" si="12"/>
        <v>6.493790697674406</v>
      </c>
      <c r="AF7">
        <f t="shared" ca="1" si="12"/>
        <v>4.6099999999999994</v>
      </c>
      <c r="AG7">
        <f t="shared" ca="1" si="12"/>
        <v>7.3049999999999997</v>
      </c>
      <c r="AH7">
        <f t="shared" ca="1" si="12"/>
        <v>6.2866666666666617</v>
      </c>
      <c r="AI7">
        <f t="shared" ca="1" si="12"/>
        <v>5.8299999999999983</v>
      </c>
      <c r="AJ7">
        <f t="shared" ca="1" si="12"/>
        <v>6.0079999999999956</v>
      </c>
      <c r="AK7">
        <f t="shared" ca="1" si="12"/>
        <v>5.9016666666666637</v>
      </c>
      <c r="AL7">
        <f t="shared" ca="1" si="12"/>
        <v>6.7071428571428555</v>
      </c>
      <c r="AM7" s="13">
        <f t="shared" si="12"/>
        <v>-4.7800000000000011</v>
      </c>
      <c r="AN7">
        <f t="shared" si="12"/>
        <v>-0.78000000000000114</v>
      </c>
      <c r="AO7">
        <f t="shared" si="12"/>
        <v>-1.3800000000000026</v>
      </c>
      <c r="AP7">
        <f t="shared" si="12"/>
        <v>-1.7800000000000011</v>
      </c>
      <c r="AQ7">
        <f t="shared" si="12"/>
        <v>4.7800000000000011</v>
      </c>
      <c r="AR7">
        <f t="shared" si="12"/>
        <v>0.10000000000000142</v>
      </c>
      <c r="AS7" s="30">
        <f>Q7-$AC7</f>
        <v>-5.1304545454545476</v>
      </c>
      <c r="AT7">
        <f t="shared" si="4"/>
        <v>-1.058194444444446</v>
      </c>
      <c r="AU7">
        <f t="shared" si="4"/>
        <v>-1.959733333333336</v>
      </c>
      <c r="AV7">
        <f t="shared" si="4"/>
        <v>-1.7574358974358972</v>
      </c>
      <c r="AW7">
        <f t="shared" si="4"/>
        <v>4.6930128205128199</v>
      </c>
      <c r="AX7">
        <f t="shared" si="4"/>
        <v>-6.6794871794868982E-2</v>
      </c>
      <c r="AY7" s="13">
        <f t="shared" ca="1" si="5"/>
        <v>-2.0055062848872254</v>
      </c>
      <c r="AZ7" s="6">
        <f t="shared" ca="1" si="5"/>
        <v>0.72948393615846641</v>
      </c>
      <c r="BA7" s="6">
        <f t="shared" ca="1" si="5"/>
        <v>-0.24750954356616717</v>
      </c>
      <c r="BB7" s="6">
        <f t="shared" ca="1" si="5"/>
        <v>-0.56511983554280931</v>
      </c>
      <c r="BC7" s="6">
        <f t="shared" ca="1" si="5"/>
        <v>4.8655473745842812</v>
      </c>
      <c r="BD7" s="2">
        <f t="shared" ca="1" si="5"/>
        <v>0.29854510585446548</v>
      </c>
      <c r="BE7" t="s">
        <v>179</v>
      </c>
      <c r="BG7">
        <f>AM4</f>
        <v>4.9422519755038774</v>
      </c>
      <c r="BH7">
        <f>AN4</f>
        <v>4.2780001038907054</v>
      </c>
      <c r="BI7">
        <f>AO4</f>
        <v>3.6814164869554422</v>
      </c>
      <c r="BJ7">
        <f>AP4</f>
        <v>3.0930004610170769</v>
      </c>
      <c r="BK7">
        <f>AQ4</f>
        <v>3.0040572187730628</v>
      </c>
      <c r="BL7">
        <f t="shared" si="13"/>
        <v>2.5161896078794719</v>
      </c>
      <c r="BM7">
        <f>AR4</f>
        <v>2.0283219969858806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K8-AVERAGE(AM$5:AM7,AM9:AM$31)</f>
        <v>45.603636363636362</v>
      </c>
      <c r="R8" s="31">
        <f>L8-AVERAGE(AN$5:AN7,AN9:AN$31)</f>
        <v>43.796388888888885</v>
      </c>
      <c r="S8" s="31">
        <f>M8-AVERAGE(AO$5:AO7,AO9:AO$31)</f>
        <v>40.595866666666666</v>
      </c>
      <c r="T8" s="31">
        <f>N8-AVERAGE(AP$5:AP7,AP9:AP$31)</f>
        <v>39.545256410256407</v>
      </c>
      <c r="U8" s="31">
        <f>O8-AVERAGE(AQ$5:AQ7,AQ9:AQ$31)</f>
        <v>37.937243589743595</v>
      </c>
      <c r="V8" s="31">
        <f>P8-AVERAGE(AR$5:AR7,AR9:AR$31)</f>
        <v>37.663589743589739</v>
      </c>
      <c r="W8" s="13">
        <f t="shared" ca="1" si="6"/>
        <v>44.140045395363735</v>
      </c>
      <c r="X8" s="6">
        <f t="shared" ca="1" si="7"/>
        <v>42.933425866263427</v>
      </c>
      <c r="Y8" s="6">
        <f t="shared" ca="1" si="8"/>
        <v>40.561192686544686</v>
      </c>
      <c r="Z8" s="6">
        <f t="shared" ca="1" si="9"/>
        <v>39.684024987587598</v>
      </c>
      <c r="AA8" s="6">
        <f t="shared" ca="1" si="10"/>
        <v>38.294034615879916</v>
      </c>
      <c r="AB8" s="2">
        <f t="shared" ca="1" si="11"/>
        <v>37.83333463589878</v>
      </c>
      <c r="AC8" s="2">
        <f>'Historical Trends'!E8</f>
        <v>37.99</v>
      </c>
      <c r="AE8" s="13">
        <f t="shared" ca="1" si="12"/>
        <v>1.1510135970333479</v>
      </c>
      <c r="AF8">
        <f t="shared" ca="1" si="12"/>
        <v>5.3900000000000006</v>
      </c>
      <c r="AG8">
        <f t="shared" ca="1" si="12"/>
        <v>2.5150000000000006</v>
      </c>
      <c r="AH8">
        <f t="shared" ca="1" si="12"/>
        <v>1.6266666666666652</v>
      </c>
      <c r="AI8">
        <f t="shared" ca="1" si="12"/>
        <v>1.7475000000000023</v>
      </c>
      <c r="AJ8">
        <f t="shared" ca="1" si="12"/>
        <v>1.5500000000000043</v>
      </c>
      <c r="AK8">
        <f t="shared" ca="1" si="12"/>
        <v>2.4466666666666654</v>
      </c>
      <c r="AL8">
        <f t="shared" ca="1" si="12"/>
        <v>2.3042857142857116</v>
      </c>
      <c r="AM8" s="13">
        <f t="shared" si="12"/>
        <v>7.4099999999999966</v>
      </c>
      <c r="AN8">
        <f t="shared" si="12"/>
        <v>5.8099999999999952</v>
      </c>
      <c r="AO8">
        <f t="shared" si="12"/>
        <v>3.009999999999998</v>
      </c>
      <c r="AP8">
        <f t="shared" si="12"/>
        <v>1.4099999999999966</v>
      </c>
      <c r="AQ8">
        <f t="shared" si="12"/>
        <v>0.21000000000000085</v>
      </c>
      <c r="AR8">
        <f t="shared" si="12"/>
        <v>-0.15000000000000568</v>
      </c>
      <c r="AS8" s="30">
        <f>Q8-$AC8</f>
        <v>7.6136363636363598</v>
      </c>
      <c r="AT8">
        <f t="shared" si="4"/>
        <v>5.8063888888888826</v>
      </c>
      <c r="AU8">
        <f t="shared" si="4"/>
        <v>2.6058666666666639</v>
      </c>
      <c r="AV8">
        <f t="shared" si="4"/>
        <v>1.5552564102564048</v>
      </c>
      <c r="AW8">
        <f t="shared" si="4"/>
        <v>-5.2756410256407094E-2</v>
      </c>
      <c r="AX8">
        <f t="shared" si="4"/>
        <v>-0.32641025641026289</v>
      </c>
      <c r="AY8" s="13">
        <f t="shared" ca="1" si="5"/>
        <v>6.1500453953637333</v>
      </c>
      <c r="AZ8" s="6">
        <f t="shared" ca="1" si="5"/>
        <v>4.943425866263425</v>
      </c>
      <c r="BA8" s="6">
        <f t="shared" ca="1" si="5"/>
        <v>2.5711926865446841</v>
      </c>
      <c r="BB8" s="6">
        <f t="shared" ca="1" si="5"/>
        <v>1.6940249875875963</v>
      </c>
      <c r="BC8" s="6">
        <f t="shared" ca="1" si="5"/>
        <v>0.30403461587991387</v>
      </c>
      <c r="BD8" s="2">
        <f t="shared" ca="1" si="5"/>
        <v>-0.15666536410122234</v>
      </c>
      <c r="BE8" t="s">
        <v>183</v>
      </c>
      <c r="BG8">
        <f ca="1">AY4</f>
        <v>4.7729431154850825</v>
      </c>
      <c r="BH8">
        <f ca="1">AZ4</f>
        <v>4.1726615108015022</v>
      </c>
      <c r="BI8">
        <f ca="1">BA4</f>
        <v>3.52014890547603</v>
      </c>
      <c r="BJ8">
        <f ca="1">BB4</f>
        <v>3.0477013911857904</v>
      </c>
      <c r="BK8">
        <f ca="1">BC4</f>
        <v>2.9780446136220822</v>
      </c>
      <c r="BL8">
        <f t="shared" ca="1" si="13"/>
        <v>2.5197830072477707</v>
      </c>
      <c r="BM8">
        <f ca="1">BD4</f>
        <v>2.0615214008734597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K9-AVERAGE(AM$5:AM8,AM10:AM$31)</f>
        <v>38.040454545454544</v>
      </c>
      <c r="R9" s="31">
        <f>L9-AVERAGE(AN$5:AN8,AN10:AN$31)</f>
        <v>40.030138888888885</v>
      </c>
      <c r="S9" s="31">
        <f>M9-AVERAGE(AO$5:AO8,AO10:AO$31)</f>
        <v>48.284266666666667</v>
      </c>
      <c r="T9" s="31">
        <f>N9-AVERAGE(AP$5:AP8,AP10:AP$31)</f>
        <v>46.399487179487181</v>
      </c>
      <c r="U9" s="31">
        <f>O9-AVERAGE(AQ$5:AQ8,AQ10:AQ$31)</f>
        <v>47.699166666666663</v>
      </c>
      <c r="V9" s="31">
        <f>P9-AVERAGE(AR$5:AR8,AR10:AR$31)</f>
        <v>45.410897435897439</v>
      </c>
      <c r="W9" s="13">
        <f t="shared" ca="1" si="6"/>
        <v>38.533196551986066</v>
      </c>
      <c r="X9" s="6">
        <f t="shared" ca="1" si="7"/>
        <v>39.965889347601227</v>
      </c>
      <c r="Y9" s="6">
        <f t="shared" ca="1" si="8"/>
        <v>46.432025628023354</v>
      </c>
      <c r="Z9" s="6">
        <f t="shared" ca="1" si="9"/>
        <v>45.369011243234631</v>
      </c>
      <c r="AA9" s="6">
        <f t="shared" ca="1" si="10"/>
        <v>46.568710751766929</v>
      </c>
      <c r="AB9" s="2">
        <f t="shared" ca="1" si="11"/>
        <v>45.06622034782044</v>
      </c>
      <c r="AC9" s="2">
        <f>'Historical Trends'!E9</f>
        <v>43.38</v>
      </c>
      <c r="AE9" s="13">
        <f t="shared" ca="1" si="12"/>
        <v>-6.6030303030303301</v>
      </c>
      <c r="AF9">
        <f t="shared" ca="1" si="12"/>
        <v>-5.75</v>
      </c>
      <c r="AG9">
        <f t="shared" ca="1" si="12"/>
        <v>-5.6450000000000031</v>
      </c>
      <c r="AH9">
        <f t="shared" ca="1" si="12"/>
        <v>-4.8566666666666691</v>
      </c>
      <c r="AI9">
        <f t="shared" ca="1" si="12"/>
        <v>-4.8000000000000043</v>
      </c>
      <c r="AJ9">
        <f t="shared" ca="1" si="12"/>
        <v>-3.5320000000000036</v>
      </c>
      <c r="AK9">
        <f t="shared" ca="1" si="12"/>
        <v>-3.6000000000000014</v>
      </c>
      <c r="AL9">
        <f t="shared" ca="1" si="12"/>
        <v>-2.7257142857142895</v>
      </c>
      <c r="AM9" s="13">
        <f t="shared" si="12"/>
        <v>-4.980000000000004</v>
      </c>
      <c r="AN9">
        <f t="shared" si="12"/>
        <v>-2.980000000000004</v>
      </c>
      <c r="AO9">
        <f t="shared" si="12"/>
        <v>5.2199999999999989</v>
      </c>
      <c r="AP9">
        <f t="shared" si="12"/>
        <v>2.8200000000000003</v>
      </c>
      <c r="AQ9">
        <f t="shared" si="12"/>
        <v>4.4199999999999946</v>
      </c>
      <c r="AR9">
        <f t="shared" si="12"/>
        <v>2.1199999999999974</v>
      </c>
      <c r="AS9" s="30">
        <f>Q9-$AC9</f>
        <v>-5.3395454545454584</v>
      </c>
      <c r="AT9">
        <f t="shared" si="4"/>
        <v>-3.3498611111111174</v>
      </c>
      <c r="AU9">
        <f t="shared" si="4"/>
        <v>4.9042666666666648</v>
      </c>
      <c r="AV9">
        <f t="shared" si="4"/>
        <v>3.0194871794871787</v>
      </c>
      <c r="AW9">
        <f t="shared" si="4"/>
        <v>4.3191666666666606</v>
      </c>
      <c r="AX9">
        <f t="shared" si="4"/>
        <v>2.0308974358974368</v>
      </c>
      <c r="AY9" s="13">
        <f t="shared" ca="1" si="5"/>
        <v>-4.8468034480139366</v>
      </c>
      <c r="AZ9" s="6">
        <f t="shared" ca="1" si="5"/>
        <v>-3.4141106523987759</v>
      </c>
      <c r="BA9" s="6">
        <f t="shared" ca="1" si="5"/>
        <v>3.0520256280233511</v>
      </c>
      <c r="BB9" s="6">
        <f t="shared" ca="1" si="5"/>
        <v>1.9890112432346285</v>
      </c>
      <c r="BC9" s="6">
        <f t="shared" ca="1" si="5"/>
        <v>3.1887107517669264</v>
      </c>
      <c r="BD9" s="2">
        <f t="shared" ca="1" si="5"/>
        <v>1.6862203478204378</v>
      </c>
      <c r="BE9" t="s">
        <v>184</v>
      </c>
      <c r="BG9">
        <f t="shared" ref="BG9:BM9" ca="1" si="14">$AK$4</f>
        <v>6.0175902645986614</v>
      </c>
      <c r="BH9">
        <f t="shared" ca="1" si="14"/>
        <v>6.0175902645986614</v>
      </c>
      <c r="BI9">
        <f t="shared" ca="1" si="14"/>
        <v>6.0175902645986614</v>
      </c>
      <c r="BJ9">
        <f t="shared" ca="1" si="14"/>
        <v>6.0175902645986614</v>
      </c>
      <c r="BK9">
        <f t="shared" ca="1" si="14"/>
        <v>6.0175902645986614</v>
      </c>
      <c r="BL9">
        <f t="shared" ca="1" si="13"/>
        <v>6.0175902645986614</v>
      </c>
      <c r="BM9">
        <f t="shared" ca="1" si="14"/>
        <v>6.0175902645986614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M10-AVERAGE(AO$5:AO9,AO12:AO$31)</f>
        <v>42.014722222222225</v>
      </c>
      <c r="T10" s="31">
        <f>N10-AVERAGE(AP$5:AP9,AP12:AP$31)</f>
        <v>41.188000000000002</v>
      </c>
      <c r="U10" s="31">
        <f>O10-AVERAGE(AQ$5:AQ9,AQ12:AQ$31)</f>
        <v>39.187666666666665</v>
      </c>
      <c r="V10" s="31">
        <f>P10-AVERAGE(AR$5:AR9,AR12:AR$31)</f>
        <v>39.606533333333331</v>
      </c>
      <c r="W10" s="13">
        <f t="shared" ca="1" si="6"/>
        <v>11.658470722433258</v>
      </c>
      <c r="X10" s="6">
        <f t="shared" ca="1" si="7"/>
        <v>10.571742956793253</v>
      </c>
      <c r="Y10" s="6">
        <f t="shared" ca="1" si="8"/>
        <v>41.82819953811407</v>
      </c>
      <c r="Z10" s="6">
        <f t="shared" ca="1" si="9"/>
        <v>41.18338169872078</v>
      </c>
      <c r="AA10" s="6">
        <f t="shared" ca="1" si="10"/>
        <v>39.468978057549002</v>
      </c>
      <c r="AB10" s="2">
        <f t="shared" ca="1" si="11"/>
        <v>39.701521727522163</v>
      </c>
      <c r="AC10" s="2">
        <f>'Historical Trends'!E10</f>
        <v>37.630000000000003</v>
      </c>
      <c r="AE10" s="13">
        <f t="shared" ref="AE10:AE31" ca="1" si="15">C10-$AC10</f>
        <v>-1.0194313967862243</v>
      </c>
      <c r="AF10">
        <f t="shared" ref="AF10:AF31" ca="1" si="16">D10-$AC10</f>
        <v>0.21000000000000085</v>
      </c>
      <c r="AG10">
        <f t="shared" ref="AG10:AG31" ca="1" si="17">E10-$AC10</f>
        <v>1.3399999999999963</v>
      </c>
      <c r="AH10">
        <f t="shared" ref="AH10:AH31" ca="1" si="18">F10-$AC10</f>
        <v>1.2666666666666657</v>
      </c>
      <c r="AI10">
        <f t="shared" ref="AI10:AI31" ca="1" si="19">G10-$AC10</f>
        <v>2.7725000000000009</v>
      </c>
      <c r="AJ10">
        <f t="shared" ref="AJ10:AJ31" ca="1" si="20">H10-$AC10</f>
        <v>2.5799999999999983</v>
      </c>
      <c r="AK10">
        <f t="shared" ref="AK10:AK31" ca="1" si="21">I10-$AC10</f>
        <v>3.528333333333336</v>
      </c>
      <c r="AL10">
        <f t="shared" ref="AL10:AL31" ca="1" si="22">J10-$AC10</f>
        <v>4.4414285714285668</v>
      </c>
      <c r="AO10">
        <f t="shared" ref="AO10:AO30" si="23">M10-$AC10</f>
        <v>4.9699999999999989</v>
      </c>
      <c r="AP10">
        <f t="shared" ref="AP10:AP30" si="24">N10-$AC10</f>
        <v>3.5700000000000003</v>
      </c>
      <c r="AQ10">
        <f t="shared" ref="AQ10:AQ30" si="25">O10-$AC10</f>
        <v>1.9699999999999989</v>
      </c>
      <c r="AR10">
        <f t="shared" ref="AR10:AR30" si="26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30" ca="1" si="27">Y10-$AC10</f>
        <v>4.1981995381140678</v>
      </c>
      <c r="BB10" s="6">
        <f t="shared" ref="BB10:BB30" ca="1" si="28">Z10-$AC10</f>
        <v>3.5533816987207771</v>
      </c>
      <c r="BC10" s="6">
        <f t="shared" ref="BC10:BC30" ca="1" si="29">AA10-$AC10</f>
        <v>1.8389780575489993</v>
      </c>
      <c r="BD10" s="2">
        <f t="shared" ref="BD10:BD30" ca="1" si="30">AB10-$AC10</f>
        <v>2.0715217275221605</v>
      </c>
      <c r="BE10" t="s">
        <v>152</v>
      </c>
      <c r="BG10">
        <f>W4</f>
        <v>0.71674094215590389</v>
      </c>
      <c r="BH10">
        <f>X4</f>
        <v>0.74314453233140509</v>
      </c>
      <c r="BI10">
        <f>Y4</f>
        <v>0.78219861732424678</v>
      </c>
      <c r="BJ10">
        <f>Z4</f>
        <v>0.84432692317225888</v>
      </c>
      <c r="BK10">
        <f>AA4</f>
        <v>0.85725064738717471</v>
      </c>
      <c r="BL10">
        <f t="shared" si="13"/>
        <v>0.89801944851997362</v>
      </c>
      <c r="BM10">
        <f>AB4</f>
        <v>0.93878824965277252</v>
      </c>
    </row>
    <row r="11" spans="1:66" x14ac:dyDescent="0.25">
      <c r="A11" t="s">
        <v>67</v>
      </c>
      <c r="B11">
        <v>0</v>
      </c>
      <c r="C11" s="13">
        <f ca="1">'Historical Trends'!O26</f>
        <v>28.933166023165995</v>
      </c>
      <c r="D11">
        <f ca="1">AVERAGE(OFFSET('Historical Trends'!$E$28,$B4,0,'Polling Correlations - ALP'!D$4,1))</f>
        <v>37.47</v>
      </c>
      <c r="E11">
        <f ca="1">AVERAGE(OFFSET('Historical Trends'!$E$28,$B4,0,'Polling Correlations - ALP'!E$4,1))</f>
        <v>32.064999999999998</v>
      </c>
      <c r="F11">
        <f ca="1">AVERAGE(OFFSET('Historical Trends'!$E$28,$B4,0,'Polling Correlations - ALP'!F$4,1))</f>
        <v>35.46</v>
      </c>
      <c r="G11">
        <f ca="1">AVERAGE(OFFSET('Historical Trends'!$E$28,$B4,0,'Polling Correlations - ALP'!G$4,1))</f>
        <v>38.325000000000003</v>
      </c>
      <c r="H11">
        <f ca="1">AVERAGE(OFFSET('Historical Trends'!$E$28,$B4,0,'Polling Correlations - ALP'!H$4,1))</f>
        <v>40.061999999999998</v>
      </c>
      <c r="I11">
        <f ca="1">AVERAGE(OFFSET('Historical Trends'!$E$28,$B4,0,'Polling Correlations - ALP'!I$4,1))</f>
        <v>41.548333333333332</v>
      </c>
      <c r="J11">
        <f ca="1">AVERAGE(OFFSET('Historical Trends'!$E$28,$B4,0,'Polling Correlations - ALP'!J$4,1))</f>
        <v>41.164285714285711</v>
      </c>
      <c r="K11" s="13">
        <f>(35+38+37)/3</f>
        <v>36.666666666666664</v>
      </c>
      <c r="L11">
        <f>(32+35+36)/3</f>
        <v>34.333333333333336</v>
      </c>
      <c r="M11">
        <f>(34+32+35)/3</f>
        <v>33.666666666666664</v>
      </c>
      <c r="N11">
        <f>(34+32+34)/3</f>
        <v>33.333333333333336</v>
      </c>
      <c r="O11">
        <f>(37+34+32)/3</f>
        <v>34.333333333333336</v>
      </c>
      <c r="P11">
        <f>(37+37+37)/3</f>
        <v>37</v>
      </c>
      <c r="Q11" s="30">
        <f>K11-AVERAGE(AM$5:AM9,AM12:AM$31)</f>
        <v>36.401515151515149</v>
      </c>
      <c r="R11" s="31">
        <f>L11-AVERAGE(AN$5:AN9,AN12:AN$31)</f>
        <v>33.869444444444447</v>
      </c>
      <c r="S11" s="31">
        <f>M11-AVERAGE(AO$5:AO9,AO12:AO$31)</f>
        <v>33.081388888888888</v>
      </c>
      <c r="T11" s="31">
        <f>N11-AVERAGE(AP$5:AP9,AP12:AP$31)</f>
        <v>33.321333333333335</v>
      </c>
      <c r="U11" s="31">
        <f>O11-AVERAGE(AQ$5:AQ9,AQ12:AQ$31)</f>
        <v>33.920999999999999</v>
      </c>
      <c r="V11" s="31">
        <f>P11-AVERAGE(AR$5:AR9,AR12:AR$31)</f>
        <v>36.806533333333334</v>
      </c>
      <c r="W11" s="13">
        <f t="shared" ref="W11:AB11" ca="1" si="31">Q11*W$4+$I11*(1-W$4)</f>
        <v>37.859398020591833</v>
      </c>
      <c r="X11" s="6">
        <f t="shared" ca="1" si="31"/>
        <v>35.841809041175182</v>
      </c>
      <c r="Y11" s="6">
        <f t="shared" ca="1" si="31"/>
        <v>34.925501095927672</v>
      </c>
      <c r="Z11" s="6">
        <f t="shared" ca="1" si="31"/>
        <v>34.602055736395158</v>
      </c>
      <c r="AA11" s="6">
        <f t="shared" ca="1" si="31"/>
        <v>35.009796895495555</v>
      </c>
      <c r="AB11" s="2">
        <f t="shared" ca="1" si="31"/>
        <v>37.096787211129815</v>
      </c>
      <c r="AC11" s="2">
        <f>'Historical Trends'!E26</f>
        <v>39.57</v>
      </c>
      <c r="AE11" s="13">
        <f t="shared" ref="AE11:BD11" ca="1" si="32">C11-$AC11</f>
        <v>-10.636833976834005</v>
      </c>
      <c r="AF11">
        <f t="shared" ca="1" si="32"/>
        <v>-2.1000000000000014</v>
      </c>
      <c r="AG11">
        <f t="shared" ca="1" si="32"/>
        <v>-7.5050000000000026</v>
      </c>
      <c r="AH11">
        <f t="shared" ca="1" si="32"/>
        <v>-4.1099999999999994</v>
      </c>
      <c r="AI11">
        <f t="shared" ca="1" si="32"/>
        <v>-1.2449999999999974</v>
      </c>
      <c r="AJ11">
        <f t="shared" ca="1" si="32"/>
        <v>0.49199999999999733</v>
      </c>
      <c r="AK11">
        <f t="shared" ca="1" si="32"/>
        <v>1.9783333333333317</v>
      </c>
      <c r="AL11">
        <f t="shared" ca="1" si="32"/>
        <v>1.5942857142857108</v>
      </c>
      <c r="AM11" s="13">
        <f t="shared" si="32"/>
        <v>-2.903333333333336</v>
      </c>
      <c r="AN11">
        <f t="shared" si="32"/>
        <v>-5.2366666666666646</v>
      </c>
      <c r="AO11">
        <f t="shared" si="32"/>
        <v>-5.903333333333336</v>
      </c>
      <c r="AP11">
        <f t="shared" si="32"/>
        <v>-6.2366666666666646</v>
      </c>
      <c r="AQ11">
        <f t="shared" si="32"/>
        <v>-5.2366666666666646</v>
      </c>
      <c r="AR11">
        <f t="shared" si="32"/>
        <v>-2.5700000000000003</v>
      </c>
      <c r="AS11" s="30">
        <f t="shared" si="32"/>
        <v>-3.1684848484848516</v>
      </c>
      <c r="AT11">
        <f t="shared" si="32"/>
        <v>-5.7005555555555532</v>
      </c>
      <c r="AU11">
        <f t="shared" si="32"/>
        <v>-6.488611111111112</v>
      </c>
      <c r="AV11">
        <f t="shared" si="32"/>
        <v>-6.248666666666665</v>
      </c>
      <c r="AW11">
        <f t="shared" si="32"/>
        <v>-5.6490000000000009</v>
      </c>
      <c r="AX11">
        <f t="shared" si="32"/>
        <v>-2.7634666666666661</v>
      </c>
      <c r="AY11" s="13">
        <f t="shared" ca="1" si="32"/>
        <v>-1.7106019794081675</v>
      </c>
      <c r="AZ11" s="6">
        <f t="shared" ca="1" si="32"/>
        <v>-3.7281909588248183</v>
      </c>
      <c r="BA11" s="6">
        <f t="shared" ca="1" si="32"/>
        <v>-4.6444989040723286</v>
      </c>
      <c r="BB11" s="6">
        <f t="shared" ca="1" si="32"/>
        <v>-4.9679442636048421</v>
      </c>
      <c r="BC11" s="6">
        <f t="shared" ca="1" si="32"/>
        <v>-4.5602031045044455</v>
      </c>
      <c r="BD11" s="2">
        <f t="shared" ca="1" si="32"/>
        <v>-2.4732127888701854</v>
      </c>
      <c r="BE11" t="s">
        <v>185</v>
      </c>
      <c r="BG11">
        <f>BG10</f>
        <v>0.71674094215590389</v>
      </c>
      <c r="BH11">
        <f>AVERAGE(BG10:BI10)</f>
        <v>0.74736136393718533</v>
      </c>
      <c r="BI11">
        <f>AVERAGE(BH10:BJ10)</f>
        <v>0.78989002427597022</v>
      </c>
      <c r="BJ11">
        <f>AVERAGE(BI10:BK10)</f>
        <v>0.82792539596122683</v>
      </c>
      <c r="BK11">
        <f>AVERAGE(BJ10:BM10)</f>
        <v>0.88459631718304488</v>
      </c>
      <c r="BL11">
        <f t="shared" si="13"/>
        <v>0.91169228341790864</v>
      </c>
      <c r="BM11">
        <f>BM10</f>
        <v>0.93878824965277252</v>
      </c>
    </row>
    <row r="12" spans="1:66" x14ac:dyDescent="0.25">
      <c r="A12" t="s">
        <v>49</v>
      </c>
      <c r="B12">
        <f>B11+1</f>
        <v>1</v>
      </c>
      <c r="C12" s="13">
        <f ca="1">'Historical Trends'!O27</f>
        <v>29.854091470951971</v>
      </c>
      <c r="D12">
        <f ca="1">AVERAGE(OFFSET('Historical Trends'!$E$28,$B5,0,'Polling Correlations - ALP'!D$4,1))</f>
        <v>37.47</v>
      </c>
      <c r="E12">
        <f ca="1">AVERAGE(OFFSET('Historical Trends'!$E$28,$B5,0,'Polling Correlations - ALP'!E$4,1))</f>
        <v>32.064999999999998</v>
      </c>
      <c r="F12">
        <f ca="1">AVERAGE(OFFSET('Historical Trends'!$E$28,$B5,0,'Polling Correlations - ALP'!F$4,1))</f>
        <v>35.46</v>
      </c>
      <c r="G12">
        <f ca="1">AVERAGE(OFFSET('Historical Trends'!$E$28,$B5,0,'Polling Correlations - ALP'!G$4,1))</f>
        <v>38.325000000000003</v>
      </c>
      <c r="H12">
        <f ca="1">AVERAGE(OFFSET('Historical Trends'!$E$28,$B5,0,'Polling Correlations - ALP'!H$4,1))</f>
        <v>40.061999999999998</v>
      </c>
      <c r="I12">
        <f ca="1">AVERAGE(OFFSET('Historical Trends'!$E$28,$B5,0,'Polling Correlations - ALP'!I$4,1))</f>
        <v>41.548333333333332</v>
      </c>
      <c r="J12">
        <f ca="1">AVERAGE(OFFSET('Historical Trends'!$E$28,$B5,0,'Polling Correlations - ALP'!J$4,1))</f>
        <v>41.164285714285711</v>
      </c>
      <c r="K12" s="13">
        <f>(42+41+40+37.6+40)/5</f>
        <v>40.119999999999997</v>
      </c>
      <c r="L12">
        <f>(35+38+36+36.9+37)/5</f>
        <v>36.58</v>
      </c>
      <c r="M12">
        <f>(30.9+31+35+38+36)/5</f>
        <v>34.18</v>
      </c>
      <c r="N12">
        <f>(37+35+31.9+36+30.9)/5</f>
        <v>34.160000000000004</v>
      </c>
      <c r="O12">
        <f>(37+32.1+37+35+31.9)/5</f>
        <v>34.6</v>
      </c>
      <c r="P12">
        <f>(36+37+34+30.4+35)/5</f>
        <v>34.480000000000004</v>
      </c>
      <c r="Q12" s="30">
        <f>K12-AVERAGE(AM$5:AM10,AM13:AM$31)</f>
        <v>40.065555555555555</v>
      </c>
      <c r="R12" s="31">
        <f>L12-AVERAGE(AN$5:AN10,AN13:AN$31)</f>
        <v>36.145942028985509</v>
      </c>
      <c r="S12" s="31">
        <f>M12-AVERAGE(AO$5:AO10,AO13:AO$31)</f>
        <v>33.335555555555558</v>
      </c>
      <c r="T12" s="31">
        <f>N12-AVERAGE(AP$5:AP10,AP13:AP$31)</f>
        <v>33.954400000000007</v>
      </c>
      <c r="U12" s="31">
        <f>O12-AVERAGE(AQ$5:AQ10,AQ13:AQ$31)</f>
        <v>34.07566666666667</v>
      </c>
      <c r="V12" s="31">
        <f>P12-AVERAGE(AR$5:AR10,AR13:AR$31)</f>
        <v>34.161733333333338</v>
      </c>
      <c r="W12" s="13">
        <f t="shared" ca="1" si="6"/>
        <v>40.485565791881051</v>
      </c>
      <c r="X12" s="6">
        <f t="shared" ca="1" si="7"/>
        <v>37.533575773992524</v>
      </c>
      <c r="Y12" s="6">
        <f t="shared" ca="1" si="8"/>
        <v>35.124309911164261</v>
      </c>
      <c r="Z12" s="6">
        <f t="shared" ca="1" si="9"/>
        <v>35.136570967224749</v>
      </c>
      <c r="AA12" s="6">
        <f t="shared" ca="1" si="10"/>
        <v>35.142384995624774</v>
      </c>
      <c r="AB12" s="2">
        <f t="shared" ca="1" si="11"/>
        <v>34.613880048448166</v>
      </c>
      <c r="AC12" s="2">
        <f>'Historical Trends'!E27</f>
        <v>35.43</v>
      </c>
      <c r="AE12" s="13">
        <f t="shared" ca="1" si="15"/>
        <v>-5.5759085290480286</v>
      </c>
      <c r="AF12">
        <f t="shared" ca="1" si="16"/>
        <v>2.0399999999999991</v>
      </c>
      <c r="AG12">
        <f t="shared" ca="1" si="17"/>
        <v>-3.365000000000002</v>
      </c>
      <c r="AH12">
        <f t="shared" ca="1" si="18"/>
        <v>3.0000000000001137E-2</v>
      </c>
      <c r="AI12">
        <f t="shared" ca="1" si="19"/>
        <v>2.8950000000000031</v>
      </c>
      <c r="AJ12">
        <f t="shared" ca="1" si="20"/>
        <v>4.6319999999999979</v>
      </c>
      <c r="AK12">
        <f t="shared" ca="1" si="21"/>
        <v>6.1183333333333323</v>
      </c>
      <c r="AL12">
        <f t="shared" ca="1" si="22"/>
        <v>5.7342857142857113</v>
      </c>
      <c r="AM12" s="13">
        <f t="shared" ref="AM12:AN15" si="33">K12-$AC12</f>
        <v>4.6899999999999977</v>
      </c>
      <c r="AN12">
        <f t="shared" si="33"/>
        <v>1.1499999999999986</v>
      </c>
      <c r="AO12">
        <f t="shared" si="23"/>
        <v>-1.25</v>
      </c>
      <c r="AP12">
        <f t="shared" si="24"/>
        <v>-1.269999999999996</v>
      </c>
      <c r="AQ12">
        <f t="shared" si="25"/>
        <v>-0.82999999999999829</v>
      </c>
      <c r="AR12">
        <f t="shared" si="26"/>
        <v>-0.94999999999999574</v>
      </c>
      <c r="AS12" s="30">
        <f>Q12-$AC12</f>
        <v>4.6355555555555554</v>
      </c>
      <c r="AT12">
        <f t="shared" si="4"/>
        <v>0.71594202898550918</v>
      </c>
      <c r="AU12">
        <f t="shared" si="4"/>
        <v>-2.0944444444444414</v>
      </c>
      <c r="AV12">
        <f t="shared" si="4"/>
        <v>-1.4755999999999929</v>
      </c>
      <c r="AW12">
        <f t="shared" si="4"/>
        <v>-1.3543333333333294</v>
      </c>
      <c r="AX12">
        <f t="shared" si="4"/>
        <v>-1.268266666666662</v>
      </c>
      <c r="AY12" s="13">
        <f t="shared" ref="AY12:AZ15" ca="1" si="34">W12-$AC12</f>
        <v>5.055565791881051</v>
      </c>
      <c r="AZ12" s="6">
        <f t="shared" ca="1" si="34"/>
        <v>2.1035757739925245</v>
      </c>
      <c r="BA12" s="6">
        <f t="shared" ca="1" si="27"/>
        <v>-0.305690088835739</v>
      </c>
      <c r="BB12" s="6">
        <f t="shared" ca="1" si="28"/>
        <v>-0.29342903277525068</v>
      </c>
      <c r="BC12" s="6">
        <f t="shared" ca="1" si="29"/>
        <v>-0.28761500437522614</v>
      </c>
      <c r="BD12" s="2">
        <f t="shared" ca="1" si="30"/>
        <v>-0.81611995155183337</v>
      </c>
      <c r="BE12" t="s">
        <v>192</v>
      </c>
      <c r="BG12">
        <f t="shared" ref="BG12:BM12" si="35">MAX(0,($BG$16+1/($BG$17*$BG$18))-1/(($BG$17-BG6) * $BG$18))</f>
        <v>0.7111098041323789</v>
      </c>
      <c r="BH12">
        <f t="shared" si="35"/>
        <v>0.75403025435011051</v>
      </c>
      <c r="BI12">
        <f t="shared" si="35"/>
        <v>0.79049288264347206</v>
      </c>
      <c r="BJ12">
        <f t="shared" si="35"/>
        <v>0.8220841415490886</v>
      </c>
      <c r="BK12">
        <f t="shared" si="35"/>
        <v>0.86316798308574083</v>
      </c>
      <c r="BL12">
        <f t="shared" si="35"/>
        <v>0.90361351903345888</v>
      </c>
      <c r="BM12">
        <f t="shared" si="35"/>
        <v>0.93597084783447271</v>
      </c>
    </row>
    <row r="13" spans="1:66" x14ac:dyDescent="0.25">
      <c r="A13" t="s">
        <v>51</v>
      </c>
      <c r="B13">
        <f>B12+1</f>
        <v>2</v>
      </c>
      <c r="C13" s="13">
        <f ca="1">'Historical Trends'!O28</f>
        <v>33.264090909090783</v>
      </c>
      <c r="D13">
        <f ca="1">AVERAGE(OFFSET('Historical Trends'!$E$28,$B6,0,'Polling Correlations - ALP'!D$4,1))</f>
        <v>26.66</v>
      </c>
      <c r="E13">
        <f ca="1">AVERAGE(OFFSET('Historical Trends'!$E$28,$B6,0,'Polling Correlations - ALP'!E$4,1))</f>
        <v>34.454999999999998</v>
      </c>
      <c r="F13">
        <f ca="1">AVERAGE(OFFSET('Historical Trends'!$E$28,$B6,0,'Polling Correlations - ALP'!F$4,1))</f>
        <v>38.61</v>
      </c>
      <c r="G13">
        <f ca="1">AVERAGE(OFFSET('Historical Trends'!$E$28,$B6,0,'Polling Correlations - ALP'!G$4,1))</f>
        <v>40.71</v>
      </c>
      <c r="H13">
        <f ca="1">AVERAGE(OFFSET('Historical Trends'!$E$28,$B6,0,'Polling Correlations - ALP'!H$4,1))</f>
        <v>42.363999999999997</v>
      </c>
      <c r="I13">
        <f ca="1">AVERAGE(OFFSET('Historical Trends'!$E$28,$B6,0,'Polling Correlations - ALP'!I$4,1))</f>
        <v>41.78</v>
      </c>
      <c r="J13">
        <f ca="1">AVERAGE(OFFSET('Historical Trends'!$E$28,$B6,0,'Polling Correlations - ALP'!J$4,1))</f>
        <v>41.938571428571429</v>
      </c>
      <c r="K13" s="13">
        <f>AVERAGE(34.9,32.1,34.2,31,30.5)</f>
        <v>32.54</v>
      </c>
      <c r="L13">
        <f>AVERAGE(32,37,28.2,29,29.2)</f>
        <v>31.080000000000002</v>
      </c>
      <c r="M13">
        <f>AVERAGE(34.4,34.1,34,34,35.1)</f>
        <v>34.32</v>
      </c>
      <c r="N13">
        <f>AVERAGE(36,36,32,34.4,34.4)</f>
        <v>34.56</v>
      </c>
      <c r="O13">
        <f>AVERAGE(37.3,38,36,36.6,36)</f>
        <v>36.78</v>
      </c>
      <c r="P13">
        <f>(38+37+39+36.7+37)/5</f>
        <v>37.54</v>
      </c>
      <c r="Q13" s="30">
        <f>K13-AVERAGE(AM$5:AM12,AM14:AM$31)</f>
        <v>32.18272727272727</v>
      </c>
      <c r="R13" s="31">
        <f>L13-AVERAGE(AN$5:AN12,AN14:AN$31)</f>
        <v>30.568055555555556</v>
      </c>
      <c r="S13" s="31">
        <f>M13-AVERAGE(AO$5:AO12,AO14:AO$31)</f>
        <v>33.669466666666665</v>
      </c>
      <c r="T13" s="31">
        <f>N13-AVERAGE(AP$5:AP12,AP14:AP$31)</f>
        <v>34.539102564102564</v>
      </c>
      <c r="U13" s="31">
        <f>O13-AVERAGE(AQ$5:AQ12,AQ14:AQ$31)</f>
        <v>36.482628205128208</v>
      </c>
      <c r="V13" s="31">
        <f>P13-AVERAGE(AR$5:AR12,AR14:AR$31)</f>
        <v>37.372051282051281</v>
      </c>
      <c r="W13" s="13">
        <f t="shared" ca="1" si="6"/>
        <v>34.901241703327386</v>
      </c>
      <c r="X13" s="6">
        <f t="shared" ca="1" si="7"/>
        <v>33.447904789307643</v>
      </c>
      <c r="Y13" s="6">
        <f t="shared" ca="1" si="8"/>
        <v>35.435952040904453</v>
      </c>
      <c r="Z13" s="6">
        <f t="shared" ca="1" si="9"/>
        <v>35.666315346942817</v>
      </c>
      <c r="AA13" s="6">
        <f t="shared" ca="1" si="10"/>
        <v>37.238824599395592</v>
      </c>
      <c r="AB13" s="2">
        <f t="shared" ca="1" si="11"/>
        <v>37.641869538517739</v>
      </c>
      <c r="AC13" s="2">
        <f>'Historical Trends'!E28</f>
        <v>37.47</v>
      </c>
      <c r="AE13" s="13">
        <f t="shared" ca="1" si="15"/>
        <v>-4.2059090909092163</v>
      </c>
      <c r="AF13">
        <f t="shared" ca="1" si="16"/>
        <v>-10.809999999999999</v>
      </c>
      <c r="AG13">
        <f t="shared" ca="1" si="17"/>
        <v>-3.0150000000000006</v>
      </c>
      <c r="AH13">
        <f t="shared" ca="1" si="18"/>
        <v>1.1400000000000006</v>
      </c>
      <c r="AI13" s="6">
        <f t="shared" ca="1" si="19"/>
        <v>3.240000000000002</v>
      </c>
      <c r="AJ13">
        <f t="shared" ca="1" si="20"/>
        <v>4.8939999999999984</v>
      </c>
      <c r="AK13">
        <f t="shared" ca="1" si="21"/>
        <v>4.3100000000000023</v>
      </c>
      <c r="AL13">
        <f t="shared" ca="1" si="22"/>
        <v>4.4685714285714297</v>
      </c>
      <c r="AM13" s="13">
        <f t="shared" si="33"/>
        <v>-4.93</v>
      </c>
      <c r="AN13">
        <f t="shared" si="33"/>
        <v>-6.389999999999997</v>
      </c>
      <c r="AO13">
        <f t="shared" si="23"/>
        <v>-3.1499999999999986</v>
      </c>
      <c r="AP13">
        <f t="shared" si="24"/>
        <v>-2.9099999999999966</v>
      </c>
      <c r="AQ13">
        <f t="shared" si="25"/>
        <v>-0.68999999999999773</v>
      </c>
      <c r="AR13">
        <f t="shared" si="26"/>
        <v>7.0000000000000284E-2</v>
      </c>
      <c r="AS13" s="30">
        <f>Q13-$AC13</f>
        <v>-5.2872727272727289</v>
      </c>
      <c r="AT13">
        <f t="shared" si="4"/>
        <v>-6.9019444444444424</v>
      </c>
      <c r="AU13">
        <f t="shared" si="4"/>
        <v>-3.800533333333334</v>
      </c>
      <c r="AV13">
        <f t="shared" si="4"/>
        <v>-2.9308974358974353</v>
      </c>
      <c r="AW13">
        <f t="shared" si="4"/>
        <v>-0.98737179487179105</v>
      </c>
      <c r="AX13">
        <f t="shared" si="4"/>
        <v>-9.7948717948717956E-2</v>
      </c>
      <c r="AY13" s="13">
        <f t="shared" ca="1" si="34"/>
        <v>-2.5687582966726126</v>
      </c>
      <c r="AZ13" s="6">
        <f t="shared" ca="1" si="34"/>
        <v>-4.0220952106923562</v>
      </c>
      <c r="BA13" s="6">
        <f t="shared" ca="1" si="27"/>
        <v>-2.0340479590955454</v>
      </c>
      <c r="BB13" s="6">
        <f t="shared" ca="1" si="28"/>
        <v>-1.8036846530571822</v>
      </c>
      <c r="BC13" s="6">
        <f t="shared" ca="1" si="29"/>
        <v>-0.23117540060440689</v>
      </c>
      <c r="BD13" s="2">
        <f t="shared" ca="1" si="30"/>
        <v>0.17186953851773978</v>
      </c>
      <c r="BE13" t="s">
        <v>191</v>
      </c>
      <c r="BG13">
        <f t="shared" ref="BG13:BM13" si="36">(BG12-BG10)^2</f>
        <v>3.1709715439988988E-5</v>
      </c>
      <c r="BH13">
        <f t="shared" si="36"/>
        <v>1.1849894386852784E-4</v>
      </c>
      <c r="BI13">
        <f t="shared" si="36"/>
        <v>6.8794837185703241E-5</v>
      </c>
      <c r="BJ13">
        <f t="shared" si="36"/>
        <v>4.9474133433604164E-4</v>
      </c>
      <c r="BK13">
        <f t="shared" si="36"/>
        <v>3.5014861769524963E-5</v>
      </c>
      <c r="BL13">
        <f t="shared" si="36"/>
        <v>3.1293624909845252E-5</v>
      </c>
      <c r="BM13">
        <f t="shared" si="36"/>
        <v>7.9377530057590975E-6</v>
      </c>
      <c r="BN13">
        <f>SQRT(SUM(BG13:BM13))</f>
        <v>2.8071178644926739E-2</v>
      </c>
    </row>
    <row r="14" spans="1:66" x14ac:dyDescent="0.25">
      <c r="A14" t="s">
        <v>52</v>
      </c>
      <c r="B14">
        <f>B13+1</f>
        <v>3</v>
      </c>
      <c r="C14" s="13">
        <f ca="1">'Historical Trends'!O29</f>
        <v>46.550000000000011</v>
      </c>
      <c r="D14">
        <f ca="1">AVERAGE(OFFSET('Historical Trends'!$E$28,$B7,0,'Polling Correlations - ALP'!D$4,1))</f>
        <v>42.25</v>
      </c>
      <c r="E14">
        <f ca="1">AVERAGE(OFFSET('Historical Trends'!$E$28,$B7,0,'Polling Correlations - ALP'!E$4,1))</f>
        <v>44.585000000000001</v>
      </c>
      <c r="F14">
        <f ca="1">AVERAGE(OFFSET('Historical Trends'!$E$28,$B7,0,'Polling Correlations - ALP'!F$4,1))</f>
        <v>45.393333333333338</v>
      </c>
      <c r="G14">
        <f ca="1">AVERAGE(OFFSET('Historical Trends'!$E$28,$B7,0,'Polling Correlations - ALP'!G$4,1))</f>
        <v>46.29</v>
      </c>
      <c r="H14">
        <f ca="1">AVERAGE(OFFSET('Historical Trends'!$E$28,$B7,0,'Polling Correlations - ALP'!H$4,1))</f>
        <v>44.803999999999995</v>
      </c>
      <c r="I14">
        <f ca="1">AVERAGE(OFFSET('Historical Trends'!$E$28,$B7,0,'Polling Correlations - ALP'!I$4,1))</f>
        <v>44.484999999999992</v>
      </c>
      <c r="J14">
        <f ca="1">AVERAGE(OFFSET('Historical Trends'!$E$28,$B7,0,'Polling Correlations - ALP'!J$4,1))</f>
        <v>45.091428571428573</v>
      </c>
      <c r="K14" s="13">
        <f>AVERAGE(31,34,35,30,36)</f>
        <v>33.200000000000003</v>
      </c>
      <c r="L14">
        <f>AVERAGE(35,38,28,26,29)</f>
        <v>31.2</v>
      </c>
      <c r="M14">
        <f>AVERAGE(28,27,30,31,36)</f>
        <v>30.4</v>
      </c>
      <c r="N14">
        <f>AVERAGE(28,31,28,27,30)</f>
        <v>28.8</v>
      </c>
      <c r="O14">
        <f>AVERAGE(30,30,32,28,31)</f>
        <v>30.2</v>
      </c>
      <c r="P14">
        <f>AVERAGE(28,30,30,30,32)</f>
        <v>30</v>
      </c>
      <c r="Q14" s="30">
        <f>K14-AVERAGE(AM$5:AM13,AM15:AM$31)</f>
        <v>33.364090909090912</v>
      </c>
      <c r="R14" s="31">
        <f>L14-AVERAGE(AN$5:AN13,AN15:AN$31)</f>
        <v>31.143472222222222</v>
      </c>
      <c r="S14" s="31">
        <f>M14-AVERAGE(AO$5:AO13,AO15:AO$31)</f>
        <v>30.025066666666664</v>
      </c>
      <c r="T14" s="31">
        <f>N14-AVERAGE(AP$5:AP13,AP15:AP$31)</f>
        <v>28.973333333333333</v>
      </c>
      <c r="U14" s="31">
        <f>O14-AVERAGE(AQ$5:AQ13,AQ15:AQ$31)</f>
        <v>30.065320512820513</v>
      </c>
      <c r="V14" s="31">
        <f>P14-AVERAGE(AR$5:AR13,AR15:AR$31)</f>
        <v>29.957820512820511</v>
      </c>
      <c r="W14" s="13">
        <f t="shared" ca="1" si="6"/>
        <v>36.514189140551665</v>
      </c>
      <c r="X14" s="6">
        <f t="shared" ca="1" si="7"/>
        <v>34.570316578996881</v>
      </c>
      <c r="Y14" s="6">
        <f t="shared" ca="1" si="8"/>
        <v>33.174460140065875</v>
      </c>
      <c r="Z14" s="6">
        <f t="shared" ca="1" si="9"/>
        <v>31.388082210059643</v>
      </c>
      <c r="AA14" s="6">
        <f t="shared" ca="1" si="10"/>
        <v>32.123720424499822</v>
      </c>
      <c r="AB14" s="2">
        <f t="shared" ca="1" si="11"/>
        <v>30.847054596839104</v>
      </c>
      <c r="AC14" s="2">
        <f>'Historical Trends'!E29</f>
        <v>26.66</v>
      </c>
      <c r="AE14" s="13">
        <f t="shared" ca="1" si="15"/>
        <v>19.890000000000011</v>
      </c>
      <c r="AF14">
        <f t="shared" ca="1" si="16"/>
        <v>15.59</v>
      </c>
      <c r="AG14">
        <f t="shared" ca="1" si="17"/>
        <v>17.925000000000001</v>
      </c>
      <c r="AH14">
        <f t="shared" ca="1" si="18"/>
        <v>18.733333333333338</v>
      </c>
      <c r="AI14">
        <f t="shared" ca="1" si="19"/>
        <v>19.63</v>
      </c>
      <c r="AJ14">
        <f t="shared" ca="1" si="20"/>
        <v>18.143999999999995</v>
      </c>
      <c r="AK14">
        <f t="shared" ca="1" si="21"/>
        <v>17.824999999999992</v>
      </c>
      <c r="AL14">
        <f t="shared" ca="1" si="22"/>
        <v>18.431428571428572</v>
      </c>
      <c r="AM14" s="13">
        <f t="shared" si="33"/>
        <v>6.5400000000000027</v>
      </c>
      <c r="AN14">
        <f t="shared" si="33"/>
        <v>4.5399999999999991</v>
      </c>
      <c r="AO14">
        <f t="shared" si="23"/>
        <v>3.7399999999999984</v>
      </c>
      <c r="AP14">
        <f t="shared" si="24"/>
        <v>2.1400000000000006</v>
      </c>
      <c r="AQ14">
        <f t="shared" si="25"/>
        <v>3.5399999999999991</v>
      </c>
      <c r="AR14">
        <f t="shared" si="26"/>
        <v>3.34</v>
      </c>
      <c r="AS14" s="30">
        <f>Q14-$AC14</f>
        <v>6.7040909090909118</v>
      </c>
      <c r="AT14">
        <f t="shared" si="4"/>
        <v>4.4834722222222219</v>
      </c>
      <c r="AU14">
        <f t="shared" si="4"/>
        <v>3.3650666666666638</v>
      </c>
      <c r="AV14">
        <f t="shared" si="4"/>
        <v>2.3133333333333326</v>
      </c>
      <c r="AW14">
        <f t="shared" si="4"/>
        <v>3.4053205128205128</v>
      </c>
      <c r="AX14">
        <f t="shared" si="4"/>
        <v>3.2978205128205111</v>
      </c>
      <c r="AY14" s="13">
        <f t="shared" ca="1" si="34"/>
        <v>9.8541891405516644</v>
      </c>
      <c r="AZ14" s="6">
        <f t="shared" ca="1" si="34"/>
        <v>7.9103165789968806</v>
      </c>
      <c r="BA14" s="6">
        <f t="shared" ca="1" si="27"/>
        <v>6.514460140065875</v>
      </c>
      <c r="BB14" s="6">
        <f t="shared" ca="1" si="28"/>
        <v>4.7280822100596431</v>
      </c>
      <c r="BC14" s="6">
        <f t="shared" ca="1" si="29"/>
        <v>5.4637204244998223</v>
      </c>
      <c r="BD14" s="2">
        <f t="shared" ca="1" si="30"/>
        <v>4.1870545968391042</v>
      </c>
    </row>
    <row r="15" spans="1:66" x14ac:dyDescent="0.25">
      <c r="A15" t="s">
        <v>53</v>
      </c>
      <c r="B15">
        <f>B14+1</f>
        <v>4</v>
      </c>
      <c r="C15" s="13">
        <f ca="1">'Historical Trends'!O30</f>
        <v>46.832232558139538</v>
      </c>
      <c r="D15">
        <f ca="1">AVERAGE(OFFSET('Historical Trends'!$E$28,$B8,0,'Polling Correlations - ALP'!D$4,1))</f>
        <v>46.92</v>
      </c>
      <c r="E15">
        <f ca="1">AVERAGE(OFFSET('Historical Trends'!$E$28,$B8,0,'Polling Correlations - ALP'!E$4,1))</f>
        <v>46.965000000000003</v>
      </c>
      <c r="F15">
        <f ca="1">AVERAGE(OFFSET('Historical Trends'!$E$28,$B8,0,'Polling Correlations - ALP'!F$4,1))</f>
        <v>47.636666666666663</v>
      </c>
      <c r="G15">
        <f ca="1">AVERAGE(OFFSET('Historical Trends'!$E$28,$B8,0,'Polling Correlations - ALP'!G$4,1))</f>
        <v>45.442499999999995</v>
      </c>
      <c r="H15">
        <f ca="1">AVERAGE(OFFSET('Historical Trends'!$E$28,$B8,0,'Polling Correlations - ALP'!H$4,1))</f>
        <v>44.931999999999995</v>
      </c>
      <c r="I15">
        <f ca="1">AVERAGE(OFFSET('Historical Trends'!$E$28,$B8,0,'Polling Correlations - ALP'!I$4,1))</f>
        <v>45.564999999999998</v>
      </c>
      <c r="J15">
        <f ca="1">AVERAGE(OFFSET('Historical Trends'!$E$28,$B8,0,'Polling Correlations - ALP'!J$4,1))</f>
        <v>46.244285714285709</v>
      </c>
      <c r="K15" s="13">
        <f>AVERAGE(42,48,48)</f>
        <v>46</v>
      </c>
      <c r="L15">
        <f>AVERAGE(52,50,46)</f>
        <v>49.333333333333336</v>
      </c>
      <c r="M15">
        <f>AVERAGE(43,44,43)</f>
        <v>43.333333333333336</v>
      </c>
      <c r="N15">
        <f>AVERAGE(45,43,43)</f>
        <v>43.666666666666664</v>
      </c>
      <c r="O15">
        <f>AVERAGE(41,45,43)</f>
        <v>43</v>
      </c>
      <c r="P15">
        <f>AVERAGE(42,41,41)</f>
        <v>41.333333333333336</v>
      </c>
      <c r="Q15" s="30">
        <f>K15-AVERAGE(AM$5:AM14,AM16:AM$31)</f>
        <v>46.037272727272729</v>
      </c>
      <c r="R15" s="31">
        <f>L15-AVERAGE(AN$5:AN14,AN16:AN$31)</f>
        <v>49.382777777777783</v>
      </c>
      <c r="S15" s="31">
        <f>M15-AVERAGE(AO$5:AO14,AO16:AO$31)</f>
        <v>42.852133333333335</v>
      </c>
      <c r="T15" s="31">
        <f>N15-AVERAGE(AP$5:AP14,AP16:AP$31)</f>
        <v>43.812179487179485</v>
      </c>
      <c r="U15" s="31">
        <f>O15-AVERAGE(AQ$5:AQ14,AQ16:AQ$31)</f>
        <v>42.758012820512818</v>
      </c>
      <c r="V15" s="31">
        <f>P15-AVERAGE(AR$5:AR14,AR16:AR$31)</f>
        <v>41.127435897435902</v>
      </c>
      <c r="W15" s="13">
        <f t="shared" ca="1" si="6"/>
        <v>45.903497199499995</v>
      </c>
      <c r="X15" s="6">
        <f t="shared" ca="1" si="7"/>
        <v>48.402160681211896</v>
      </c>
      <c r="Y15" s="6">
        <f t="shared" ca="1" si="8"/>
        <v>43.442999444348295</v>
      </c>
      <c r="Z15" s="6">
        <f t="shared" ca="1" si="9"/>
        <v>44.085046449537032</v>
      </c>
      <c r="AA15" s="6">
        <f t="shared" ca="1" si="10"/>
        <v>43.15870842317711</v>
      </c>
      <c r="AB15" s="2">
        <f t="shared" ca="1" si="11"/>
        <v>41.399066963431871</v>
      </c>
      <c r="AC15" s="2">
        <f>'Historical Trends'!E30</f>
        <v>42.25</v>
      </c>
      <c r="AE15" s="13">
        <f t="shared" ca="1" si="15"/>
        <v>4.5822325581395376</v>
      </c>
      <c r="AF15">
        <f t="shared" ca="1" si="16"/>
        <v>4.6700000000000017</v>
      </c>
      <c r="AG15">
        <f t="shared" ca="1" si="17"/>
        <v>4.7150000000000034</v>
      </c>
      <c r="AH15">
        <f t="shared" ca="1" si="18"/>
        <v>5.3866666666666632</v>
      </c>
      <c r="AI15">
        <f t="shared" ca="1" si="19"/>
        <v>3.1924999999999955</v>
      </c>
      <c r="AJ15">
        <f t="shared" ca="1" si="20"/>
        <v>2.6819999999999951</v>
      </c>
      <c r="AK15">
        <f t="shared" ca="1" si="21"/>
        <v>3.3149999999999977</v>
      </c>
      <c r="AL15">
        <f t="shared" ca="1" si="22"/>
        <v>3.9942857142857093</v>
      </c>
      <c r="AM15" s="13">
        <f t="shared" si="33"/>
        <v>3.75</v>
      </c>
      <c r="AN15">
        <f t="shared" si="33"/>
        <v>7.0833333333333357</v>
      </c>
      <c r="AO15">
        <f t="shared" si="23"/>
        <v>1.0833333333333357</v>
      </c>
      <c r="AP15">
        <f t="shared" si="24"/>
        <v>1.4166666666666643</v>
      </c>
      <c r="AQ15">
        <f t="shared" si="25"/>
        <v>0.75</v>
      </c>
      <c r="AR15">
        <f t="shared" si="26"/>
        <v>-0.9166666666666643</v>
      </c>
      <c r="AS15" s="30">
        <f>Q15-$AC15</f>
        <v>3.7872727272727289</v>
      </c>
      <c r="AT15">
        <f t="shared" si="4"/>
        <v>7.1327777777777825</v>
      </c>
      <c r="AU15">
        <f t="shared" si="4"/>
        <v>0.60213333333333452</v>
      </c>
      <c r="AV15">
        <f t="shared" si="4"/>
        <v>1.5621794871794847</v>
      </c>
      <c r="AW15">
        <f t="shared" si="4"/>
        <v>0.5080128205128176</v>
      </c>
      <c r="AX15">
        <f t="shared" si="4"/>
        <v>-1.1225641025640982</v>
      </c>
      <c r="AY15" s="13">
        <f t="shared" ca="1" si="34"/>
        <v>3.653497199499995</v>
      </c>
      <c r="AZ15" s="6">
        <f t="shared" ca="1" si="34"/>
        <v>6.1521606812118961</v>
      </c>
      <c r="BA15" s="6">
        <f t="shared" ca="1" si="27"/>
        <v>1.1929994443482954</v>
      </c>
      <c r="BB15" s="6">
        <f t="shared" ca="1" si="28"/>
        <v>1.8350464495370318</v>
      </c>
      <c r="BC15" s="6">
        <f t="shared" ca="1" si="29"/>
        <v>0.90870842317711009</v>
      </c>
      <c r="BD15" s="2">
        <f t="shared" ca="1" si="30"/>
        <v>-0.85093303656812935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Trends'!O31</f>
        <v>44.337523809523816</v>
      </c>
      <c r="D16">
        <f ca="1">AVERAGE(OFFSET('Historical Trends'!$E$28,$B9,0,'Polling Correlations - ALP'!D$4,1))</f>
        <v>47.01</v>
      </c>
      <c r="E16">
        <f ca="1">AVERAGE(OFFSET('Historical Trends'!$E$28,$B9,0,'Polling Correlations - ALP'!E$4,1))</f>
        <v>47.994999999999997</v>
      </c>
      <c r="F16">
        <f ca="1">AVERAGE(OFFSET('Historical Trends'!$E$28,$B9,0,'Polling Correlations - ALP'!F$4,1))</f>
        <v>44.949999999999996</v>
      </c>
      <c r="G16">
        <f ca="1">AVERAGE(OFFSET('Historical Trends'!$E$28,$B9,0,'Polling Correlations - ALP'!G$4,1))</f>
        <v>44.435000000000002</v>
      </c>
      <c r="H16">
        <f ca="1">AVERAGE(OFFSET('Historical Trends'!$E$28,$B9,0,'Polling Correlations - ALP'!H$4,1))</f>
        <v>45.293999999999997</v>
      </c>
      <c r="I16">
        <f ca="1">AVERAGE(OFFSET('Historical Trends'!$E$28,$B9,0,'Polling Correlations - ALP'!I$4,1))</f>
        <v>46.131666666666668</v>
      </c>
      <c r="J16">
        <f ca="1">AVERAGE(OFFSET('Historical Trends'!$E$28,$B9,0,'Polling Correlations - ALP'!J$4,1))</f>
        <v>45.444285714285719</v>
      </c>
      <c r="L16">
        <f>AVERAGE(41,40,47)</f>
        <v>42.666666666666664</v>
      </c>
      <c r="M16">
        <f>AVERAGE(40,40,41)</f>
        <v>40.333333333333336</v>
      </c>
      <c r="N16">
        <f>AVERAGE(41,40,40)</f>
        <v>40.333333333333336</v>
      </c>
      <c r="O16">
        <f>AVERAGE(45,41,40)</f>
        <v>42</v>
      </c>
      <c r="P16">
        <f>AVERAGE(48,48,45)</f>
        <v>47</v>
      </c>
      <c r="Q16" s="30"/>
      <c r="R16" s="31">
        <f>L16-AVERAGE(AN$5:AN15,AN17:AN$31)</f>
        <v>42.243749999999999</v>
      </c>
      <c r="S16" s="31">
        <f>M16-AVERAGE(AO$5:AO15,AO17:AO$31)</f>
        <v>39.545333333333339</v>
      </c>
      <c r="T16" s="31">
        <f>N16-AVERAGE(AP$5:AP15,AP17:AP$31)</f>
        <v>40.171025641025643</v>
      </c>
      <c r="U16" s="31">
        <f>O16-AVERAGE(AQ$5:AQ15,AQ17:AQ$31)</f>
        <v>41.539935897435896</v>
      </c>
      <c r="V16" s="31">
        <f>P16-AVERAGE(AR$5:AR15,AR17:AR$31)</f>
        <v>46.8324358974359</v>
      </c>
      <c r="W16" s="13">
        <f t="shared" ca="1" si="6"/>
        <v>13.067212436777893</v>
      </c>
      <c r="X16" s="6">
        <f t="shared" ca="1" si="7"/>
        <v>43.242382653673189</v>
      </c>
      <c r="Y16" s="6">
        <f t="shared" ca="1" si="8"/>
        <v>40.979845840096743</v>
      </c>
      <c r="Z16" s="6">
        <f t="shared" ca="1" si="9"/>
        <v>41.098936969352849</v>
      </c>
      <c r="AA16" s="6">
        <f t="shared" ca="1" si="10"/>
        <v>42.195402492115981</v>
      </c>
      <c r="AB16" s="2">
        <f t="shared" ca="1" si="11"/>
        <v>46.789540586231034</v>
      </c>
      <c r="AC16" s="2">
        <f>'Historical Trends'!E31</f>
        <v>46.92</v>
      </c>
      <c r="AE16" s="13">
        <f t="shared" ca="1" si="15"/>
        <v>-2.5824761904761857</v>
      </c>
      <c r="AF16">
        <f t="shared" ca="1" si="16"/>
        <v>8.9999999999996305E-2</v>
      </c>
      <c r="AG16">
        <f t="shared" ca="1" si="17"/>
        <v>1.0749999999999957</v>
      </c>
      <c r="AH16">
        <f t="shared" ca="1" si="18"/>
        <v>-1.970000000000006</v>
      </c>
      <c r="AI16">
        <f t="shared" ca="1" si="19"/>
        <v>-2.4849999999999994</v>
      </c>
      <c r="AJ16">
        <f t="shared" ca="1" si="20"/>
        <v>-1.6260000000000048</v>
      </c>
      <c r="AK16">
        <f t="shared" ca="1" si="21"/>
        <v>-0.788333333333334</v>
      </c>
      <c r="AL16">
        <f t="shared" ca="1" si="22"/>
        <v>-1.4757142857142824</v>
      </c>
      <c r="AN16">
        <f t="shared" ref="AN16:AN30" si="37">L16-$AC16</f>
        <v>-4.2533333333333374</v>
      </c>
      <c r="AO16">
        <f t="shared" si="23"/>
        <v>-6.586666666666666</v>
      </c>
      <c r="AP16">
        <f t="shared" si="24"/>
        <v>-6.586666666666666</v>
      </c>
      <c r="AQ16">
        <f t="shared" si="25"/>
        <v>-4.9200000000000017</v>
      </c>
      <c r="AR16">
        <f t="shared" si="26"/>
        <v>7.9999999999998295E-2</v>
      </c>
      <c r="AS16" s="30"/>
      <c r="AT16">
        <f t="shared" si="4"/>
        <v>-4.6762500000000031</v>
      </c>
      <c r="AU16">
        <f t="shared" si="4"/>
        <v>-7.3746666666666627</v>
      </c>
      <c r="AV16">
        <f t="shared" si="4"/>
        <v>-6.7489743589743583</v>
      </c>
      <c r="AW16">
        <f t="shared" si="4"/>
        <v>-5.3800641025641056</v>
      </c>
      <c r="AX16">
        <f t="shared" si="4"/>
        <v>-8.7564102564101631E-2</v>
      </c>
      <c r="AZ16" s="6">
        <f t="shared" ref="AZ16:AZ30" ca="1" si="38">X16-$AC16</f>
        <v>-3.6776173463268123</v>
      </c>
      <c r="BA16" s="6">
        <f t="shared" ca="1" si="27"/>
        <v>-5.9401541599032583</v>
      </c>
      <c r="BB16" s="6">
        <f t="shared" ca="1" si="28"/>
        <v>-5.8210630306471529</v>
      </c>
      <c r="BC16" s="6">
        <f t="shared" ca="1" si="29"/>
        <v>-4.7245975078840203</v>
      </c>
      <c r="BD16" s="2">
        <f t="shared" ca="1" si="30"/>
        <v>-0.13045941376896764</v>
      </c>
      <c r="BE16" t="s">
        <v>188</v>
      </c>
      <c r="BG16">
        <v>0.95015292211593139</v>
      </c>
    </row>
    <row r="17" spans="1:74" x14ac:dyDescent="0.25">
      <c r="A17" t="s">
        <v>48</v>
      </c>
      <c r="B17">
        <v>0</v>
      </c>
      <c r="C17" s="13">
        <f ca="1">'Historical Trends'!O46</f>
        <v>27.761999999999944</v>
      </c>
      <c r="D17">
        <f ca="1">AVERAGE(OFFSET('Historical Trends'!$E$48,$B5,0,'Polling Correlations - ALP'!D$4,1))</f>
        <v>34.08</v>
      </c>
      <c r="E17">
        <f ca="1">AVERAGE(OFFSET('Historical Trends'!$E$48,$B5,0,'Polling Correlations - ALP'!E$4,1))</f>
        <v>29.814999999999998</v>
      </c>
      <c r="F17">
        <f ca="1">AVERAGE(OFFSET('Historical Trends'!$E$48,$B5,0,'Polling Correlations - ALP'!F$4,1))</f>
        <v>32.869999999999997</v>
      </c>
      <c r="G17">
        <f ca="1">AVERAGE(OFFSET('Historical Trends'!$E$48,$B5,0,'Polling Correlations - ALP'!G$4,1))</f>
        <v>35.322499999999998</v>
      </c>
      <c r="H17">
        <f ca="1">AVERAGE(OFFSET('Historical Trends'!$E$48,$B5,0,'Polling Correlations - ALP'!H$4,1))</f>
        <v>36.700000000000003</v>
      </c>
      <c r="I17">
        <f ca="1">AVERAGE(OFFSET('Historical Trends'!$E$48,$B5,0,'Polling Correlations - ALP'!I$4,1))</f>
        <v>37.46</v>
      </c>
      <c r="J17">
        <f ca="1">AVERAGE(OFFSET('Historical Trends'!$E$48,$B5,0,'Polling Correlations - ALP'!J$4,1))</f>
        <v>37.687142857142859</v>
      </c>
      <c r="K17" s="13">
        <f>AVERAGE(34,36,28)</f>
        <v>32.666666666666664</v>
      </c>
      <c r="L17">
        <f>AVERAGE(34.6,34,39)</f>
        <v>35.866666666666667</v>
      </c>
      <c r="M17">
        <f>AVERAGE(33.5,34.6,34)</f>
        <v>34.033333333333331</v>
      </c>
      <c r="N17">
        <f>AVERAGE(35.5,39,33.5,34.6,34)</f>
        <v>35.32</v>
      </c>
      <c r="O17">
        <f>AVERAGE(36,36,35.5,39,33.5)</f>
        <v>36</v>
      </c>
      <c r="P17">
        <f>AVERAGE(35,38,36,35.8,36)</f>
        <v>36.160000000000004</v>
      </c>
      <c r="Q17" s="30">
        <f>K17-AVERAGE(AM$5:AM16,AM18:AM$31)</f>
        <v>32.50424242424242</v>
      </c>
      <c r="R17" s="31">
        <f>L17-AVERAGE(AN$5:AN16,AN18:AN$31)</f>
        <v>35.727499999999999</v>
      </c>
      <c r="S17" s="31">
        <f>M17-AVERAGE(AO$5:AO16,AO18:AO$31)</f>
        <v>33.537733333333328</v>
      </c>
      <c r="T17" s="31">
        <f>N17-AVERAGE(AP$5:AP16,AP18:AP$31)</f>
        <v>35.48833333333333</v>
      </c>
      <c r="U17" s="31">
        <f>O17-AVERAGE(AQ$5:AQ16,AQ18:AQ$31)</f>
        <v>35.832628205128202</v>
      </c>
      <c r="V17" s="31">
        <f>P17-AVERAGE(AR$5:AR16,AR18:AR$31)</f>
        <v>36.09897435897436</v>
      </c>
      <c r="W17" s="13">
        <f t="shared" ca="1" si="6"/>
        <v>33.908005646055258</v>
      </c>
      <c r="X17" s="6">
        <f t="shared" ca="1" si="7"/>
        <v>36.172502097735844</v>
      </c>
      <c r="Y17" s="6">
        <f t="shared" ca="1" si="8"/>
        <v>34.392008436556345</v>
      </c>
      <c r="Z17" s="6">
        <f t="shared" ca="1" si="9"/>
        <v>35.795268749812024</v>
      </c>
      <c r="AA17" s="6">
        <f t="shared" ca="1" si="10"/>
        <v>36.064934475306522</v>
      </c>
      <c r="AB17" s="2">
        <f t="shared" ca="1" si="11"/>
        <v>36.182285120728992</v>
      </c>
      <c r="AC17" s="2">
        <f>'Historical Trends'!E47</f>
        <v>33.31</v>
      </c>
      <c r="AE17" s="13">
        <f t="shared" ca="1" si="15"/>
        <v>-5.5480000000000587</v>
      </c>
      <c r="AF17">
        <f t="shared" ca="1" si="16"/>
        <v>0.76999999999999602</v>
      </c>
      <c r="AG17">
        <f t="shared" ca="1" si="17"/>
        <v>-3.4950000000000045</v>
      </c>
      <c r="AH17">
        <f t="shared" ca="1" si="18"/>
        <v>-0.44000000000000483</v>
      </c>
      <c r="AI17">
        <f t="shared" ca="1" si="19"/>
        <v>2.0124999999999957</v>
      </c>
      <c r="AJ17">
        <f t="shared" ca="1" si="20"/>
        <v>3.3900000000000006</v>
      </c>
      <c r="AK17">
        <f t="shared" ca="1" si="21"/>
        <v>4.1499999999999986</v>
      </c>
      <c r="AL17">
        <f t="shared" ca="1" si="22"/>
        <v>4.3771428571428572</v>
      </c>
      <c r="AM17" s="13">
        <f t="shared" ref="AM17:AM23" si="39">K17-$AC17</f>
        <v>-0.64333333333333798</v>
      </c>
      <c r="AN17">
        <f t="shared" si="37"/>
        <v>2.5566666666666649</v>
      </c>
      <c r="AO17">
        <f t="shared" si="23"/>
        <v>0.72333333333332916</v>
      </c>
      <c r="AP17">
        <f t="shared" si="24"/>
        <v>2.009999999999998</v>
      </c>
      <c r="AQ17">
        <f t="shared" si="25"/>
        <v>2.6899999999999977</v>
      </c>
      <c r="AR17">
        <f t="shared" si="26"/>
        <v>2.8500000000000014</v>
      </c>
      <c r="AS17" s="30">
        <f t="shared" ref="AS17:AS23" si="40">Q17-$AC17</f>
        <v>-0.80575757575758189</v>
      </c>
      <c r="AT17">
        <f t="shared" si="4"/>
        <v>2.4174999999999969</v>
      </c>
      <c r="AU17">
        <f t="shared" si="4"/>
        <v>0.22773333333332602</v>
      </c>
      <c r="AV17">
        <f t="shared" si="4"/>
        <v>2.1783333333333275</v>
      </c>
      <c r="AW17">
        <f t="shared" si="4"/>
        <v>2.5226282051281999</v>
      </c>
      <c r="AX17">
        <f t="shared" si="4"/>
        <v>2.7889743589743574</v>
      </c>
      <c r="AY17" s="13">
        <f ca="1">W17-$AC17</f>
        <v>0.59800564605525608</v>
      </c>
      <c r="AZ17" s="6">
        <f t="shared" ca="1" si="38"/>
        <v>2.8625020977358417</v>
      </c>
      <c r="BA17" s="6">
        <f t="shared" ca="1" si="27"/>
        <v>1.0820084365563432</v>
      </c>
      <c r="BB17" s="6">
        <f t="shared" ca="1" si="28"/>
        <v>2.4852687498120218</v>
      </c>
      <c r="BC17" s="6">
        <f t="shared" ca="1" si="29"/>
        <v>2.7549344753065199</v>
      </c>
      <c r="BD17" s="2">
        <f t="shared" ca="1" si="30"/>
        <v>2.8722851207289892</v>
      </c>
      <c r="BE17" t="s">
        <v>189</v>
      </c>
      <c r="BG17">
        <v>14.234904923687635</v>
      </c>
    </row>
    <row r="18" spans="1:74" x14ac:dyDescent="0.25">
      <c r="A18" t="s">
        <v>70</v>
      </c>
      <c r="B18">
        <f>B17+1</f>
        <v>1</v>
      </c>
      <c r="C18" s="13">
        <f ca="1">'Historical Trends'!O47</f>
        <v>28.501999999999953</v>
      </c>
      <c r="D18">
        <f ca="1">AVERAGE(OFFSET('Historical Trends'!$E$48,$B6,0,'Polling Correlations - ALP'!D$4,1))</f>
        <v>25.55</v>
      </c>
      <c r="E18">
        <f ca="1">AVERAGE(OFFSET('Historical Trends'!$E$48,$B6,0,'Polling Correlations - ALP'!E$4,1))</f>
        <v>32.265000000000001</v>
      </c>
      <c r="F18">
        <f ca="1">AVERAGE(OFFSET('Historical Trends'!$E$48,$B6,0,'Polling Correlations - ALP'!F$4,1))</f>
        <v>35.736666666666672</v>
      </c>
      <c r="G18">
        <f ca="1">AVERAGE(OFFSET('Historical Trends'!$E$48,$B6,0,'Polling Correlations - ALP'!G$4,1))</f>
        <v>37.355000000000004</v>
      </c>
      <c r="H18">
        <f ca="1">AVERAGE(OFFSET('Historical Trends'!$E$48,$B6,0,'Polling Correlations - ALP'!H$4,1))</f>
        <v>38.136000000000003</v>
      </c>
      <c r="I18">
        <f ca="1">AVERAGE(OFFSET('Historical Trends'!$E$48,$B6,0,'Polling Correlations - ALP'!I$4,1))</f>
        <v>38.288333333333334</v>
      </c>
      <c r="J18">
        <f ca="1">AVERAGE(OFFSET('Historical Trends'!$E$48,$B6,0,'Polling Correlations - ALP'!J$4,1))</f>
        <v>38.315714285714293</v>
      </c>
      <c r="K18" s="13">
        <f>AVERAGE(23,27,29,31,28)</f>
        <v>27.6</v>
      </c>
      <c r="L18">
        <f>AVERAGE(35,31,32,28,28)</f>
        <v>30.8</v>
      </c>
      <c r="M18">
        <f>AVERAGE(35,33,31,37,37)</f>
        <v>34.6</v>
      </c>
      <c r="N18">
        <f>AVERAGE(38,33,34,33,35)</f>
        <v>34.6</v>
      </c>
      <c r="O18">
        <f>AVERAGE(35,36,36,36,36)</f>
        <v>35.799999999999997</v>
      </c>
      <c r="P18">
        <f>AVERAGE(33.8,34,34,36,36)</f>
        <v>34.760000000000005</v>
      </c>
      <c r="Q18" s="30">
        <f>K18-AVERAGE(AM$5:AM17,AM19:AM$31)</f>
        <v>27.17227272727273</v>
      </c>
      <c r="R18" s="31">
        <f>L18-AVERAGE(AN$5:AN17,AN19:AN$31)</f>
        <v>30.417638888888888</v>
      </c>
      <c r="S18" s="31">
        <f>M18-AVERAGE(AO$5:AO17,AO19:AO$31)</f>
        <v>34.096266666666665</v>
      </c>
      <c r="T18" s="31">
        <f>N18-AVERAGE(AP$5:AP17,AP19:AP$31)</f>
        <v>34.711025641025643</v>
      </c>
      <c r="U18" s="31">
        <f>O18-AVERAGE(AQ$5:AQ17,AQ19:AQ$31)</f>
        <v>35.595320512820507</v>
      </c>
      <c r="V18" s="31">
        <f>P18-AVERAGE(AR$5:AR17,AR19:AR$31)</f>
        <v>34.615512820512826</v>
      </c>
      <c r="W18" s="13">
        <f t="shared" ca="1" si="6"/>
        <v>30.320997581483329</v>
      </c>
      <c r="X18" s="6">
        <f t="shared" ca="1" si="7"/>
        <v>32.439269791293277</v>
      </c>
      <c r="Y18" s="6">
        <f t="shared" ca="1" si="8"/>
        <v>35.009304582935599</v>
      </c>
      <c r="Z18" s="6">
        <f t="shared" ca="1" si="9"/>
        <v>35.267916136246726</v>
      </c>
      <c r="AA18" s="6">
        <f t="shared" ca="1" si="10"/>
        <v>35.979746349526749</v>
      </c>
      <c r="AB18" s="2">
        <f t="shared" ca="1" si="11"/>
        <v>34.840332592813766</v>
      </c>
      <c r="AC18" s="2">
        <f>'Historical Trends'!E48</f>
        <v>34.08</v>
      </c>
      <c r="AE18" s="13">
        <f t="shared" ca="1" si="15"/>
        <v>-5.5780000000000456</v>
      </c>
      <c r="AF18">
        <f t="shared" ca="1" si="16"/>
        <v>-8.5299999999999976</v>
      </c>
      <c r="AG18">
        <f t="shared" ca="1" si="17"/>
        <v>-1.8149999999999977</v>
      </c>
      <c r="AH18">
        <f t="shared" ca="1" si="18"/>
        <v>1.6566666666666734</v>
      </c>
      <c r="AI18">
        <f t="shared" ca="1" si="19"/>
        <v>3.2750000000000057</v>
      </c>
      <c r="AJ18">
        <f t="shared" ca="1" si="20"/>
        <v>4.0560000000000045</v>
      </c>
      <c r="AK18">
        <f t="shared" ca="1" si="21"/>
        <v>4.2083333333333357</v>
      </c>
      <c r="AL18">
        <f t="shared" ca="1" si="22"/>
        <v>4.2357142857142946</v>
      </c>
      <c r="AM18" s="13">
        <f t="shared" si="39"/>
        <v>-6.4799999999999969</v>
      </c>
      <c r="AN18">
        <f t="shared" si="37"/>
        <v>-3.2799999999999976</v>
      </c>
      <c r="AO18">
        <f t="shared" si="23"/>
        <v>0.52000000000000313</v>
      </c>
      <c r="AP18">
        <f t="shared" si="24"/>
        <v>0.52000000000000313</v>
      </c>
      <c r="AQ18">
        <f t="shared" si="25"/>
        <v>1.7199999999999989</v>
      </c>
      <c r="AR18">
        <f t="shared" si="26"/>
        <v>0.68000000000000682</v>
      </c>
      <c r="AS18" s="30">
        <f t="shared" si="40"/>
        <v>-6.9077272727272678</v>
      </c>
      <c r="AT18">
        <f t="shared" si="4"/>
        <v>-3.6623611111111103</v>
      </c>
      <c r="AU18">
        <f t="shared" si="4"/>
        <v>1.6266666666666652E-2</v>
      </c>
      <c r="AV18">
        <f t="shared" si="4"/>
        <v>0.63102564102564429</v>
      </c>
      <c r="AW18">
        <f t="shared" si="4"/>
        <v>1.5153205128205087</v>
      </c>
      <c r="AX18">
        <f t="shared" si="4"/>
        <v>0.53551282051282811</v>
      </c>
      <c r="AY18" s="13" t="s">
        <v>172</v>
      </c>
      <c r="AZ18" s="6">
        <f t="shared" ca="1" si="38"/>
        <v>-1.6407302087067208</v>
      </c>
      <c r="BA18" s="6">
        <f t="shared" ca="1" si="27"/>
        <v>0.92930458293560037</v>
      </c>
      <c r="BB18" s="6">
        <f t="shared" ca="1" si="28"/>
        <v>1.1879161362467272</v>
      </c>
      <c r="BC18" s="6">
        <f t="shared" ca="1" si="29"/>
        <v>1.899746349526751</v>
      </c>
      <c r="BD18" s="2">
        <f t="shared" ca="1" si="30"/>
        <v>0.76033259281376786</v>
      </c>
      <c r="BE18" t="s">
        <v>190</v>
      </c>
      <c r="BG18">
        <v>0.25354560938486631</v>
      </c>
    </row>
    <row r="19" spans="1:74" x14ac:dyDescent="0.25">
      <c r="A19" t="s">
        <v>72</v>
      </c>
      <c r="B19">
        <f>B18+1</f>
        <v>2</v>
      </c>
      <c r="C19" s="13">
        <f ca="1">'Historical Trends'!O48</f>
        <v>30.901333333333469</v>
      </c>
      <c r="D19">
        <f ca="1">AVERAGE(OFFSET('Historical Trends'!$E$48,$B7,0,'Polling Correlations - ALP'!D$4,1))</f>
        <v>38.979999999999997</v>
      </c>
      <c r="E19">
        <f ca="1">AVERAGE(OFFSET('Historical Trends'!$E$48,$B7,0,'Polling Correlations - ALP'!E$4,1))</f>
        <v>40.83</v>
      </c>
      <c r="F19">
        <f ca="1">AVERAGE(OFFSET('Historical Trends'!$E$48,$B7,0,'Polling Correlations - ALP'!F$4,1))</f>
        <v>41.29</v>
      </c>
      <c r="G19">
        <f ca="1">AVERAGE(OFFSET('Historical Trends'!$E$48,$B7,0,'Polling Correlations - ALP'!G$4,1))</f>
        <v>41.282499999999999</v>
      </c>
      <c r="H19">
        <f ca="1">AVERAGE(OFFSET('Historical Trends'!$E$48,$B7,0,'Polling Correlations - ALP'!H$4,1))</f>
        <v>40.835999999999999</v>
      </c>
      <c r="I19">
        <f ca="1">AVERAGE(OFFSET('Historical Trends'!$E$48,$B7,0,'Polling Correlations - ALP'!I$4,1))</f>
        <v>40.443333333333335</v>
      </c>
      <c r="J19">
        <f ca="1">AVERAGE(OFFSET('Historical Trends'!$E$48,$B7,0,'Polling Correlations - ALP'!J$4,1))</f>
        <v>41.632857142857141</v>
      </c>
      <c r="K19" s="13">
        <f>AVERAGE(30,26,29,33,32)</f>
        <v>30</v>
      </c>
      <c r="L19">
        <f>AVERAGE(29,30,29,29,26)</f>
        <v>28.6</v>
      </c>
      <c r="M19">
        <f>AVERAGE(25,25,31,29,30)</f>
        <v>28</v>
      </c>
      <c r="N19">
        <f>AVERAGE(24,23,25,25,31)</f>
        <v>25.6</v>
      </c>
      <c r="O19">
        <f>AVERAGE(22,24,23,27,20)</f>
        <v>23.2</v>
      </c>
      <c r="P19">
        <f>AVERAGE(22,22,23,23,26)</f>
        <v>23.2</v>
      </c>
      <c r="Q19" s="30">
        <f>K19-AVERAGE(AM$5:AM18,AM20:AM$31)</f>
        <v>30.06909090909091</v>
      </c>
      <c r="R19" s="31">
        <f>L19-AVERAGE(AN$5:AN18,AN20:AN$31)</f>
        <v>28.48138888888889</v>
      </c>
      <c r="S19" s="31">
        <f>M19-AVERAGE(AO$5:AO18,AO20:AO$31)</f>
        <v>27.573466666666668</v>
      </c>
      <c r="T19" s="31">
        <f>N19-AVERAGE(AP$5:AP18,AP20:AP$31)</f>
        <v>25.69294871794872</v>
      </c>
      <c r="U19" s="31">
        <f>O19-AVERAGE(AQ$5:AQ18,AQ20:AQ$31)</f>
        <v>22.838782051282049</v>
      </c>
      <c r="V19" s="31">
        <f>P19-AVERAGE(AR$5:AR18,AR20:AR$31)</f>
        <v>22.93897435897436</v>
      </c>
      <c r="W19" s="13">
        <f t="shared" ca="1" si="6"/>
        <v>33.007689044028069</v>
      </c>
      <c r="X19" s="6">
        <f t="shared" ca="1" si="7"/>
        <v>31.55387972339242</v>
      </c>
      <c r="Y19" s="6">
        <f t="shared" ca="1" si="8"/>
        <v>30.376541421519256</v>
      </c>
      <c r="Z19" s="6">
        <f t="shared" ca="1" si="9"/>
        <v>27.989186475418222</v>
      </c>
      <c r="AA19" s="6">
        <f t="shared" ca="1" si="10"/>
        <v>25.351820349834153</v>
      </c>
      <c r="AB19" s="2">
        <f t="shared" ca="1" si="11"/>
        <v>24.010446810501072</v>
      </c>
      <c r="AC19" s="2">
        <f>'Historical Trends'!E49</f>
        <v>25.55</v>
      </c>
      <c r="AE19" s="13">
        <f t="shared" ca="1" si="15"/>
        <v>5.3513333333334678</v>
      </c>
      <c r="AF19">
        <f t="shared" ca="1" si="16"/>
        <v>13.429999999999996</v>
      </c>
      <c r="AG19">
        <f t="shared" ca="1" si="17"/>
        <v>15.279999999999998</v>
      </c>
      <c r="AH19">
        <f t="shared" ca="1" si="18"/>
        <v>15.739999999999998</v>
      </c>
      <c r="AI19">
        <f t="shared" ca="1" si="19"/>
        <v>15.732499999999998</v>
      </c>
      <c r="AJ19">
        <f t="shared" ca="1" si="20"/>
        <v>15.285999999999998</v>
      </c>
      <c r="AK19">
        <f t="shared" ca="1" si="21"/>
        <v>14.893333333333334</v>
      </c>
      <c r="AL19">
        <f t="shared" ca="1" si="22"/>
        <v>16.08285714285714</v>
      </c>
      <c r="AM19" s="13">
        <f t="shared" si="39"/>
        <v>4.4499999999999993</v>
      </c>
      <c r="AN19">
        <f t="shared" si="37"/>
        <v>3.0500000000000007</v>
      </c>
      <c r="AO19">
        <f t="shared" si="23"/>
        <v>2.4499999999999993</v>
      </c>
      <c r="AP19">
        <f t="shared" si="24"/>
        <v>5.0000000000000711E-2</v>
      </c>
      <c r="AQ19">
        <f t="shared" si="25"/>
        <v>-2.3500000000000014</v>
      </c>
      <c r="AR19">
        <f t="shared" si="26"/>
        <v>-2.3500000000000014</v>
      </c>
      <c r="AS19" s="30">
        <f t="shared" si="40"/>
        <v>4.5190909090909095</v>
      </c>
      <c r="AT19">
        <f t="shared" si="4"/>
        <v>2.9313888888888897</v>
      </c>
      <c r="AU19">
        <f t="shared" si="4"/>
        <v>2.0234666666666676</v>
      </c>
      <c r="AV19">
        <f t="shared" si="4"/>
        <v>0.14294871794871966</v>
      </c>
      <c r="AW19">
        <f t="shared" si="4"/>
        <v>-2.7112179487179517</v>
      </c>
      <c r="AX19">
        <f t="shared" si="4"/>
        <v>-2.6110256410256412</v>
      </c>
      <c r="AY19" s="13">
        <f ca="1">W19-$AC19</f>
        <v>7.4576890440280685</v>
      </c>
      <c r="AZ19" s="6">
        <f t="shared" ca="1" si="38"/>
        <v>6.0038797233924193</v>
      </c>
      <c r="BA19" s="6">
        <f t="shared" ca="1" si="27"/>
        <v>4.8265414215192557</v>
      </c>
      <c r="BB19" s="6">
        <f t="shared" ca="1" si="28"/>
        <v>2.4391864754182215</v>
      </c>
      <c r="BC19" s="6">
        <f t="shared" ca="1" si="29"/>
        <v>-0.19817965016584793</v>
      </c>
      <c r="BD19" s="2">
        <f t="shared" ca="1" si="30"/>
        <v>-1.5395531894989283</v>
      </c>
    </row>
    <row r="20" spans="1:74" x14ac:dyDescent="0.25">
      <c r="A20" t="s">
        <v>73</v>
      </c>
      <c r="B20">
        <f>B19+1</f>
        <v>3</v>
      </c>
      <c r="C20" s="13">
        <f ca="1">'Historical Trends'!O49</f>
        <v>41.860255591054312</v>
      </c>
      <c r="D20">
        <f ca="1">AVERAGE(OFFSET('Historical Trends'!$E$48,$B8,0,'Polling Correlations - ALP'!D$4,1))</f>
        <v>42.68</v>
      </c>
      <c r="E20">
        <f ca="1">AVERAGE(OFFSET('Historical Trends'!$E$48,$B8,0,'Polling Correlations - ALP'!E$4,1))</f>
        <v>42.445</v>
      </c>
      <c r="F20">
        <f ca="1">AVERAGE(OFFSET('Historical Trends'!$E$48,$B8,0,'Polling Correlations - ALP'!F$4,1))</f>
        <v>42.050000000000004</v>
      </c>
      <c r="G20">
        <f ca="1">AVERAGE(OFFSET('Historical Trends'!$E$48,$B8,0,'Polling Correlations - ALP'!G$4,1))</f>
        <v>41.3</v>
      </c>
      <c r="H20">
        <f ca="1">AVERAGE(OFFSET('Historical Trends'!$E$48,$B8,0,'Polling Correlations - ALP'!H$4,1))</f>
        <v>40.735999999999997</v>
      </c>
      <c r="I20">
        <f ca="1">AVERAGE(OFFSET('Historical Trends'!$E$48,$B8,0,'Polling Correlations - ALP'!I$4,1))</f>
        <v>42.074999999999996</v>
      </c>
      <c r="J20">
        <f ca="1">AVERAGE(OFFSET('Historical Trends'!$E$48,$B8,0,'Polling Correlations - ALP'!J$4,1))</f>
        <v>44.025714285714287</v>
      </c>
      <c r="K20" s="13">
        <f>AVERAGE(35,35,34,38,39)</f>
        <v>36.200000000000003</v>
      </c>
      <c r="L20">
        <f>AVERAGE(34,34,38,39,37)</f>
        <v>36.4</v>
      </c>
      <c r="M20">
        <f>AVERAGE(41,49,38,36,34)</f>
        <v>39.6</v>
      </c>
      <c r="N20">
        <f>AVERAGE(39,26,41,41,40)</f>
        <v>37.4</v>
      </c>
      <c r="O20">
        <f>AVERAGE(45,46,45,39,36)</f>
        <v>42.2</v>
      </c>
      <c r="P20">
        <f>AVERAGE(42,41,42,45,46)</f>
        <v>43.2</v>
      </c>
      <c r="Q20" s="30">
        <f>K20-AVERAGE(AM$5:AM19,AM21:AM$31)</f>
        <v>35.94045454545455</v>
      </c>
      <c r="R20" s="31">
        <f>L20-AVERAGE(AN$5:AN19,AN21:AN$31)</f>
        <v>36.046805555555551</v>
      </c>
      <c r="S20" s="31">
        <f>M20-AVERAGE(AO$5:AO19,AO21:AO$31)</f>
        <v>39.10026666666667</v>
      </c>
      <c r="T20" s="31">
        <f>N20-AVERAGE(AP$5:AP19,AP21:AP$31)</f>
        <v>37.430256410256412</v>
      </c>
      <c r="U20" s="31">
        <f>O20-AVERAGE(AQ$5:AQ19,AQ21:AQ$31)</f>
        <v>42.053012820512826</v>
      </c>
      <c r="V20" s="31">
        <f>P20-AVERAGE(AR$5:AR19,AR21:AR$31)</f>
        <v>43.19166666666667</v>
      </c>
      <c r="W20" s="13">
        <f t="shared" ca="1" si="6"/>
        <v>37.678120111210873</v>
      </c>
      <c r="X20" s="6">
        <f t="shared" ca="1" si="7"/>
        <v>37.595180258780552</v>
      </c>
      <c r="Y20" s="6">
        <f t="shared" ca="1" si="8"/>
        <v>39.748167699758319</v>
      </c>
      <c r="Z20" s="6">
        <f t="shared" ca="1" si="9"/>
        <v>38.153317935947726</v>
      </c>
      <c r="AA20" s="6">
        <f t="shared" ca="1" si="10"/>
        <v>42.056151476150397</v>
      </c>
      <c r="AB20" s="2">
        <f t="shared" ca="1" si="11"/>
        <v>43.123313545445598</v>
      </c>
      <c r="AC20" s="2">
        <f>'Historical Trends'!E50</f>
        <v>38.979999999999997</v>
      </c>
      <c r="AE20" s="13">
        <f t="shared" ca="1" si="15"/>
        <v>2.8802555910543148</v>
      </c>
      <c r="AF20">
        <f t="shared" ca="1" si="16"/>
        <v>3.7000000000000028</v>
      </c>
      <c r="AG20">
        <f t="shared" ca="1" si="17"/>
        <v>3.4650000000000034</v>
      </c>
      <c r="AH20">
        <f t="shared" ca="1" si="18"/>
        <v>3.0700000000000074</v>
      </c>
      <c r="AI20">
        <f t="shared" ca="1" si="19"/>
        <v>2.3200000000000003</v>
      </c>
      <c r="AJ20">
        <f t="shared" ca="1" si="20"/>
        <v>1.7560000000000002</v>
      </c>
      <c r="AK20">
        <f t="shared" ca="1" si="21"/>
        <v>3.0949999999999989</v>
      </c>
      <c r="AL20">
        <f t="shared" ca="1" si="22"/>
        <v>5.0457142857142898</v>
      </c>
      <c r="AM20" s="13">
        <f t="shared" si="39"/>
        <v>-2.779999999999994</v>
      </c>
      <c r="AN20">
        <f t="shared" si="37"/>
        <v>-2.5799999999999983</v>
      </c>
      <c r="AO20">
        <f t="shared" si="23"/>
        <v>0.62000000000000455</v>
      </c>
      <c r="AP20">
        <f t="shared" si="24"/>
        <v>-1.5799999999999983</v>
      </c>
      <c r="AQ20">
        <f t="shared" si="25"/>
        <v>3.220000000000006</v>
      </c>
      <c r="AR20">
        <f t="shared" si="26"/>
        <v>4.220000000000006</v>
      </c>
      <c r="AS20" s="30">
        <f t="shared" si="40"/>
        <v>-3.039545454545447</v>
      </c>
      <c r="AT20">
        <f t="shared" si="4"/>
        <v>-2.933194444444446</v>
      </c>
      <c r="AU20">
        <f t="shared" si="4"/>
        <v>0.12026666666667296</v>
      </c>
      <c r="AV20">
        <f t="shared" si="4"/>
        <v>-1.5497435897435849</v>
      </c>
      <c r="AW20">
        <f t="shared" si="4"/>
        <v>3.0730128205128295</v>
      </c>
      <c r="AX20">
        <f t="shared" si="4"/>
        <v>4.2116666666666731</v>
      </c>
      <c r="AY20" s="13">
        <f ca="1">W20-$AC20</f>
        <v>-1.3018798887891236</v>
      </c>
      <c r="AZ20" s="6">
        <f t="shared" ca="1" si="38"/>
        <v>-1.3848197412194452</v>
      </c>
      <c r="BA20" s="6">
        <f t="shared" ca="1" si="27"/>
        <v>0.76816769975832244</v>
      </c>
      <c r="BB20" s="6">
        <f t="shared" ca="1" si="28"/>
        <v>-0.82668206405227096</v>
      </c>
      <c r="BC20" s="6">
        <f t="shared" ca="1" si="29"/>
        <v>3.0761514761504003</v>
      </c>
      <c r="BD20" s="2">
        <f t="shared" ca="1" si="30"/>
        <v>4.1433135454456007</v>
      </c>
      <c r="BE20" t="s">
        <v>193</v>
      </c>
      <c r="BG20">
        <f ca="1">SLOPE(BG8:BM8,BG6:BM6)</f>
        <v>0.42138136581764091</v>
      </c>
    </row>
    <row r="21" spans="1:74" x14ac:dyDescent="0.25">
      <c r="A21" t="s">
        <v>91</v>
      </c>
      <c r="B21">
        <v>0</v>
      </c>
      <c r="C21" s="13">
        <f ca="1">'Historical Trends'!O65</f>
        <v>35.85866810655159</v>
      </c>
      <c r="D21">
        <f ca="1">AVERAGE(OFFSET('Historical Trends'!$E$66,$B5,0,'Polling Correlations - ALP'!D$4,1))</f>
        <v>38.1</v>
      </c>
      <c r="E21">
        <f ca="1">AVERAGE(OFFSET('Historical Trends'!$E$66,$B5,0,'Polling Correlations - ALP'!E$4,1))</f>
        <v>37.174999999999997</v>
      </c>
      <c r="F21">
        <f ca="1">AVERAGE(OFFSET('Historical Trends'!$E$66,$B5,0,'Polling Correlations - ALP'!F$4,1))</f>
        <v>39.136666666666663</v>
      </c>
      <c r="G21">
        <f ca="1">AVERAGE(OFFSET('Historical Trends'!$E$66,$B5,0,'Polling Correlations - ALP'!G$4,1))</f>
        <v>41.34</v>
      </c>
      <c r="H21">
        <f ca="1">AVERAGE(OFFSET('Historical Trends'!$E$66,$B5,0,'Polling Correlations - ALP'!H$4,1))</f>
        <v>42.186</v>
      </c>
      <c r="I21">
        <f ca="1">AVERAGE(OFFSET('Historical Trends'!$E$66,$B5,0,'Polling Correlations - ALP'!I$4,1))</f>
        <v>42.343333333333334</v>
      </c>
      <c r="J21">
        <f ca="1">AVERAGE(OFFSET('Historical Trends'!$E$66,$B5,0,'Polling Correlations - ALP'!J$4,1))</f>
        <v>41.781428571428577</v>
      </c>
      <c r="K21" s="13">
        <f>AVERAGE(37,40,34.6,38,39)</f>
        <v>37.72</v>
      </c>
      <c r="L21">
        <f>AVERAGE(38,39,33,30.3,37)</f>
        <v>35.46</v>
      </c>
      <c r="M21">
        <f>AVERAGE(38,37,36,38,39)</f>
        <v>37.6</v>
      </c>
      <c r="N21">
        <f>AVERAGE(38,36.7,38,37,36)</f>
        <v>37.14</v>
      </c>
      <c r="O21">
        <f>AVERAGE(37.7,42.38,36.7,38)</f>
        <v>38.695000000000007</v>
      </c>
      <c r="P21">
        <f>AVERAGE(41,40.8,40,40.4,41)</f>
        <v>40.64</v>
      </c>
      <c r="Q21" s="30">
        <f>K21-AVERAGE(AM$5:AM20,AM22:AM$31)</f>
        <v>37.353181818181817</v>
      </c>
      <c r="R21" s="31">
        <f>L21-AVERAGE(AN$5:AN20,AN22:AN$31)</f>
        <v>34.905972222222225</v>
      </c>
      <c r="S21" s="31">
        <f>M21-AVERAGE(AO$5:AO20,AO22:AO$31)</f>
        <v>36.865066666666671</v>
      </c>
      <c r="T21" s="31">
        <f>N21-AVERAGE(AP$5:AP20,AP22:AP$31)</f>
        <v>37.01102564102564</v>
      </c>
      <c r="U21" s="31">
        <f>O21-AVERAGE(AQ$5:AQ20,AQ22:AQ$31)</f>
        <v>38.263974358974366</v>
      </c>
      <c r="V21" s="31">
        <f>P21-AVERAGE(AR$5:AR20,AR22:AR$31)</f>
        <v>40.383974358974356</v>
      </c>
      <c r="W21" s="13">
        <f t="shared" ca="1" si="6"/>
        <v>38.766687434862924</v>
      </c>
      <c r="X21" s="6">
        <f t="shared" ca="1" si="7"/>
        <v>36.816299088636889</v>
      </c>
      <c r="Y21" s="6">
        <f t="shared" ca="1" si="8"/>
        <v>38.058240721333156</v>
      </c>
      <c r="Z21" s="6">
        <f t="shared" ca="1" si="9"/>
        <v>37.841122386079412</v>
      </c>
      <c r="AA21" s="6">
        <f t="shared" ca="1" si="10"/>
        <v>38.846300211639431</v>
      </c>
      <c r="AB21" s="2">
        <f t="shared" ca="1" si="11"/>
        <v>40.503910151353423</v>
      </c>
      <c r="AC21" s="2">
        <f>'Historical Trends'!E65</f>
        <v>42.86</v>
      </c>
      <c r="AE21" s="13">
        <f t="shared" ca="1" si="15"/>
        <v>-7.001331893448409</v>
      </c>
      <c r="AF21">
        <f t="shared" ca="1" si="16"/>
        <v>-4.759999999999998</v>
      </c>
      <c r="AG21">
        <f t="shared" ca="1" si="17"/>
        <v>-5.6850000000000023</v>
      </c>
      <c r="AH21">
        <f t="shared" ca="1" si="18"/>
        <v>-3.7233333333333363</v>
      </c>
      <c r="AI21">
        <f t="shared" ca="1" si="19"/>
        <v>-1.519999999999996</v>
      </c>
      <c r="AJ21">
        <f t="shared" ca="1" si="20"/>
        <v>-0.67399999999999949</v>
      </c>
      <c r="AK21">
        <f t="shared" ca="1" si="21"/>
        <v>-0.51666666666666572</v>
      </c>
      <c r="AL21">
        <f t="shared" ca="1" si="22"/>
        <v>-1.0785714285714221</v>
      </c>
      <c r="AM21" s="13">
        <f t="shared" si="39"/>
        <v>-5.1400000000000006</v>
      </c>
      <c r="AN21">
        <f t="shared" si="37"/>
        <v>-7.3999999999999986</v>
      </c>
      <c r="AO21">
        <f t="shared" si="23"/>
        <v>-5.259999999999998</v>
      </c>
      <c r="AP21">
        <f t="shared" si="24"/>
        <v>-5.7199999999999989</v>
      </c>
      <c r="AQ21">
        <f t="shared" si="25"/>
        <v>-4.164999999999992</v>
      </c>
      <c r="AR21">
        <f t="shared" si="26"/>
        <v>-2.2199999999999989</v>
      </c>
      <c r="AS21" s="30">
        <f t="shared" si="40"/>
        <v>-5.5068181818181827</v>
      </c>
      <c r="AT21">
        <f t="shared" si="4"/>
        <v>-7.9540277777777746</v>
      </c>
      <c r="AU21">
        <f t="shared" si="4"/>
        <v>-5.9949333333333286</v>
      </c>
      <c r="AV21">
        <f t="shared" si="4"/>
        <v>-5.8489743589743597</v>
      </c>
      <c r="AW21">
        <f t="shared" si="4"/>
        <v>-4.5960256410256335</v>
      </c>
      <c r="AX21">
        <f t="shared" si="4"/>
        <v>-2.4760256410256432</v>
      </c>
      <c r="AY21" s="13">
        <f ca="1">W21-$AC21</f>
        <v>-4.0933125651370759</v>
      </c>
      <c r="AZ21" s="6">
        <f t="shared" ca="1" si="38"/>
        <v>-6.0437009113631106</v>
      </c>
      <c r="BA21" s="6">
        <f t="shared" ca="1" si="27"/>
        <v>-4.801759278666843</v>
      </c>
      <c r="BB21" s="6">
        <f t="shared" ca="1" si="28"/>
        <v>-5.0188776139205871</v>
      </c>
      <c r="BC21" s="6">
        <f t="shared" ca="1" si="29"/>
        <v>-4.0136997883605687</v>
      </c>
      <c r="BD21" s="2">
        <f t="shared" ca="1" si="30"/>
        <v>-2.356089848646576</v>
      </c>
      <c r="BE21" t="s">
        <v>194</v>
      </c>
      <c r="BG21">
        <f ca="1">INTERCEPT(BG8:BM8,BG6:BM6)</f>
        <v>1.5902261261426072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Trends'!O66</f>
        <v>41.145026902382796</v>
      </c>
      <c r="D22">
        <f ca="1">AVERAGE(OFFSET('Historical Trends'!$E$66,$B6,0,'Polling Correlations - ALP'!D$4,1))</f>
        <v>36.25</v>
      </c>
      <c r="E22">
        <f ca="1">AVERAGE(OFFSET('Historical Trends'!$E$66,$B6,0,'Polling Correlations - ALP'!E$4,1))</f>
        <v>39.655000000000001</v>
      </c>
      <c r="F22">
        <f ca="1">AVERAGE(OFFSET('Historical Trends'!$E$66,$B6,0,'Polling Correlations - ALP'!F$4,1))</f>
        <v>42.42</v>
      </c>
      <c r="G22">
        <f ca="1">AVERAGE(OFFSET('Historical Trends'!$E$66,$B6,0,'Polling Correlations - ALP'!G$4,1))</f>
        <v>43.207500000000003</v>
      </c>
      <c r="H22">
        <f ca="1">AVERAGE(OFFSET('Historical Trends'!$E$66,$B6,0,'Polling Correlations - ALP'!H$4,1))</f>
        <v>43.192</v>
      </c>
      <c r="I22">
        <f ca="1">AVERAGE(OFFSET('Historical Trends'!$E$66,$B6,0,'Polling Correlations - ALP'!I$4,1))</f>
        <v>42.395000000000003</v>
      </c>
      <c r="J22">
        <f ca="1">AVERAGE(OFFSET('Historical Trends'!$E$66,$B6,0,'Polling Correlations - ALP'!J$4,1))</f>
        <v>42.988571428571433</v>
      </c>
      <c r="K22" s="13">
        <f>AVERAGE(39,41,35,32,33)</f>
        <v>36</v>
      </c>
      <c r="L22">
        <f>AVERAGE(38,35.8,38,38,38)</f>
        <v>37.56</v>
      </c>
      <c r="M22">
        <f>AVERAGE(39,39,37,38,35.8)</f>
        <v>37.760000000000005</v>
      </c>
      <c r="N22">
        <f>AVERAGE(38,37,35,42,38)</f>
        <v>38</v>
      </c>
      <c r="O22">
        <f>AVERAGE(37.5,38,39,38,37)</f>
        <v>37.9</v>
      </c>
      <c r="P22">
        <f>AVERAGE(38.3,39,39,39,39)</f>
        <v>38.86</v>
      </c>
      <c r="Q22" s="30">
        <f>K22-AVERAGE(AM$5:AM21,AM23:AM$31)</f>
        <v>35.771363636363638</v>
      </c>
      <c r="R22" s="31">
        <f>L22-AVERAGE(AN$5:AN21,AN23:AN$31)</f>
        <v>37.291805555555555</v>
      </c>
      <c r="S22" s="31">
        <f>M22-AVERAGE(AO$5:AO21,AO23:AO$31)</f>
        <v>37.221866666666671</v>
      </c>
      <c r="T22" s="31">
        <f>N22-AVERAGE(AP$5:AP21,AP23:AP$31)</f>
        <v>38.087179487179483</v>
      </c>
      <c r="U22" s="31">
        <f>O22-AVERAGE(AQ$5:AQ21,AQ23:AQ$31)</f>
        <v>37.621474358974361</v>
      </c>
      <c r="V22" s="31">
        <f>P22-AVERAGE(AR$5:AR21,AR23:AR$31)</f>
        <v>38.718589743589746</v>
      </c>
      <c r="W22" s="13">
        <f t="shared" ca="1" si="6"/>
        <v>37.647568632229174</v>
      </c>
      <c r="X22" s="6">
        <f t="shared" ca="1" si="7"/>
        <v>38.602588951187109</v>
      </c>
      <c r="Y22" s="6">
        <f t="shared" ca="1" si="8"/>
        <v>38.348582259432703</v>
      </c>
      <c r="Z22" s="6">
        <f t="shared" ca="1" si="9"/>
        <v>38.757791160831914</v>
      </c>
      <c r="AA22" s="6">
        <f t="shared" ca="1" si="10"/>
        <v>38.302892053911492</v>
      </c>
      <c r="AB22" s="2">
        <f t="shared" ca="1" si="11"/>
        <v>38.943629250379118</v>
      </c>
      <c r="AC22" s="2">
        <f>'Historical Trends'!E66</f>
        <v>38.1</v>
      </c>
      <c r="AE22" s="13">
        <f t="shared" ca="1" si="15"/>
        <v>3.0450269023827943</v>
      </c>
      <c r="AF22">
        <f t="shared" ca="1" si="16"/>
        <v>-1.8500000000000014</v>
      </c>
      <c r="AG22">
        <f t="shared" ca="1" si="17"/>
        <v>1.5549999999999997</v>
      </c>
      <c r="AH22">
        <f t="shared" ca="1" si="18"/>
        <v>4.32</v>
      </c>
      <c r="AI22">
        <f t="shared" ca="1" si="19"/>
        <v>5.1075000000000017</v>
      </c>
      <c r="AJ22">
        <f t="shared" ca="1" si="20"/>
        <v>5.0919999999999987</v>
      </c>
      <c r="AK22">
        <f t="shared" ca="1" si="21"/>
        <v>4.2950000000000017</v>
      </c>
      <c r="AL22">
        <f t="shared" ca="1" si="22"/>
        <v>4.8885714285714315</v>
      </c>
      <c r="AM22" s="13">
        <f t="shared" si="39"/>
        <v>-2.1000000000000014</v>
      </c>
      <c r="AN22">
        <f t="shared" si="37"/>
        <v>-0.53999999999999915</v>
      </c>
      <c r="AO22">
        <f t="shared" si="23"/>
        <v>-0.33999999999999631</v>
      </c>
      <c r="AP22">
        <f t="shared" si="24"/>
        <v>-0.10000000000000142</v>
      </c>
      <c r="AQ22">
        <f t="shared" si="25"/>
        <v>-0.20000000000000284</v>
      </c>
      <c r="AR22">
        <f t="shared" si="26"/>
        <v>0.75999999999999801</v>
      </c>
      <c r="AS22" s="30">
        <f t="shared" si="40"/>
        <v>-2.3286363636363632</v>
      </c>
      <c r="AT22">
        <f t="shared" ref="AT22:AT30" si="41">R22-$AC22</f>
        <v>-0.80819444444444599</v>
      </c>
      <c r="AU22">
        <f t="shared" ref="AU22:AU30" si="42">S22-$AC22</f>
        <v>-0.87813333333333077</v>
      </c>
      <c r="AV22">
        <f t="shared" ref="AV22:AV30" si="43">T22-$AC22</f>
        <v>-1.2820512820518104E-2</v>
      </c>
      <c r="AW22">
        <f t="shared" ref="AW22:AW30" si="44">U22-$AC22</f>
        <v>-0.47852564102564088</v>
      </c>
      <c r="AX22">
        <f t="shared" ref="AX22:AX30" si="45">V22-$AC22</f>
        <v>0.6185897435897445</v>
      </c>
      <c r="AY22" s="13">
        <f ca="1">W22-$AC22</f>
        <v>-0.45243136777082782</v>
      </c>
      <c r="AZ22" s="6">
        <f t="shared" ca="1" si="38"/>
        <v>0.50258895118710711</v>
      </c>
      <c r="BA22" s="6">
        <f t="shared" ca="1" si="27"/>
        <v>0.24858225943270185</v>
      </c>
      <c r="BB22" s="6">
        <f t="shared" ca="1" si="28"/>
        <v>0.65779116083191269</v>
      </c>
      <c r="BC22" s="6">
        <f t="shared" ca="1" si="29"/>
        <v>0.20289205391149068</v>
      </c>
      <c r="BD22" s="2">
        <f t="shared" ca="1" si="30"/>
        <v>0.84362925037911651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6">MAX(0,($BG$16+1/($BG$17*$BG$18))-1/(($BG$17-BU22) * $BG$18))</f>
        <v>0.95015292211593139</v>
      </c>
    </row>
    <row r="23" spans="1:74" x14ac:dyDescent="0.25">
      <c r="A23" t="s">
        <v>93</v>
      </c>
      <c r="B23">
        <f>B22+1</f>
        <v>2</v>
      </c>
      <c r="C23" s="13">
        <f ca="1">'Historical Trends'!O67</f>
        <v>45.306518063028449</v>
      </c>
      <c r="D23">
        <f ca="1">AVERAGE(OFFSET('Historical Trends'!$E$66,$B7,0,'Polling Correlations - ALP'!D$4,1))</f>
        <v>43.06</v>
      </c>
      <c r="E23">
        <f ca="1">AVERAGE(OFFSET('Historical Trends'!$E$66,$B7,0,'Polling Correlations - ALP'!E$4,1))</f>
        <v>45.505000000000003</v>
      </c>
      <c r="F23">
        <f ca="1">AVERAGE(OFFSET('Historical Trends'!$E$66,$B7,0,'Polling Correlations - ALP'!F$4,1))</f>
        <v>45.526666666666671</v>
      </c>
      <c r="G23">
        <f ca="1">AVERAGE(OFFSET('Historical Trends'!$E$66,$B7,0,'Polling Correlations - ALP'!G$4,1))</f>
        <v>44.927500000000002</v>
      </c>
      <c r="H23">
        <f ca="1">AVERAGE(OFFSET('Historical Trends'!$E$66,$B7,0,'Polling Correlations - ALP'!H$4,1))</f>
        <v>43.624000000000002</v>
      </c>
      <c r="I23">
        <f ca="1">AVERAGE(OFFSET('Historical Trends'!$E$66,$B7,0,'Polling Correlations - ALP'!I$4,1))</f>
        <v>44.111666666666672</v>
      </c>
      <c r="J23">
        <f ca="1">AVERAGE(OFFSET('Historical Trends'!$E$66,$B7,0,'Polling Correlations - ALP'!J$4,1))</f>
        <v>44.954285714285717</v>
      </c>
      <c r="K23" s="13">
        <f>AVERAGE(44,37,41,41,44)</f>
        <v>41.4</v>
      </c>
      <c r="L23">
        <f>AVERAGE(43,43,42,46,45)</f>
        <v>43.8</v>
      </c>
      <c r="M23">
        <f>AVERAGE(37,39,40,41,43)</f>
        <v>40</v>
      </c>
      <c r="N23">
        <f>AVERAGE(38,34,37,39,40)</f>
        <v>37.6</v>
      </c>
      <c r="O23">
        <f>AVERAGE(38,35,38,38,38)</f>
        <v>37.4</v>
      </c>
      <c r="P23">
        <f>AVERAGE(33,34,36,37,38)</f>
        <v>35.6</v>
      </c>
      <c r="Q23" s="30">
        <f>K23-AVERAGE(AM$5:AM22,AM24:AM$31)</f>
        <v>41.50090909090909</v>
      </c>
      <c r="R23" s="31">
        <f>L23-AVERAGE(AN$5:AN22,AN24:AN$31)</f>
        <v>43.868888888888883</v>
      </c>
      <c r="S23" s="31">
        <f>M23-AVERAGE(AO$5:AO22,AO24:AO$31)</f>
        <v>39.625466666666668</v>
      </c>
      <c r="T23" s="31">
        <f>N23-AVERAGE(AP$5:AP22,AP24:AP$31)</f>
        <v>37.742948717948721</v>
      </c>
      <c r="U23" s="31">
        <f>O23-AVERAGE(AQ$5:AQ22,AQ24:AQ$31)</f>
        <v>37.173397435897435</v>
      </c>
      <c r="V23" s="31">
        <f>P23-AVERAGE(AR$5:AR22,AR24:AR$31)</f>
        <v>35.404358974358978</v>
      </c>
      <c r="W23" s="13">
        <f t="shared" ca="1" si="6"/>
        <v>42.240429822077516</v>
      </c>
      <c r="X23" s="6">
        <f t="shared" ca="1" si="7"/>
        <v>43.931247688539536</v>
      </c>
      <c r="Y23" s="6">
        <f t="shared" ca="1" si="8"/>
        <v>40.602567229626636</v>
      </c>
      <c r="Z23" s="6">
        <f t="shared" ca="1" si="9"/>
        <v>38.734386636473701</v>
      </c>
      <c r="AA23" s="6">
        <f t="shared" ca="1" si="10"/>
        <v>38.163830876843228</v>
      </c>
      <c r="AB23" s="2">
        <f t="shared" ca="1" si="11"/>
        <v>35.937348519017014</v>
      </c>
      <c r="AC23" s="2">
        <f>'Historical Trends'!E67</f>
        <v>36.25</v>
      </c>
      <c r="AE23" s="13">
        <f t="shared" ca="1" si="15"/>
        <v>9.0565180630284488</v>
      </c>
      <c r="AF23">
        <f t="shared" ca="1" si="16"/>
        <v>6.8100000000000023</v>
      </c>
      <c r="AG23">
        <f t="shared" ca="1" si="17"/>
        <v>9.2550000000000026</v>
      </c>
      <c r="AH23">
        <f t="shared" ca="1" si="18"/>
        <v>9.2766666666666708</v>
      </c>
      <c r="AI23">
        <f t="shared" ca="1" si="19"/>
        <v>8.677500000000002</v>
      </c>
      <c r="AJ23">
        <f t="shared" ca="1" si="20"/>
        <v>7.3740000000000023</v>
      </c>
      <c r="AK23">
        <f t="shared" ca="1" si="21"/>
        <v>7.8616666666666717</v>
      </c>
      <c r="AL23">
        <f t="shared" ca="1" si="22"/>
        <v>8.7042857142857173</v>
      </c>
      <c r="AM23" s="13">
        <f t="shared" si="39"/>
        <v>5.1499999999999986</v>
      </c>
      <c r="AN23">
        <f t="shared" si="37"/>
        <v>7.5499999999999972</v>
      </c>
      <c r="AO23">
        <f t="shared" si="23"/>
        <v>3.75</v>
      </c>
      <c r="AP23">
        <f t="shared" si="24"/>
        <v>1.3500000000000014</v>
      </c>
      <c r="AQ23">
        <f t="shared" si="25"/>
        <v>1.1499999999999986</v>
      </c>
      <c r="AR23">
        <f t="shared" si="26"/>
        <v>-0.64999999999999858</v>
      </c>
      <c r="AS23" s="30">
        <f t="shared" si="40"/>
        <v>5.2509090909090901</v>
      </c>
      <c r="AT23">
        <f t="shared" si="41"/>
        <v>7.6188888888888826</v>
      </c>
      <c r="AU23">
        <f t="shared" si="42"/>
        <v>3.3754666666666679</v>
      </c>
      <c r="AV23">
        <f t="shared" si="43"/>
        <v>1.4929487179487211</v>
      </c>
      <c r="AW23">
        <f t="shared" si="44"/>
        <v>0.92339743589743506</v>
      </c>
      <c r="AX23">
        <f t="shared" si="45"/>
        <v>-0.84564102564102228</v>
      </c>
      <c r="AY23" s="13">
        <f ca="1">W23-$AC23</f>
        <v>5.9904298220775161</v>
      </c>
      <c r="AZ23" s="6">
        <f t="shared" ca="1" si="38"/>
        <v>7.6812476885395355</v>
      </c>
      <c r="BA23" s="6">
        <f t="shared" ca="1" si="27"/>
        <v>4.3525672296266364</v>
      </c>
      <c r="BB23" s="6">
        <f t="shared" ca="1" si="28"/>
        <v>2.4843866364737011</v>
      </c>
      <c r="BC23" s="6">
        <f t="shared" ca="1" si="29"/>
        <v>1.9138308768432282</v>
      </c>
      <c r="BD23" s="2">
        <f t="shared" ca="1" si="30"/>
        <v>-0.31265148098298567</v>
      </c>
      <c r="BP23">
        <f>BP22+1</f>
        <v>2</v>
      </c>
      <c r="BQ23">
        <f t="shared" ref="BQ23:BQ86" si="47">LN(BP23)</f>
        <v>0.69314718055994529</v>
      </c>
      <c r="BR23">
        <f t="shared" ref="BR23:BR86" si="48">MAX(0,(0.94+1/(8.3*0.97))-1/((8.3-MIN(8.2,BQ23)) * 0.97))</f>
        <v>0.92868197572765254</v>
      </c>
      <c r="BS23">
        <f t="shared" ref="BS23:BS86" si="49">1-(BR23/0.94)^10</f>
        <v>0.1140858660754307</v>
      </c>
      <c r="BU23">
        <f>BU22+0.1</f>
        <v>0.1</v>
      </c>
      <c r="BV23">
        <f t="shared" si="46"/>
        <v>0.94819273990639497</v>
      </c>
    </row>
    <row r="24" spans="1:74" x14ac:dyDescent="0.25">
      <c r="A24" t="s">
        <v>94</v>
      </c>
      <c r="B24">
        <f>B23+1</f>
        <v>3</v>
      </c>
      <c r="C24" s="13">
        <f ca="1">'Historical Trends'!O68</f>
        <v>44.231687500000021</v>
      </c>
      <c r="D24">
        <f ca="1">AVERAGE(OFFSET('Historical Trends'!$E$66,$B8,0,'Polling Correlations - ALP'!D$4,1))</f>
        <v>47.95</v>
      </c>
      <c r="E24">
        <f ca="1">AVERAGE(OFFSET('Historical Trends'!$E$66,$B8,0,'Polling Correlations - ALP'!E$4,1))</f>
        <v>46.760000000000005</v>
      </c>
      <c r="F24">
        <f ca="1">AVERAGE(OFFSET('Historical Trends'!$E$66,$B8,0,'Polling Correlations - ALP'!F$4,1))</f>
        <v>45.550000000000004</v>
      </c>
      <c r="G24">
        <f ca="1">AVERAGE(OFFSET('Historical Trends'!$E$66,$B8,0,'Polling Correlations - ALP'!G$4,1))</f>
        <v>43.765000000000001</v>
      </c>
      <c r="H24">
        <f ca="1">AVERAGE(OFFSET('Historical Trends'!$E$66,$B8,0,'Polling Correlations - ALP'!H$4,1))</f>
        <v>44.322000000000003</v>
      </c>
      <c r="I24">
        <f ca="1">AVERAGE(OFFSET('Historical Trends'!$E$66,$B8,0,'Polling Correlations - ALP'!I$4,1))</f>
        <v>45.27</v>
      </c>
      <c r="J24">
        <f ca="1">AVERAGE(OFFSET('Historical Trends'!$E$66,$B8,0,'Polling Correlations - ALP'!J$4,1))</f>
        <v>45.947142857142858</v>
      </c>
      <c r="L24">
        <f>AVERAGE(43,43,42,44)</f>
        <v>43</v>
      </c>
      <c r="M24">
        <f>AVERAGE(43,44,44,41,43)</f>
        <v>43</v>
      </c>
      <c r="N24">
        <f>AVERAGE(46,45,43,44,44)</f>
        <v>44.4</v>
      </c>
      <c r="O24">
        <f>AVERAGE(42,43,43,46,45)</f>
        <v>43.8</v>
      </c>
      <c r="P24">
        <f>AVERAGE(45,42,41,44,42)</f>
        <v>42.8</v>
      </c>
      <c r="Q24" s="30"/>
      <c r="R24" s="31">
        <f>L24-AVERAGE(AN$5:AN23,AN25:AN$31)</f>
        <v>42.751805555555556</v>
      </c>
      <c r="S24" s="31">
        <f>M24-AVERAGE(AO$5:AO23,AO25:AO$31)</f>
        <v>42.473066666666668</v>
      </c>
      <c r="T24" s="31">
        <f>N24-AVERAGE(AP$5:AP23,AP25:AP$31)</f>
        <v>44.5425641025641</v>
      </c>
      <c r="U24" s="31">
        <f>O24-AVERAGE(AQ$5:AQ23,AQ25:AQ$31)</f>
        <v>43.557628205128204</v>
      </c>
      <c r="V24" s="31">
        <f>P24-AVERAGE(AR$5:AR23,AR25:AR$31)</f>
        <v>42.619358974358974</v>
      </c>
      <c r="W24" s="13">
        <f t="shared" ca="1" si="6"/>
        <v>12.823137548602231</v>
      </c>
      <c r="X24" s="6">
        <f t="shared" ca="1" si="7"/>
        <v>43.398617567263791</v>
      </c>
      <c r="Y24" s="6">
        <f t="shared" ca="1" si="8"/>
        <v>43.082242613918574</v>
      </c>
      <c r="Z24" s="6">
        <f t="shared" ca="1" si="9"/>
        <v>44.655806286912899</v>
      </c>
      <c r="AA24" s="6">
        <f t="shared" ca="1" si="10"/>
        <v>43.802068170278616</v>
      </c>
      <c r="AB24" s="2">
        <f t="shared" ca="1" si="11"/>
        <v>42.781609351080633</v>
      </c>
      <c r="AC24" s="2">
        <f>'Historical Trends'!E68</f>
        <v>43.06</v>
      </c>
      <c r="AE24" s="13">
        <f t="shared" ca="1" si="15"/>
        <v>1.1716875000000186</v>
      </c>
      <c r="AF24">
        <f t="shared" ca="1" si="16"/>
        <v>4.8900000000000006</v>
      </c>
      <c r="AG24">
        <f t="shared" ca="1" si="17"/>
        <v>3.7000000000000028</v>
      </c>
      <c r="AH24">
        <f t="shared" ca="1" si="18"/>
        <v>2.490000000000002</v>
      </c>
      <c r="AI24">
        <f t="shared" ca="1" si="19"/>
        <v>0.70499999999999829</v>
      </c>
      <c r="AJ24">
        <f t="shared" ca="1" si="20"/>
        <v>1.2620000000000005</v>
      </c>
      <c r="AK24">
        <f t="shared" ca="1" si="21"/>
        <v>2.2100000000000009</v>
      </c>
      <c r="AL24">
        <f t="shared" ca="1" si="22"/>
        <v>2.8871428571428552</v>
      </c>
      <c r="AN24">
        <f t="shared" si="37"/>
        <v>-6.0000000000002274E-2</v>
      </c>
      <c r="AO24">
        <f t="shared" si="23"/>
        <v>-6.0000000000002274E-2</v>
      </c>
      <c r="AP24">
        <f t="shared" si="24"/>
        <v>1.3399999999999963</v>
      </c>
      <c r="AQ24">
        <f t="shared" si="25"/>
        <v>0.73999999999999488</v>
      </c>
      <c r="AR24">
        <f t="shared" si="26"/>
        <v>-0.26000000000000512</v>
      </c>
      <c r="AS24" s="30"/>
      <c r="AT24">
        <f t="shared" si="41"/>
        <v>-0.30819444444444599</v>
      </c>
      <c r="AU24">
        <f t="shared" si="42"/>
        <v>-0.58693333333333442</v>
      </c>
      <c r="AV24">
        <f t="shared" si="43"/>
        <v>1.4825641025640977</v>
      </c>
      <c r="AW24">
        <f t="shared" si="44"/>
        <v>0.49762820512820127</v>
      </c>
      <c r="AX24">
        <f t="shared" si="45"/>
        <v>-0.44064102564102825</v>
      </c>
      <c r="AZ24" s="6">
        <f t="shared" ca="1" si="38"/>
        <v>0.338617567263789</v>
      </c>
      <c r="BA24" s="6">
        <f t="shared" ca="1" si="27"/>
        <v>2.2242613918571408E-2</v>
      </c>
      <c r="BB24" s="6">
        <f t="shared" ca="1" si="28"/>
        <v>1.5958062869128966</v>
      </c>
      <c r="BC24" s="6">
        <f t="shared" ca="1" si="29"/>
        <v>0.74206817027861405</v>
      </c>
      <c r="BD24" s="2">
        <f t="shared" ca="1" si="30"/>
        <v>-0.27839064891936971</v>
      </c>
      <c r="BP24">
        <f t="shared" ref="BP24:BP31" si="50">BP23+1</f>
        <v>3</v>
      </c>
      <c r="BQ24">
        <f t="shared" si="47"/>
        <v>1.0986122886681098</v>
      </c>
      <c r="BR24">
        <f t="shared" si="48"/>
        <v>0.92105134307880865</v>
      </c>
      <c r="BS24">
        <f t="shared" si="49"/>
        <v>0.18424477193938826</v>
      </c>
      <c r="BU24">
        <f t="shared" ref="BU24:BU87" si="51">BU23+0.1</f>
        <v>0.2</v>
      </c>
      <c r="BV24">
        <f t="shared" si="46"/>
        <v>0.94620462473656874</v>
      </c>
    </row>
    <row r="25" spans="1:74" x14ac:dyDescent="0.25">
      <c r="A25" t="s">
        <v>106</v>
      </c>
      <c r="B25">
        <v>0</v>
      </c>
      <c r="C25" s="13">
        <f ca="1">'Historical Trends'!O83</f>
        <v>35.400201421800972</v>
      </c>
      <c r="D25">
        <f ca="1">AVERAGE(OFFSET('Historical Trends'!$E$84,$B5,0,'Polling Correlations - ALP'!D$4,1))</f>
        <v>33.130000000000003</v>
      </c>
      <c r="E25">
        <f ca="1">AVERAGE(OFFSET('Historical Trends'!$E$84,$B5,0,'Polling Correlations - ALP'!E$4,1))</f>
        <v>34.484999999999999</v>
      </c>
      <c r="F25">
        <f ca="1">AVERAGE(OFFSET('Historical Trends'!$E$84,$B5,0,'Polling Correlations - ALP'!F$4,1))</f>
        <v>36.949999999999996</v>
      </c>
      <c r="G25">
        <f ca="1">AVERAGE(OFFSET('Historical Trends'!$E$84,$B5,0,'Polling Correlations - ALP'!G$4,1))</f>
        <v>37.022500000000001</v>
      </c>
      <c r="H25">
        <f ca="1">AVERAGE(OFFSET('Historical Trends'!$E$84,$B5,0,'Polling Correlations - ALP'!H$4,1))</f>
        <v>36.781999999999996</v>
      </c>
      <c r="I25">
        <f ca="1">AVERAGE(OFFSET('Historical Trends'!$E$84,$B5,0,'Polling Correlations - ALP'!I$4,1))</f>
        <v>36.831666666666671</v>
      </c>
      <c r="J25">
        <f ca="1">AVERAGE(OFFSET('Historical Trends'!$E$84,$B5,0,'Polling Correlations - ALP'!J$4,1))</f>
        <v>37.635714285714286</v>
      </c>
      <c r="K25" s="13">
        <f>AVERAGE(35,33,31,27,33)</f>
        <v>31.8</v>
      </c>
      <c r="L25">
        <f>AVERAGE(34,41,42,33,35)</f>
        <v>37</v>
      </c>
      <c r="M25">
        <f>AVERAGE(39,39,42,39.4,34)</f>
        <v>38.68</v>
      </c>
      <c r="N25">
        <f>AVERAGE(36,36.7,36.5,39,39)</f>
        <v>37.44</v>
      </c>
      <c r="O25">
        <f>AVERAGE(38,35,36,36.7,36.5)</f>
        <v>36.44</v>
      </c>
      <c r="P25">
        <f>AVERAGE(41.8,41,40,35.2,35)</f>
        <v>38.6</v>
      </c>
      <c r="Q25" s="30">
        <f>K25-AVERAGE(AM$5:AM24,AM26:AM$31)</f>
        <v>31.19409090909091</v>
      </c>
      <c r="R25" s="31">
        <f>L25-AVERAGE(AN$5:AN24,AN26:AN$31)</f>
        <v>36.537638888888885</v>
      </c>
      <c r="S25" s="31">
        <f>M25-AVERAGE(AO$5:AO24,AO26:AO$31)</f>
        <v>38.014666666666663</v>
      </c>
      <c r="T25" s="31">
        <f>N25-AVERAGE(AP$5:AP24,AP26:AP$31)</f>
        <v>37.347948717948718</v>
      </c>
      <c r="U25" s="31">
        <f>O25-AVERAGE(AQ$5:AQ24,AQ26:AQ$31)</f>
        <v>35.947628205128204</v>
      </c>
      <c r="V25" s="31">
        <f>P25-AVERAGE(AR$5:AR24,AR26:AR$31)</f>
        <v>38.290897435897435</v>
      </c>
      <c r="W25" s="13">
        <f t="shared" ca="1" si="6"/>
        <v>32.790985306706538</v>
      </c>
      <c r="X25" s="6">
        <f t="shared" ca="1" si="7"/>
        <v>36.613161531257553</v>
      </c>
      <c r="Y25" s="6">
        <f t="shared" ca="1" si="8"/>
        <v>37.757007630961247</v>
      </c>
      <c r="Z25" s="6">
        <f t="shared" ca="1" si="9"/>
        <v>37.267577502514705</v>
      </c>
      <c r="AA25" s="6">
        <f t="shared" ca="1" si="10"/>
        <v>36.07382412319766</v>
      </c>
      <c r="AB25" s="2">
        <f t="shared" ca="1" si="11"/>
        <v>38.201575366352287</v>
      </c>
      <c r="AC25" s="2">
        <f>'Historical Trends'!E83</f>
        <v>42.2</v>
      </c>
      <c r="AE25" s="13">
        <f t="shared" ca="1" si="15"/>
        <v>-6.7997985781990309</v>
      </c>
      <c r="AF25">
        <f t="shared" ca="1" si="16"/>
        <v>-9.07</v>
      </c>
      <c r="AG25">
        <f t="shared" ca="1" si="17"/>
        <v>-7.7150000000000034</v>
      </c>
      <c r="AH25">
        <f t="shared" ca="1" si="18"/>
        <v>-5.2500000000000071</v>
      </c>
      <c r="AI25">
        <f t="shared" ca="1" si="19"/>
        <v>-5.177500000000002</v>
      </c>
      <c r="AJ25">
        <f t="shared" ca="1" si="20"/>
        <v>-5.4180000000000064</v>
      </c>
      <c r="AK25">
        <f t="shared" ca="1" si="21"/>
        <v>-5.3683333333333323</v>
      </c>
      <c r="AL25">
        <f t="shared" ca="1" si="22"/>
        <v>-4.5642857142857167</v>
      </c>
      <c r="AM25" s="13">
        <f t="shared" ref="AM25:AM30" si="52">K25-$AC25</f>
        <v>-10.400000000000002</v>
      </c>
      <c r="AN25">
        <f t="shared" si="37"/>
        <v>-5.2000000000000028</v>
      </c>
      <c r="AO25">
        <f t="shared" si="23"/>
        <v>-3.5200000000000031</v>
      </c>
      <c r="AP25">
        <f t="shared" si="24"/>
        <v>-4.7600000000000051</v>
      </c>
      <c r="AQ25">
        <f t="shared" si="25"/>
        <v>-5.7600000000000051</v>
      </c>
      <c r="AR25">
        <f t="shared" si="26"/>
        <v>-3.6000000000000014</v>
      </c>
      <c r="AS25" s="30">
        <f t="shared" ref="AS25:AS30" si="53">Q25-$AC25</f>
        <v>-11.005909090909093</v>
      </c>
      <c r="AT25">
        <f t="shared" si="41"/>
        <v>-5.6623611111111174</v>
      </c>
      <c r="AU25">
        <f t="shared" si="42"/>
        <v>-4.1853333333333396</v>
      </c>
      <c r="AV25">
        <f t="shared" si="43"/>
        <v>-4.8520512820512849</v>
      </c>
      <c r="AW25">
        <f t="shared" si="44"/>
        <v>-6.2523717948717987</v>
      </c>
      <c r="AX25">
        <f t="shared" si="45"/>
        <v>-3.9091025641025681</v>
      </c>
      <c r="AY25" s="13">
        <f t="shared" ref="AY25:AY30" ca="1" si="54">W25-$AC25</f>
        <v>-9.4090146932934644</v>
      </c>
      <c r="AZ25" s="6">
        <f t="shared" ca="1" si="38"/>
        <v>-5.5868384687424495</v>
      </c>
      <c r="BA25" s="6">
        <f t="shared" ca="1" si="27"/>
        <v>-4.4429923690387554</v>
      </c>
      <c r="BB25" s="6">
        <f t="shared" ca="1" si="28"/>
        <v>-4.9324224974852982</v>
      </c>
      <c r="BC25" s="6">
        <f t="shared" ca="1" si="29"/>
        <v>-6.1261758768023427</v>
      </c>
      <c r="BD25" s="2">
        <f t="shared" ca="1" si="30"/>
        <v>-3.9984246336477156</v>
      </c>
      <c r="BP25">
        <f t="shared" si="50"/>
        <v>4</v>
      </c>
      <c r="BQ25">
        <f t="shared" si="47"/>
        <v>1.3862943611198906</v>
      </c>
      <c r="BR25">
        <f t="shared" si="48"/>
        <v>0.91509452980976436</v>
      </c>
      <c r="BS25">
        <f t="shared" si="49"/>
        <v>0.23549372110487321</v>
      </c>
      <c r="BU25">
        <f t="shared" si="51"/>
        <v>0.30000000000000004</v>
      </c>
      <c r="BV25">
        <f t="shared" si="46"/>
        <v>0.94418797524690712</v>
      </c>
    </row>
    <row r="26" spans="1:74" x14ac:dyDescent="0.25">
      <c r="A26" t="s">
        <v>107</v>
      </c>
      <c r="B26">
        <f>B25+1</f>
        <v>1</v>
      </c>
      <c r="C26" s="13">
        <f ca="1">'Historical Trends'!O84</f>
        <v>36.795954773869369</v>
      </c>
      <c r="D26">
        <f ca="1">AVERAGE(OFFSET('Historical Trends'!$E$84,$B6,0,'Polling Correlations - ALP'!D$4,1))</f>
        <v>35.840000000000003</v>
      </c>
      <c r="E26">
        <f ca="1">AVERAGE(OFFSET('Historical Trends'!$E$84,$B6,0,'Polling Correlations - ALP'!E$4,1))</f>
        <v>38.86</v>
      </c>
      <c r="F26">
        <f ca="1">AVERAGE(OFFSET('Historical Trends'!$E$84,$B6,0,'Polling Correlations - ALP'!F$4,1))</f>
        <v>38.32</v>
      </c>
      <c r="G26">
        <f ca="1">AVERAGE(OFFSET('Historical Trends'!$E$84,$B6,0,'Polling Correlations - ALP'!G$4,1))</f>
        <v>37.695</v>
      </c>
      <c r="H26">
        <f ca="1">AVERAGE(OFFSET('Historical Trends'!$E$84,$B6,0,'Polling Correlations - ALP'!H$4,1))</f>
        <v>37.572000000000003</v>
      </c>
      <c r="I26">
        <f ca="1">AVERAGE(OFFSET('Historical Trends'!$E$84,$B6,0,'Polling Correlations - ALP'!I$4,1))</f>
        <v>38.38666666666667</v>
      </c>
      <c r="J26">
        <f ca="1">AVERAGE(OFFSET('Historical Trends'!$E$84,$B6,0,'Polling Correlations - ALP'!J$4,1))</f>
        <v>40.47428571428572</v>
      </c>
      <c r="K26" s="13">
        <f>AVERAGE(30,29,30)</f>
        <v>29.666666666666668</v>
      </c>
      <c r="L26">
        <f>AVERAGE(35,29,29)</f>
        <v>31</v>
      </c>
      <c r="M26">
        <f>AVERAGE(30,35,35)</f>
        <v>33.333333333333336</v>
      </c>
      <c r="N26">
        <f>AVERAGE(30,30,35)</f>
        <v>31.666666666666668</v>
      </c>
      <c r="O26">
        <f>AVERAGE(35,30,30,30,35)</f>
        <v>32</v>
      </c>
      <c r="P26">
        <f>AVERAGE(32,35,35,30,30)</f>
        <v>32.4</v>
      </c>
      <c r="Q26" s="30">
        <f>K26-AVERAGE(AM$5:AM25,AM27:AM$31)</f>
        <v>29.376060606060609</v>
      </c>
      <c r="R26" s="31">
        <f>L26-AVERAGE(AN$5:AN25,AN27:AN$31)</f>
        <v>30.665555555555557</v>
      </c>
      <c r="S26" s="31">
        <f>M26-AVERAGE(AO$5:AO25,AO27:AO$31)</f>
        <v>32.816933333333338</v>
      </c>
      <c r="T26" s="31">
        <f>N26-AVERAGE(AP$5:AP25,AP27:AP$31)</f>
        <v>31.701410256410256</v>
      </c>
      <c r="U26" s="31">
        <f>O26-AVERAGE(AQ$5:AQ25,AQ27:AQ$31)</f>
        <v>31.685705128205129</v>
      </c>
      <c r="V26" s="31">
        <f>P26-AVERAGE(AR$5:AR25,AR27:AR$31)</f>
        <v>32.20128205128205</v>
      </c>
      <c r="W26" s="13">
        <f t="shared" ca="1" si="6"/>
        <v>31.928396389392184</v>
      </c>
      <c r="X26" s="6">
        <f t="shared" ca="1" si="7"/>
        <v>32.648765160921187</v>
      </c>
      <c r="Y26" s="6">
        <f t="shared" ca="1" si="8"/>
        <v>34.03002895446857</v>
      </c>
      <c r="Z26" s="6">
        <f t="shared" ca="1" si="9"/>
        <v>32.742124691177253</v>
      </c>
      <c r="AA26" s="6">
        <f t="shared" ca="1" si="10"/>
        <v>32.642263049703956</v>
      </c>
      <c r="AB26" s="2">
        <f t="shared" ca="1" si="11"/>
        <v>32.579900270160557</v>
      </c>
      <c r="AC26" s="2">
        <f>'Historical Trends'!E84</f>
        <v>33.130000000000003</v>
      </c>
      <c r="AE26" s="13">
        <f t="shared" ca="1" si="15"/>
        <v>3.6659547738693661</v>
      </c>
      <c r="AF26">
        <f t="shared" ca="1" si="16"/>
        <v>2.7100000000000009</v>
      </c>
      <c r="AG26">
        <f t="shared" ca="1" si="17"/>
        <v>5.7299999999999969</v>
      </c>
      <c r="AH26">
        <f t="shared" ca="1" si="18"/>
        <v>5.1899999999999977</v>
      </c>
      <c r="AI26">
        <f t="shared" ca="1" si="19"/>
        <v>4.5649999999999977</v>
      </c>
      <c r="AJ26">
        <f t="shared" ca="1" si="20"/>
        <v>4.4420000000000002</v>
      </c>
      <c r="AK26">
        <f t="shared" ca="1" si="21"/>
        <v>5.2566666666666677</v>
      </c>
      <c r="AL26">
        <f t="shared" ca="1" si="22"/>
        <v>7.3442857142857179</v>
      </c>
      <c r="AM26" s="13">
        <f t="shared" si="52"/>
        <v>-3.4633333333333347</v>
      </c>
      <c r="AN26">
        <f t="shared" si="37"/>
        <v>-2.1300000000000026</v>
      </c>
      <c r="AO26">
        <f t="shared" si="23"/>
        <v>0.20333333333333314</v>
      </c>
      <c r="AP26">
        <f t="shared" si="24"/>
        <v>-1.4633333333333347</v>
      </c>
      <c r="AQ26">
        <f t="shared" si="25"/>
        <v>-1.1300000000000026</v>
      </c>
      <c r="AR26">
        <f t="shared" si="26"/>
        <v>-0.73000000000000398</v>
      </c>
      <c r="AS26" s="30">
        <f t="shared" si="53"/>
        <v>-3.7539393939393939</v>
      </c>
      <c r="AT26">
        <f t="shared" si="41"/>
        <v>-2.464444444444446</v>
      </c>
      <c r="AU26">
        <f t="shared" si="42"/>
        <v>-0.31306666666666416</v>
      </c>
      <c r="AV26">
        <f t="shared" si="43"/>
        <v>-1.4285897435897468</v>
      </c>
      <c r="AW26">
        <f t="shared" si="44"/>
        <v>-1.4442948717948738</v>
      </c>
      <c r="AX26">
        <f t="shared" si="45"/>
        <v>-0.92871794871795288</v>
      </c>
      <c r="AY26" s="13">
        <f t="shared" ca="1" si="54"/>
        <v>-1.201603610607819</v>
      </c>
      <c r="AZ26" s="6">
        <f t="shared" ca="1" si="38"/>
        <v>-0.48123483907881592</v>
      </c>
      <c r="BA26" s="6">
        <f t="shared" ca="1" si="27"/>
        <v>0.90002895446856712</v>
      </c>
      <c r="BB26" s="6">
        <f t="shared" ca="1" si="28"/>
        <v>-0.38787530882274979</v>
      </c>
      <c r="BC26" s="6">
        <f t="shared" ca="1" si="29"/>
        <v>-0.48773695029604625</v>
      </c>
      <c r="BD26" s="2">
        <f t="shared" ca="1" si="30"/>
        <v>-0.55009972983944522</v>
      </c>
      <c r="BP26">
        <f t="shared" si="50"/>
        <v>5</v>
      </c>
      <c r="BQ26">
        <f t="shared" si="47"/>
        <v>1.6094379124341003</v>
      </c>
      <c r="BR26">
        <f t="shared" si="48"/>
        <v>0.91012129326662006</v>
      </c>
      <c r="BS26">
        <f t="shared" si="49"/>
        <v>0.27604059116565138</v>
      </c>
      <c r="BU26">
        <f t="shared" si="51"/>
        <v>0.4</v>
      </c>
      <c r="BV26">
        <f t="shared" si="46"/>
        <v>0.94214217269113076</v>
      </c>
    </row>
    <row r="27" spans="1:74" x14ac:dyDescent="0.25">
      <c r="A27" t="s">
        <v>108</v>
      </c>
      <c r="B27">
        <f>B26+1</f>
        <v>2</v>
      </c>
      <c r="C27" s="13">
        <f ca="1">'Historical Trends'!O85</f>
        <v>34.804108527131575</v>
      </c>
      <c r="D27">
        <f ca="1">AVERAGE(OFFSET('Historical Trends'!$E$84,$B7,0,'Polling Correlations - ALP'!D$4,1))</f>
        <v>41.88</v>
      </c>
      <c r="E27">
        <f ca="1">AVERAGE(OFFSET('Historical Trends'!$E$84,$B7,0,'Polling Correlations - ALP'!E$4,1))</f>
        <v>39.56</v>
      </c>
      <c r="F27">
        <f ca="1">AVERAGE(OFFSET('Historical Trends'!$E$84,$B7,0,'Polling Correlations - ALP'!F$4,1))</f>
        <v>38.313333333333333</v>
      </c>
      <c r="G27">
        <f ca="1">AVERAGE(OFFSET('Historical Trends'!$E$84,$B7,0,'Polling Correlations - ALP'!G$4,1))</f>
        <v>38.004999999999995</v>
      </c>
      <c r="H27">
        <f ca="1">AVERAGE(OFFSET('Historical Trends'!$E$84,$B7,0,'Polling Correlations - ALP'!H$4,1))</f>
        <v>38.896000000000001</v>
      </c>
      <c r="I27">
        <f ca="1">AVERAGE(OFFSET('Historical Trends'!$E$84,$B7,0,'Polling Correlations - ALP'!I$4,1))</f>
        <v>41.246666666666663</v>
      </c>
      <c r="J27">
        <f ca="1">AVERAGE(OFFSET('Historical Trends'!$E$84,$B7,0,'Polling Correlations - ALP'!J$4,1))</f>
        <v>42.948571428571427</v>
      </c>
      <c r="K27" s="13">
        <f>AVERAGE(42,42,42)</f>
        <v>42</v>
      </c>
      <c r="L27">
        <f>AVERAGE(44,44,39)</f>
        <v>42.333333333333336</v>
      </c>
      <c r="M27">
        <f>AVERAGE(42,40,44)</f>
        <v>42</v>
      </c>
      <c r="N27">
        <f>AVERAGE(41,42,40)</f>
        <v>41</v>
      </c>
      <c r="O27">
        <f>AVERAGE(41,42,40)</f>
        <v>41</v>
      </c>
      <c r="P27">
        <f>AVERAGE(35,42,42)</f>
        <v>39.666666666666664</v>
      </c>
      <c r="Q27" s="30">
        <f>K27-AVERAGE(AM$5:AM26,AM28:AM$31)</f>
        <v>42.146818181818183</v>
      </c>
      <c r="R27" s="31">
        <f>L27-AVERAGE(AN$5:AN26,AN28:AN$31)</f>
        <v>42.35819444444445</v>
      </c>
      <c r="S27" s="31">
        <f>M27-AVERAGE(AO$5:AO26,AO28:AO$31)</f>
        <v>41.721866666666664</v>
      </c>
      <c r="T27" s="31">
        <f>N27-AVERAGE(AP$5:AP26,AP28:AP$31)</f>
        <v>41.289487179487182</v>
      </c>
      <c r="U27" s="31">
        <f>O27-AVERAGE(AQ$5:AQ26,AQ28:AQ$31)</f>
        <v>40.927628205128208</v>
      </c>
      <c r="V27" s="31">
        <f>P27-AVERAGE(AR$5:AR26,AR28:AR$31)</f>
        <v>39.643205128205125</v>
      </c>
      <c r="W27" s="13">
        <f t="shared" ca="1" si="6"/>
        <v>41.891842111719427</v>
      </c>
      <c r="X27" s="6">
        <f t="shared" ca="1" si="7"/>
        <v>42.072692457256707</v>
      </c>
      <c r="Y27" s="6">
        <f t="shared" ca="1" si="8"/>
        <v>41.618367449619143</v>
      </c>
      <c r="Z27" s="6">
        <f t="shared" ca="1" si="9"/>
        <v>41.282821178505067</v>
      </c>
      <c r="AA27" s="6">
        <f t="shared" ca="1" si="10"/>
        <v>40.973170738971412</v>
      </c>
      <c r="AB27" s="2">
        <f t="shared" ca="1" si="11"/>
        <v>39.741355815588811</v>
      </c>
      <c r="AC27" s="2">
        <f>'Historical Trends'!E85</f>
        <v>35.840000000000003</v>
      </c>
      <c r="AE27" s="13">
        <f t="shared" ca="1" si="15"/>
        <v>-1.0358914728684283</v>
      </c>
      <c r="AF27">
        <f t="shared" ca="1" si="16"/>
        <v>6.0399999999999991</v>
      </c>
      <c r="AG27">
        <f t="shared" ca="1" si="17"/>
        <v>3.7199999999999989</v>
      </c>
      <c r="AH27">
        <f t="shared" ca="1" si="18"/>
        <v>2.4733333333333292</v>
      </c>
      <c r="AI27">
        <f t="shared" ca="1" si="19"/>
        <v>2.164999999999992</v>
      </c>
      <c r="AJ27">
        <f t="shared" ca="1" si="20"/>
        <v>3.0559999999999974</v>
      </c>
      <c r="AK27">
        <f t="shared" ca="1" si="21"/>
        <v>5.4066666666666592</v>
      </c>
      <c r="AL27">
        <f t="shared" ca="1" si="22"/>
        <v>7.1085714285714232</v>
      </c>
      <c r="AM27" s="13">
        <f t="shared" si="52"/>
        <v>6.1599999999999966</v>
      </c>
      <c r="AN27">
        <f t="shared" si="37"/>
        <v>6.4933333333333323</v>
      </c>
      <c r="AO27">
        <f t="shared" si="23"/>
        <v>6.1599999999999966</v>
      </c>
      <c r="AP27">
        <f t="shared" si="24"/>
        <v>5.1599999999999966</v>
      </c>
      <c r="AQ27">
        <f t="shared" si="25"/>
        <v>5.1599999999999966</v>
      </c>
      <c r="AR27">
        <f t="shared" si="26"/>
        <v>3.8266666666666609</v>
      </c>
      <c r="AS27" s="30">
        <f t="shared" si="53"/>
        <v>6.3068181818181799</v>
      </c>
      <c r="AT27">
        <f t="shared" si="41"/>
        <v>6.5181944444444468</v>
      </c>
      <c r="AU27">
        <f t="shared" si="42"/>
        <v>5.8818666666666601</v>
      </c>
      <c r="AV27">
        <f t="shared" si="43"/>
        <v>5.4494871794871784</v>
      </c>
      <c r="AW27">
        <f t="shared" si="44"/>
        <v>5.0876282051282047</v>
      </c>
      <c r="AX27">
        <f t="shared" si="45"/>
        <v>3.8032051282051214</v>
      </c>
      <c r="AY27" s="13">
        <f t="shared" ca="1" si="54"/>
        <v>6.0518421117194237</v>
      </c>
      <c r="AZ27" s="6">
        <f t="shared" ca="1" si="38"/>
        <v>6.2326924572567037</v>
      </c>
      <c r="BA27" s="6">
        <f t="shared" ca="1" si="27"/>
        <v>5.7783674496191395</v>
      </c>
      <c r="BB27" s="6">
        <f t="shared" ca="1" si="28"/>
        <v>5.4428211785050635</v>
      </c>
      <c r="BC27" s="6">
        <f t="shared" ca="1" si="29"/>
        <v>5.1331707389714083</v>
      </c>
      <c r="BD27" s="2">
        <f t="shared" ca="1" si="30"/>
        <v>3.9013558155888077</v>
      </c>
      <c r="BP27">
        <f t="shared" si="50"/>
        <v>6</v>
      </c>
      <c r="BQ27">
        <f t="shared" si="47"/>
        <v>1.791759469228055</v>
      </c>
      <c r="BR27">
        <f t="shared" si="48"/>
        <v>0.90580471036790178</v>
      </c>
      <c r="BS27">
        <f t="shared" si="49"/>
        <v>0.30965336588943237</v>
      </c>
      <c r="BU27">
        <f t="shared" si="51"/>
        <v>0.5</v>
      </c>
      <c r="BV27">
        <f t="shared" si="46"/>
        <v>0.94006658030328594</v>
      </c>
    </row>
    <row r="28" spans="1:74" x14ac:dyDescent="0.25">
      <c r="A28" t="s">
        <v>123</v>
      </c>
      <c r="B28" s="2">
        <v>0</v>
      </c>
      <c r="C28" s="13">
        <f ca="1">'Historical Trends'!O100</f>
        <v>41.019499999999994</v>
      </c>
      <c r="D28">
        <f ca="1">AVERAGE(OFFSET('Historical Trends'!$E$101,$B5,0,'Polling Correlations - ALP'!D$4,1))</f>
        <v>35.799999999999997</v>
      </c>
      <c r="E28">
        <f ca="1">AVERAGE(OFFSET('Historical Trends'!$E$101,$B5,0,'Polling Correlations - ALP'!E$4,1))</f>
        <v>36.634999999999998</v>
      </c>
      <c r="F28">
        <f ca="1">AVERAGE(OFFSET('Historical Trends'!$E$101,$B5,0,'Polling Correlations - ALP'!F$4,1))</f>
        <v>39.496666666666663</v>
      </c>
      <c r="G28">
        <f ca="1">AVERAGE(OFFSET('Historical Trends'!$E$101,$B5,0,'Polling Correlations - ALP'!G$4,1))</f>
        <v>38.707499999999996</v>
      </c>
      <c r="H28">
        <f ca="1">AVERAGE(OFFSET('Historical Trends'!$E$101,$B5,0,'Polling Correlations - ALP'!H$4,1))</f>
        <v>37.997999999999998</v>
      </c>
      <c r="I28">
        <f ca="1">AVERAGE(OFFSET('Historical Trends'!$E$101,$B5,0,'Polling Correlations - ALP'!I$4,1))</f>
        <v>36.726666666666667</v>
      </c>
      <c r="J28">
        <f ca="1">AVERAGE(OFFSET('Historical Trends'!$E$101,$B5,0,'Polling Correlations - ALP'!J$4,1))</f>
        <v>37.207142857142856</v>
      </c>
      <c r="K28" s="13">
        <f>AVERAGE(35,28,39)</f>
        <v>34</v>
      </c>
      <c r="L28">
        <f>AVERAGE(35,36,35)</f>
        <v>35.333333333333336</v>
      </c>
      <c r="M28">
        <f>AVERAGE(37,28,36,35,36)</f>
        <v>34.4</v>
      </c>
      <c r="N28">
        <f>AVERAGE(36,27,38,34,35)</f>
        <v>34</v>
      </c>
      <c r="O28">
        <f>AVERAGE(26.1,34,27,37,28)</f>
        <v>30.419999999999998</v>
      </c>
      <c r="P28">
        <f>AVERAGE(31,31,30,26.1,34)</f>
        <v>30.419999999999998</v>
      </c>
      <c r="Q28" s="30">
        <f>K28-AVERAGE(AM$5:AM27,AM29:AM$31)</f>
        <v>33.921363636363637</v>
      </c>
      <c r="R28" s="31">
        <f>L28-AVERAGE(AN$5:AN27,AN29:AN$31)</f>
        <v>35.193194444444444</v>
      </c>
      <c r="S28" s="31">
        <f>M28-AVERAGE(AO$5:AO27,AO29:AO$31)</f>
        <v>33.939466666666668</v>
      </c>
      <c r="T28" s="31">
        <f>N28-AVERAGE(AP$5:AP27,AP29:AP$31)</f>
        <v>34.137179487179488</v>
      </c>
      <c r="U28" s="31">
        <f>O28-AVERAGE(AQ$5:AQ27,AQ29:AQ$31)</f>
        <v>30.057628205128204</v>
      </c>
      <c r="V28" s="31">
        <f>P28-AVERAGE(AR$5:AR27,AR29:AR$31)</f>
        <v>30.157820512820511</v>
      </c>
      <c r="W28" s="13">
        <f t="shared" ca="1" si="6"/>
        <v>34.715991129694459</v>
      </c>
      <c r="X28" s="6">
        <f t="shared" ca="1" si="7"/>
        <v>35.587075169240137</v>
      </c>
      <c r="Y28" s="6">
        <f t="shared" ca="1" si="8"/>
        <v>34.546522680460527</v>
      </c>
      <c r="Z28" s="6">
        <f t="shared" ca="1" si="9"/>
        <v>34.540292923816246</v>
      </c>
      <c r="AA28" s="6">
        <f t="shared" ca="1" si="10"/>
        <v>31.009629128062851</v>
      </c>
      <c r="AB28" s="2">
        <f t="shared" ca="1" si="11"/>
        <v>30.559911083659085</v>
      </c>
      <c r="AC28" s="2">
        <f>'Historical Trends'!E100</f>
        <v>32.799999999999997</v>
      </c>
      <c r="AE28" s="13">
        <f t="shared" ca="1" si="15"/>
        <v>8.2194999999999965</v>
      </c>
      <c r="AF28">
        <f t="shared" ca="1" si="16"/>
        <v>3</v>
      </c>
      <c r="AG28">
        <f t="shared" ca="1" si="17"/>
        <v>3.8350000000000009</v>
      </c>
      <c r="AH28">
        <f t="shared" ca="1" si="18"/>
        <v>6.6966666666666654</v>
      </c>
      <c r="AI28">
        <f t="shared" ca="1" si="19"/>
        <v>5.9074999999999989</v>
      </c>
      <c r="AJ28">
        <f t="shared" ca="1" si="20"/>
        <v>5.1980000000000004</v>
      </c>
      <c r="AK28">
        <f t="shared" ca="1" si="21"/>
        <v>3.9266666666666694</v>
      </c>
      <c r="AL28">
        <f t="shared" ca="1" si="22"/>
        <v>4.4071428571428584</v>
      </c>
      <c r="AM28" s="13">
        <f t="shared" si="52"/>
        <v>1.2000000000000028</v>
      </c>
      <c r="AN28">
        <f t="shared" si="37"/>
        <v>2.5333333333333385</v>
      </c>
      <c r="AO28">
        <f t="shared" si="23"/>
        <v>1.6000000000000014</v>
      </c>
      <c r="AP28">
        <f t="shared" si="24"/>
        <v>1.2000000000000028</v>
      </c>
      <c r="AQ28">
        <f t="shared" si="25"/>
        <v>-2.379999999999999</v>
      </c>
      <c r="AR28">
        <f t="shared" si="26"/>
        <v>-2.379999999999999</v>
      </c>
      <c r="AS28" s="30">
        <f t="shared" si="53"/>
        <v>1.1213636363636397</v>
      </c>
      <c r="AT28">
        <f t="shared" si="41"/>
        <v>2.3931944444444468</v>
      </c>
      <c r="AU28">
        <f t="shared" si="42"/>
        <v>1.1394666666666708</v>
      </c>
      <c r="AV28">
        <f t="shared" si="43"/>
        <v>1.3371794871794904</v>
      </c>
      <c r="AW28">
        <f t="shared" si="44"/>
        <v>-2.7423717948717936</v>
      </c>
      <c r="AX28">
        <f t="shared" si="45"/>
        <v>-2.6421794871794866</v>
      </c>
      <c r="AY28" s="13">
        <f t="shared" ca="1" si="54"/>
        <v>1.9159911296944614</v>
      </c>
      <c r="AZ28" s="6">
        <f t="shared" ca="1" si="38"/>
        <v>2.7870751692401399</v>
      </c>
      <c r="BA28" s="6">
        <f t="shared" ca="1" si="27"/>
        <v>1.7465226804605294</v>
      </c>
      <c r="BB28" s="6">
        <f t="shared" ca="1" si="28"/>
        <v>1.7402929238162486</v>
      </c>
      <c r="BC28" s="6">
        <f t="shared" ca="1" si="29"/>
        <v>-1.7903708719371458</v>
      </c>
      <c r="BD28" s="2">
        <f t="shared" ca="1" si="30"/>
        <v>-2.2400889163409126</v>
      </c>
      <c r="BP28">
        <f t="shared" si="50"/>
        <v>7</v>
      </c>
      <c r="BQ28">
        <f t="shared" si="47"/>
        <v>1.9459101490553132</v>
      </c>
      <c r="BR28">
        <f t="shared" si="48"/>
        <v>0.90196183089833593</v>
      </c>
      <c r="BS28">
        <f t="shared" si="49"/>
        <v>0.33838847910654657</v>
      </c>
      <c r="BU28">
        <f t="shared" si="51"/>
        <v>0.6</v>
      </c>
      <c r="BV28">
        <f t="shared" si="46"/>
        <v>0.93796054263695217</v>
      </c>
    </row>
    <row r="29" spans="1:74" x14ac:dyDescent="0.25">
      <c r="A29" t="s">
        <v>124</v>
      </c>
      <c r="B29" s="2">
        <f>B28+1</f>
        <v>1</v>
      </c>
      <c r="C29" s="13">
        <f ca="1">'Historical Trends'!O101</f>
        <v>40.728257217847784</v>
      </c>
      <c r="D29">
        <f ca="1">AVERAGE(OFFSET('Historical Trends'!$E$101,$B6,0,'Polling Correlations - ALP'!D$4,1))</f>
        <v>37.47</v>
      </c>
      <c r="E29">
        <f ca="1">AVERAGE(OFFSET('Historical Trends'!$E$101,$B6,0,'Polling Correlations - ALP'!E$4,1))</f>
        <v>41.344999999999999</v>
      </c>
      <c r="F29">
        <f ca="1">AVERAGE(OFFSET('Historical Trends'!$E$101,$B6,0,'Polling Correlations - ALP'!F$4,1))</f>
        <v>39.676666666666669</v>
      </c>
      <c r="G29">
        <f ca="1">AVERAGE(OFFSET('Historical Trends'!$E$101,$B6,0,'Polling Correlations - ALP'!G$4,1))</f>
        <v>38.547499999999999</v>
      </c>
      <c r="H29">
        <f ca="1">AVERAGE(OFFSET('Historical Trends'!$E$101,$B6,0,'Polling Correlations - ALP'!H$4,1))</f>
        <v>36.911999999999999</v>
      </c>
      <c r="I29">
        <f ca="1">AVERAGE(OFFSET('Historical Trends'!$E$101,$B6,0,'Polling Correlations - ALP'!I$4,1))</f>
        <v>37.44166666666667</v>
      </c>
      <c r="J29">
        <f ca="1">AVERAGE(OFFSET('Historical Trends'!$E$101,$B6,0,'Polling Correlations - ALP'!J$4,1))</f>
        <v>38.977142857142859</v>
      </c>
      <c r="K29" s="13">
        <f>AVERAGE(34,34,38)</f>
        <v>35.333333333333336</v>
      </c>
      <c r="L29">
        <f>AVERAGE(33,30,37)</f>
        <v>33.333333333333336</v>
      </c>
      <c r="M29">
        <f>AVERAGE(32,33,30)</f>
        <v>31.666666666666668</v>
      </c>
      <c r="N29">
        <f>AVERAGE(33,36,32)</f>
        <v>33.666666666666664</v>
      </c>
      <c r="O29">
        <f>AVERAGE(34,35,33)</f>
        <v>34</v>
      </c>
      <c r="P29">
        <f>AVERAGE(34,34,35)</f>
        <v>34.333333333333336</v>
      </c>
      <c r="Q29" s="30">
        <f>K29-AVERAGE(AM$5:AM28,AM30:AM$31)</f>
        <v>35.178939393939395</v>
      </c>
      <c r="R29" s="31">
        <f>L29-AVERAGE(AN$5:AN28,AN30:AN$31)</f>
        <v>32.984861111111115</v>
      </c>
      <c r="S29" s="31">
        <f>M29-AVERAGE(AO$5:AO28,AO30:AO$31)</f>
        <v>30.976800000000001</v>
      </c>
      <c r="T29" s="31">
        <f>N29-AVERAGE(AP$5:AP28,AP30:AP$31)</f>
        <v>33.675641025641021</v>
      </c>
      <c r="U29" s="31">
        <f>O29-AVERAGE(AQ$5:AQ28,AQ30:AQ$31)</f>
        <v>33.659935897435901</v>
      </c>
      <c r="V29" s="31">
        <f>P29-AVERAGE(AR$5:AR28,AR30:AR$31)</f>
        <v>34.106282051282051</v>
      </c>
      <c r="W29" s="13">
        <f t="shared" ca="1" si="6"/>
        <v>35.819877389370262</v>
      </c>
      <c r="X29" s="6">
        <f t="shared" ca="1" si="7"/>
        <v>34.129615986391329</v>
      </c>
      <c r="Y29" s="6">
        <f t="shared" ca="1" si="8"/>
        <v>32.384856898814391</v>
      </c>
      <c r="Z29" s="6">
        <f t="shared" ca="1" si="9"/>
        <v>34.261909824591648</v>
      </c>
      <c r="AA29" s="6">
        <f t="shared" ca="1" si="10"/>
        <v>34.199775516499592</v>
      </c>
      <c r="AB29" s="2">
        <f t="shared" ca="1" si="11"/>
        <v>34.310446781670954</v>
      </c>
      <c r="AC29" s="2">
        <f>'Historical Trends'!E101</f>
        <v>35.799999999999997</v>
      </c>
      <c r="AE29" s="13">
        <f t="shared" ca="1" si="15"/>
        <v>4.9282572178477864</v>
      </c>
      <c r="AF29">
        <f t="shared" ca="1" si="16"/>
        <v>1.6700000000000017</v>
      </c>
      <c r="AG29">
        <f t="shared" ca="1" si="17"/>
        <v>5.5450000000000017</v>
      </c>
      <c r="AH29">
        <f t="shared" ca="1" si="18"/>
        <v>3.8766666666666723</v>
      </c>
      <c r="AI29">
        <f t="shared" ca="1" si="19"/>
        <v>2.7475000000000023</v>
      </c>
      <c r="AJ29">
        <f t="shared" ca="1" si="20"/>
        <v>1.1120000000000019</v>
      </c>
      <c r="AK29">
        <f t="shared" ca="1" si="21"/>
        <v>1.6416666666666728</v>
      </c>
      <c r="AL29">
        <f t="shared" ca="1" si="22"/>
        <v>3.1771428571428615</v>
      </c>
      <c r="AM29" s="13">
        <f t="shared" si="52"/>
        <v>-0.46666666666666146</v>
      </c>
      <c r="AN29">
        <f t="shared" si="37"/>
        <v>-2.4666666666666615</v>
      </c>
      <c r="AO29">
        <f t="shared" si="23"/>
        <v>-4.1333333333333293</v>
      </c>
      <c r="AP29">
        <f t="shared" si="24"/>
        <v>-2.1333333333333329</v>
      </c>
      <c r="AQ29">
        <f t="shared" si="25"/>
        <v>-1.7999999999999972</v>
      </c>
      <c r="AR29">
        <f t="shared" si="26"/>
        <v>-1.4666666666666615</v>
      </c>
      <c r="AS29" s="30">
        <f t="shared" si="53"/>
        <v>-0.62106060606060254</v>
      </c>
      <c r="AT29">
        <f t="shared" si="41"/>
        <v>-2.8151388888888818</v>
      </c>
      <c r="AU29">
        <f t="shared" si="42"/>
        <v>-4.8231999999999964</v>
      </c>
      <c r="AV29">
        <f t="shared" si="43"/>
        <v>-2.1243589743589766</v>
      </c>
      <c r="AW29">
        <f t="shared" si="44"/>
        <v>-2.1400641025640965</v>
      </c>
      <c r="AX29">
        <f t="shared" si="45"/>
        <v>-1.6937179487179463</v>
      </c>
      <c r="AY29" s="13">
        <f t="shared" ca="1" si="54"/>
        <v>1.9877389370265064E-2</v>
      </c>
      <c r="AZ29" s="6">
        <f t="shared" ca="1" si="38"/>
        <v>-1.6703840136086683</v>
      </c>
      <c r="BA29" s="6">
        <f t="shared" ca="1" si="27"/>
        <v>-3.4151431011856062</v>
      </c>
      <c r="BB29" s="6">
        <f t="shared" ca="1" si="28"/>
        <v>-1.5380901754083496</v>
      </c>
      <c r="BC29" s="6">
        <f t="shared" ca="1" si="29"/>
        <v>-1.6002244835004049</v>
      </c>
      <c r="BD29" s="2">
        <f t="shared" ca="1" si="30"/>
        <v>-1.4895532183290427</v>
      </c>
      <c r="BP29">
        <f t="shared" si="50"/>
        <v>8</v>
      </c>
      <c r="BQ29">
        <f t="shared" si="47"/>
        <v>2.0794415416798357</v>
      </c>
      <c r="BR29">
        <f t="shared" si="48"/>
        <v>0.89847902784446509</v>
      </c>
      <c r="BS29">
        <f t="shared" si="49"/>
        <v>0.36349633700567485</v>
      </c>
      <c r="BU29">
        <f t="shared" si="51"/>
        <v>0.7</v>
      </c>
      <c r="BV29">
        <f t="shared" si="46"/>
        <v>0.93582338487515848</v>
      </c>
    </row>
    <row r="30" spans="1:74" x14ac:dyDescent="0.25">
      <c r="A30" t="s">
        <v>126</v>
      </c>
      <c r="B30" s="2">
        <f>B29+1</f>
        <v>2</v>
      </c>
      <c r="C30" s="13">
        <f ca="1">'Historical Trends'!O102</f>
        <v>37.378617021276625</v>
      </c>
      <c r="D30">
        <f ca="1">AVERAGE(OFFSET('Historical Trends'!$E$101,$B7,0,'Polling Correlations - ALP'!D$4,1))</f>
        <v>45.22</v>
      </c>
      <c r="E30">
        <f ca="1">AVERAGE(OFFSET('Historical Trends'!$E$101,$B7,0,'Polling Correlations - ALP'!E$4,1))</f>
        <v>40.78</v>
      </c>
      <c r="F30">
        <f ca="1">AVERAGE(OFFSET('Historical Trends'!$E$101,$B7,0,'Polling Correlations - ALP'!F$4,1))</f>
        <v>38.906666666666666</v>
      </c>
      <c r="G30">
        <f ca="1">AVERAGE(OFFSET('Historical Trends'!$E$101,$B7,0,'Polling Correlations - ALP'!G$4,1))</f>
        <v>36.772500000000001</v>
      </c>
      <c r="H30">
        <f ca="1">AVERAGE(OFFSET('Historical Trends'!$E$101,$B7,0,'Polling Correlations - ALP'!H$4,1))</f>
        <v>37.436</v>
      </c>
      <c r="I30">
        <f ca="1">AVERAGE(OFFSET('Historical Trends'!$E$101,$B7,0,'Polling Correlations - ALP'!I$4,1))</f>
        <v>39.228333333333332</v>
      </c>
      <c r="J30">
        <f ca="1">AVERAGE(OFFSET('Historical Trends'!$E$101,$B7,0,'Polling Correlations - ALP'!J$4,1))</f>
        <v>40.23571428571428</v>
      </c>
      <c r="K30" s="13">
        <f>AVERAGE(41,42,48)</f>
        <v>43.666666666666664</v>
      </c>
      <c r="L30">
        <f>AVERAGE(42,39,38)</f>
        <v>39.666666666666664</v>
      </c>
      <c r="M30">
        <f>AVERAGE(46,43,42)</f>
        <v>43.666666666666664</v>
      </c>
      <c r="N30">
        <f>AVERAGE(43,37,43.2)</f>
        <v>41.06666666666667</v>
      </c>
      <c r="O30">
        <f>AVERAGE(38,43,37)</f>
        <v>39.333333333333336</v>
      </c>
      <c r="P30">
        <f>AVERAGE(35.3,36,38)</f>
        <v>36.43333333333333</v>
      </c>
      <c r="Q30" s="30">
        <f>K30-AVERAGE(AM$5:AM29,AM31:AM$31)</f>
        <v>43.815151515151513</v>
      </c>
      <c r="R30" s="31">
        <f>L30-AVERAGE(AN$5:AN29,AN31:AN$31)</f>
        <v>39.512499999999996</v>
      </c>
      <c r="S30" s="31">
        <f>M30-AVERAGE(AO$5:AO29,AO31:AO$31)</f>
        <v>43.39</v>
      </c>
      <c r="T30" s="31">
        <f>N30-AVERAGE(AP$5:AP29,AP31:AP$31)</f>
        <v>41.296025641025643</v>
      </c>
      <c r="U30" s="31">
        <f>O30-AVERAGE(AQ$5:AQ29,AQ31:AQ$31)</f>
        <v>39.134166666666673</v>
      </c>
      <c r="V30" s="31">
        <f>P30-AVERAGE(AR$5:AR29,AR31:AR$31)</f>
        <v>36.222820512820512</v>
      </c>
      <c r="W30" s="13">
        <f t="shared" ca="1" si="6"/>
        <v>42.515893718467524</v>
      </c>
      <c r="X30" s="6">
        <f t="shared" ca="1" si="7"/>
        <v>39.439510237937505</v>
      </c>
      <c r="Y30" s="6">
        <f t="shared" ca="1" si="8"/>
        <v>42.483583245764407</v>
      </c>
      <c r="Z30" s="6">
        <f t="shared" ca="1" si="9"/>
        <v>40.974141617554125</v>
      </c>
      <c r="AA30" s="6">
        <f t="shared" ca="1" si="10"/>
        <v>39.147608897371043</v>
      </c>
      <c r="AB30" s="2">
        <f t="shared" ca="1" si="11"/>
        <v>36.406793213255135</v>
      </c>
      <c r="AC30" s="2">
        <f>'Historical Trends'!E102</f>
        <v>37.47</v>
      </c>
      <c r="AE30" s="13">
        <f t="shared" ca="1" si="15"/>
        <v>-9.1382978723373753E-2</v>
      </c>
      <c r="AF30">
        <f t="shared" ca="1" si="16"/>
        <v>7.75</v>
      </c>
      <c r="AG30">
        <f t="shared" ca="1" si="17"/>
        <v>3.3100000000000023</v>
      </c>
      <c r="AH30">
        <f t="shared" ca="1" si="18"/>
        <v>1.4366666666666674</v>
      </c>
      <c r="AI30">
        <f t="shared" ca="1" si="19"/>
        <v>-0.69749999999999801</v>
      </c>
      <c r="AJ30">
        <f t="shared" ca="1" si="20"/>
        <v>-3.399999999999892E-2</v>
      </c>
      <c r="AK30">
        <f t="shared" ca="1" si="21"/>
        <v>1.7583333333333329</v>
      </c>
      <c r="AL30">
        <f t="shared" ca="1" si="22"/>
        <v>2.7657142857142816</v>
      </c>
      <c r="AM30" s="13">
        <f t="shared" si="52"/>
        <v>6.1966666666666654</v>
      </c>
      <c r="AN30">
        <f t="shared" si="37"/>
        <v>2.1966666666666654</v>
      </c>
      <c r="AO30">
        <f t="shared" si="23"/>
        <v>6.1966666666666654</v>
      </c>
      <c r="AP30">
        <f t="shared" si="24"/>
        <v>3.5966666666666711</v>
      </c>
      <c r="AQ30">
        <f t="shared" si="25"/>
        <v>1.8633333333333368</v>
      </c>
      <c r="AR30">
        <f t="shared" si="26"/>
        <v>-1.0366666666666688</v>
      </c>
      <c r="AS30" s="30">
        <f t="shared" si="53"/>
        <v>6.3451515151515139</v>
      </c>
      <c r="AT30">
        <f t="shared" si="41"/>
        <v>2.0424999999999969</v>
      </c>
      <c r="AU30">
        <f t="shared" si="42"/>
        <v>5.9200000000000017</v>
      </c>
      <c r="AV30">
        <f t="shared" si="43"/>
        <v>3.8260256410256446</v>
      </c>
      <c r="AW30">
        <f t="shared" si="44"/>
        <v>1.6641666666666737</v>
      </c>
      <c r="AX30">
        <f t="shared" si="45"/>
        <v>-1.247179487179487</v>
      </c>
      <c r="AY30" s="13">
        <f t="shared" ca="1" si="54"/>
        <v>5.045893718467525</v>
      </c>
      <c r="AZ30" s="6">
        <f t="shared" ca="1" si="38"/>
        <v>1.9695102379375058</v>
      </c>
      <c r="BA30" s="6">
        <f t="shared" ca="1" si="27"/>
        <v>5.0135832457644085</v>
      </c>
      <c r="BB30" s="6">
        <f t="shared" ca="1" si="28"/>
        <v>3.5041416175541258</v>
      </c>
      <c r="BC30" s="6">
        <f t="shared" ca="1" si="29"/>
        <v>1.6776088973710443</v>
      </c>
      <c r="BD30" s="2">
        <f t="shared" ca="1" si="30"/>
        <v>-1.063206786744864</v>
      </c>
      <c r="BP30">
        <f t="shared" si="50"/>
        <v>9</v>
      </c>
      <c r="BQ30">
        <f t="shared" si="47"/>
        <v>2.1972245773362196</v>
      </c>
      <c r="BR30">
        <f t="shared" si="48"/>
        <v>0.89528046973783304</v>
      </c>
      <c r="BS30">
        <f t="shared" si="49"/>
        <v>0.38579609965964168</v>
      </c>
      <c r="BU30">
        <f t="shared" si="51"/>
        <v>0.79999999999999993</v>
      </c>
      <c r="BV30">
        <f t="shared" si="46"/>
        <v>0.93365441210947864</v>
      </c>
    </row>
    <row r="31" spans="1:74" x14ac:dyDescent="0.25">
      <c r="A31" t="s">
        <v>127</v>
      </c>
      <c r="B31" s="2">
        <f>B30+1</f>
        <v>3</v>
      </c>
      <c r="C31" s="13">
        <f ca="1">'Historical Trends'!O103</f>
        <v>29.332440758293842</v>
      </c>
      <c r="D31">
        <f ca="1">AVERAGE(OFFSET('Historical Trends'!$E$101,$B8,0,'Polling Correlations - ALP'!D$4,1))</f>
        <v>36.340000000000003</v>
      </c>
      <c r="E31">
        <f ca="1">AVERAGE(OFFSET('Historical Trends'!$E$101,$B8,0,'Polling Correlations - ALP'!E$4,1))</f>
        <v>35.75</v>
      </c>
      <c r="F31">
        <f ca="1">AVERAGE(OFFSET('Historical Trends'!$E$101,$B8,0,'Polling Correlations - ALP'!F$4,1))</f>
        <v>33.956666666666671</v>
      </c>
      <c r="G31">
        <f ca="1">AVERAGE(OFFSET('Historical Trends'!$E$101,$B8,0,'Polling Correlations - ALP'!G$4,1))</f>
        <v>35.49</v>
      </c>
      <c r="H31">
        <f ca="1">AVERAGE(OFFSET('Historical Trends'!$E$101,$B8,0,'Polling Correlations - ALP'!H$4,1))</f>
        <v>38.03</v>
      </c>
      <c r="I31">
        <f ca="1">AVERAGE(OFFSET('Historical Trends'!$E$101,$B8,0,'Polling Correlations - ALP'!I$4,1))</f>
        <v>39.405000000000001</v>
      </c>
      <c r="J31">
        <f ca="1">AVERAGE(OFFSET('Historical Trends'!$E$101,$B8,0,'Polling Correlations - ALP'!J$4,1))</f>
        <v>39.612857142857145</v>
      </c>
      <c r="N31">
        <f>AVERAGE(46,45)</f>
        <v>45.5</v>
      </c>
      <c r="O31">
        <f>AVERAGE(44,46)</f>
        <v>45</v>
      </c>
      <c r="P31">
        <f>AVERAGE(46,44,46)</f>
        <v>45.333333333333336</v>
      </c>
      <c r="Q31" s="30"/>
      <c r="R31" s="31"/>
      <c r="S31" s="31"/>
      <c r="T31" s="31">
        <f>N31-AVERAGE(AP$5:AP30)</f>
        <v>45.601794871794873</v>
      </c>
      <c r="U31" s="31">
        <f>O31-AVERAGE(AQ$5:AQ30)</f>
        <v>44.720705128205125</v>
      </c>
      <c r="V31" s="31">
        <f>P31-AVERAGE(AR$5:AR30)</f>
        <v>45.167051282051283</v>
      </c>
      <c r="W31" s="13">
        <f t="shared" ca="1" si="6"/>
        <v>11.161823174346607</v>
      </c>
      <c r="X31" s="6">
        <f t="shared" ca="1" si="7"/>
        <v>10.121389703480983</v>
      </c>
      <c r="Y31" s="6">
        <f t="shared" ca="1" si="8"/>
        <v>8.5824634843380565</v>
      </c>
      <c r="Z31" s="6">
        <f t="shared" ca="1" si="9"/>
        <v>44.637120747632196</v>
      </c>
      <c r="AA31" s="6">
        <f t="shared" ca="1" si="10"/>
        <v>43.961891662473171</v>
      </c>
      <c r="AB31" s="2">
        <f t="shared" ca="1" si="11"/>
        <v>44.814346037486438</v>
      </c>
      <c r="AC31" s="2">
        <f>'Historical Trends'!E103</f>
        <v>45.22</v>
      </c>
      <c r="AE31" s="13">
        <f t="shared" ca="1" si="15"/>
        <v>-15.887559241706157</v>
      </c>
      <c r="AF31">
        <f t="shared" ca="1" si="16"/>
        <v>-8.8799999999999955</v>
      </c>
      <c r="AG31">
        <f t="shared" ca="1" si="17"/>
        <v>-9.4699999999999989</v>
      </c>
      <c r="AH31">
        <f t="shared" ca="1" si="18"/>
        <v>-11.263333333333328</v>
      </c>
      <c r="AI31">
        <f t="shared" ca="1" si="19"/>
        <v>-9.7299999999999969</v>
      </c>
      <c r="AJ31">
        <f t="shared" ca="1" si="20"/>
        <v>-7.1899999999999977</v>
      </c>
      <c r="AK31">
        <f t="shared" ca="1" si="21"/>
        <v>-5.8149999999999977</v>
      </c>
      <c r="AL31">
        <f t="shared" ca="1" si="22"/>
        <v>-5.6071428571428541</v>
      </c>
      <c r="AP31">
        <f>N31-$AC31</f>
        <v>0.28000000000000114</v>
      </c>
      <c r="AQ31">
        <f>O31-$AC31</f>
        <v>-0.21999999999999886</v>
      </c>
      <c r="AR31">
        <f>P31-$AC31</f>
        <v>0.11333333333333684</v>
      </c>
      <c r="AS31" s="30"/>
      <c r="AV31">
        <f>T31-$AC31</f>
        <v>0.38179487179487381</v>
      </c>
      <c r="AW31">
        <f>U31-$AC31</f>
        <v>-0.49929487179487353</v>
      </c>
      <c r="AX31">
        <f>V31-$AC31</f>
        <v>-5.2948717948716251E-2</v>
      </c>
      <c r="BB31" s="6">
        <f ca="1">Z31-$AC31</f>
        <v>-0.58287925236780325</v>
      </c>
      <c r="BC31" s="6">
        <f ca="1">AA31-$AC31</f>
        <v>-1.2581083375268278</v>
      </c>
      <c r="BD31" s="2">
        <f ca="1">AB31-$AC31</f>
        <v>-0.40565396251356134</v>
      </c>
      <c r="BP31">
        <f t="shared" si="50"/>
        <v>10</v>
      </c>
      <c r="BQ31">
        <f t="shared" si="47"/>
        <v>2.3025850929940459</v>
      </c>
      <c r="BR31">
        <f t="shared" si="48"/>
        <v>0.89231280613779884</v>
      </c>
      <c r="BS31">
        <f t="shared" si="49"/>
        <v>0.4058546225073032</v>
      </c>
      <c r="BU31">
        <f t="shared" si="51"/>
        <v>0.89999999999999991</v>
      </c>
      <c r="BV31">
        <f t="shared" si="46"/>
        <v>0.93145290858669028</v>
      </c>
    </row>
    <row r="32" spans="1:74" x14ac:dyDescent="0.25">
      <c r="BP32">
        <f>BP31+5</f>
        <v>15</v>
      </c>
      <c r="BQ32">
        <f t="shared" si="47"/>
        <v>2.7080502011022101</v>
      </c>
      <c r="BR32">
        <f t="shared" si="48"/>
        <v>0.879848893553969</v>
      </c>
      <c r="BS32">
        <f t="shared" si="49"/>
        <v>0.4838185582782154</v>
      </c>
      <c r="BU32">
        <f t="shared" si="51"/>
        <v>0.99999999999999989</v>
      </c>
      <c r="BV32">
        <f t="shared" si="46"/>
        <v>0.92921813692128241</v>
      </c>
    </row>
    <row r="33" spans="17:74" x14ac:dyDescent="0.25">
      <c r="Q33" s="32"/>
      <c r="BP33">
        <f t="shared" ref="BP33:BP39" si="55">BP32+5</f>
        <v>20</v>
      </c>
      <c r="BQ33">
        <f t="shared" si="47"/>
        <v>2.9957322735539909</v>
      </c>
      <c r="BR33">
        <f t="shared" si="48"/>
        <v>0.86984999035138133</v>
      </c>
      <c r="BS33">
        <f t="shared" si="49"/>
        <v>0.53956842999097721</v>
      </c>
      <c r="BU33">
        <f t="shared" si="51"/>
        <v>1.0999999999999999</v>
      </c>
      <c r="BV33">
        <f t="shared" si="46"/>
        <v>0.92694933727198903</v>
      </c>
    </row>
    <row r="34" spans="17:74" x14ac:dyDescent="0.25">
      <c r="BP34">
        <f t="shared" si="55"/>
        <v>25</v>
      </c>
      <c r="BQ34">
        <f t="shared" si="47"/>
        <v>3.2188758248682006</v>
      </c>
      <c r="BR34">
        <f t="shared" si="48"/>
        <v>0.86131452190275737</v>
      </c>
      <c r="BS34">
        <f t="shared" si="49"/>
        <v>0.5828049378614828</v>
      </c>
      <c r="BU34">
        <f t="shared" si="51"/>
        <v>1.2</v>
      </c>
      <c r="BV34">
        <f t="shared" si="46"/>
        <v>0.92464572648041909</v>
      </c>
    </row>
    <row r="35" spans="17:74" x14ac:dyDescent="0.25">
      <c r="BP35">
        <f t="shared" si="55"/>
        <v>30</v>
      </c>
      <c r="BQ35">
        <f t="shared" si="47"/>
        <v>3.4011973816621555</v>
      </c>
      <c r="BR35">
        <f t="shared" si="48"/>
        <v>0.85376331210823564</v>
      </c>
      <c r="BS35">
        <f t="shared" si="49"/>
        <v>0.61797098580623311</v>
      </c>
      <c r="BU35">
        <f t="shared" si="51"/>
        <v>1.3</v>
      </c>
      <c r="BV35">
        <f t="shared" si="46"/>
        <v>0.92230649716973123</v>
      </c>
    </row>
    <row r="36" spans="17:74" x14ac:dyDescent="0.25">
      <c r="BP36">
        <f t="shared" si="55"/>
        <v>35</v>
      </c>
      <c r="BQ36">
        <f t="shared" si="47"/>
        <v>3.5553480614894135</v>
      </c>
      <c r="BR36">
        <f t="shared" si="48"/>
        <v>0.84692609437819422</v>
      </c>
      <c r="BS36">
        <f t="shared" si="49"/>
        <v>0.64748580981932835</v>
      </c>
      <c r="BU36">
        <f t="shared" si="51"/>
        <v>1.4000000000000001</v>
      </c>
      <c r="BV36">
        <f t="shared" si="46"/>
        <v>0.91993081680117261</v>
      </c>
    </row>
    <row r="37" spans="17:74" x14ac:dyDescent="0.25">
      <c r="BP37">
        <f t="shared" si="55"/>
        <v>40</v>
      </c>
      <c r="BQ37">
        <f t="shared" si="47"/>
        <v>3.6888794541139363</v>
      </c>
      <c r="BR37">
        <f t="shared" si="48"/>
        <v>0.84063391913611418</v>
      </c>
      <c r="BS37">
        <f t="shared" si="49"/>
        <v>0.67281712840632812</v>
      </c>
      <c r="BU37">
        <f t="shared" si="51"/>
        <v>1.5000000000000002</v>
      </c>
      <c r="BV37">
        <f t="shared" si="46"/>
        <v>0.91751782668616855</v>
      </c>
    </row>
    <row r="38" spans="17:74" x14ac:dyDescent="0.25">
      <c r="BE38" t="s">
        <v>216</v>
      </c>
      <c r="BG38">
        <f>Q4</f>
        <v>0.12739130434782578</v>
      </c>
      <c r="BH38">
        <f>R4</f>
        <v>0.23586666666666659</v>
      </c>
      <c r="BI38">
        <f>S4</f>
        <v>0.50435897435897437</v>
      </c>
      <c r="BJ38">
        <f>T4</f>
        <v>-8.7654320987654077E-2</v>
      </c>
      <c r="BK38">
        <f>U4</f>
        <v>0.26080246913580252</v>
      </c>
      <c r="BL38">
        <f>AVERAGE(BK38,BM38)</f>
        <v>0.48877170564585321</v>
      </c>
      <c r="BM38">
        <f>W4</f>
        <v>0.71674094215590389</v>
      </c>
      <c r="BP38">
        <f t="shared" si="55"/>
        <v>45</v>
      </c>
      <c r="BQ38">
        <f t="shared" si="47"/>
        <v>3.8066624897703196</v>
      </c>
      <c r="BR38">
        <f t="shared" si="48"/>
        <v>0.8347734080477065</v>
      </c>
      <c r="BS38">
        <f t="shared" si="49"/>
        <v>0.6949243646841885</v>
      </c>
      <c r="BU38">
        <f t="shared" si="51"/>
        <v>1.6000000000000003</v>
      </c>
      <c r="BV38">
        <f t="shared" si="46"/>
        <v>0.91506664095149681</v>
      </c>
    </row>
    <row r="39" spans="17:74" x14ac:dyDescent="0.25">
      <c r="BP39">
        <f t="shared" si="55"/>
        <v>50</v>
      </c>
      <c r="BQ39">
        <f t="shared" si="47"/>
        <v>3.912023005428146</v>
      </c>
      <c r="BR39">
        <f t="shared" si="48"/>
        <v>0.82926440807702773</v>
      </c>
      <c r="BS39">
        <f t="shared" si="49"/>
        <v>0.71447001455916515</v>
      </c>
      <c r="BU39">
        <f t="shared" si="51"/>
        <v>1.7000000000000004</v>
      </c>
      <c r="BV39">
        <f t="shared" si="46"/>
        <v>0.91257634545493072</v>
      </c>
    </row>
    <row r="40" spans="17:74" x14ac:dyDescent="0.25">
      <c r="BP40">
        <f>BP39+10</f>
        <v>60</v>
      </c>
      <c r="BQ40">
        <f t="shared" si="47"/>
        <v>4.0943445622221004</v>
      </c>
      <c r="BR40">
        <f t="shared" si="48"/>
        <v>0.81907923870333688</v>
      </c>
      <c r="BS40">
        <f t="shared" si="49"/>
        <v>0.74766316959566648</v>
      </c>
      <c r="BU40">
        <f t="shared" si="51"/>
        <v>1.8000000000000005</v>
      </c>
      <c r="BV40">
        <f t="shared" si="46"/>
        <v>0.91004599664855879</v>
      </c>
    </row>
    <row r="41" spans="17:74" x14ac:dyDescent="0.25">
      <c r="BP41">
        <f t="shared" ref="BP41:BP54" si="56">BP40+10</f>
        <v>70</v>
      </c>
      <c r="BQ41">
        <f t="shared" si="47"/>
        <v>4.2484952420493594</v>
      </c>
      <c r="BR41">
        <f t="shared" si="48"/>
        <v>0.80975263189700109</v>
      </c>
      <c r="BS41">
        <f t="shared" si="49"/>
        <v>0.77496755104351545</v>
      </c>
      <c r="BU41">
        <f t="shared" si="51"/>
        <v>1.9000000000000006</v>
      </c>
      <c r="BV41">
        <f t="shared" si="46"/>
        <v>0.90747462038681503</v>
      </c>
    </row>
    <row r="42" spans="17:74" x14ac:dyDescent="0.25">
      <c r="BP42">
        <f t="shared" si="56"/>
        <v>80</v>
      </c>
      <c r="BQ42">
        <f t="shared" si="47"/>
        <v>4.3820266346738812</v>
      </c>
      <c r="BR42">
        <f t="shared" si="48"/>
        <v>0.80108034151045548</v>
      </c>
      <c r="BS42">
        <f t="shared" si="49"/>
        <v>0.79793913541597239</v>
      </c>
      <c r="BU42">
        <f t="shared" si="51"/>
        <v>2.0000000000000004</v>
      </c>
      <c r="BV42">
        <f t="shared" si="46"/>
        <v>0.9048612106760533</v>
      </c>
    </row>
    <row r="43" spans="17:74" x14ac:dyDescent="0.25">
      <c r="BP43">
        <f t="shared" si="56"/>
        <v>90</v>
      </c>
      <c r="BQ43">
        <f t="shared" si="47"/>
        <v>4.499809670330265</v>
      </c>
      <c r="BR43">
        <f t="shared" si="48"/>
        <v>0.79292496189577877</v>
      </c>
      <c r="BS43">
        <f t="shared" si="49"/>
        <v>0.81759263741514543</v>
      </c>
      <c r="BU43">
        <f t="shared" si="51"/>
        <v>2.1000000000000005</v>
      </c>
      <c r="BV43">
        <f t="shared" si="46"/>
        <v>0.90220472836229715</v>
      </c>
    </row>
    <row r="44" spans="17:74" x14ac:dyDescent="0.25">
      <c r="BP44">
        <f t="shared" si="56"/>
        <v>100</v>
      </c>
      <c r="BQ44">
        <f t="shared" si="47"/>
        <v>4.6051701859880918</v>
      </c>
      <c r="BR44">
        <f t="shared" si="48"/>
        <v>0.78518914172563514</v>
      </c>
      <c r="BS44">
        <f t="shared" si="49"/>
        <v>0.83462711013196844</v>
      </c>
      <c r="BU44">
        <f t="shared" si="51"/>
        <v>2.2000000000000006</v>
      </c>
      <c r="BV44">
        <f t="shared" si="46"/>
        <v>0.8995040997535666</v>
      </c>
    </row>
    <row r="45" spans="17:74" x14ac:dyDescent="0.25">
      <c r="BP45">
        <f t="shared" si="56"/>
        <v>110</v>
      </c>
      <c r="BQ45">
        <f t="shared" si="47"/>
        <v>4.7004803657924166</v>
      </c>
      <c r="BR45">
        <f t="shared" si="48"/>
        <v>0.77780111311839573</v>
      </c>
      <c r="BS45">
        <f t="shared" si="49"/>
        <v>0.84954484676076014</v>
      </c>
      <c r="BU45">
        <f t="shared" si="51"/>
        <v>2.3000000000000007</v>
      </c>
      <c r="BV45">
        <f t="shared" si="46"/>
        <v>0.89675821517294518</v>
      </c>
    </row>
    <row r="46" spans="17:74" x14ac:dyDescent="0.25">
      <c r="BP46">
        <f t="shared" si="56"/>
        <v>120</v>
      </c>
      <c r="BQ46">
        <f t="shared" si="47"/>
        <v>4.7874917427820458</v>
      </c>
      <c r="BR46">
        <f t="shared" si="48"/>
        <v>0.77070627637324507</v>
      </c>
      <c r="BS46">
        <f t="shared" si="49"/>
        <v>0.86271900397276902</v>
      </c>
      <c r="BU46">
        <f t="shared" si="51"/>
        <v>2.4000000000000008</v>
      </c>
      <c r="BV46">
        <f t="shared" si="46"/>
        <v>0.89396592743829206</v>
      </c>
    </row>
    <row r="47" spans="17:74" x14ac:dyDescent="0.25">
      <c r="BP47">
        <f t="shared" si="56"/>
        <v>130</v>
      </c>
      <c r="BQ47">
        <f t="shared" si="47"/>
        <v>4.8675344504555822</v>
      </c>
      <c r="BR47">
        <f t="shared" si="48"/>
        <v>0.76386201641897999</v>
      </c>
      <c r="BS47">
        <f t="shared" si="49"/>
        <v>0.87443441809294398</v>
      </c>
      <c r="BU47">
        <f t="shared" si="51"/>
        <v>2.5000000000000009</v>
      </c>
      <c r="BV47">
        <f t="shared" si="46"/>
        <v>0.89112605026422187</v>
      </c>
    </row>
    <row r="48" spans="17:74" x14ac:dyDescent="0.25">
      <c r="BP48">
        <f t="shared" si="56"/>
        <v>140</v>
      </c>
      <c r="BQ48">
        <f t="shared" si="47"/>
        <v>4.9416424226093039</v>
      </c>
      <c r="BR48">
        <f t="shared" si="48"/>
        <v>0.7572343586762027</v>
      </c>
      <c r="BS48">
        <f t="shared" si="49"/>
        <v>0.88491344827388807</v>
      </c>
      <c r="BU48">
        <f t="shared" si="51"/>
        <v>2.600000000000001</v>
      </c>
      <c r="BV48">
        <f t="shared" si="46"/>
        <v>0.88823735658167657</v>
      </c>
    </row>
    <row r="49" spans="68:74" x14ac:dyDescent="0.25">
      <c r="BP49">
        <f t="shared" si="56"/>
        <v>150</v>
      </c>
      <c r="BQ49">
        <f t="shared" si="47"/>
        <v>5.0106352940962555</v>
      </c>
      <c r="BR49">
        <f t="shared" si="48"/>
        <v>0.75079572787420124</v>
      </c>
      <c r="BS49">
        <f t="shared" si="49"/>
        <v>0.89433299656138121</v>
      </c>
      <c r="BU49">
        <f t="shared" si="51"/>
        <v>2.7000000000000011</v>
      </c>
      <c r="BV49">
        <f t="shared" si="46"/>
        <v>0.88529857677008805</v>
      </c>
    </row>
    <row r="50" spans="68:74" x14ac:dyDescent="0.25">
      <c r="BP50">
        <f t="shared" si="56"/>
        <v>160</v>
      </c>
      <c r="BQ50">
        <f t="shared" si="47"/>
        <v>5.0751738152338266</v>
      </c>
      <c r="BR50">
        <f t="shared" si="48"/>
        <v>0.74452339735186701</v>
      </c>
      <c r="BS50">
        <f t="shared" si="49"/>
        <v>0.90283609332738779</v>
      </c>
      <c r="BU50">
        <f t="shared" si="51"/>
        <v>2.8000000000000012</v>
      </c>
      <c r="BV50">
        <f t="shared" si="46"/>
        <v>0.88230839679678086</v>
      </c>
    </row>
    <row r="51" spans="68:74" x14ac:dyDescent="0.25">
      <c r="BP51">
        <f t="shared" si="56"/>
        <v>170</v>
      </c>
      <c r="BQ51">
        <f t="shared" si="47"/>
        <v>5.1357984370502621</v>
      </c>
      <c r="BR51">
        <f t="shared" si="48"/>
        <v>0.73839838659247792</v>
      </c>
      <c r="BS51">
        <f t="shared" si="49"/>
        <v>0.91054000803782009</v>
      </c>
      <c r="BU51">
        <f t="shared" si="51"/>
        <v>2.9000000000000012</v>
      </c>
      <c r="BV51">
        <f t="shared" si="46"/>
        <v>0.87926545625788533</v>
      </c>
    </row>
    <row r="52" spans="68:74" x14ac:dyDescent="0.25">
      <c r="BP52">
        <f t="shared" si="56"/>
        <v>180</v>
      </c>
      <c r="BQ52">
        <f t="shared" si="47"/>
        <v>5.1929568508902104</v>
      </c>
      <c r="BR52">
        <f t="shared" si="48"/>
        <v>0.73240465888899264</v>
      </c>
      <c r="BS52">
        <f t="shared" si="49"/>
        <v>0.91754206657603909</v>
      </c>
      <c r="BU52">
        <f t="shared" si="51"/>
        <v>3.0000000000000013</v>
      </c>
      <c r="BV52">
        <f t="shared" si="46"/>
        <v>0.87616834631462781</v>
      </c>
    </row>
    <row r="53" spans="68:74" x14ac:dyDescent="0.25">
      <c r="BP53">
        <f t="shared" si="56"/>
        <v>190</v>
      </c>
      <c r="BQ53">
        <f t="shared" si="47"/>
        <v>5.2470240721604862</v>
      </c>
      <c r="BR53">
        <f t="shared" si="48"/>
        <v>0.72652852542636714</v>
      </c>
      <c r="BS53">
        <f t="shared" si="49"/>
        <v>0.92392391251925343</v>
      </c>
      <c r="BU53">
        <f t="shared" si="51"/>
        <v>3.1000000000000014</v>
      </c>
      <c r="BV53">
        <f t="shared" si="46"/>
        <v>0.87301560751841689</v>
      </c>
    </row>
    <row r="54" spans="68:74" x14ac:dyDescent="0.25">
      <c r="BP54">
        <f t="shared" si="56"/>
        <v>200</v>
      </c>
      <c r="BQ54">
        <f t="shared" si="47"/>
        <v>5.2983173665480363</v>
      </c>
      <c r="BR54">
        <f t="shared" si="48"/>
        <v>0.72075819468806512</v>
      </c>
      <c r="BS54">
        <f t="shared" si="49"/>
        <v>0.92975468696968566</v>
      </c>
      <c r="BU54">
        <f t="shared" si="51"/>
        <v>3.2000000000000015</v>
      </c>
      <c r="BV54">
        <f t="shared" ref="BV54:BV85" si="57">MAX(0,($BG$16+1/($BG$17*$BG$18))-1/(($BG$17-BU54) * $BG$18))</f>
        <v>0.86980572751767338</v>
      </c>
    </row>
    <row r="55" spans="68:74" x14ac:dyDescent="0.25">
      <c r="BP55">
        <f>BP54+50</f>
        <v>250</v>
      </c>
      <c r="BQ55">
        <f t="shared" si="47"/>
        <v>5.521460917862246</v>
      </c>
      <c r="BR55">
        <f t="shared" si="48"/>
        <v>0.69317584095074125</v>
      </c>
      <c r="BS55">
        <f t="shared" si="49"/>
        <v>0.95244943915188174</v>
      </c>
      <c r="BU55">
        <f t="shared" si="51"/>
        <v>3.3000000000000016</v>
      </c>
      <c r="BV55">
        <f t="shared" si="57"/>
        <v>0.86653713863883441</v>
      </c>
    </row>
    <row r="56" spans="68:74" x14ac:dyDescent="0.25">
      <c r="BP56">
        <f t="shared" ref="BP56:BP70" si="58">BP55+50</f>
        <v>300</v>
      </c>
      <c r="BQ56">
        <f t="shared" si="47"/>
        <v>5.7037824746562009</v>
      </c>
      <c r="BR56">
        <f t="shared" si="48"/>
        <v>0.66711978373630698</v>
      </c>
      <c r="BS56">
        <f t="shared" si="49"/>
        <v>0.96758398203144513</v>
      </c>
      <c r="BU56">
        <f t="shared" si="51"/>
        <v>3.4000000000000017</v>
      </c>
      <c r="BV56">
        <f t="shared" si="57"/>
        <v>0.86320821533340175</v>
      </c>
    </row>
    <row r="57" spans="68:74" x14ac:dyDescent="0.25">
      <c r="BP57">
        <f t="shared" si="58"/>
        <v>350</v>
      </c>
      <c r="BQ57">
        <f t="shared" si="47"/>
        <v>5.857933154483459</v>
      </c>
      <c r="BR57">
        <f t="shared" si="48"/>
        <v>0.64205435800763322</v>
      </c>
      <c r="BS57">
        <f t="shared" si="49"/>
        <v>0.97789759943806631</v>
      </c>
      <c r="BU57">
        <f t="shared" si="51"/>
        <v>3.5000000000000018</v>
      </c>
      <c r="BV57">
        <f t="shared" si="57"/>
        <v>0.85981727148229892</v>
      </c>
    </row>
    <row r="58" spans="68:74" x14ac:dyDescent="0.25">
      <c r="BP58">
        <f t="shared" si="58"/>
        <v>400</v>
      </c>
      <c r="BQ58">
        <f t="shared" si="47"/>
        <v>5.9914645471079817</v>
      </c>
      <c r="BR58">
        <f t="shared" si="48"/>
        <v>0.61763593864421518</v>
      </c>
      <c r="BS58">
        <f t="shared" si="49"/>
        <v>0.9850015268695701</v>
      </c>
      <c r="BU58">
        <f t="shared" si="51"/>
        <v>3.6000000000000019</v>
      </c>
      <c r="BV58">
        <f t="shared" si="57"/>
        <v>0.85636255754814528</v>
      </c>
    </row>
    <row r="59" spans="68:74" x14ac:dyDescent="0.25">
      <c r="BP59">
        <f t="shared" si="58"/>
        <v>450</v>
      </c>
      <c r="BQ59">
        <f t="shared" si="47"/>
        <v>6.1092475827643655</v>
      </c>
      <c r="BR59">
        <f t="shared" si="48"/>
        <v>0.59362654672186865</v>
      </c>
      <c r="BS59">
        <f t="shared" si="49"/>
        <v>0.9899108493790626</v>
      </c>
      <c r="BU59">
        <f t="shared" si="51"/>
        <v>3.700000000000002</v>
      </c>
      <c r="BV59">
        <f t="shared" si="57"/>
        <v>0.85284225756534315</v>
      </c>
    </row>
    <row r="60" spans="68:74" x14ac:dyDescent="0.25">
      <c r="BP60">
        <f t="shared" si="58"/>
        <v>500</v>
      </c>
      <c r="BQ60">
        <f t="shared" si="47"/>
        <v>6.2146080984221914</v>
      </c>
      <c r="BR60">
        <f t="shared" si="48"/>
        <v>0.569851292413324</v>
      </c>
      <c r="BS60">
        <f t="shared" si="49"/>
        <v>0.99329595624928546</v>
      </c>
      <c r="BU60">
        <f t="shared" si="51"/>
        <v>3.800000000000002</v>
      </c>
      <c r="BV60">
        <f t="shared" si="57"/>
        <v>0.84925448595709652</v>
      </c>
    </row>
    <row r="61" spans="68:74" x14ac:dyDescent="0.25">
      <c r="BP61">
        <f t="shared" si="58"/>
        <v>550</v>
      </c>
      <c r="BQ61">
        <f t="shared" si="47"/>
        <v>6.3099182782265162</v>
      </c>
      <c r="BR61">
        <f t="shared" si="48"/>
        <v>0.54617525808218648</v>
      </c>
      <c r="BS61">
        <f t="shared" si="49"/>
        <v>0.99561427203877517</v>
      </c>
      <c r="BU61">
        <f t="shared" si="51"/>
        <v>3.9000000000000021</v>
      </c>
      <c r="BV61">
        <f t="shared" si="57"/>
        <v>0.84559728416763902</v>
      </c>
    </row>
    <row r="62" spans="68:74" x14ac:dyDescent="0.25">
      <c r="BP62">
        <f t="shared" si="58"/>
        <v>600</v>
      </c>
      <c r="BQ62">
        <f t="shared" si="47"/>
        <v>6.3969296552161463</v>
      </c>
      <c r="BR62">
        <f t="shared" si="48"/>
        <v>0.52248997636488048</v>
      </c>
      <c r="BS62">
        <f t="shared" si="49"/>
        <v>0.99718485288033465</v>
      </c>
      <c r="BU62">
        <f t="shared" si="51"/>
        <v>4.0000000000000018</v>
      </c>
      <c r="BV62">
        <f t="shared" si="57"/>
        <v>0.84186861709703387</v>
      </c>
    </row>
    <row r="63" spans="68:74" x14ac:dyDescent="0.25">
      <c r="BP63">
        <f t="shared" si="58"/>
        <v>650</v>
      </c>
      <c r="BQ63">
        <f t="shared" si="47"/>
        <v>6.4769723628896827</v>
      </c>
      <c r="BR63">
        <f t="shared" si="48"/>
        <v>0.49870504279401651</v>
      </c>
      <c r="BS63">
        <f t="shared" si="49"/>
        <v>0.99823331524566505</v>
      </c>
      <c r="BU63">
        <f t="shared" si="51"/>
        <v>4.1000000000000014</v>
      </c>
      <c r="BV63">
        <f t="shared" si="57"/>
        <v>0.83806636932490886</v>
      </c>
    </row>
    <row r="64" spans="68:74" x14ac:dyDescent="0.25">
      <c r="BP64">
        <f t="shared" si="58"/>
        <v>700</v>
      </c>
      <c r="BQ64">
        <f t="shared" si="47"/>
        <v>6.5510803350434044</v>
      </c>
      <c r="BR64">
        <f t="shared" si="48"/>
        <v>0.4747426555796147</v>
      </c>
      <c r="BS64">
        <f t="shared" si="49"/>
        <v>0.99892029773640656</v>
      </c>
      <c r="BU64">
        <f t="shared" si="51"/>
        <v>4.2000000000000011</v>
      </c>
      <c r="BV64">
        <f t="shared" si="57"/>
        <v>0.83418834110840412</v>
      </c>
    </row>
    <row r="65" spans="68:74" x14ac:dyDescent="0.25">
      <c r="BP65">
        <f t="shared" si="58"/>
        <v>750</v>
      </c>
      <c r="BQ65">
        <f t="shared" si="47"/>
        <v>6.620073206530356</v>
      </c>
      <c r="BR65">
        <f t="shared" si="48"/>
        <v>0.45053391098406859</v>
      </c>
      <c r="BS65">
        <f t="shared" si="49"/>
        <v>0.99936027059099286</v>
      </c>
      <c r="BU65">
        <f t="shared" si="51"/>
        <v>4.3000000000000007</v>
      </c>
      <c r="BV65">
        <f t="shared" si="57"/>
        <v>0.83023224413842289</v>
      </c>
    </row>
    <row r="66" spans="68:74" x14ac:dyDescent="0.25">
      <c r="BP66">
        <f t="shared" si="58"/>
        <v>800</v>
      </c>
      <c r="BQ66">
        <f t="shared" si="47"/>
        <v>6.6846117276679271</v>
      </c>
      <c r="BR66">
        <f t="shared" si="48"/>
        <v>0.42601619595390805</v>
      </c>
      <c r="BS66">
        <f t="shared" si="49"/>
        <v>0.99963441988520285</v>
      </c>
      <c r="BU66">
        <f t="shared" si="51"/>
        <v>4.4000000000000004</v>
      </c>
      <c r="BV66">
        <f t="shared" si="57"/>
        <v>0.82619569703698281</v>
      </c>
    </row>
    <row r="67" spans="68:74" x14ac:dyDescent="0.25">
      <c r="BP67">
        <f t="shared" si="58"/>
        <v>850</v>
      </c>
      <c r="BQ67">
        <f t="shared" si="47"/>
        <v>6.7452363494843626</v>
      </c>
      <c r="BR67">
        <f t="shared" si="48"/>
        <v>0.4011312899840046</v>
      </c>
      <c r="BS67">
        <f t="shared" si="49"/>
        <v>0.99979974338743116</v>
      </c>
      <c r="BU67">
        <f t="shared" si="51"/>
        <v>4.5</v>
      </c>
      <c r="BV67">
        <f t="shared" si="57"/>
        <v>0.82207622057705199</v>
      </c>
    </row>
    <row r="68" spans="68:74" x14ac:dyDescent="0.25">
      <c r="BP68">
        <f t="shared" si="58"/>
        <v>900</v>
      </c>
      <c r="BQ68">
        <f t="shared" si="47"/>
        <v>6.8023947633243109</v>
      </c>
      <c r="BR68">
        <f t="shared" si="48"/>
        <v>0.37582393798420943</v>
      </c>
      <c r="BS68">
        <f t="shared" si="49"/>
        <v>0.99989563236245727</v>
      </c>
      <c r="BU68">
        <f t="shared" si="51"/>
        <v>4.5999999999999996</v>
      </c>
      <c r="BV68">
        <f t="shared" si="57"/>
        <v>0.81787123260470762</v>
      </c>
    </row>
    <row r="69" spans="68:74" x14ac:dyDescent="0.25">
      <c r="BP69">
        <f t="shared" si="58"/>
        <v>950</v>
      </c>
      <c r="BQ69">
        <f t="shared" si="47"/>
        <v>6.8564619845945867</v>
      </c>
      <c r="BR69">
        <f t="shared" si="48"/>
        <v>0.35004074256376294</v>
      </c>
      <c r="BS69">
        <f t="shared" si="49"/>
        <v>0.9999487247922485</v>
      </c>
      <c r="BU69">
        <f t="shared" si="51"/>
        <v>4.6999999999999993</v>
      </c>
      <c r="BV69">
        <f t="shared" si="57"/>
        <v>0.81357804264176137</v>
      </c>
    </row>
    <row r="70" spans="68:74" x14ac:dyDescent="0.25">
      <c r="BP70">
        <f t="shared" si="58"/>
        <v>1000</v>
      </c>
      <c r="BQ70">
        <f t="shared" si="47"/>
        <v>6.9077552789821368</v>
      </c>
      <c r="BR70">
        <f t="shared" si="48"/>
        <v>0.32372927612893865</v>
      </c>
      <c r="BS70">
        <f t="shared" si="49"/>
        <v>0.99997652847943408</v>
      </c>
      <c r="BU70">
        <f t="shared" si="51"/>
        <v>4.7999999999999989</v>
      </c>
      <c r="BV70">
        <f t="shared" si="57"/>
        <v>0.80919384614514756</v>
      </c>
    </row>
    <row r="71" spans="68:74" x14ac:dyDescent="0.25">
      <c r="BP71">
        <f>BP70+100</f>
        <v>1100</v>
      </c>
      <c r="BQ71">
        <f t="shared" si="47"/>
        <v>7.0030654587864616</v>
      </c>
      <c r="BR71">
        <f t="shared" si="48"/>
        <v>0.26931236104985612</v>
      </c>
      <c r="BS71">
        <f t="shared" si="49"/>
        <v>0.99999627364404764</v>
      </c>
      <c r="BU71">
        <f t="shared" si="51"/>
        <v>4.8999999999999986</v>
      </c>
      <c r="BV71">
        <f t="shared" si="57"/>
        <v>0.80471571839733258</v>
      </c>
    </row>
    <row r="72" spans="68:74" x14ac:dyDescent="0.25">
      <c r="BP72">
        <f t="shared" ref="BP72:BP121" si="59">BP71+100</f>
        <v>1200</v>
      </c>
      <c r="BQ72">
        <f t="shared" si="47"/>
        <v>7.0900768357760917</v>
      </c>
      <c r="BR72">
        <f t="shared" si="48"/>
        <v>0.21214759125512084</v>
      </c>
      <c r="BS72">
        <f t="shared" si="49"/>
        <v>0.99999965715129369</v>
      </c>
      <c r="BU72">
        <f t="shared" si="51"/>
        <v>4.9999999999999982</v>
      </c>
      <c r="BV72">
        <f t="shared" si="57"/>
        <v>0.80014060799978148</v>
      </c>
    </row>
    <row r="73" spans="68:74" x14ac:dyDescent="0.25">
      <c r="BP73">
        <f t="shared" si="59"/>
        <v>1300</v>
      </c>
      <c r="BQ73">
        <f t="shared" si="47"/>
        <v>7.1701195434496281</v>
      </c>
      <c r="BR73">
        <f t="shared" si="48"/>
        <v>0.15178612941977676</v>
      </c>
      <c r="BS73">
        <f t="shared" si="49"/>
        <v>0.99999998794846601</v>
      </c>
      <c r="BU73">
        <f t="shared" si="51"/>
        <v>5.0999999999999979</v>
      </c>
      <c r="BV73">
        <f t="shared" si="57"/>
        <v>0.79546532993905772</v>
      </c>
    </row>
    <row r="74" spans="68:74" x14ac:dyDescent="0.25">
      <c r="BP74">
        <f t="shared" si="59"/>
        <v>1400</v>
      </c>
      <c r="BQ74">
        <f t="shared" si="47"/>
        <v>7.2442275156033498</v>
      </c>
      <c r="BR74">
        <f t="shared" si="48"/>
        <v>8.7740372980924741E-2</v>
      </c>
      <c r="BS74">
        <f t="shared" si="49"/>
        <v>0.9999999999497986</v>
      </c>
      <c r="BU74">
        <f t="shared" si="51"/>
        <v>5.1999999999999975</v>
      </c>
      <c r="BV74">
        <f t="shared" si="57"/>
        <v>0.79068655819245204</v>
      </c>
    </row>
    <row r="75" spans="68:74" x14ac:dyDescent="0.25">
      <c r="BP75">
        <f t="shared" si="59"/>
        <v>1500</v>
      </c>
      <c r="BQ75">
        <f t="shared" si="47"/>
        <v>7.3132203870903014</v>
      </c>
      <c r="BR75">
        <f t="shared" si="48"/>
        <v>1.9468474626479715E-2</v>
      </c>
      <c r="BS75">
        <f t="shared" si="49"/>
        <v>1</v>
      </c>
      <c r="BU75">
        <f t="shared" si="51"/>
        <v>5.2999999999999972</v>
      </c>
      <c r="BV75">
        <f t="shared" si="57"/>
        <v>0.78580081783706035</v>
      </c>
    </row>
    <row r="76" spans="68:74" x14ac:dyDescent="0.25">
      <c r="BP76">
        <f t="shared" si="59"/>
        <v>1600</v>
      </c>
      <c r="BQ76">
        <f t="shared" si="47"/>
        <v>7.3777589082278725</v>
      </c>
      <c r="BR76">
        <f t="shared" si="48"/>
        <v>0</v>
      </c>
      <c r="BS76">
        <f t="shared" si="49"/>
        <v>1</v>
      </c>
      <c r="BU76">
        <f t="shared" si="51"/>
        <v>5.3999999999999968</v>
      </c>
      <c r="BV76">
        <f t="shared" si="57"/>
        <v>0.78080447662297026</v>
      </c>
    </row>
    <row r="77" spans="68:74" x14ac:dyDescent="0.25">
      <c r="BP77">
        <f t="shared" si="59"/>
        <v>1700</v>
      </c>
      <c r="BQ77">
        <f t="shared" si="47"/>
        <v>7.4383835300443071</v>
      </c>
      <c r="BR77">
        <f t="shared" si="48"/>
        <v>0</v>
      </c>
      <c r="BS77">
        <f t="shared" si="49"/>
        <v>1</v>
      </c>
      <c r="BU77">
        <f t="shared" si="51"/>
        <v>5.4999999999999964</v>
      </c>
      <c r="BV77">
        <f t="shared" si="57"/>
        <v>0.77569373596761015</v>
      </c>
    </row>
    <row r="78" spans="68:74" x14ac:dyDescent="0.25">
      <c r="BP78">
        <f t="shared" si="59"/>
        <v>1800</v>
      </c>
      <c r="BQ78">
        <f t="shared" si="47"/>
        <v>7.4955419438842563</v>
      </c>
      <c r="BR78">
        <f t="shared" si="48"/>
        <v>0</v>
      </c>
      <c r="BS78">
        <f t="shared" si="49"/>
        <v>1</v>
      </c>
      <c r="BU78">
        <f t="shared" si="51"/>
        <v>5.5999999999999961</v>
      </c>
      <c r="BV78">
        <f t="shared" si="57"/>
        <v>0.77046462132433646</v>
      </c>
    </row>
    <row r="79" spans="68:74" x14ac:dyDescent="0.25">
      <c r="BP79">
        <f t="shared" si="59"/>
        <v>1900</v>
      </c>
      <c r="BQ79">
        <f t="shared" si="47"/>
        <v>7.5496091651545321</v>
      </c>
      <c r="BR79">
        <f t="shared" si="48"/>
        <v>0</v>
      </c>
      <c r="BS79">
        <f t="shared" si="49"/>
        <v>1</v>
      </c>
      <c r="BU79">
        <f t="shared" si="51"/>
        <v>5.6999999999999957</v>
      </c>
      <c r="BV79">
        <f t="shared" si="57"/>
        <v>0.76511297187393745</v>
      </c>
    </row>
    <row r="80" spans="68:74" x14ac:dyDescent="0.25">
      <c r="BP80">
        <f t="shared" si="59"/>
        <v>2000</v>
      </c>
      <c r="BQ80">
        <f t="shared" si="47"/>
        <v>7.6009024595420822</v>
      </c>
      <c r="BR80">
        <f t="shared" si="48"/>
        <v>0</v>
      </c>
      <c r="BS80">
        <f t="shared" si="49"/>
        <v>1</v>
      </c>
      <c r="BU80">
        <f t="shared" si="51"/>
        <v>5.7999999999999954</v>
      </c>
      <c r="BV80">
        <f t="shared" si="57"/>
        <v>0.75963442948286375</v>
      </c>
    </row>
    <row r="81" spans="68:74" x14ac:dyDescent="0.25">
      <c r="BP81">
        <f t="shared" si="59"/>
        <v>2100</v>
      </c>
      <c r="BQ81">
        <f t="shared" si="47"/>
        <v>7.6496926237115144</v>
      </c>
      <c r="BR81">
        <f t="shared" si="48"/>
        <v>0</v>
      </c>
      <c r="BS81">
        <f t="shared" si="49"/>
        <v>1</v>
      </c>
      <c r="BU81">
        <f t="shared" si="51"/>
        <v>5.899999999999995</v>
      </c>
      <c r="BV81">
        <f t="shared" si="57"/>
        <v>0.75402442686659887</v>
      </c>
    </row>
    <row r="82" spans="68:74" x14ac:dyDescent="0.25">
      <c r="BP82">
        <f t="shared" si="59"/>
        <v>2200</v>
      </c>
      <c r="BQ82">
        <f t="shared" si="47"/>
        <v>7.696212639346407</v>
      </c>
      <c r="BR82">
        <f t="shared" si="48"/>
        <v>0</v>
      </c>
      <c r="BS82">
        <f t="shared" si="49"/>
        <v>1</v>
      </c>
      <c r="BU82">
        <f t="shared" si="51"/>
        <v>5.9999999999999947</v>
      </c>
      <c r="BV82">
        <f t="shared" si="57"/>
        <v>0.74827817489060844</v>
      </c>
    </row>
    <row r="83" spans="68:74" x14ac:dyDescent="0.25">
      <c r="BP83">
        <f t="shared" si="59"/>
        <v>2300</v>
      </c>
      <c r="BQ83">
        <f t="shared" si="47"/>
        <v>7.7406644019172415</v>
      </c>
      <c r="BR83">
        <f t="shared" si="48"/>
        <v>0</v>
      </c>
      <c r="BS83">
        <f t="shared" si="49"/>
        <v>1</v>
      </c>
      <c r="BU83">
        <f t="shared" si="51"/>
        <v>6.0999999999999943</v>
      </c>
      <c r="BV83">
        <f t="shared" si="57"/>
        <v>0.74239064893465401</v>
      </c>
    </row>
    <row r="84" spans="68:74" x14ac:dyDescent="0.25">
      <c r="BP84">
        <f t="shared" si="59"/>
        <v>2400</v>
      </c>
      <c r="BQ84">
        <f t="shared" si="47"/>
        <v>7.7832240163360371</v>
      </c>
      <c r="BR84">
        <f t="shared" si="48"/>
        <v>0</v>
      </c>
      <c r="BS84">
        <f t="shared" si="49"/>
        <v>1</v>
      </c>
      <c r="BU84">
        <f t="shared" si="51"/>
        <v>6.199999999999994</v>
      </c>
      <c r="BV84">
        <f t="shared" si="57"/>
        <v>0.73635657423887324</v>
      </c>
    </row>
    <row r="85" spans="68:74" x14ac:dyDescent="0.25">
      <c r="BP85">
        <f t="shared" si="59"/>
        <v>2500</v>
      </c>
      <c r="BQ85">
        <f t="shared" si="47"/>
        <v>7.8240460108562919</v>
      </c>
      <c r="BR85">
        <f t="shared" si="48"/>
        <v>0</v>
      </c>
      <c r="BS85">
        <f t="shared" si="49"/>
        <v>1</v>
      </c>
      <c r="BU85">
        <f t="shared" si="51"/>
        <v>6.2999999999999936</v>
      </c>
      <c r="BV85">
        <f t="shared" si="57"/>
        <v>0.73017041014180006</v>
      </c>
    </row>
    <row r="86" spans="68:74" x14ac:dyDescent="0.25">
      <c r="BP86">
        <f t="shared" si="59"/>
        <v>2600</v>
      </c>
      <c r="BQ86">
        <f t="shared" si="47"/>
        <v>7.8632667240095735</v>
      </c>
      <c r="BR86">
        <f t="shared" si="48"/>
        <v>0</v>
      </c>
      <c r="BS86">
        <f t="shared" si="49"/>
        <v>1</v>
      </c>
      <c r="BU86">
        <f t="shared" si="51"/>
        <v>6.3999999999999932</v>
      </c>
      <c r="BV86">
        <f t="shared" ref="BV86:BV97" si="60">MAX(0,($BG$16+1/($BG$17*$BG$18))-1/(($BG$17-BU86) * $BG$18))</f>
        <v>0.72382633311132627</v>
      </c>
    </row>
    <row r="87" spans="68:74" x14ac:dyDescent="0.25">
      <c r="BP87">
        <f t="shared" si="59"/>
        <v>2700</v>
      </c>
      <c r="BQ87">
        <f t="shared" ref="BQ87:BQ121" si="61">LN(BP87)</f>
        <v>7.90100705199242</v>
      </c>
      <c r="BR87">
        <f t="shared" ref="BR87:BR121" si="62">MAX(0,(0.94+1/(8.3*0.97))-1/((8.3-MIN(8.2,BQ87)) * 0.97))</f>
        <v>0</v>
      </c>
      <c r="BS87">
        <f t="shared" ref="BS87:BS121" si="63">1-(BR87/0.94)^10</f>
        <v>1</v>
      </c>
      <c r="BU87">
        <f t="shared" si="51"/>
        <v>6.4999999999999929</v>
      </c>
      <c r="BV87">
        <f t="shared" si="60"/>
        <v>0.71731821845936727</v>
      </c>
    </row>
    <row r="88" spans="68:74" x14ac:dyDescent="0.25">
      <c r="BP88">
        <f t="shared" si="59"/>
        <v>2800</v>
      </c>
      <c r="BQ88">
        <f t="shared" si="61"/>
        <v>7.9373746961632952</v>
      </c>
      <c r="BR88">
        <f t="shared" si="62"/>
        <v>0</v>
      </c>
      <c r="BS88">
        <f t="shared" si="63"/>
        <v>1</v>
      </c>
      <c r="BU88">
        <f t="shared" ref="BU88:BU96" si="64">BU87+0.1</f>
        <v>6.5999999999999925</v>
      </c>
      <c r="BV88">
        <f t="shared" si="60"/>
        <v>0.71063962061954933</v>
      </c>
    </row>
    <row r="89" spans="68:74" x14ac:dyDescent="0.25">
      <c r="BP89">
        <f t="shared" si="59"/>
        <v>2900</v>
      </c>
      <c r="BQ89">
        <f t="shared" si="61"/>
        <v>7.9724660159745655</v>
      </c>
      <c r="BR89">
        <f t="shared" si="62"/>
        <v>0</v>
      </c>
      <c r="BS89">
        <f t="shared" si="63"/>
        <v>1</v>
      </c>
      <c r="BU89">
        <f t="shared" si="64"/>
        <v>6.6999999999999922</v>
      </c>
      <c r="BV89">
        <f t="shared" si="60"/>
        <v>0.70378375185441877</v>
      </c>
    </row>
    <row r="90" spans="68:74" x14ac:dyDescent="0.25">
      <c r="BP90">
        <f t="shared" si="59"/>
        <v>3000</v>
      </c>
      <c r="BQ90">
        <f t="shared" si="61"/>
        <v>8.0063675676502459</v>
      </c>
      <c r="BR90">
        <f t="shared" si="62"/>
        <v>0</v>
      </c>
      <c r="BS90">
        <f t="shared" si="63"/>
        <v>1</v>
      </c>
      <c r="BU90">
        <f t="shared" si="64"/>
        <v>6.7999999999999918</v>
      </c>
      <c r="BV90">
        <f t="shared" si="60"/>
        <v>0.69674345924431647</v>
      </c>
    </row>
    <row r="91" spans="68:74" x14ac:dyDescent="0.25">
      <c r="BP91">
        <f t="shared" si="59"/>
        <v>3100</v>
      </c>
      <c r="BQ91">
        <f t="shared" si="61"/>
        <v>8.0391573904732372</v>
      </c>
      <c r="BR91">
        <f t="shared" si="62"/>
        <v>0</v>
      </c>
      <c r="BS91">
        <f t="shared" si="63"/>
        <v>1</v>
      </c>
      <c r="BU91">
        <f t="shared" si="64"/>
        <v>6.8999999999999915</v>
      </c>
      <c r="BV91">
        <f t="shared" si="60"/>
        <v>0.68951119979392517</v>
      </c>
    </row>
    <row r="92" spans="68:74" x14ac:dyDescent="0.25">
      <c r="BP92">
        <f t="shared" si="59"/>
        <v>3200</v>
      </c>
      <c r="BQ92">
        <f t="shared" si="61"/>
        <v>8.0709060887878188</v>
      </c>
      <c r="BR92">
        <f t="shared" si="62"/>
        <v>0</v>
      </c>
      <c r="BS92">
        <f t="shared" si="63"/>
        <v>1</v>
      </c>
      <c r="BU92">
        <f t="shared" si="64"/>
        <v>6.9999999999999911</v>
      </c>
      <c r="BV92">
        <f t="shared" si="60"/>
        <v>0.68207901347437183</v>
      </c>
    </row>
    <row r="93" spans="68:74" x14ac:dyDescent="0.25">
      <c r="BP93">
        <f t="shared" si="59"/>
        <v>3300</v>
      </c>
      <c r="BQ93">
        <f t="shared" si="61"/>
        <v>8.1016777474545716</v>
      </c>
      <c r="BR93">
        <f t="shared" si="62"/>
        <v>0</v>
      </c>
      <c r="BS93">
        <f t="shared" si="63"/>
        <v>1</v>
      </c>
      <c r="BU93">
        <f t="shared" si="64"/>
        <v>7.0999999999999908</v>
      </c>
      <c r="BV93">
        <f t="shared" si="60"/>
        <v>0.6744384939983421</v>
      </c>
    </row>
    <row r="94" spans="68:74" x14ac:dyDescent="0.25">
      <c r="BP94">
        <f t="shared" si="59"/>
        <v>3400</v>
      </c>
      <c r="BQ94">
        <f t="shared" si="61"/>
        <v>8.1315307106042525</v>
      </c>
      <c r="BR94">
        <f t="shared" si="62"/>
        <v>0</v>
      </c>
      <c r="BS94">
        <f t="shared" si="63"/>
        <v>1</v>
      </c>
      <c r="BU94">
        <f t="shared" si="64"/>
        <v>7.1999999999999904</v>
      </c>
      <c r="BV94">
        <f t="shared" si="60"/>
        <v>0.66658075710263398</v>
      </c>
    </row>
    <row r="95" spans="68:74" x14ac:dyDescent="0.25">
      <c r="BP95">
        <f t="shared" si="59"/>
        <v>3500</v>
      </c>
      <c r="BQ95">
        <f t="shared" si="61"/>
        <v>8.1605182474775049</v>
      </c>
      <c r="BR95">
        <f t="shared" si="62"/>
        <v>0</v>
      </c>
      <c r="BS95">
        <f t="shared" si="63"/>
        <v>1</v>
      </c>
      <c r="BU95">
        <f t="shared" si="64"/>
        <v>7.2999999999999901</v>
      </c>
      <c r="BV95">
        <f t="shared" si="60"/>
        <v>0.65849640608655435</v>
      </c>
    </row>
    <row r="96" spans="68:74" x14ac:dyDescent="0.25">
      <c r="BP96">
        <f t="shared" si="59"/>
        <v>3600</v>
      </c>
      <c r="BQ96">
        <f t="shared" si="61"/>
        <v>8.1886891244442008</v>
      </c>
      <c r="BR96">
        <f t="shared" si="62"/>
        <v>0</v>
      </c>
      <c r="BS96">
        <f t="shared" si="63"/>
        <v>1</v>
      </c>
      <c r="BU96">
        <f t="shared" si="64"/>
        <v>7.3999999999999897</v>
      </c>
      <c r="BV96">
        <f t="shared" si="60"/>
        <v>0.65017549432511423</v>
      </c>
    </row>
    <row r="97" spans="68:74" x14ac:dyDescent="0.25">
      <c r="BP97">
        <f t="shared" si="59"/>
        <v>3700</v>
      </c>
      <c r="BQ97">
        <f t="shared" si="61"/>
        <v>8.2160880986323157</v>
      </c>
      <c r="BR97">
        <f t="shared" si="62"/>
        <v>0</v>
      </c>
      <c r="BS97">
        <f t="shared" si="63"/>
        <v>1</v>
      </c>
      <c r="BU97">
        <v>7.49</v>
      </c>
      <c r="BV97">
        <f t="shared" si="60"/>
        <v>0.64247571807368031</v>
      </c>
    </row>
    <row r="98" spans="68:74" x14ac:dyDescent="0.25">
      <c r="BP98">
        <f t="shared" si="59"/>
        <v>3800</v>
      </c>
      <c r="BQ98">
        <f t="shared" si="61"/>
        <v>8.2427563457144775</v>
      </c>
      <c r="BR98">
        <f t="shared" si="62"/>
        <v>0</v>
      </c>
      <c r="BS98">
        <f t="shared" si="63"/>
        <v>1</v>
      </c>
    </row>
    <row r="99" spans="68:74" x14ac:dyDescent="0.25">
      <c r="BP99">
        <f t="shared" si="59"/>
        <v>3900</v>
      </c>
      <c r="BQ99">
        <f t="shared" si="61"/>
        <v>8.2687318321177372</v>
      </c>
      <c r="BR99">
        <f t="shared" si="62"/>
        <v>0</v>
      </c>
      <c r="BS99">
        <f t="shared" si="63"/>
        <v>1</v>
      </c>
    </row>
    <row r="100" spans="68:74" x14ac:dyDescent="0.25">
      <c r="BP100">
        <f t="shared" si="59"/>
        <v>4000</v>
      </c>
      <c r="BQ100">
        <f t="shared" si="61"/>
        <v>8.2940496401020276</v>
      </c>
      <c r="BR100">
        <f t="shared" si="62"/>
        <v>0</v>
      </c>
      <c r="BS100">
        <f t="shared" si="63"/>
        <v>1</v>
      </c>
    </row>
    <row r="101" spans="68:74" x14ac:dyDescent="0.25">
      <c r="BP101">
        <f t="shared" si="59"/>
        <v>4100</v>
      </c>
      <c r="BQ101">
        <f t="shared" si="61"/>
        <v>8.3187422526923989</v>
      </c>
      <c r="BR101">
        <f t="shared" si="62"/>
        <v>0</v>
      </c>
      <c r="BS101">
        <f t="shared" si="63"/>
        <v>1</v>
      </c>
    </row>
    <row r="102" spans="68:74" x14ac:dyDescent="0.25">
      <c r="BP102">
        <f t="shared" si="59"/>
        <v>4200</v>
      </c>
      <c r="BQ102">
        <f t="shared" si="61"/>
        <v>8.3428398042714598</v>
      </c>
      <c r="BR102">
        <f t="shared" si="62"/>
        <v>0</v>
      </c>
      <c r="BS102">
        <f t="shared" si="63"/>
        <v>1</v>
      </c>
    </row>
    <row r="103" spans="68:74" x14ac:dyDescent="0.25">
      <c r="BP103">
        <f t="shared" si="59"/>
        <v>4300</v>
      </c>
      <c r="BQ103">
        <f t="shared" si="61"/>
        <v>8.3663703016816537</v>
      </c>
      <c r="BR103">
        <f t="shared" si="62"/>
        <v>0</v>
      </c>
      <c r="BS103">
        <f t="shared" si="63"/>
        <v>1</v>
      </c>
    </row>
    <row r="104" spans="68:74" x14ac:dyDescent="0.25">
      <c r="BP104">
        <f t="shared" si="59"/>
        <v>4400</v>
      </c>
      <c r="BQ104">
        <f t="shared" si="61"/>
        <v>8.3893598199063533</v>
      </c>
      <c r="BR104">
        <f t="shared" si="62"/>
        <v>0</v>
      </c>
      <c r="BS104">
        <f t="shared" si="63"/>
        <v>1</v>
      </c>
    </row>
    <row r="105" spans="68:74" x14ac:dyDescent="0.25">
      <c r="BP105">
        <f t="shared" si="59"/>
        <v>4500</v>
      </c>
      <c r="BQ105">
        <f t="shared" si="61"/>
        <v>8.4118326757584114</v>
      </c>
      <c r="BR105">
        <f t="shared" si="62"/>
        <v>0</v>
      </c>
      <c r="BS105">
        <f t="shared" si="63"/>
        <v>1</v>
      </c>
    </row>
    <row r="106" spans="68:74" x14ac:dyDescent="0.25">
      <c r="BP106">
        <f t="shared" si="59"/>
        <v>4600</v>
      </c>
      <c r="BQ106">
        <f t="shared" si="61"/>
        <v>8.4338115824771869</v>
      </c>
      <c r="BR106">
        <f t="shared" si="62"/>
        <v>0</v>
      </c>
      <c r="BS106">
        <f t="shared" si="63"/>
        <v>1</v>
      </c>
    </row>
    <row r="107" spans="68:74" x14ac:dyDescent="0.25">
      <c r="BP107">
        <f t="shared" si="59"/>
        <v>4700</v>
      </c>
      <c r="BQ107">
        <f t="shared" si="61"/>
        <v>8.4553177876981493</v>
      </c>
      <c r="BR107">
        <f t="shared" si="62"/>
        <v>0</v>
      </c>
      <c r="BS107">
        <f t="shared" si="63"/>
        <v>1</v>
      </c>
    </row>
    <row r="108" spans="68:74" x14ac:dyDescent="0.25">
      <c r="BP108">
        <f t="shared" si="59"/>
        <v>4800</v>
      </c>
      <c r="BQ108">
        <f t="shared" si="61"/>
        <v>8.4763711968959825</v>
      </c>
      <c r="BR108">
        <f t="shared" si="62"/>
        <v>0</v>
      </c>
      <c r="BS108">
        <f t="shared" si="63"/>
        <v>1</v>
      </c>
    </row>
    <row r="109" spans="68:74" x14ac:dyDescent="0.25">
      <c r="BP109">
        <f t="shared" si="59"/>
        <v>4900</v>
      </c>
      <c r="BQ109">
        <f t="shared" si="61"/>
        <v>8.4969904840987187</v>
      </c>
      <c r="BR109">
        <f t="shared" si="62"/>
        <v>0</v>
      </c>
      <c r="BS109">
        <f t="shared" si="63"/>
        <v>1</v>
      </c>
    </row>
    <row r="110" spans="68:74" x14ac:dyDescent="0.25">
      <c r="BP110">
        <f t="shared" si="59"/>
        <v>5000</v>
      </c>
      <c r="BQ110">
        <f t="shared" si="61"/>
        <v>8.5171931914162382</v>
      </c>
      <c r="BR110">
        <f t="shared" si="62"/>
        <v>0</v>
      </c>
      <c r="BS110">
        <f t="shared" si="63"/>
        <v>1</v>
      </c>
    </row>
    <row r="111" spans="68:74" x14ac:dyDescent="0.25">
      <c r="BP111">
        <f t="shared" si="59"/>
        <v>5100</v>
      </c>
      <c r="BQ111">
        <f t="shared" si="61"/>
        <v>8.536995818712418</v>
      </c>
      <c r="BR111">
        <f t="shared" si="62"/>
        <v>0</v>
      </c>
      <c r="BS111">
        <f t="shared" si="63"/>
        <v>1</v>
      </c>
    </row>
    <row r="112" spans="68:74" x14ac:dyDescent="0.25">
      <c r="BP112">
        <f t="shared" si="59"/>
        <v>5200</v>
      </c>
      <c r="BQ112">
        <f t="shared" si="61"/>
        <v>8.5564139045695189</v>
      </c>
      <c r="BR112">
        <f t="shared" si="62"/>
        <v>0</v>
      </c>
      <c r="BS112">
        <f t="shared" si="63"/>
        <v>1</v>
      </c>
    </row>
    <row r="113" spans="68:71" x14ac:dyDescent="0.25">
      <c r="BP113">
        <f t="shared" si="59"/>
        <v>5300</v>
      </c>
      <c r="BQ113">
        <f t="shared" si="61"/>
        <v>8.5754620995402124</v>
      </c>
      <c r="BR113">
        <f t="shared" si="62"/>
        <v>0</v>
      </c>
      <c r="BS113">
        <f t="shared" si="63"/>
        <v>1</v>
      </c>
    </row>
    <row r="114" spans="68:71" x14ac:dyDescent="0.25">
      <c r="BP114">
        <f t="shared" si="59"/>
        <v>5400</v>
      </c>
      <c r="BQ114">
        <f t="shared" si="61"/>
        <v>8.5941542325523663</v>
      </c>
      <c r="BR114">
        <f t="shared" si="62"/>
        <v>0</v>
      </c>
      <c r="BS114">
        <f t="shared" si="63"/>
        <v>1</v>
      </c>
    </row>
    <row r="115" spans="68:71" x14ac:dyDescent="0.25">
      <c r="BP115">
        <f t="shared" si="59"/>
        <v>5500</v>
      </c>
      <c r="BQ115">
        <f t="shared" si="61"/>
        <v>8.6125033712205621</v>
      </c>
      <c r="BR115">
        <f t="shared" si="62"/>
        <v>0</v>
      </c>
      <c r="BS115">
        <f t="shared" si="63"/>
        <v>1</v>
      </c>
    </row>
    <row r="116" spans="68:71" x14ac:dyDescent="0.25">
      <c r="BP116">
        <f t="shared" si="59"/>
        <v>5600</v>
      </c>
      <c r="BQ116">
        <f t="shared" si="61"/>
        <v>8.6305218767232414</v>
      </c>
      <c r="BR116">
        <f t="shared" si="62"/>
        <v>0</v>
      </c>
      <c r="BS116">
        <f t="shared" si="63"/>
        <v>1</v>
      </c>
    </row>
    <row r="117" spans="68:71" x14ac:dyDescent="0.25">
      <c r="BP117">
        <f t="shared" si="59"/>
        <v>5700</v>
      </c>
      <c r="BQ117">
        <f t="shared" si="61"/>
        <v>8.6482214538226412</v>
      </c>
      <c r="BR117">
        <f t="shared" si="62"/>
        <v>0</v>
      </c>
      <c r="BS117">
        <f t="shared" si="63"/>
        <v>1</v>
      </c>
    </row>
    <row r="118" spans="68:71" x14ac:dyDescent="0.25">
      <c r="BP118">
        <f t="shared" si="59"/>
        <v>5800</v>
      </c>
      <c r="BQ118">
        <f t="shared" si="61"/>
        <v>8.66561319653451</v>
      </c>
      <c r="BR118">
        <f t="shared" si="62"/>
        <v>0</v>
      </c>
      <c r="BS118">
        <f t="shared" si="63"/>
        <v>1</v>
      </c>
    </row>
    <row r="119" spans="68:71" x14ac:dyDescent="0.25">
      <c r="BP119">
        <f t="shared" si="59"/>
        <v>5900</v>
      </c>
      <c r="BQ119">
        <f t="shared" si="61"/>
        <v>8.6827076298938106</v>
      </c>
      <c r="BR119">
        <f t="shared" si="62"/>
        <v>0</v>
      </c>
      <c r="BS119">
        <f t="shared" si="63"/>
        <v>1</v>
      </c>
    </row>
    <row r="120" spans="68:71" x14ac:dyDescent="0.25">
      <c r="BP120">
        <f t="shared" si="59"/>
        <v>6000</v>
      </c>
      <c r="BQ120">
        <f t="shared" si="61"/>
        <v>8.6995147482101913</v>
      </c>
      <c r="BR120">
        <f t="shared" si="62"/>
        <v>0</v>
      </c>
      <c r="BS120">
        <f t="shared" si="63"/>
        <v>1</v>
      </c>
    </row>
    <row r="121" spans="68:71" x14ac:dyDescent="0.25">
      <c r="BP121">
        <f t="shared" si="59"/>
        <v>6100</v>
      </c>
      <c r="BQ121">
        <f t="shared" si="61"/>
        <v>8.7160440501614023</v>
      </c>
      <c r="BR121">
        <f t="shared" si="62"/>
        <v>0</v>
      </c>
      <c r="BS121">
        <f t="shared" si="63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BD1" workbookViewId="0">
      <selection activeCell="BK16" sqref="BK16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141</v>
      </c>
      <c r="X3" s="6" t="s">
        <v>142</v>
      </c>
      <c r="Y3" s="6" t="s">
        <v>143</v>
      </c>
      <c r="Z3" s="6" t="s">
        <v>146</v>
      </c>
      <c r="AA3" s="6" t="s">
        <v>147</v>
      </c>
      <c r="AB3" s="2" t="s">
        <v>148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141</v>
      </c>
      <c r="AZ3" s="3" t="s">
        <v>144</v>
      </c>
      <c r="BA3" s="6" t="s">
        <v>145</v>
      </c>
      <c r="BB3" s="6" t="s">
        <v>146</v>
      </c>
      <c r="BC3" s="6" t="s">
        <v>147</v>
      </c>
      <c r="BD3" s="2" t="s">
        <v>148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-1.5020289855072471</v>
      </c>
      <c r="R4" s="10">
        <f t="shared" si="0"/>
        <v>-1.4493333333333334</v>
      </c>
      <c r="S4" s="10">
        <f t="shared" si="0"/>
        <v>-1.5170512820512825</v>
      </c>
      <c r="T4" s="10">
        <f t="shared" si="0"/>
        <v>-1.5467901234567909</v>
      </c>
      <c r="U4" s="10">
        <f t="shared" si="0"/>
        <v>-1.3487654320987659</v>
      </c>
      <c r="V4" s="10">
        <f t="shared" si="0"/>
        <v>-0.71604938271604945</v>
      </c>
      <c r="W4" s="14">
        <v>0.68584762292338231</v>
      </c>
      <c r="X4" s="10">
        <v>0.75010980245554471</v>
      </c>
      <c r="Y4" s="10">
        <v>0.71250839433672974</v>
      </c>
      <c r="Z4" s="10">
        <v>0.82936223525279462</v>
      </c>
      <c r="AA4" s="10">
        <v>0.92092257057003213</v>
      </c>
      <c r="AB4" s="15">
        <v>0.98024390417264895</v>
      </c>
      <c r="AC4" s="15"/>
      <c r="AE4" s="14">
        <f ca="1">SQRT(SUMSQ(AE5:AE1001)/COUNT(AE5:AE1001))</f>
        <v>7.9507606970849602</v>
      </c>
      <c r="AF4" s="10">
        <f t="shared" ref="AF4:BD4" ca="1" si="1">SQRT(SUMSQ(AF5:AF1001)/COUNT(AF5:AF1001))</f>
        <v>6.5315436891260967</v>
      </c>
      <c r="AG4" s="10">
        <f t="shared" ca="1" si="1"/>
        <v>6.8637376439112554</v>
      </c>
      <c r="AH4" s="10">
        <f t="shared" ca="1" si="1"/>
        <v>6.7518073178678</v>
      </c>
      <c r="AI4" s="10">
        <f t="shared" ca="1" si="1"/>
        <v>6.3013567211972514</v>
      </c>
      <c r="AJ4" s="10">
        <f t="shared" ca="1" si="1"/>
        <v>6.0344163177805603</v>
      </c>
      <c r="AK4" s="10">
        <f t="shared" ca="1" si="1"/>
        <v>5.7045344031920466</v>
      </c>
      <c r="AL4" s="10">
        <f t="shared" ca="1" si="1"/>
        <v>5.5807509782717846</v>
      </c>
      <c r="AM4" s="14">
        <f t="shared" si="1"/>
        <v>4.7006007427769454</v>
      </c>
      <c r="AN4" s="10">
        <f t="shared" si="1"/>
        <v>4.2904038659936594</v>
      </c>
      <c r="AO4" s="10">
        <f t="shared" si="1"/>
        <v>4.2307253727330476</v>
      </c>
      <c r="AP4" s="10">
        <f t="shared" si="1"/>
        <v>3.8300741378248242</v>
      </c>
      <c r="AQ4" s="10">
        <f t="shared" si="1"/>
        <v>2.9091887206480229</v>
      </c>
      <c r="AR4" s="10">
        <f t="shared" si="1"/>
        <v>1.7778407396258111</v>
      </c>
      <c r="AS4" s="14">
        <f t="shared" ref="AS4:AX4" si="2">SQRT(SUMSQ(AS5:AS1001)/COUNT(AS5:AS1001))</f>
        <v>4.6642372410824295</v>
      </c>
      <c r="AT4" s="10">
        <f t="shared" si="2"/>
        <v>4.2077543928557999</v>
      </c>
      <c r="AU4" s="10">
        <f t="shared" si="2"/>
        <v>4.1042371939625477</v>
      </c>
      <c r="AV4" s="10">
        <f t="shared" si="2"/>
        <v>3.6367752244456821</v>
      </c>
      <c r="AW4" s="10">
        <f t="shared" si="2"/>
        <v>2.6787408512947923</v>
      </c>
      <c r="AX4" s="10">
        <f t="shared" si="2"/>
        <v>1.6860580470982953</v>
      </c>
      <c r="AY4" s="14">
        <f t="shared" ca="1" si="1"/>
        <v>4.4170060462291323</v>
      </c>
      <c r="AZ4" s="10">
        <f t="shared" ca="1" si="1"/>
        <v>3.9991290428466124</v>
      </c>
      <c r="BA4" s="10">
        <f t="shared" ca="1" si="1"/>
        <v>3.7663747980033571</v>
      </c>
      <c r="BB4" s="10">
        <f t="shared" ca="1" si="1"/>
        <v>3.5174334156677212</v>
      </c>
      <c r="BC4" s="10">
        <f t="shared" ca="1" si="1"/>
        <v>2.6433374789024637</v>
      </c>
      <c r="BD4" s="15">
        <f t="shared" ca="1" si="1"/>
        <v>1.6824753497599416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K5-AVERAGE(AM6:AM$31)</f>
        <v>38.159393939393937</v>
      </c>
      <c r="R5" s="31">
        <f>L5-AVERAGE(AN6:AN$31)</f>
        <v>39.158055555555549</v>
      </c>
      <c r="S5" s="31">
        <f>M5-AVERAGE(AO6:AO$31)</f>
        <v>37.776133333333334</v>
      </c>
      <c r="T5" s="31">
        <f>N5-AVERAGE(AP6:AP$31)</f>
        <v>38.227820512820514</v>
      </c>
      <c r="U5" s="31">
        <f>O5-AVERAGE(AQ6:AQ$31)</f>
        <v>39.060641025641026</v>
      </c>
      <c r="V5" s="31">
        <f>P5-AVERAGE(AR6:AR$31)</f>
        <v>39.13051282051282</v>
      </c>
      <c r="W5" s="13">
        <f t="shared" ref="W5:AB5" ca="1" si="3">Q5*W$4+$I5*(1-W$4)</f>
        <v>39.940304725503282</v>
      </c>
      <c r="X5" s="6">
        <f t="shared" ca="1" si="3"/>
        <v>40.325112192031924</v>
      </c>
      <c r="Y5" s="6">
        <f t="shared" ca="1" si="3"/>
        <v>39.516090029128577</v>
      </c>
      <c r="Z5" s="6">
        <f t="shared" ca="1" si="3"/>
        <v>39.183479501950892</v>
      </c>
      <c r="AA5" s="6">
        <f t="shared" ca="1" si="3"/>
        <v>39.437657877646366</v>
      </c>
      <c r="AB5" s="2">
        <f t="shared" ca="1" si="3"/>
        <v>39.223323412743795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X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 t="shared" si="5"/>
        <v>-3.2806060606060612</v>
      </c>
      <c r="AT5">
        <f t="shared" si="5"/>
        <v>-2.2819444444444485</v>
      </c>
      <c r="AU5">
        <f t="shared" si="5"/>
        <v>-3.6638666666666637</v>
      </c>
      <c r="AV5">
        <f t="shared" si="5"/>
        <v>-3.2121794871794833</v>
      </c>
      <c r="AW5">
        <f t="shared" si="5"/>
        <v>-2.379358974358972</v>
      </c>
      <c r="AX5">
        <f t="shared" si="5"/>
        <v>-2.3094871794871779</v>
      </c>
      <c r="AY5" s="13">
        <f t="shared" ref="AY5:BD9" ca="1" si="6">W5-$AC5</f>
        <v>-1.499695274496716</v>
      </c>
      <c r="AZ5" s="6">
        <f t="shared" ca="1" si="6"/>
        <v>-1.1148878079680742</v>
      </c>
      <c r="BA5" s="6">
        <f t="shared" ca="1" si="6"/>
        <v>-1.9239099708714207</v>
      </c>
      <c r="BB5" s="6">
        <f t="shared" ca="1" si="6"/>
        <v>-2.256520498049106</v>
      </c>
      <c r="BC5" s="6">
        <f t="shared" ca="1" si="6"/>
        <v>-2.0023421223536317</v>
      </c>
      <c r="BD5" s="2">
        <f t="shared" ca="1" si="6"/>
        <v>-2.2166765872562024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K6-AVERAGE(AM5:AM$5,AM7:AM$31)</f>
        <v>38.675757575757579</v>
      </c>
      <c r="R6" s="31">
        <f>L6-AVERAGE(AN5:AN$5,AN7:AN$31)</f>
        <v>41.924722222222229</v>
      </c>
      <c r="S6" s="31">
        <f>M6-AVERAGE(AO5:AO$5,AO7:AO$31)</f>
        <v>47.902533333333338</v>
      </c>
      <c r="T6" s="31">
        <f>N6-AVERAGE(AP5:AP$5,AP7:AP$31)</f>
        <v>46.450128205128202</v>
      </c>
      <c r="U6" s="31">
        <f>O6-AVERAGE(AQ5:AQ$5,AQ7:AQ$31)</f>
        <v>42.879871794871796</v>
      </c>
      <c r="V6" s="31">
        <f>P6-AVERAGE(AR5:AR$5,AR7:AR$31)</f>
        <v>43.385897435897441</v>
      </c>
      <c r="W6" s="13">
        <f t="shared" ref="W6:AB9" ca="1" si="7">Q6*W$4+$I6*(1-W$4)</f>
        <v>40.161983912400046</v>
      </c>
      <c r="X6" s="6">
        <f t="shared" ca="1" si="7"/>
        <v>42.295045612194357</v>
      </c>
      <c r="Y6" s="6">
        <f t="shared" ca="1" si="7"/>
        <v>46.610009406485361</v>
      </c>
      <c r="Z6" s="6">
        <f t="shared" ca="1" si="7"/>
        <v>45.93079873111104</v>
      </c>
      <c r="AA6" s="6">
        <f t="shared" ca="1" si="7"/>
        <v>42.921529379170224</v>
      </c>
      <c r="AB6" s="2">
        <f t="shared" ca="1" si="7"/>
        <v>43.38630775481078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8">L6-$AC6</f>
        <v>-1.5599999999999952</v>
      </c>
      <c r="AO6">
        <f t="shared" si="8"/>
        <v>4.1200000000000045</v>
      </c>
      <c r="AP6">
        <f t="shared" si="8"/>
        <v>2.6999999999999957</v>
      </c>
      <c r="AQ6">
        <f t="shared" si="8"/>
        <v>-0.53999999999999915</v>
      </c>
      <c r="AR6">
        <f t="shared" si="8"/>
        <v>0.5800000000000054</v>
      </c>
      <c r="AS6" s="30">
        <f t="shared" ref="AS6:AX9" si="9">Q6-$AC6</f>
        <v>-3.3642424242424198</v>
      </c>
      <c r="AT6">
        <f t="shared" si="9"/>
        <v>-0.11527777777777004</v>
      </c>
      <c r="AU6">
        <f t="shared" si="9"/>
        <v>5.8625333333333387</v>
      </c>
      <c r="AV6">
        <f t="shared" si="9"/>
        <v>4.4101282051282027</v>
      </c>
      <c r="AW6">
        <f t="shared" si="9"/>
        <v>0.83987179487179731</v>
      </c>
      <c r="AX6">
        <f t="shared" si="9"/>
        <v>1.3458974358974416</v>
      </c>
      <c r="AY6" s="13">
        <f t="shared" ca="1" si="6"/>
        <v>-1.8780160875999528</v>
      </c>
      <c r="AZ6" s="6">
        <f t="shared" ca="1" si="6"/>
        <v>0.25504561219435828</v>
      </c>
      <c r="BA6" s="6">
        <f t="shared" ca="1" si="6"/>
        <v>4.5700094064853616</v>
      </c>
      <c r="BB6" s="6">
        <f t="shared" ca="1" si="6"/>
        <v>3.8907987311110404</v>
      </c>
      <c r="BC6" s="6">
        <f t="shared" ca="1" si="6"/>
        <v>0.88152937917022456</v>
      </c>
      <c r="BD6" s="2">
        <f t="shared" ca="1" si="6"/>
        <v>1.3463077548107805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0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K7-AVERAGE(AM$5:AM6,AM8:AM$31)</f>
        <v>50.308939393939397</v>
      </c>
      <c r="R7" s="31">
        <f>L7-AVERAGE(AN$5:AN6,AN8:AN$31)</f>
        <v>47.111805555555556</v>
      </c>
      <c r="S7" s="31">
        <f>M7-AVERAGE(AO$5:AO6,AO8:AO$31)</f>
        <v>49.259733333333337</v>
      </c>
      <c r="T7" s="31">
        <f>N7-AVERAGE(AP$5:AP6,AP8:AP$31)</f>
        <v>48.038974358974357</v>
      </c>
      <c r="U7" s="31">
        <f>O7-AVERAGE(AQ$5:AQ6,AQ8:AQ$31)</f>
        <v>46.317179487179487</v>
      </c>
      <c r="V7" s="31">
        <f>P7-AVERAGE(AR$5:AR6,AR8:AR$31)</f>
        <v>45.535512820512821</v>
      </c>
      <c r="W7" s="13">
        <f t="shared" ca="1" si="7"/>
        <v>48.229583849607266</v>
      </c>
      <c r="X7" s="6">
        <f t="shared" ca="1" si="7"/>
        <v>46.256729889319061</v>
      </c>
      <c r="Y7" s="6">
        <f t="shared" ca="1" si="7"/>
        <v>47.658481754217092</v>
      </c>
      <c r="Z7" s="6">
        <f t="shared" ca="1" si="7"/>
        <v>47.296875095416063</v>
      </c>
      <c r="AA7" s="6">
        <f t="shared" ca="1" si="7"/>
        <v>46.109428886682196</v>
      </c>
      <c r="AB7" s="2">
        <f t="shared" ca="1" si="7"/>
        <v>45.499052692380168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8"/>
        <v>4.9999999999997158E-2</v>
      </c>
      <c r="AO7">
        <f t="shared" si="8"/>
        <v>2.0499999999999972</v>
      </c>
      <c r="AP7">
        <f t="shared" si="8"/>
        <v>0.84999999999999432</v>
      </c>
      <c r="AQ7">
        <f t="shared" si="8"/>
        <v>-0.61000000000000654</v>
      </c>
      <c r="AR7">
        <f t="shared" si="8"/>
        <v>-0.73000000000000398</v>
      </c>
      <c r="AS7" s="30">
        <f t="shared" si="9"/>
        <v>4.7589393939393929</v>
      </c>
      <c r="AT7">
        <f t="shared" si="9"/>
        <v>1.5618055555555515</v>
      </c>
      <c r="AU7">
        <f t="shared" si="9"/>
        <v>3.7097333333333324</v>
      </c>
      <c r="AV7">
        <f t="shared" si="9"/>
        <v>2.4889743589743532</v>
      </c>
      <c r="AW7">
        <f t="shared" si="9"/>
        <v>0.76717948717948303</v>
      </c>
      <c r="AX7">
        <f t="shared" si="9"/>
        <v>-1.4487179487183255E-2</v>
      </c>
      <c r="AY7" s="13">
        <f t="shared" ca="1" si="6"/>
        <v>2.6795838496072619</v>
      </c>
      <c r="AZ7" s="6">
        <f t="shared" ca="1" si="6"/>
        <v>0.70672988931905678</v>
      </c>
      <c r="BA7" s="6">
        <f t="shared" ca="1" si="6"/>
        <v>2.1084817542170882</v>
      </c>
      <c r="BB7" s="6">
        <f t="shared" ca="1" si="6"/>
        <v>1.7468750954160583</v>
      </c>
      <c r="BC7" s="6">
        <f t="shared" ca="1" si="6"/>
        <v>0.55942888668219126</v>
      </c>
      <c r="BD7" s="2">
        <f t="shared" ca="1" si="6"/>
        <v>-5.0947307619836124E-2</v>
      </c>
      <c r="BE7" t="s">
        <v>179</v>
      </c>
      <c r="BG7">
        <f>AM4</f>
        <v>4.7006007427769454</v>
      </c>
      <c r="BH7">
        <f>AN4</f>
        <v>4.2904038659936594</v>
      </c>
      <c r="BI7">
        <f>AO4</f>
        <v>4.2307253727330476</v>
      </c>
      <c r="BJ7">
        <f>AP4</f>
        <v>3.8300741378248242</v>
      </c>
      <c r="BK7">
        <f>AQ4</f>
        <v>2.9091887206480229</v>
      </c>
      <c r="BL7">
        <f t="shared" si="10"/>
        <v>2.343514730136917</v>
      </c>
      <c r="BM7">
        <f>AR4</f>
        <v>1.7778407396258111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K8-AVERAGE(AM$5:AM7,AM9:AM$31)</f>
        <v>41.403939393939396</v>
      </c>
      <c r="R8" s="31">
        <f>L8-AVERAGE(AN$5:AN7,AN9:AN$31)</f>
        <v>39.690555555555555</v>
      </c>
      <c r="S8" s="31">
        <f>M8-AVERAGE(AO$5:AO7,AO9:AO$31)</f>
        <v>38.103333333333332</v>
      </c>
      <c r="T8" s="31">
        <f>N8-AVERAGE(AP$5:AP7,AP9:AP$31)</f>
        <v>43.750128205128206</v>
      </c>
      <c r="U8" s="31">
        <f>O8-AVERAGE(AQ$5:AQ7,AQ9:AQ$31)</f>
        <v>42.713717948717949</v>
      </c>
      <c r="V8" s="31">
        <f>P8-AVERAGE(AR$5:AR7,AR9:AR$31)</f>
        <v>42.285128205128203</v>
      </c>
      <c r="W8" s="13">
        <f t="shared" ca="1" si="7"/>
        <v>42.154049592477335</v>
      </c>
      <c r="X8" s="6">
        <f t="shared" ca="1" si="7"/>
        <v>40.715383021262866</v>
      </c>
      <c r="Y8" s="6">
        <f t="shared" ca="1" si="7"/>
        <v>39.738681416881235</v>
      </c>
      <c r="Z8" s="6">
        <f t="shared" ca="1" si="7"/>
        <v>43.757216235356168</v>
      </c>
      <c r="AA8" s="6">
        <f t="shared" ca="1" si="7"/>
        <v>42.798959362390661</v>
      </c>
      <c r="AB8" s="2">
        <f t="shared" ca="1" si="7"/>
        <v>42.314891523341949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8"/>
        <v>-5.2600000000000051</v>
      </c>
      <c r="AO8">
        <f t="shared" si="8"/>
        <v>-6.8600000000000065</v>
      </c>
      <c r="AP8">
        <f t="shared" si="8"/>
        <v>-1.4600000000000009</v>
      </c>
      <c r="AQ8">
        <f t="shared" si="8"/>
        <v>-2.2600000000000051</v>
      </c>
      <c r="AR8">
        <f t="shared" si="8"/>
        <v>-2.0400000000000063</v>
      </c>
      <c r="AS8" s="30">
        <f t="shared" si="9"/>
        <v>-2.2560606060606077</v>
      </c>
      <c r="AT8">
        <f t="shared" si="9"/>
        <v>-3.9694444444444485</v>
      </c>
      <c r="AU8">
        <f t="shared" si="9"/>
        <v>-5.556666666666672</v>
      </c>
      <c r="AV8">
        <f t="shared" si="9"/>
        <v>9.012820512820241E-2</v>
      </c>
      <c r="AW8">
        <f t="shared" si="9"/>
        <v>-0.94628205128205423</v>
      </c>
      <c r="AX8">
        <f t="shared" si="9"/>
        <v>-1.374871794871801</v>
      </c>
      <c r="AY8" s="13">
        <f t="shared" ca="1" si="6"/>
        <v>-1.5059504075226684</v>
      </c>
      <c r="AZ8" s="6">
        <f t="shared" ca="1" si="6"/>
        <v>-2.9446169787371375</v>
      </c>
      <c r="BA8" s="6">
        <f t="shared" ca="1" si="6"/>
        <v>-3.9213185831187687</v>
      </c>
      <c r="BB8" s="6">
        <f t="shared" ca="1" si="6"/>
        <v>9.7216235356164304E-2</v>
      </c>
      <c r="BC8" s="6">
        <f t="shared" ca="1" si="6"/>
        <v>-0.86104063760934224</v>
      </c>
      <c r="BD8" s="2">
        <f t="shared" ca="1" si="6"/>
        <v>-1.345108476658055</v>
      </c>
      <c r="BE8" t="s">
        <v>183</v>
      </c>
      <c r="BG8">
        <f ca="1">AY4</f>
        <v>4.4170060462291323</v>
      </c>
      <c r="BH8">
        <f ca="1">AZ4</f>
        <v>3.9991290428466124</v>
      </c>
      <c r="BI8">
        <f ca="1">BA4</f>
        <v>3.7663747980033571</v>
      </c>
      <c r="BJ8">
        <f ca="1">BB4</f>
        <v>3.5174334156677212</v>
      </c>
      <c r="BK8">
        <f ca="1">BC4</f>
        <v>2.6433374789024637</v>
      </c>
      <c r="BL8">
        <f t="shared" ca="1" si="10"/>
        <v>2.1629064143312027</v>
      </c>
      <c r="BM8">
        <f ca="1">BD4</f>
        <v>1.6824753497599416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K9-AVERAGE(AM$5:AM8,AM10:AM$31)</f>
        <v>42.311666666666667</v>
      </c>
      <c r="R9" s="31">
        <f>L9-AVERAGE(AN$5:AN8,AN10:AN$31)</f>
        <v>42.255972222222219</v>
      </c>
      <c r="S9" s="31">
        <f>M9-AVERAGE(AO$5:AO8,AO10:AO$31)</f>
        <v>39.830133333333329</v>
      </c>
      <c r="T9" s="31">
        <f>N9-AVERAGE(AP$5:AP8,AP10:AP$31)</f>
        <v>41.525897435897434</v>
      </c>
      <c r="U9" s="31">
        <f>O9-AVERAGE(AQ$5:AQ8,AQ10:AQ$31)</f>
        <v>41.735641025641023</v>
      </c>
      <c r="V9" s="31">
        <f>P9-AVERAGE(AR$5:AR8,AR10:AR$31)</f>
        <v>42.636282051282052</v>
      </c>
      <c r="W9" s="13">
        <f t="shared" ca="1" si="7"/>
        <v>42.848343644172559</v>
      </c>
      <c r="X9" s="6">
        <f t="shared" ca="1" si="7"/>
        <v>42.696785472085018</v>
      </c>
      <c r="Y9" s="6">
        <f t="shared" ca="1" si="7"/>
        <v>41.034684828848341</v>
      </c>
      <c r="Z9" s="6">
        <f t="shared" ca="1" si="7"/>
        <v>41.951485522486166</v>
      </c>
      <c r="AA9" s="6">
        <f t="shared" ca="1" si="7"/>
        <v>41.916282261228609</v>
      </c>
      <c r="AB9" s="2">
        <f t="shared" ca="1" si="7"/>
        <v>42.663618915674952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8"/>
        <v>-1.2900000000000063</v>
      </c>
      <c r="AO9">
        <f t="shared" si="8"/>
        <v>-3.6900000000000048</v>
      </c>
      <c r="AP9">
        <f t="shared" si="8"/>
        <v>-2.0900000000000034</v>
      </c>
      <c r="AQ9">
        <f t="shared" si="8"/>
        <v>-1.6900000000000048</v>
      </c>
      <c r="AR9">
        <f t="shared" si="8"/>
        <v>-0.19000000000000483</v>
      </c>
      <c r="AS9" s="30">
        <f t="shared" si="9"/>
        <v>0.22166666666666401</v>
      </c>
      <c r="AT9">
        <f t="shared" si="9"/>
        <v>0.16597222222221575</v>
      </c>
      <c r="AU9">
        <f t="shared" si="9"/>
        <v>-2.2598666666666745</v>
      </c>
      <c r="AV9">
        <f t="shared" si="9"/>
        <v>-0.5641025641025692</v>
      </c>
      <c r="AW9">
        <f t="shared" si="9"/>
        <v>-0.35435897435898056</v>
      </c>
      <c r="AX9">
        <f t="shared" si="9"/>
        <v>0.54628205128204854</v>
      </c>
      <c r="AY9" s="13">
        <f t="shared" ca="1" si="6"/>
        <v>0.75834364417255529</v>
      </c>
      <c r="AZ9" s="6">
        <f t="shared" ca="1" si="6"/>
        <v>0.60678547208501499</v>
      </c>
      <c r="BA9" s="6">
        <f t="shared" ca="1" si="6"/>
        <v>-1.055315171151662</v>
      </c>
      <c r="BB9" s="6">
        <f t="shared" ca="1" si="6"/>
        <v>-0.13851447751383716</v>
      </c>
      <c r="BC9" s="6">
        <f t="shared" ca="1" si="6"/>
        <v>-0.17371773877139418</v>
      </c>
      <c r="BD9" s="2">
        <f t="shared" ca="1" si="6"/>
        <v>0.57361891567494894</v>
      </c>
      <c r="BE9" t="s">
        <v>184</v>
      </c>
      <c r="BG9">
        <f t="shared" ref="BG9:BM9" ca="1" si="11">$AK$4</f>
        <v>5.7045344031920466</v>
      </c>
      <c r="BH9">
        <f t="shared" ca="1" si="11"/>
        <v>5.7045344031920466</v>
      </c>
      <c r="BI9">
        <f t="shared" ca="1" si="11"/>
        <v>5.7045344031920466</v>
      </c>
      <c r="BJ9">
        <f t="shared" ca="1" si="11"/>
        <v>5.7045344031920466</v>
      </c>
      <c r="BK9">
        <f t="shared" ca="1" si="11"/>
        <v>5.7045344031920466</v>
      </c>
      <c r="BL9">
        <f t="shared" ca="1" si="10"/>
        <v>5.7045344031920466</v>
      </c>
      <c r="BM9">
        <f t="shared" ca="1" si="11"/>
        <v>5.7045344031920466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M10-AVERAGE(AO$5:AO9,AO12:AO$31)</f>
        <v>42.812916666666666</v>
      </c>
      <c r="T10" s="31">
        <f>N10-AVERAGE(AP$5:AP9,AP12:AP$31)</f>
        <v>44.566533333333332</v>
      </c>
      <c r="U10" s="31">
        <f>O10-AVERAGE(AQ$5:AQ9,AQ12:AQ$31)</f>
        <v>46.043333333333337</v>
      </c>
      <c r="V10" s="31">
        <f>P10-AVERAGE(AR$5:AR9,AR12:AR$31)</f>
        <v>45.735999999999997</v>
      </c>
      <c r="Y10" s="6">
        <f t="shared" ref="Y10:Y30" ca="1" si="12">S10*Y$4+$I10*(1-Y$4)</f>
        <v>43.121131625571493</v>
      </c>
      <c r="Z10" s="6">
        <f t="shared" ref="Z10:Z30" ca="1" si="13">T10*Z$4+$I10*(1-Z$4)</f>
        <v>44.450238008732619</v>
      </c>
      <c r="AA10" s="6">
        <f t="shared" ref="AA10:AA30" ca="1" si="14">U10*AA$4+$I10*(1-AA$4)</f>
        <v>45.872657881480322</v>
      </c>
      <c r="AB10" s="2">
        <f t="shared" ref="AB10:AB30" ca="1" si="15">V10*AB$4+$I10*(1-AB$4)</f>
        <v>45.699431466623572</v>
      </c>
      <c r="AC10" s="2">
        <f>'Historical Trends'!F10</f>
        <v>46.71</v>
      </c>
      <c r="AE10" s="13">
        <f t="shared" ref="AE10:AE31" ca="1" si="16">C10-$AC10</f>
        <v>-5.0358590852904612</v>
      </c>
      <c r="AF10">
        <f t="shared" ref="AF10:AF31" ca="1" si="17">D10-$AC10</f>
        <v>-3.7899999999999991</v>
      </c>
      <c r="AG10">
        <f t="shared" ref="AG10:AG31" ca="1" si="18">E10-$AC10</f>
        <v>-5.4949999999999974</v>
      </c>
      <c r="AH10">
        <f t="shared" ref="AH10:AH31" ca="1" si="19">F10-$AC10</f>
        <v>-3.4833333333333343</v>
      </c>
      <c r="AI10">
        <f t="shared" ref="AI10:AI31" ca="1" si="20">G10-$AC10</f>
        <v>-3.2224999999999966</v>
      </c>
      <c r="AJ10">
        <f t="shared" ref="AJ10:AJ31" ca="1" si="21">H10-$AC10</f>
        <v>-3.2279999999999944</v>
      </c>
      <c r="AK10">
        <f t="shared" ref="AK10:AK31" ca="1" si="22">I10-$AC10</f>
        <v>-2.8250000000000028</v>
      </c>
      <c r="AL10">
        <f t="shared" ref="AL10:AL31" ca="1" si="23">J10-$AC10</f>
        <v>-2.6642857142857181</v>
      </c>
      <c r="AO10">
        <f t="shared" ref="AO10:AO30" si="24">M10-$AC10</f>
        <v>-5.3100000000000023</v>
      </c>
      <c r="AP10">
        <f t="shared" ref="AP10:AP30" si="25">N10-$AC10</f>
        <v>-3.7100000000000009</v>
      </c>
      <c r="AQ10">
        <f t="shared" ref="AQ10:AQ30" si="26">O10-$AC10</f>
        <v>-2.1099999999999994</v>
      </c>
      <c r="AR10">
        <f t="shared" ref="AR10:AR30" si="27">P10-$AC10</f>
        <v>-1.7100000000000009</v>
      </c>
      <c r="AS10" s="30"/>
      <c r="AU10">
        <f t="shared" ref="AU10:AU30" si="28">S10-$AC10</f>
        <v>-3.8970833333333346</v>
      </c>
      <c r="AV10">
        <f t="shared" ref="AV10:AV30" si="29">T10-$AC10</f>
        <v>-2.1434666666666686</v>
      </c>
      <c r="AW10">
        <f t="shared" ref="AW10:AW30" si="30">U10-$AC10</f>
        <v>-0.6666666666666643</v>
      </c>
      <c r="AX10">
        <f t="shared" ref="AX10:AX30" si="31">V10-$AC10</f>
        <v>-0.97400000000000375</v>
      </c>
      <c r="BA10" s="6">
        <f t="shared" ref="BA10:BA30" ca="1" si="32">Y10-$AC10</f>
        <v>-3.5888683744285075</v>
      </c>
      <c r="BB10" s="6">
        <f t="shared" ref="BB10:BB30" ca="1" si="33">Z10-$AC10</f>
        <v>-2.2597619912673821</v>
      </c>
      <c r="BC10" s="6">
        <f t="shared" ref="BC10:BC30" ca="1" si="34">AA10-$AC10</f>
        <v>-0.83734211851967899</v>
      </c>
      <c r="BD10" s="2">
        <f t="shared" ref="BD10:BD30" ca="1" si="35">AB10-$AC10</f>
        <v>-1.0105685333764285</v>
      </c>
      <c r="BE10" t="s">
        <v>152</v>
      </c>
      <c r="BG10">
        <f>W4</f>
        <v>0.68584762292338231</v>
      </c>
      <c r="BH10">
        <f>X4</f>
        <v>0.75010980245554471</v>
      </c>
      <c r="BI10">
        <f>Y4</f>
        <v>0.71250839433672974</v>
      </c>
      <c r="BJ10">
        <f>Z4</f>
        <v>0.82936223525279462</v>
      </c>
      <c r="BK10">
        <f>AA4</f>
        <v>0.92092257057003213</v>
      </c>
      <c r="BL10">
        <f t="shared" si="10"/>
        <v>0.95058323737134054</v>
      </c>
      <c r="BM10">
        <f>AB4</f>
        <v>0.98024390417264895</v>
      </c>
    </row>
    <row r="11" spans="1:66" x14ac:dyDescent="0.25">
      <c r="A11" t="s">
        <v>67</v>
      </c>
      <c r="B11">
        <v>0</v>
      </c>
      <c r="C11" s="13">
        <f ca="1">'Historical Trends'!P11</f>
        <v>42.261558139534884</v>
      </c>
      <c r="D11">
        <f ca="1">AVERAGE(OFFSET('Historical Trends'!$F$6,$B11,0,'Polling Correlations - LNP'!D$4,1))</f>
        <v>42.04</v>
      </c>
      <c r="E11">
        <f ca="1">AVERAGE(OFFSET('Historical Trends'!$F$6,$B11,0,'Polling Correlations - LNP'!E$4,1))</f>
        <v>43.795000000000002</v>
      </c>
      <c r="F11">
        <f ca="1">AVERAGE(OFFSET('Historical Trends'!$F$6,$B11,0,'Polling Correlations - LNP'!F$4,1))</f>
        <v>43.75</v>
      </c>
      <c r="G11">
        <f ca="1">AVERAGE(OFFSET('Historical Trends'!$F$6,$B11,0,'Polling Correlations - LNP'!G$4,1))</f>
        <v>43.335000000000001</v>
      </c>
      <c r="H11">
        <f ca="1">AVERAGE(OFFSET('Historical Trends'!$F$6,$B11,0,'Polling Correlations - LNP'!H$4,1))</f>
        <v>44.010000000000005</v>
      </c>
      <c r="I11">
        <f ca="1">AVERAGE(OFFSET('Historical Trends'!$F$6,$B11,0,'Polling Correlations - LNP'!I$4,1))</f>
        <v>43.82833333333334</v>
      </c>
      <c r="J11">
        <f ca="1">AVERAGE(OFFSET('Historical Trends'!$F$6,$B11,0,'Polling Correlations - LNP'!J$4,1))</f>
        <v>43.211428571428577</v>
      </c>
      <c r="K11" s="13">
        <f>(37+35+36)/3</f>
        <v>36</v>
      </c>
      <c r="L11">
        <f>(37+35+34)/3</f>
        <v>35.333333333333336</v>
      </c>
      <c r="M11">
        <f>(35+37+35)/3</f>
        <v>35.666666666666664</v>
      </c>
      <c r="N11">
        <f>(38+38+35)/3</f>
        <v>37</v>
      </c>
      <c r="O11">
        <f>(37+38+38)/3</f>
        <v>37.666666666666664</v>
      </c>
      <c r="P11">
        <f>(36+37+37)/3</f>
        <v>36.666666666666664</v>
      </c>
      <c r="Q11" s="30">
        <f>K11-AVERAGE(AM$5:AM9,AM12:AM$31)</f>
        <v>37.575303030303033</v>
      </c>
      <c r="R11" s="31">
        <f>L11-AVERAGE(AN$5:AN9,AN12:AN$31)</f>
        <v>36.819861111111116</v>
      </c>
      <c r="S11" s="31">
        <f>M11-AVERAGE(AO$5:AO9,AO12:AO$31)</f>
        <v>37.079583333333332</v>
      </c>
      <c r="T11" s="31">
        <f>N11-AVERAGE(AP$5:AP9,AP12:AP$31)</f>
        <v>38.566533333333332</v>
      </c>
      <c r="U11" s="31">
        <f>O11-AVERAGE(AQ$5:AQ9,AQ12:AQ$31)</f>
        <v>39.11</v>
      </c>
      <c r="V11" s="31">
        <f>P11-AVERAGE(AR$5:AR9,AR12:AR$31)</f>
        <v>37.402666666666661</v>
      </c>
      <c r="W11" s="13">
        <f t="shared" ref="W11:X15" ca="1" si="36">Q11*W$4+$I11*(1-W$4)</f>
        <v>39.539707363932131</v>
      </c>
      <c r="X11" s="6">
        <f t="shared" ca="1" si="36"/>
        <v>38.571209619207053</v>
      </c>
      <c r="Y11" s="6">
        <f t="shared" ca="1" si="12"/>
        <v>39.019792307053329</v>
      </c>
      <c r="Z11" s="6">
        <f t="shared" ca="1" si="13"/>
        <v>39.46439512388018</v>
      </c>
      <c r="AA11" s="6">
        <f t="shared" ca="1" si="14"/>
        <v>39.483113671193735</v>
      </c>
      <c r="AB11" s="2">
        <f t="shared" ca="1" si="15"/>
        <v>37.529612753087939</v>
      </c>
      <c r="AC11" s="2">
        <f>'Historical Trends'!F26</f>
        <v>35.89</v>
      </c>
      <c r="AE11" s="13">
        <f t="shared" ca="1" si="16"/>
        <v>6.3715581395348835</v>
      </c>
      <c r="AF11">
        <f t="shared" ca="1" si="17"/>
        <v>6.1499999999999986</v>
      </c>
      <c r="AG11">
        <f t="shared" ca="1" si="18"/>
        <v>7.9050000000000011</v>
      </c>
      <c r="AH11">
        <f t="shared" ca="1" si="19"/>
        <v>7.8599999999999994</v>
      </c>
      <c r="AI11">
        <f t="shared" ca="1" si="20"/>
        <v>7.4450000000000003</v>
      </c>
      <c r="AJ11">
        <f t="shared" ca="1" si="21"/>
        <v>8.1200000000000045</v>
      </c>
      <c r="AK11">
        <f t="shared" ca="1" si="22"/>
        <v>7.9383333333333397</v>
      </c>
      <c r="AL11">
        <f t="shared" ca="1" si="23"/>
        <v>7.3214285714285765</v>
      </c>
      <c r="AM11" s="13">
        <f t="shared" ref="AM11:AN15" si="37">K11-$AC11</f>
        <v>0.10999999999999943</v>
      </c>
      <c r="AN11">
        <f t="shared" si="37"/>
        <v>-0.55666666666666487</v>
      </c>
      <c r="AO11">
        <f t="shared" si="24"/>
        <v>-0.22333333333333627</v>
      </c>
      <c r="AP11">
        <f t="shared" si="25"/>
        <v>1.1099999999999994</v>
      </c>
      <c r="AQ11">
        <f t="shared" si="26"/>
        <v>1.7766666666666637</v>
      </c>
      <c r="AR11">
        <f t="shared" si="27"/>
        <v>0.77666666666666373</v>
      </c>
      <c r="AS11" s="30">
        <f t="shared" ref="AS11:AT15" si="38">Q11-$AC11</f>
        <v>1.6853030303030323</v>
      </c>
      <c r="AT11">
        <f t="shared" si="38"/>
        <v>0.92986111111111569</v>
      </c>
      <c r="AU11">
        <f t="shared" si="28"/>
        <v>1.1895833333333314</v>
      </c>
      <c r="AV11">
        <f t="shared" si="29"/>
        <v>2.6765333333333317</v>
      </c>
      <c r="AW11">
        <f t="shared" si="30"/>
        <v>3.2199999999999989</v>
      </c>
      <c r="AX11">
        <f t="shared" si="31"/>
        <v>1.5126666666666608</v>
      </c>
      <c r="AY11" s="13">
        <f t="shared" ref="AY11:AZ15" ca="1" si="39">W11-$AC11</f>
        <v>3.64970736393213</v>
      </c>
      <c r="AZ11" s="6">
        <f t="shared" ca="1" si="39"/>
        <v>2.6812096192070527</v>
      </c>
      <c r="BA11" s="6">
        <f t="shared" ca="1" si="32"/>
        <v>3.1297923070533287</v>
      </c>
      <c r="BB11" s="6">
        <f t="shared" ca="1" si="33"/>
        <v>3.5743951238801799</v>
      </c>
      <c r="BC11" s="6">
        <f t="shared" ca="1" si="34"/>
        <v>3.5931136711937341</v>
      </c>
      <c r="BD11" s="2">
        <f t="shared" ca="1" si="35"/>
        <v>1.6396127530879383</v>
      </c>
      <c r="BE11" t="s">
        <v>185</v>
      </c>
      <c r="BG11">
        <f>BG10</f>
        <v>0.68584762292338231</v>
      </c>
      <c r="BH11">
        <f>AVERAGE(BG10:BI10)</f>
        <v>0.71615527323855221</v>
      </c>
      <c r="BI11">
        <f>AVERAGE(BH10:BJ10)</f>
        <v>0.76399347734835643</v>
      </c>
      <c r="BJ11">
        <f>AVERAGE(BI10:BK10)</f>
        <v>0.82093106671985216</v>
      </c>
      <c r="BK11">
        <f>AVERAGE(BJ10:BM10)</f>
        <v>0.92027798684170403</v>
      </c>
      <c r="BL11">
        <f t="shared" si="10"/>
        <v>0.95026094550717644</v>
      </c>
      <c r="BM11">
        <f>BM10</f>
        <v>0.98024390417264895</v>
      </c>
    </row>
    <row r="12" spans="1:66" x14ac:dyDescent="0.25">
      <c r="A12" t="s">
        <v>49</v>
      </c>
      <c r="B12">
        <f>B11+1</f>
        <v>1</v>
      </c>
      <c r="C12" s="13">
        <f ca="1">'Historical Trends'!P27</f>
        <v>49.373992583436575</v>
      </c>
      <c r="D12">
        <f ca="1">AVERAGE(OFFSET('Historical Trends'!$F$28,$B5,0,'Polling Correlations - LNP'!D$4,1))</f>
        <v>41.32</v>
      </c>
      <c r="E12">
        <f ca="1">AVERAGE(OFFSET('Historical Trends'!$F$28,$B5,0,'Polling Correlations - LNP'!E$4,1))</f>
        <v>45.489999999999995</v>
      </c>
      <c r="F12">
        <f ca="1">AVERAGE(OFFSET('Historical Trends'!$F$28,$B5,0,'Polling Correlations - LNP'!F$4,1))</f>
        <v>44.193333333333328</v>
      </c>
      <c r="G12">
        <f ca="1">AVERAGE(OFFSET('Historical Trends'!$F$28,$B5,0,'Polling Correlations - LNP'!G$4,1))</f>
        <v>42.625</v>
      </c>
      <c r="H12">
        <f ca="1">AVERAGE(OFFSET('Historical Trends'!$F$28,$B5,0,'Polling Correlations - LNP'!H$4,1))</f>
        <v>41.192</v>
      </c>
      <c r="I12">
        <f ca="1">AVERAGE(OFFSET('Historical Trends'!$F$28,$B5,0,'Polling Correlations - LNP'!I$4,1))</f>
        <v>39.073333333333331</v>
      </c>
      <c r="J12">
        <f ca="1">AVERAGE(OFFSET('Historical Trends'!$F$28,$B5,0,'Polling Correlations - LNP'!J$4,1))</f>
        <v>37.957142857142856</v>
      </c>
      <c r="K12" s="13">
        <f>(42+41+39+42+38)/5</f>
        <v>40.4</v>
      </c>
      <c r="L12">
        <f>(32+37+35+37+35)/5</f>
        <v>35.200000000000003</v>
      </c>
      <c r="M12">
        <f>(34+34+31+33.2+33)/5</f>
        <v>33.04</v>
      </c>
      <c r="N12">
        <f>(33+34+36+34+35.3)/5</f>
        <v>34.46</v>
      </c>
      <c r="O12">
        <f>(38+34+33.2+35+33)/5</f>
        <v>34.64</v>
      </c>
      <c r="P12">
        <f>(35+34+30+29+32)/5</f>
        <v>32</v>
      </c>
      <c r="Q12" s="30">
        <f>K12-AVERAGE(AM$5:AM10,AM13:AM$31)</f>
        <v>42.369841269841267</v>
      </c>
      <c r="R12" s="31">
        <f>L12-AVERAGE(AN$5:AN10,AN13:AN$31)</f>
        <v>36.816811594202903</v>
      </c>
      <c r="S12" s="31">
        <f>M12-AVERAGE(AO$5:AO10,AO13:AO$31)</f>
        <v>34.647083333333335</v>
      </c>
      <c r="T12" s="31">
        <f>N12-AVERAGE(AP$5:AP10,AP13:AP$31)</f>
        <v>36.205733333333335</v>
      </c>
      <c r="U12" s="31">
        <f>O12-AVERAGE(AQ$5:AQ10,AQ13:AQ$31)</f>
        <v>36.205733333333335</v>
      </c>
      <c r="V12" s="31">
        <f>P12-AVERAGE(AR$5:AR10,AR13:AR$31)</f>
        <v>32.736800000000002</v>
      </c>
      <c r="W12" s="13">
        <f t="shared" ca="1" si="36"/>
        <v>41.334235465535365</v>
      </c>
      <c r="X12" s="6">
        <f t="shared" ca="1" si="36"/>
        <v>37.380694257357561</v>
      </c>
      <c r="Y12" s="6">
        <f t="shared" ca="1" si="12"/>
        <v>35.919593052900382</v>
      </c>
      <c r="Z12" s="6">
        <f t="shared" ca="1" si="13"/>
        <v>36.695054187522416</v>
      </c>
      <c r="AA12" s="6">
        <f t="shared" ca="1" si="14"/>
        <v>36.432495769966707</v>
      </c>
      <c r="AB12" s="2">
        <f t="shared" ca="1" si="15"/>
        <v>32.861985159746538</v>
      </c>
      <c r="AC12" s="2">
        <f>'Historical Trends'!F27</f>
        <v>33.69</v>
      </c>
      <c r="AE12" s="13">
        <f t="shared" ca="1" si="16"/>
        <v>15.683992583436577</v>
      </c>
      <c r="AF12">
        <f t="shared" ca="1" si="17"/>
        <v>7.6300000000000026</v>
      </c>
      <c r="AG12">
        <f t="shared" ca="1" si="18"/>
        <v>11.799999999999997</v>
      </c>
      <c r="AH12">
        <f t="shared" ca="1" si="19"/>
        <v>10.50333333333333</v>
      </c>
      <c r="AI12">
        <f t="shared" ca="1" si="20"/>
        <v>8.9350000000000023</v>
      </c>
      <c r="AJ12">
        <f t="shared" ca="1" si="21"/>
        <v>7.5020000000000024</v>
      </c>
      <c r="AK12">
        <f t="shared" ca="1" si="22"/>
        <v>5.3833333333333329</v>
      </c>
      <c r="AL12">
        <f t="shared" ca="1" si="23"/>
        <v>4.2671428571428578</v>
      </c>
      <c r="AM12" s="13">
        <f t="shared" si="37"/>
        <v>6.7100000000000009</v>
      </c>
      <c r="AN12">
        <f t="shared" si="37"/>
        <v>1.5100000000000051</v>
      </c>
      <c r="AO12">
        <f t="shared" si="24"/>
        <v>-0.64999999999999858</v>
      </c>
      <c r="AP12">
        <f t="shared" si="25"/>
        <v>0.77000000000000313</v>
      </c>
      <c r="AQ12">
        <f t="shared" si="26"/>
        <v>0.95000000000000284</v>
      </c>
      <c r="AR12">
        <f t="shared" si="27"/>
        <v>-1.6899999999999977</v>
      </c>
      <c r="AS12" s="30">
        <f t="shared" si="38"/>
        <v>8.679841269841269</v>
      </c>
      <c r="AT12">
        <f t="shared" si="38"/>
        <v>3.1268115942029056</v>
      </c>
      <c r="AU12">
        <f t="shared" si="28"/>
        <v>0.95708333333333684</v>
      </c>
      <c r="AV12">
        <f t="shared" si="29"/>
        <v>2.5157333333333369</v>
      </c>
      <c r="AW12">
        <f t="shared" si="30"/>
        <v>2.5157333333333369</v>
      </c>
      <c r="AX12">
        <f t="shared" si="31"/>
        <v>-0.95319999999999538</v>
      </c>
      <c r="AY12" s="13">
        <f t="shared" ca="1" si="39"/>
        <v>7.6442354655353668</v>
      </c>
      <c r="AZ12" s="6">
        <f t="shared" ca="1" si="39"/>
        <v>3.6906942573575634</v>
      </c>
      <c r="BA12" s="6">
        <f t="shared" ca="1" si="32"/>
        <v>2.229593052900384</v>
      </c>
      <c r="BB12" s="6">
        <f t="shared" ca="1" si="33"/>
        <v>3.0050541875224184</v>
      </c>
      <c r="BC12" s="6">
        <f t="shared" ca="1" si="34"/>
        <v>2.742495769966709</v>
      </c>
      <c r="BD12" s="2">
        <f t="shared" ca="1" si="35"/>
        <v>-0.82801484025345928</v>
      </c>
      <c r="BE12" t="s">
        <v>192</v>
      </c>
      <c r="BG12">
        <f>MAX(0,($BG$16+1/($BG$17*$BG$18))-1/(($BG$17-BG6) * $BG$18))</f>
        <v>0.67618865022278141</v>
      </c>
      <c r="BH12">
        <f t="shared" ref="BH12:BM12" si="40">MAX(0,($BG$16+1/($BG$17*$BG$18))-1/(($BG$17-BH6) * $BG$18))</f>
        <v>0.73028318119178059</v>
      </c>
      <c r="BI12">
        <f t="shared" si="40"/>
        <v>0.77858698969992979</v>
      </c>
      <c r="BJ12">
        <f t="shared" si="40"/>
        <v>0.82230889457530132</v>
      </c>
      <c r="BK12">
        <f t="shared" si="40"/>
        <v>0.88195900112516801</v>
      </c>
      <c r="BL12">
        <f t="shared" si="40"/>
        <v>0.94400632671381557</v>
      </c>
      <c r="BM12">
        <f t="shared" si="40"/>
        <v>0.99621226785081773</v>
      </c>
    </row>
    <row r="13" spans="1:66" x14ac:dyDescent="0.25">
      <c r="A13" t="s">
        <v>51</v>
      </c>
      <c r="B13">
        <f>B12+1</f>
        <v>2</v>
      </c>
      <c r="C13" s="13">
        <f ca="1">'Historical Trends'!P28</f>
        <v>51.316363636363349</v>
      </c>
      <c r="D13">
        <f ca="1">AVERAGE(OFFSET('Historical Trends'!$F$28,$B6,0,'Polling Correlations - LNP'!D$4,1))</f>
        <v>49.66</v>
      </c>
      <c r="E13">
        <f ca="1">AVERAGE(OFFSET('Historical Trends'!$F$28,$B6,0,'Polling Correlations - LNP'!E$4,1))</f>
        <v>45.629999999999995</v>
      </c>
      <c r="F13">
        <f ca="1">AVERAGE(OFFSET('Historical Trends'!$F$28,$B6,0,'Polling Correlations - LNP'!F$4,1))</f>
        <v>43.06</v>
      </c>
      <c r="G13">
        <f ca="1">AVERAGE(OFFSET('Historical Trends'!$F$28,$B6,0,'Polling Correlations - LNP'!G$4,1))</f>
        <v>41.160000000000004</v>
      </c>
      <c r="H13">
        <f ca="1">AVERAGE(OFFSET('Historical Trends'!$F$28,$B6,0,'Polling Correlations - LNP'!H$4,1))</f>
        <v>38.624000000000002</v>
      </c>
      <c r="I13">
        <f ca="1">AVERAGE(OFFSET('Historical Trends'!$F$28,$B6,0,'Polling Correlations - LNP'!I$4,1))</f>
        <v>37.396666666666668</v>
      </c>
      <c r="J13">
        <f ca="1">AVERAGE(OFFSET('Historical Trends'!$F$28,$B6,0,'Polling Correlations - LNP'!J$4,1))</f>
        <v>39.052857142857142</v>
      </c>
      <c r="K13" s="13">
        <f>AVERAGE(42.5+41.9+41+44+42)/5</f>
        <v>42.28</v>
      </c>
      <c r="L13">
        <f>(40+44+46+40+45)/5</f>
        <v>43</v>
      </c>
      <c r="M13">
        <f>AVERAGE(37.6+38.7+40.9+43+41)/5</f>
        <v>40.24</v>
      </c>
      <c r="N13">
        <f>(40.9+41.2+39+39+34.4)/5</f>
        <v>38.9</v>
      </c>
      <c r="O13">
        <f>(38+39.2+37+37+40.9)/5</f>
        <v>38.42</v>
      </c>
      <c r="P13">
        <f>(41.5+41+41+42+39)/5</f>
        <v>40.9</v>
      </c>
      <c r="Q13" s="30">
        <f>K13-AVERAGE(AM$5:AM12,AM14:AM$31)</f>
        <v>43.893939393939398</v>
      </c>
      <c r="R13" s="31">
        <f>L13-AVERAGE(AN$5:AN12,AN14:AN$31)</f>
        <v>44.579722222222223</v>
      </c>
      <c r="S13" s="31">
        <f>M13-AVERAGE(AO$5:AO12,AO14:AO$31)</f>
        <v>41.774533333333338</v>
      </c>
      <c r="T13" s="31">
        <f>N13-AVERAGE(AP$5:AP12,AP14:AP$31)</f>
        <v>40.413205128205128</v>
      </c>
      <c r="U13" s="31">
        <f>O13-AVERAGE(AQ$5:AQ12,AQ14:AQ$31)</f>
        <v>39.709102564102565</v>
      </c>
      <c r="V13" s="31">
        <f>P13-AVERAGE(AR$5:AR12,AR14:AR$31)</f>
        <v>41.627435897435895</v>
      </c>
      <c r="W13" s="13">
        <f t="shared" ca="1" si="36"/>
        <v>41.852805722151587</v>
      </c>
      <c r="X13" s="6">
        <f t="shared" ca="1" si="36"/>
        <v>42.784747050471651</v>
      </c>
      <c r="Y13" s="6">
        <f t="shared" ca="1" si="12"/>
        <v>40.515933415953626</v>
      </c>
      <c r="Z13" s="6">
        <f t="shared" ca="1" si="13"/>
        <v>39.898469747854236</v>
      </c>
      <c r="AA13" s="6">
        <f t="shared" ca="1" si="14"/>
        <v>39.526241077611758</v>
      </c>
      <c r="AB13" s="2">
        <f t="shared" ca="1" si="15"/>
        <v>41.543852415089411</v>
      </c>
      <c r="AC13" s="2">
        <f>'Historical Trends'!F28</f>
        <v>41.32</v>
      </c>
      <c r="AE13" s="13">
        <f t="shared" ca="1" si="16"/>
        <v>9.9963636363633483</v>
      </c>
      <c r="AF13">
        <f t="shared" ca="1" si="17"/>
        <v>8.3399999999999963</v>
      </c>
      <c r="AG13">
        <f t="shared" ca="1" si="18"/>
        <v>4.3099999999999952</v>
      </c>
      <c r="AH13">
        <f t="shared" ca="1" si="19"/>
        <v>1.740000000000002</v>
      </c>
      <c r="AI13" s="6">
        <f t="shared" ca="1" si="20"/>
        <v>-0.15999999999999659</v>
      </c>
      <c r="AJ13">
        <f t="shared" ca="1" si="21"/>
        <v>-2.695999999999998</v>
      </c>
      <c r="AK13">
        <f t="shared" ca="1" si="22"/>
        <v>-3.923333333333332</v>
      </c>
      <c r="AL13">
        <f t="shared" ca="1" si="23"/>
        <v>-2.2671428571428578</v>
      </c>
      <c r="AM13" s="13">
        <f t="shared" si="37"/>
        <v>0.96000000000000085</v>
      </c>
      <c r="AN13">
        <f t="shared" si="37"/>
        <v>1.6799999999999997</v>
      </c>
      <c r="AO13">
        <f t="shared" si="24"/>
        <v>-1.0799999999999983</v>
      </c>
      <c r="AP13">
        <f t="shared" si="25"/>
        <v>-2.4200000000000017</v>
      </c>
      <c r="AQ13">
        <f t="shared" si="26"/>
        <v>-2.8999999999999986</v>
      </c>
      <c r="AR13">
        <f t="shared" si="27"/>
        <v>-0.42000000000000171</v>
      </c>
      <c r="AS13" s="30">
        <f t="shared" si="38"/>
        <v>2.5739393939393977</v>
      </c>
      <c r="AT13">
        <f t="shared" si="38"/>
        <v>3.2597222222222229</v>
      </c>
      <c r="AU13">
        <f t="shared" si="28"/>
        <v>0.45453333333333745</v>
      </c>
      <c r="AV13">
        <f t="shared" si="29"/>
        <v>-0.90679487179487239</v>
      </c>
      <c r="AW13">
        <f t="shared" si="30"/>
        <v>-1.6108974358974351</v>
      </c>
      <c r="AX13">
        <f t="shared" si="31"/>
        <v>0.30743589743589439</v>
      </c>
      <c r="AY13" s="13">
        <f t="shared" ca="1" si="39"/>
        <v>0.53280572215158628</v>
      </c>
      <c r="AZ13" s="6">
        <f t="shared" ca="1" si="39"/>
        <v>1.4647470504716509</v>
      </c>
      <c r="BA13" s="6">
        <f t="shared" ca="1" si="32"/>
        <v>-0.80406658404637454</v>
      </c>
      <c r="BB13" s="6">
        <f t="shared" ca="1" si="33"/>
        <v>-1.4215302521457645</v>
      </c>
      <c r="BC13" s="6">
        <f t="shared" ca="1" si="34"/>
        <v>-1.7937589223882426</v>
      </c>
      <c r="BD13" s="2">
        <f t="shared" ca="1" si="35"/>
        <v>0.22385241508941078</v>
      </c>
      <c r="BE13" t="s">
        <v>191</v>
      </c>
      <c r="BG13">
        <f>(BG12-BG10)^2</f>
        <v>9.3295753630953413E-5</v>
      </c>
      <c r="BH13">
        <f t="shared" ref="BH13:BM13" si="41">(BH12-BH10)^2</f>
        <v>3.9309491073674316E-4</v>
      </c>
      <c r="BI13">
        <f t="shared" si="41"/>
        <v>4.3663807651735222E-3</v>
      </c>
      <c r="BJ13">
        <f t="shared" si="41"/>
        <v>4.9749614712781681E-5</v>
      </c>
      <c r="BK13">
        <f t="shared" si="41"/>
        <v>1.518159743884749E-3</v>
      </c>
      <c r="BL13">
        <f t="shared" si="41"/>
        <v>4.3255753797065537E-5</v>
      </c>
      <c r="BM13">
        <f t="shared" si="41"/>
        <v>2.5498863855826008E-4</v>
      </c>
      <c r="BN13">
        <f>SQRT(SUM(BG13:BM13))</f>
        <v>8.1969050137805519E-2</v>
      </c>
    </row>
    <row r="14" spans="1:66" x14ac:dyDescent="0.25">
      <c r="A14" t="s">
        <v>52</v>
      </c>
      <c r="B14">
        <f>B13+1</f>
        <v>3</v>
      </c>
      <c r="C14" s="13">
        <f ca="1">'Historical Trends'!P29</f>
        <v>35.831149567367163</v>
      </c>
      <c r="D14">
        <f ca="1">AVERAGE(OFFSET('Historical Trends'!$F$28,$B7,0,'Polling Correlations - LNP'!D$4,1))</f>
        <v>41.6</v>
      </c>
      <c r="E14">
        <f ca="1">AVERAGE(OFFSET('Historical Trends'!$F$28,$B7,0,'Polling Correlations - LNP'!E$4,1))</f>
        <v>39.760000000000005</v>
      </c>
      <c r="F14">
        <f ca="1">AVERAGE(OFFSET('Historical Trends'!$F$28,$B7,0,'Polling Correlations - LNP'!F$4,1))</f>
        <v>38.326666666666675</v>
      </c>
      <c r="G14">
        <f ca="1">AVERAGE(OFFSET('Historical Trends'!$F$28,$B7,0,'Polling Correlations - LNP'!G$4,1))</f>
        <v>35.865000000000002</v>
      </c>
      <c r="H14">
        <f ca="1">AVERAGE(OFFSET('Historical Trends'!$F$28,$B7,0,'Polling Correlations - LNP'!H$4,1))</f>
        <v>34.944000000000003</v>
      </c>
      <c r="I14">
        <f ca="1">AVERAGE(OFFSET('Historical Trends'!$F$28,$B7,0,'Polling Correlations - LNP'!I$4,1))</f>
        <v>37.285000000000004</v>
      </c>
      <c r="J14">
        <f ca="1">AVERAGE(OFFSET('Historical Trends'!$F$28,$B7,0,'Polling Correlations - LNP'!J$4,1))</f>
        <v>38.265714285714289</v>
      </c>
      <c r="K14" s="13">
        <f>(48+43+43+48+47)/5</f>
        <v>45.8</v>
      </c>
      <c r="L14">
        <f>(46+37+48+45+50)/5</f>
        <v>45.2</v>
      </c>
      <c r="M14">
        <f>(52+50+52+51+47)/5</f>
        <v>50.4</v>
      </c>
      <c r="N14">
        <f>(50+44+52+50+52)/5</f>
        <v>49.6</v>
      </c>
      <c r="O14">
        <f>(49+47+49+50+44)/5</f>
        <v>47.8</v>
      </c>
      <c r="P14">
        <f>(50+47+49+47+49)/5</f>
        <v>48.4</v>
      </c>
      <c r="Q14" s="30">
        <f>K14-AVERAGE(AM$5:AM13,AM15:AM$31)</f>
        <v>47.194848484848485</v>
      </c>
      <c r="R14" s="31">
        <f>L14-AVERAGE(AN$5:AN13,AN15:AN$31)</f>
        <v>46.523888888888891</v>
      </c>
      <c r="S14" s="31">
        <f>M14-AVERAGE(AO$5:AO13,AO15:AO$31)</f>
        <v>52.007333333333335</v>
      </c>
      <c r="T14" s="31">
        <f>N14-AVERAGE(AP$5:AP13,AP15:AP$31)</f>
        <v>51.203974358974364</v>
      </c>
      <c r="U14" s="31">
        <f>O14-AVERAGE(AQ$5:AQ13,AQ15:AQ$31)</f>
        <v>49.12910256410256</v>
      </c>
      <c r="V14" s="31">
        <f>P14-AVERAGE(AR$5:AR13,AR15:AR$31)</f>
        <v>49.095128205128205</v>
      </c>
      <c r="W14" s="13">
        <f t="shared" ca="1" si="36"/>
        <v>44.081646026864213</v>
      </c>
      <c r="X14" s="6">
        <f t="shared" ca="1" si="36"/>
        <v>44.215181119353169</v>
      </c>
      <c r="Y14" s="6">
        <f t="shared" ca="1" si="12"/>
        <v>47.77478608422345</v>
      </c>
      <c r="Z14" s="6">
        <f t="shared" ca="1" si="13"/>
        <v>48.828871686785313</v>
      </c>
      <c r="AA14" s="6">
        <f t="shared" ca="1" si="14"/>
        <v>48.192501379428435</v>
      </c>
      <c r="AB14" s="2">
        <f t="shared" ca="1" si="15"/>
        <v>48.861806180574391</v>
      </c>
      <c r="AC14" s="2">
        <f>'Historical Trends'!F29</f>
        <v>49.66</v>
      </c>
      <c r="AE14" s="13">
        <f t="shared" ca="1" si="16"/>
        <v>-13.828850432632834</v>
      </c>
      <c r="AF14">
        <f t="shared" ca="1" si="17"/>
        <v>-8.0599999999999952</v>
      </c>
      <c r="AG14">
        <f t="shared" ca="1" si="18"/>
        <v>-9.8999999999999915</v>
      </c>
      <c r="AH14">
        <f t="shared" ca="1" si="19"/>
        <v>-11.333333333333321</v>
      </c>
      <c r="AI14">
        <f t="shared" ca="1" si="20"/>
        <v>-13.794999999999995</v>
      </c>
      <c r="AJ14">
        <f t="shared" ca="1" si="21"/>
        <v>-14.715999999999994</v>
      </c>
      <c r="AK14">
        <f t="shared" ca="1" si="22"/>
        <v>-12.374999999999993</v>
      </c>
      <c r="AL14">
        <f t="shared" ca="1" si="23"/>
        <v>-11.394285714285708</v>
      </c>
      <c r="AM14" s="13">
        <f t="shared" si="37"/>
        <v>-3.8599999999999994</v>
      </c>
      <c r="AN14">
        <f t="shared" si="37"/>
        <v>-4.4599999999999937</v>
      </c>
      <c r="AO14">
        <f t="shared" si="24"/>
        <v>0.74000000000000199</v>
      </c>
      <c r="AP14">
        <f t="shared" si="25"/>
        <v>-5.9999999999995168E-2</v>
      </c>
      <c r="AQ14">
        <f t="shared" si="26"/>
        <v>-1.8599999999999994</v>
      </c>
      <c r="AR14">
        <f t="shared" si="27"/>
        <v>-1.259999999999998</v>
      </c>
      <c r="AS14" s="30">
        <f t="shared" si="38"/>
        <v>-2.4651515151515113</v>
      </c>
      <c r="AT14">
        <f t="shared" si="38"/>
        <v>-3.1361111111111057</v>
      </c>
      <c r="AU14">
        <f t="shared" si="28"/>
        <v>2.3473333333333386</v>
      </c>
      <c r="AV14">
        <f t="shared" si="29"/>
        <v>1.5439743589743671</v>
      </c>
      <c r="AW14">
        <f t="shared" si="30"/>
        <v>-0.53089743589743676</v>
      </c>
      <c r="AX14">
        <f t="shared" si="31"/>
        <v>-0.56487179487179162</v>
      </c>
      <c r="AY14" s="13">
        <f t="shared" ca="1" si="39"/>
        <v>-5.5783539731357834</v>
      </c>
      <c r="AZ14" s="6">
        <f t="shared" ca="1" si="39"/>
        <v>-5.4448188806468281</v>
      </c>
      <c r="BA14" s="6">
        <f t="shared" ca="1" si="32"/>
        <v>-1.8852139157765464</v>
      </c>
      <c r="BB14" s="6">
        <f t="shared" ca="1" si="33"/>
        <v>-0.83112831321468406</v>
      </c>
      <c r="BC14" s="6">
        <f t="shared" ca="1" si="34"/>
        <v>-1.4674986205715612</v>
      </c>
      <c r="BD14" s="2">
        <f t="shared" ca="1" si="35"/>
        <v>-0.79819381942560597</v>
      </c>
    </row>
    <row r="15" spans="1:66" x14ac:dyDescent="0.25">
      <c r="A15" t="s">
        <v>53</v>
      </c>
      <c r="B15">
        <f>B14+1</f>
        <v>4</v>
      </c>
      <c r="C15" s="13">
        <f ca="1">'Historical Trends'!P30</f>
        <v>30.157186046511697</v>
      </c>
      <c r="D15">
        <f ca="1">AVERAGE(OFFSET('Historical Trends'!$F$28,$B8,0,'Polling Correlations - LNP'!D$4,1))</f>
        <v>37.92</v>
      </c>
      <c r="E15">
        <f ca="1">AVERAGE(OFFSET('Historical Trends'!$F$28,$B8,0,'Polling Correlations - LNP'!E$4,1))</f>
        <v>36.69</v>
      </c>
      <c r="F15">
        <f ca="1">AVERAGE(OFFSET('Historical Trends'!$F$28,$B8,0,'Polling Correlations - LNP'!F$4,1))</f>
        <v>33.953333333333333</v>
      </c>
      <c r="G15">
        <f ca="1">AVERAGE(OFFSET('Historical Trends'!$F$28,$B8,0,'Polling Correlations - LNP'!G$4,1))</f>
        <v>33.28</v>
      </c>
      <c r="H15">
        <f ca="1">AVERAGE(OFFSET('Historical Trends'!$F$28,$B8,0,'Polling Correlations - LNP'!H$4,1))</f>
        <v>36.422000000000004</v>
      </c>
      <c r="I15">
        <f ca="1">AVERAGE(OFFSET('Historical Trends'!$F$28,$B8,0,'Polling Correlations - LNP'!I$4,1))</f>
        <v>37.71</v>
      </c>
      <c r="J15">
        <f ca="1">AVERAGE(OFFSET('Historical Trends'!$F$28,$B8,0,'Polling Correlations - LNP'!J$4,1))</f>
        <v>38.771428571428579</v>
      </c>
      <c r="K15" s="13">
        <f>(35+39+38)/3</f>
        <v>37.333333333333336</v>
      </c>
      <c r="L15">
        <f>(32+32+39)/3</f>
        <v>34.333333333333336</v>
      </c>
      <c r="M15">
        <f>(38+40+42)/3</f>
        <v>40</v>
      </c>
      <c r="N15">
        <f>(37+42+38)/3</f>
        <v>39</v>
      </c>
      <c r="O15">
        <f>(42+37+42)/3</f>
        <v>40.333333333333336</v>
      </c>
      <c r="P15">
        <f>AVERAGE(42+43+42)/3</f>
        <v>42.333333333333336</v>
      </c>
      <c r="Q15" s="30">
        <f>K15-AVERAGE(AM$5:AM14,AM16:AM$31)</f>
        <v>38.709696969696971</v>
      </c>
      <c r="R15" s="31">
        <f>L15-AVERAGE(AN$5:AN14,AN16:AN$31)</f>
        <v>35.540277777777781</v>
      </c>
      <c r="S15" s="31">
        <f>M15-AVERAGE(AO$5:AO14,AO16:AO$31)</f>
        <v>41.513733333333334</v>
      </c>
      <c r="T15" s="31">
        <f>N15-AVERAGE(AP$5:AP14,AP16:AP$31)</f>
        <v>40.506282051282049</v>
      </c>
      <c r="U15" s="31">
        <f>O15-AVERAGE(AQ$5:AQ14,AQ16:AQ$31)</f>
        <v>41.685256410256414</v>
      </c>
      <c r="V15" s="31">
        <f>P15-AVERAGE(AR$5:AR14,AR16:AR$31)</f>
        <v>43.10512820512821</v>
      </c>
      <c r="W15" s="13">
        <f t="shared" ca="1" si="36"/>
        <v>38.395639790310376</v>
      </c>
      <c r="X15" s="6">
        <f t="shared" ca="1" si="36"/>
        <v>36.082470092505488</v>
      </c>
      <c r="Y15" s="6">
        <f t="shared" ca="1" si="12"/>
        <v>40.420191929818429</v>
      </c>
      <c r="Z15" s="6">
        <f t="shared" ca="1" si="13"/>
        <v>40.02913073244855</v>
      </c>
      <c r="AA15" s="6">
        <f t="shared" ca="1" si="14"/>
        <v>41.370903352008334</v>
      </c>
      <c r="AB15" s="2">
        <f t="shared" ca="1" si="15"/>
        <v>42.998541535306849</v>
      </c>
      <c r="AC15" s="2">
        <f>'Historical Trends'!F30</f>
        <v>41.6</v>
      </c>
      <c r="AE15" s="13">
        <f t="shared" ca="1" si="16"/>
        <v>-11.442813953488304</v>
      </c>
      <c r="AF15">
        <f t="shared" ca="1" si="17"/>
        <v>-3.6799999999999997</v>
      </c>
      <c r="AG15">
        <f t="shared" ca="1" si="18"/>
        <v>-4.9100000000000037</v>
      </c>
      <c r="AH15">
        <f t="shared" ca="1" si="19"/>
        <v>-7.6466666666666683</v>
      </c>
      <c r="AI15">
        <f t="shared" ca="1" si="20"/>
        <v>-8.32</v>
      </c>
      <c r="AJ15">
        <f t="shared" ca="1" si="21"/>
        <v>-5.1779999999999973</v>
      </c>
      <c r="AK15">
        <f t="shared" ca="1" si="22"/>
        <v>-3.8900000000000006</v>
      </c>
      <c r="AL15">
        <f t="shared" ca="1" si="23"/>
        <v>-2.8285714285714221</v>
      </c>
      <c r="AM15" s="13">
        <f t="shared" si="37"/>
        <v>-4.2666666666666657</v>
      </c>
      <c r="AN15">
        <f t="shared" si="37"/>
        <v>-7.2666666666666657</v>
      </c>
      <c r="AO15">
        <f t="shared" si="24"/>
        <v>-1.6000000000000014</v>
      </c>
      <c r="AP15">
        <f t="shared" si="25"/>
        <v>-2.6000000000000014</v>
      </c>
      <c r="AQ15">
        <f t="shared" si="26"/>
        <v>-1.2666666666666657</v>
      </c>
      <c r="AR15">
        <f t="shared" si="27"/>
        <v>0.73333333333333428</v>
      </c>
      <c r="AS15" s="30">
        <f t="shared" si="38"/>
        <v>-2.8903030303030306</v>
      </c>
      <c r="AT15">
        <f t="shared" si="38"/>
        <v>-6.05972222222222</v>
      </c>
      <c r="AU15">
        <f t="shared" si="28"/>
        <v>-8.6266666666666936E-2</v>
      </c>
      <c r="AV15">
        <f t="shared" si="29"/>
        <v>-1.093717948717952</v>
      </c>
      <c r="AW15">
        <f t="shared" si="30"/>
        <v>8.5256410256413062E-2</v>
      </c>
      <c r="AX15">
        <f t="shared" si="31"/>
        <v>1.5051282051282087</v>
      </c>
      <c r="AY15" s="13">
        <f t="shared" ca="1" si="39"/>
        <v>-3.2043602096896251</v>
      </c>
      <c r="AZ15" s="6">
        <f t="shared" ca="1" si="39"/>
        <v>-5.517529907494513</v>
      </c>
      <c r="BA15" s="6">
        <f t="shared" ca="1" si="32"/>
        <v>-1.1798080701815721</v>
      </c>
      <c r="BB15" s="6">
        <f t="shared" ca="1" si="33"/>
        <v>-1.5708692675514513</v>
      </c>
      <c r="BC15" s="6">
        <f t="shared" ca="1" si="34"/>
        <v>-0.22909664799166762</v>
      </c>
      <c r="BD15" s="2">
        <f t="shared" ca="1" si="35"/>
        <v>1.3985415353068475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Trends'!P31</f>
        <v>28.676857142856989</v>
      </c>
      <c r="D16">
        <f ca="1">AVERAGE(OFFSET('Historical Trends'!$F$28,$B9,0,'Polling Correlations - LNP'!D$4,1))</f>
        <v>35.46</v>
      </c>
      <c r="E16">
        <f ca="1">AVERAGE(OFFSET('Historical Trends'!$F$28,$B9,0,'Polling Correlations - LNP'!E$4,1))</f>
        <v>31.97</v>
      </c>
      <c r="F16">
        <f ca="1">AVERAGE(OFFSET('Historical Trends'!$F$28,$B9,0,'Polling Correlations - LNP'!F$4,1))</f>
        <v>31.733333333333334</v>
      </c>
      <c r="G16">
        <f ca="1">AVERAGE(OFFSET('Historical Trends'!$F$28,$B9,0,'Polling Correlations - LNP'!G$4,1))</f>
        <v>36.047499999999999</v>
      </c>
      <c r="H16">
        <f ca="1">AVERAGE(OFFSET('Historical Trends'!$F$28,$B9,0,'Polling Correlations - LNP'!H$4,1))</f>
        <v>37.667999999999999</v>
      </c>
      <c r="I16">
        <f ca="1">AVERAGE(OFFSET('Historical Trends'!$F$28,$B9,0,'Polling Correlations - LNP'!I$4,1))</f>
        <v>38.913333333333334</v>
      </c>
      <c r="J16">
        <f ca="1">AVERAGE(OFFSET('Historical Trends'!$F$28,$B9,0,'Polling Correlations - LNP'!J$4,1))</f>
        <v>41.374285714285712</v>
      </c>
      <c r="L16">
        <f>(42+42+37)/3</f>
        <v>40.333333333333336</v>
      </c>
      <c r="M16">
        <f>(42+43+42)/3</f>
        <v>42.333333333333336</v>
      </c>
      <c r="N16">
        <f>(39+42+43)/3</f>
        <v>41.333333333333336</v>
      </c>
      <c r="O16">
        <f>(38+39+42)/3</f>
        <v>39.666666666666664</v>
      </c>
      <c r="P16">
        <f>(38+38+38)/3</f>
        <v>38</v>
      </c>
      <c r="Q16" s="30"/>
      <c r="R16" s="31">
        <f>L16-AVERAGE(AN$5:AN15,AN17:AN$31)</f>
        <v>41.94361111111111</v>
      </c>
      <c r="S16" s="31">
        <f>M16-AVERAGE(AO$5:AO15,AO17:AO$31)</f>
        <v>44.087600000000002</v>
      </c>
      <c r="T16" s="31">
        <f>N16-AVERAGE(AP$5:AP15,AP17:AP$31)</f>
        <v>43.070897435897436</v>
      </c>
      <c r="U16" s="31">
        <f>O16-AVERAGE(AQ$5:AQ15,AQ17:AQ$31)</f>
        <v>41.134487179487181</v>
      </c>
      <c r="V16" s="31">
        <f>P16-AVERAGE(AR$5:AR15,AR17:AR$31)</f>
        <v>38.74666666666667</v>
      </c>
      <c r="X16" s="6">
        <f t="shared" ref="X16:X30" ca="1" si="42">R16*X$4+$I16*(1-X$4)</f>
        <v>41.186374398607647</v>
      </c>
      <c r="Y16" s="6">
        <f t="shared" ca="1" si="12"/>
        <v>42.600041767870067</v>
      </c>
      <c r="Z16" s="6">
        <f t="shared" ca="1" si="13"/>
        <v>42.361459990642672</v>
      </c>
      <c r="AA16" s="6">
        <f t="shared" ca="1" si="14"/>
        <v>40.958844042964849</v>
      </c>
      <c r="AB16" s="2">
        <f t="shared" ca="1" si="15"/>
        <v>38.749959349304561</v>
      </c>
      <c r="AC16" s="2">
        <f>'Historical Trends'!F31</f>
        <v>37.92</v>
      </c>
      <c r="AE16" s="13">
        <f t="shared" ca="1" si="16"/>
        <v>-9.2431428571430132</v>
      </c>
      <c r="AF16">
        <f t="shared" ca="1" si="17"/>
        <v>-2.4600000000000009</v>
      </c>
      <c r="AG16">
        <f t="shared" ca="1" si="18"/>
        <v>-5.9500000000000028</v>
      </c>
      <c r="AH16">
        <f t="shared" ca="1" si="19"/>
        <v>-6.1866666666666674</v>
      </c>
      <c r="AI16">
        <f t="shared" ca="1" si="20"/>
        <v>-1.8725000000000023</v>
      </c>
      <c r="AJ16">
        <f t="shared" ca="1" si="21"/>
        <v>-0.25200000000000244</v>
      </c>
      <c r="AK16">
        <f t="shared" ca="1" si="22"/>
        <v>0.99333333333333229</v>
      </c>
      <c r="AL16">
        <f t="shared" ca="1" si="23"/>
        <v>3.4542857142857102</v>
      </c>
      <c r="AN16">
        <f t="shared" ref="AN16:AN30" si="43">L16-$AC16</f>
        <v>2.413333333333334</v>
      </c>
      <c r="AO16">
        <f t="shared" si="24"/>
        <v>4.413333333333334</v>
      </c>
      <c r="AP16">
        <f t="shared" si="25"/>
        <v>3.413333333333334</v>
      </c>
      <c r="AQ16">
        <f t="shared" si="26"/>
        <v>1.7466666666666626</v>
      </c>
      <c r="AR16">
        <f t="shared" si="27"/>
        <v>7.9999999999998295E-2</v>
      </c>
      <c r="AS16" s="30"/>
      <c r="AT16">
        <f t="shared" ref="AT16:AT30" si="44">R16-$AC16</f>
        <v>4.0236111111111086</v>
      </c>
      <c r="AU16">
        <f t="shared" si="28"/>
        <v>6.1676000000000002</v>
      </c>
      <c r="AV16">
        <f t="shared" si="29"/>
        <v>5.1508974358974342</v>
      </c>
      <c r="AW16">
        <f t="shared" si="30"/>
        <v>3.214487179487179</v>
      </c>
      <c r="AX16">
        <f t="shared" si="31"/>
        <v>0.82666666666666799</v>
      </c>
      <c r="AZ16" s="6">
        <f t="shared" ref="AZ16:AZ30" ca="1" si="45">X16-$AC16</f>
        <v>3.2663743986076454</v>
      </c>
      <c r="BA16" s="6">
        <f t="shared" ca="1" si="32"/>
        <v>4.6800417678700654</v>
      </c>
      <c r="BB16" s="6">
        <f t="shared" ca="1" si="33"/>
        <v>4.4414599906426702</v>
      </c>
      <c r="BC16" s="6">
        <f t="shared" ca="1" si="34"/>
        <v>3.0388440429648469</v>
      </c>
      <c r="BD16" s="2">
        <f t="shared" ca="1" si="35"/>
        <v>0.82995934930455917</v>
      </c>
      <c r="BE16" t="s">
        <v>188</v>
      </c>
      <c r="BG16">
        <v>1.0198579234384952</v>
      </c>
    </row>
    <row r="17" spans="1:74" x14ac:dyDescent="0.25">
      <c r="A17" t="s">
        <v>48</v>
      </c>
      <c r="B17">
        <v>0</v>
      </c>
      <c r="C17" s="13">
        <f ca="1">'Historical Trends'!P46</f>
        <v>49.273999999999887</v>
      </c>
      <c r="D17">
        <f ca="1">AVERAGE(OFFSET('Historical Trends'!$F$48,$B5,0,'Polling Correlations - LNP'!D$4,1))</f>
        <v>45.63</v>
      </c>
      <c r="E17">
        <f ca="1">AVERAGE(OFFSET('Historical Trends'!$F$48,$B5,0,'Polling Correlations - LNP'!E$4,1))</f>
        <v>48.385000000000005</v>
      </c>
      <c r="F17">
        <f ca="1">AVERAGE(OFFSET('Historical Trends'!$F$48,$B5,0,'Polling Correlations - LNP'!F$4,1))</f>
        <v>44.586666666666673</v>
      </c>
      <c r="G17">
        <f ca="1">AVERAGE(OFFSET('Historical Trends'!$F$48,$B5,0,'Polling Correlations - LNP'!G$4,1))</f>
        <v>42.027500000000003</v>
      </c>
      <c r="H17">
        <f ca="1">AVERAGE(OFFSET('Historical Trends'!$F$48,$B5,0,'Polling Correlations - LNP'!H$4,1))</f>
        <v>40.380000000000003</v>
      </c>
      <c r="I17">
        <f ca="1">AVERAGE(OFFSET('Historical Trends'!$F$48,$B5,0,'Polling Correlations - LNP'!I$4,1))</f>
        <v>40.973333333333336</v>
      </c>
      <c r="J17">
        <f ca="1">AVERAGE(OFFSET('Historical Trends'!$F$48,$B5,0,'Polling Correlations - LNP'!J$4,1))</f>
        <v>41.502857142857138</v>
      </c>
      <c r="K17" s="13">
        <f>(40+43+42.7)/3</f>
        <v>41.9</v>
      </c>
      <c r="L17">
        <f>(44.7+38+40)/3</f>
        <v>40.9</v>
      </c>
      <c r="M17">
        <f>(37.3+44.7+38)/3</f>
        <v>40</v>
      </c>
      <c r="N17">
        <f>(38+37+37.3)/3</f>
        <v>37.43333333333333</v>
      </c>
      <c r="O17">
        <f>(39+39+38+37+37.3)/5</f>
        <v>38.06</v>
      </c>
      <c r="P17">
        <f>(41+41+40+37.5+39)/5</f>
        <v>39.700000000000003</v>
      </c>
      <c r="Q17" s="30">
        <f>K17-AVERAGE(AM$5:AM16,AM18:AM$31)</f>
        <v>43.484848484848484</v>
      </c>
      <c r="R17" s="31">
        <f>L17-AVERAGE(AN$5:AN16,AN18:AN$31)</f>
        <v>42.381388888888885</v>
      </c>
      <c r="S17" s="31">
        <f>M17-AVERAGE(AO$5:AO16,AO18:AO$31)</f>
        <v>41.514533333333333</v>
      </c>
      <c r="T17" s="31">
        <f>N17-AVERAGE(AP$5:AP16,AP18:AP$31)</f>
        <v>38.880128205128202</v>
      </c>
      <c r="U17" s="31">
        <f>O17-AVERAGE(AQ$5:AQ16,AQ18:AQ$31)</f>
        <v>39.325256410256415</v>
      </c>
      <c r="V17" s="31">
        <f>P17-AVERAGE(AR$5:AR16,AR18:AR$31)</f>
        <v>40.371282051282051</v>
      </c>
      <c r="W17" s="13">
        <f t="shared" ref="W17:W23" ca="1" si="46">Q17*W$4+$I17*(1-W$4)</f>
        <v>42.695850029936061</v>
      </c>
      <c r="X17" s="6">
        <f t="shared" ca="1" si="42"/>
        <v>42.029529607957542</v>
      </c>
      <c r="Y17" s="6">
        <f t="shared" ca="1" si="12"/>
        <v>41.358942876348372</v>
      </c>
      <c r="Z17" s="6">
        <f t="shared" ca="1" si="13"/>
        <v>39.237308049362518</v>
      </c>
      <c r="AA17" s="6">
        <f t="shared" ca="1" si="14"/>
        <v>39.455582096836189</v>
      </c>
      <c r="AB17" s="2">
        <f t="shared" ca="1" si="15"/>
        <v>40.383176234103239</v>
      </c>
      <c r="AC17" s="2">
        <f>'Historical Trends'!F47</f>
        <v>41.58</v>
      </c>
      <c r="AE17" s="13">
        <f t="shared" ca="1" si="16"/>
        <v>7.6939999999998889</v>
      </c>
      <c r="AF17">
        <f t="shared" ca="1" si="17"/>
        <v>4.0500000000000043</v>
      </c>
      <c r="AG17">
        <f t="shared" ca="1" si="18"/>
        <v>6.8050000000000068</v>
      </c>
      <c r="AH17">
        <f t="shared" ca="1" si="19"/>
        <v>3.0066666666666748</v>
      </c>
      <c r="AI17">
        <f t="shared" ca="1" si="20"/>
        <v>0.44750000000000512</v>
      </c>
      <c r="AJ17">
        <f t="shared" ca="1" si="21"/>
        <v>-1.1999999999999957</v>
      </c>
      <c r="AK17">
        <f t="shared" ca="1" si="22"/>
        <v>-0.60666666666666202</v>
      </c>
      <c r="AL17">
        <f t="shared" ca="1" si="23"/>
        <v>-7.7142857142860066E-2</v>
      </c>
      <c r="AM17" s="13">
        <f t="shared" ref="AM17:AM23" si="47">K17-$AC17</f>
        <v>0.32000000000000028</v>
      </c>
      <c r="AN17">
        <f t="shared" si="43"/>
        <v>-0.67999999999999972</v>
      </c>
      <c r="AO17">
        <f t="shared" si="24"/>
        <v>-1.5799999999999983</v>
      </c>
      <c r="AP17">
        <f t="shared" si="25"/>
        <v>-4.1466666666666683</v>
      </c>
      <c r="AQ17">
        <f t="shared" si="26"/>
        <v>-3.519999999999996</v>
      </c>
      <c r="AR17">
        <f t="shared" si="27"/>
        <v>-1.8799999999999955</v>
      </c>
      <c r="AS17" s="30">
        <f t="shared" ref="AS17:AS23" si="48">Q17-$AC17</f>
        <v>1.9048484848484861</v>
      </c>
      <c r="AT17">
        <f t="shared" si="44"/>
        <v>0.80138888888888715</v>
      </c>
      <c r="AU17">
        <f t="shared" si="28"/>
        <v>-6.5466666666665674E-2</v>
      </c>
      <c r="AV17">
        <f t="shared" si="29"/>
        <v>-2.6998717948717967</v>
      </c>
      <c r="AW17">
        <f t="shared" si="30"/>
        <v>-2.2547435897435832</v>
      </c>
      <c r="AX17">
        <f t="shared" si="31"/>
        <v>-1.2087179487179469</v>
      </c>
      <c r="AY17" s="13">
        <f ca="1">W17-$AC17</f>
        <v>1.1158500299360625</v>
      </c>
      <c r="AZ17" s="6">
        <f t="shared" ca="1" si="45"/>
        <v>0.44952960795754393</v>
      </c>
      <c r="BA17" s="6">
        <f t="shared" ca="1" si="32"/>
        <v>-0.22105712365162589</v>
      </c>
      <c r="BB17" s="6">
        <f t="shared" ca="1" si="33"/>
        <v>-2.3426919506374801</v>
      </c>
      <c r="BC17" s="6">
        <f t="shared" ca="1" si="34"/>
        <v>-2.1244179031638097</v>
      </c>
      <c r="BD17" s="2">
        <f t="shared" ca="1" si="35"/>
        <v>-1.1968237658967595</v>
      </c>
      <c r="BE17" t="s">
        <v>189</v>
      </c>
      <c r="BG17">
        <v>17.766687327657436</v>
      </c>
    </row>
    <row r="18" spans="1:74" x14ac:dyDescent="0.25">
      <c r="A18" t="s">
        <v>70</v>
      </c>
      <c r="B18">
        <f>B17+1</f>
        <v>1</v>
      </c>
      <c r="C18" s="13">
        <f ca="1">'Historical Trends'!P47</f>
        <v>47.287333333333436</v>
      </c>
      <c r="D18">
        <f ca="1">AVERAGE(OFFSET('Historical Trends'!$F$48,$B6,0,'Polling Correlations - LNP'!D$4,1))</f>
        <v>51.14</v>
      </c>
      <c r="E18">
        <f ca="1">AVERAGE(OFFSET('Historical Trends'!$F$48,$B6,0,'Polling Correlations - LNP'!E$4,1))</f>
        <v>44.064999999999998</v>
      </c>
      <c r="F18">
        <f ca="1">AVERAGE(OFFSET('Historical Trends'!$F$48,$B6,0,'Polling Correlations - LNP'!F$4,1))</f>
        <v>40.826666666666661</v>
      </c>
      <c r="G18">
        <f ca="1">AVERAGE(OFFSET('Historical Trends'!$F$48,$B6,0,'Polling Correlations - LNP'!G$4,1))</f>
        <v>39.067499999999995</v>
      </c>
      <c r="H18">
        <f ca="1">AVERAGE(OFFSET('Historical Trends'!$F$48,$B6,0,'Polling Correlations - LNP'!H$4,1))</f>
        <v>40.041999999999994</v>
      </c>
      <c r="I18">
        <f ca="1">AVERAGE(OFFSET('Historical Trends'!$F$48,$B6,0,'Polling Correlations - LNP'!I$4,1))</f>
        <v>40.814999999999998</v>
      </c>
      <c r="J18">
        <f ca="1">AVERAGE(OFFSET('Historical Trends'!$F$48,$B6,0,'Polling Correlations - LNP'!J$4,1))</f>
        <v>42.061428571428571</v>
      </c>
      <c r="K18" s="13">
        <f>(52+46+45+51+45)/5</f>
        <v>47.8</v>
      </c>
      <c r="L18">
        <f>(40+46+45+49+47)/5</f>
        <v>45.4</v>
      </c>
      <c r="M18">
        <f>(45+40+43+43+43)/5</f>
        <v>42.8</v>
      </c>
      <c r="N18">
        <f>(45+44+46+42+45)/5</f>
        <v>44.4</v>
      </c>
      <c r="O18">
        <f>(44.6+43+43+45+44)/5</f>
        <v>43.92</v>
      </c>
      <c r="P18">
        <f>(45.5+44+45+45+44)/5</f>
        <v>44.7</v>
      </c>
      <c r="Q18" s="30">
        <f>K18-AVERAGE(AM$5:AM17,AM19:AM$31)</f>
        <v>49.468939393939394</v>
      </c>
      <c r="R18" s="31">
        <f>L18-AVERAGE(AN$5:AN17,AN19:AN$31)</f>
        <v>46.90013888888889</v>
      </c>
      <c r="S18" s="31">
        <f>M18-AVERAGE(AO$5:AO17,AO19:AO$31)</f>
        <v>44.264533333333333</v>
      </c>
      <c r="T18" s="31">
        <f>N18-AVERAGE(AP$5:AP17,AP19:AP$31)</f>
        <v>45.958974358974359</v>
      </c>
      <c r="U18" s="31">
        <f>O18-AVERAGE(AQ$5:AQ17,AQ19:AQ$31)</f>
        <v>45.254871794871796</v>
      </c>
      <c r="V18" s="31">
        <f>P18-AVERAGE(AR$5:AR17,AR19:AR$31)</f>
        <v>45.407820512820514</v>
      </c>
      <c r="W18" s="13">
        <f t="shared" ca="1" si="46"/>
        <v>46.750283762256345</v>
      </c>
      <c r="X18" s="6">
        <f t="shared" ca="1" si="42"/>
        <v>45.379522329859</v>
      </c>
      <c r="Y18" s="6">
        <f t="shared" ca="1" si="12"/>
        <v>43.272821456544357</v>
      </c>
      <c r="Z18" s="6">
        <f t="shared" ca="1" si="13"/>
        <v>45.081218072442034</v>
      </c>
      <c r="AA18" s="6">
        <f t="shared" ca="1" si="14"/>
        <v>44.903778146334716</v>
      </c>
      <c r="AB18" s="2">
        <f t="shared" ca="1" si="15"/>
        <v>45.31708431065141</v>
      </c>
      <c r="AC18" s="2">
        <f>'Historical Trends'!F48</f>
        <v>45.63</v>
      </c>
      <c r="AE18" s="13">
        <f t="shared" ca="1" si="16"/>
        <v>1.6573333333334332</v>
      </c>
      <c r="AF18">
        <f t="shared" ca="1" si="17"/>
        <v>5.509999999999998</v>
      </c>
      <c r="AG18">
        <f t="shared" ca="1" si="18"/>
        <v>-1.5650000000000048</v>
      </c>
      <c r="AH18">
        <f t="shared" ca="1" si="19"/>
        <v>-4.8033333333333417</v>
      </c>
      <c r="AI18">
        <f t="shared" ca="1" si="20"/>
        <v>-6.5625000000000071</v>
      </c>
      <c r="AJ18">
        <f t="shared" ca="1" si="21"/>
        <v>-5.5880000000000081</v>
      </c>
      <c r="AK18">
        <f t="shared" ca="1" si="22"/>
        <v>-4.8150000000000048</v>
      </c>
      <c r="AL18">
        <f t="shared" ca="1" si="23"/>
        <v>-3.5685714285714312</v>
      </c>
      <c r="AM18" s="13">
        <f t="shared" si="47"/>
        <v>2.1699999999999946</v>
      </c>
      <c r="AN18">
        <f t="shared" si="43"/>
        <v>-0.23000000000000398</v>
      </c>
      <c r="AO18">
        <f t="shared" si="24"/>
        <v>-2.8300000000000054</v>
      </c>
      <c r="AP18">
        <f t="shared" si="25"/>
        <v>-1.230000000000004</v>
      </c>
      <c r="AQ18">
        <f t="shared" si="26"/>
        <v>-1.7100000000000009</v>
      </c>
      <c r="AR18">
        <f t="shared" si="27"/>
        <v>-0.92999999999999972</v>
      </c>
      <c r="AS18" s="30">
        <f t="shared" si="48"/>
        <v>3.8389393939393912</v>
      </c>
      <c r="AT18">
        <f t="shared" si="44"/>
        <v>1.2701388888888872</v>
      </c>
      <c r="AU18">
        <f t="shared" si="28"/>
        <v>-1.3654666666666699</v>
      </c>
      <c r="AV18">
        <f t="shared" si="29"/>
        <v>0.32897435897435656</v>
      </c>
      <c r="AW18">
        <f t="shared" si="30"/>
        <v>-0.3751282051282061</v>
      </c>
      <c r="AX18">
        <f t="shared" si="31"/>
        <v>-0.22217948717948843</v>
      </c>
      <c r="AY18" s="13" t="s">
        <v>172</v>
      </c>
      <c r="AZ18" s="6">
        <f t="shared" ca="1" si="45"/>
        <v>-0.25047767014100231</v>
      </c>
      <c r="BA18" s="6">
        <f t="shared" ca="1" si="32"/>
        <v>-2.357178543455646</v>
      </c>
      <c r="BB18" s="6">
        <f t="shared" ca="1" si="33"/>
        <v>-0.54878192755796817</v>
      </c>
      <c r="BC18" s="6">
        <f t="shared" ca="1" si="34"/>
        <v>-0.72622185366528669</v>
      </c>
      <c r="BD18" s="2">
        <f t="shared" ca="1" si="35"/>
        <v>-0.31291568934859271</v>
      </c>
      <c r="BE18" t="s">
        <v>190</v>
      </c>
      <c r="BG18">
        <v>9.6637138581338808E-2</v>
      </c>
    </row>
    <row r="19" spans="1:74" x14ac:dyDescent="0.25">
      <c r="A19" t="s">
        <v>72</v>
      </c>
      <c r="B19">
        <f>B18+1</f>
        <v>2</v>
      </c>
      <c r="C19" s="13">
        <f ca="1">'Historical Trends'!P48</f>
        <v>42.015999999999991</v>
      </c>
      <c r="D19">
        <f ca="1">AVERAGE(OFFSET('Historical Trends'!$F$48,$B7,0,'Polling Correlations - LNP'!D$4,1))</f>
        <v>36.99</v>
      </c>
      <c r="E19">
        <f ca="1">AVERAGE(OFFSET('Historical Trends'!$F$48,$B7,0,'Polling Correlations - LNP'!E$4,1))</f>
        <v>35.67</v>
      </c>
      <c r="F19">
        <f ca="1">AVERAGE(OFFSET('Historical Trends'!$F$48,$B7,0,'Polling Correlations - LNP'!F$4,1))</f>
        <v>35.043333333333329</v>
      </c>
      <c r="G19">
        <f ca="1">AVERAGE(OFFSET('Historical Trends'!$F$48,$B7,0,'Polling Correlations - LNP'!G$4,1))</f>
        <v>37.267499999999998</v>
      </c>
      <c r="H19">
        <f ca="1">AVERAGE(OFFSET('Historical Trends'!$F$48,$B7,0,'Polling Correlations - LNP'!H$4,1))</f>
        <v>38.75</v>
      </c>
      <c r="I19">
        <f ca="1">AVERAGE(OFFSET('Historical Trends'!$F$48,$B7,0,'Polling Correlations - LNP'!I$4,1))</f>
        <v>40.548333333333332</v>
      </c>
      <c r="J19">
        <f ca="1">AVERAGE(OFFSET('Historical Trends'!$F$48,$B7,0,'Polling Correlations - LNP'!J$4,1))</f>
        <v>40.898571428571422</v>
      </c>
      <c r="K19" s="13">
        <f>(42+43+42+40+41)/5</f>
        <v>41.6</v>
      </c>
      <c r="L19">
        <f>(44+42+43+50+44)/5</f>
        <v>44.6</v>
      </c>
      <c r="M19">
        <f>(46+46+42+44+42)/5</f>
        <v>44</v>
      </c>
      <c r="N19">
        <f>(45+46+46+46+42)/5</f>
        <v>45</v>
      </c>
      <c r="O19">
        <f>(53+54+46+51+51)/5</f>
        <v>51</v>
      </c>
      <c r="P19">
        <f>(50+51+50+55+50)/5</f>
        <v>51.2</v>
      </c>
      <c r="Q19" s="30">
        <f>K19-AVERAGE(AM$5:AM18,AM20:AM$31)</f>
        <v>42.736666666666672</v>
      </c>
      <c r="R19" s="31">
        <f>L19-AVERAGE(AN$5:AN18,AN20:AN$31)</f>
        <v>45.837222222222223</v>
      </c>
      <c r="S19" s="31">
        <f>M19-AVERAGE(AO$5:AO18,AO20:AO$31)</f>
        <v>45.292133333333332</v>
      </c>
      <c r="T19" s="31">
        <f>N19-AVERAGE(AP$5:AP18,AP20:AP$31)</f>
        <v>46.370128205128204</v>
      </c>
      <c r="U19" s="31">
        <f>O19-AVERAGE(AQ$5:AQ18,AQ20:AQ$31)</f>
        <v>52.395256410256408</v>
      </c>
      <c r="V19" s="31">
        <f>P19-AVERAGE(AR$5:AR18,AR20:AR$31)</f>
        <v>51.945897435897436</v>
      </c>
      <c r="W19" s="13">
        <f t="shared" ca="1" si="46"/>
        <v>42.049196548164005</v>
      </c>
      <c r="X19" s="6">
        <f t="shared" ca="1" si="42"/>
        <v>44.515580732987104</v>
      </c>
      <c r="Y19" s="6">
        <f t="shared" ca="1" si="12"/>
        <v>43.928330654387914</v>
      </c>
      <c r="Z19" s="6">
        <f t="shared" ca="1" si="13"/>
        <v>45.376710141388386</v>
      </c>
      <c r="AA19" s="6">
        <f t="shared" ca="1" si="14"/>
        <v>51.458432186678763</v>
      </c>
      <c r="AB19" s="2">
        <f t="shared" ca="1" si="15"/>
        <v>51.720726067288801</v>
      </c>
      <c r="AC19" s="2">
        <f>'Historical Trends'!F49</f>
        <v>51.14</v>
      </c>
      <c r="AE19" s="13">
        <f t="shared" ca="1" si="16"/>
        <v>-9.1240000000000094</v>
      </c>
      <c r="AF19">
        <f t="shared" ca="1" si="17"/>
        <v>-14.149999999999999</v>
      </c>
      <c r="AG19">
        <f t="shared" ca="1" si="18"/>
        <v>-15.469999999999999</v>
      </c>
      <c r="AH19">
        <f t="shared" ca="1" si="19"/>
        <v>-16.096666666666671</v>
      </c>
      <c r="AI19">
        <f t="shared" ca="1" si="20"/>
        <v>-13.872500000000002</v>
      </c>
      <c r="AJ19">
        <f t="shared" ca="1" si="21"/>
        <v>-12.39</v>
      </c>
      <c r="AK19">
        <f t="shared" ca="1" si="22"/>
        <v>-10.591666666666669</v>
      </c>
      <c r="AL19">
        <f t="shared" ca="1" si="23"/>
        <v>-10.241428571428578</v>
      </c>
      <c r="AM19" s="13">
        <f t="shared" si="47"/>
        <v>-9.5399999999999991</v>
      </c>
      <c r="AN19">
        <f t="shared" si="43"/>
        <v>-6.5399999999999991</v>
      </c>
      <c r="AO19">
        <f t="shared" si="24"/>
        <v>-7.1400000000000006</v>
      </c>
      <c r="AP19">
        <f t="shared" si="25"/>
        <v>-6.1400000000000006</v>
      </c>
      <c r="AQ19">
        <f t="shared" si="26"/>
        <v>-0.14000000000000057</v>
      </c>
      <c r="AR19">
        <f t="shared" si="27"/>
        <v>6.0000000000002274E-2</v>
      </c>
      <c r="AS19" s="30">
        <f t="shared" si="48"/>
        <v>-8.4033333333333289</v>
      </c>
      <c r="AT19">
        <f t="shared" si="44"/>
        <v>-5.3027777777777771</v>
      </c>
      <c r="AU19">
        <f t="shared" si="28"/>
        <v>-5.8478666666666683</v>
      </c>
      <c r="AV19">
        <f t="shared" si="29"/>
        <v>-4.769871794871797</v>
      </c>
      <c r="AW19">
        <f t="shared" si="30"/>
        <v>1.2552564102564077</v>
      </c>
      <c r="AX19">
        <f t="shared" si="31"/>
        <v>0.80589743589743534</v>
      </c>
      <c r="AY19" s="13">
        <f ca="1">W19-$AC19</f>
        <v>-9.0908034518359955</v>
      </c>
      <c r="AZ19" s="6">
        <f t="shared" ca="1" si="45"/>
        <v>-6.6244192670128967</v>
      </c>
      <c r="BA19" s="6">
        <f t="shared" ca="1" si="32"/>
        <v>-7.2116693456120871</v>
      </c>
      <c r="BB19" s="6">
        <f t="shared" ca="1" si="33"/>
        <v>-5.7632898586116141</v>
      </c>
      <c r="BC19" s="6">
        <f t="shared" ca="1" si="34"/>
        <v>0.31843218667876272</v>
      </c>
      <c r="BD19" s="2">
        <f t="shared" ca="1" si="35"/>
        <v>0.58072606728880061</v>
      </c>
    </row>
    <row r="20" spans="1:74" x14ac:dyDescent="0.25">
      <c r="A20" t="s">
        <v>73</v>
      </c>
      <c r="B20">
        <f>B19+1</f>
        <v>3</v>
      </c>
      <c r="C20" s="13">
        <f ca="1">'Historical Trends'!P49</f>
        <v>30.005565495207748</v>
      </c>
      <c r="D20">
        <f ca="1">AVERAGE(OFFSET('Historical Trends'!$F$48,$B8,0,'Polling Correlations - LNP'!D$4,1))</f>
        <v>34.35</v>
      </c>
      <c r="E20">
        <f ca="1">AVERAGE(OFFSET('Historical Trends'!$F$48,$B8,0,'Polling Correlations - LNP'!E$4,1))</f>
        <v>34.07</v>
      </c>
      <c r="F20">
        <f ca="1">AVERAGE(OFFSET('Historical Trends'!$F$48,$B8,0,'Polling Correlations - LNP'!F$4,1))</f>
        <v>37.36</v>
      </c>
      <c r="G20">
        <f ca="1">AVERAGE(OFFSET('Historical Trends'!$F$48,$B8,0,'Polling Correlations - LNP'!G$4,1))</f>
        <v>39.19</v>
      </c>
      <c r="H20">
        <f ca="1">AVERAGE(OFFSET('Historical Trends'!$F$48,$B8,0,'Polling Correlations - LNP'!H$4,1))</f>
        <v>41.26</v>
      </c>
      <c r="I20">
        <f ca="1">AVERAGE(OFFSET('Historical Trends'!$F$48,$B8,0,'Polling Correlations - LNP'!I$4,1))</f>
        <v>41.55</v>
      </c>
      <c r="J20">
        <f ca="1">AVERAGE(OFFSET('Historical Trends'!$F$48,$B8,0,'Polling Correlations - LNP'!J$4,1))</f>
        <v>41.161428571428573</v>
      </c>
      <c r="K20" s="13">
        <f>AVERAGE(44+46+44+38+39)/5</f>
        <v>42.2</v>
      </c>
      <c r="L20">
        <f>(43+43+38+43+43)/5</f>
        <v>42</v>
      </c>
      <c r="M20">
        <f>(36+42+39+44+43)/5</f>
        <v>40.799999999999997</v>
      </c>
      <c r="N20">
        <f>(37+41+37+36+42)/5</f>
        <v>38.6</v>
      </c>
      <c r="O20">
        <f>(33+37+33+37+41)/5</f>
        <v>36.200000000000003</v>
      </c>
      <c r="P20">
        <f>(35+36+37+33+37)/5</f>
        <v>35.6</v>
      </c>
      <c r="Q20" s="30">
        <f>K20-AVERAGE(AM$5:AM19,AM21:AM$31)</f>
        <v>44.007121212121213</v>
      </c>
      <c r="R20" s="31">
        <f>L20-AVERAGE(AN$5:AN19,AN21:AN$31)</f>
        <v>43.718472222222225</v>
      </c>
      <c r="S20" s="31">
        <f>M20-AVERAGE(AO$5:AO19,AO21:AO$31)</f>
        <v>42.530133333333332</v>
      </c>
      <c r="T20" s="31">
        <f>N20-AVERAGE(AP$5:AP19,AP21:AP$31)</f>
        <v>40.268205128205132</v>
      </c>
      <c r="U20" s="31">
        <f>O20-AVERAGE(AQ$5:AQ19,AQ21:AQ$31)</f>
        <v>37.570256410256412</v>
      </c>
      <c r="V20" s="31">
        <f>P20-AVERAGE(AR$5:AR19,AR21:AR$31)</f>
        <v>36.290128205128205</v>
      </c>
      <c r="W20" s="13">
        <f t="shared" ca="1" si="46"/>
        <v>43.235210742567951</v>
      </c>
      <c r="X20" s="6">
        <f t="shared" ca="1" si="42"/>
        <v>43.17659227024145</v>
      </c>
      <c r="Y20" s="6">
        <f t="shared" ca="1" si="12"/>
        <v>42.24835322756924</v>
      </c>
      <c r="Z20" s="6">
        <f t="shared" ca="1" si="13"/>
        <v>40.486927739992637</v>
      </c>
      <c r="AA20" s="6">
        <f t="shared" ca="1" si="14"/>
        <v>37.884964303123724</v>
      </c>
      <c r="AB20" s="2">
        <f t="shared" ca="1" si="15"/>
        <v>36.394042736347274</v>
      </c>
      <c r="AC20" s="2">
        <f>'Historical Trends'!F50</f>
        <v>36.99</v>
      </c>
      <c r="AE20" s="13">
        <f t="shared" ca="1" si="16"/>
        <v>-6.9844345047922545</v>
      </c>
      <c r="AF20">
        <f t="shared" ca="1" si="17"/>
        <v>-2.6400000000000006</v>
      </c>
      <c r="AG20">
        <f t="shared" ca="1" si="18"/>
        <v>-2.9200000000000017</v>
      </c>
      <c r="AH20">
        <f t="shared" ca="1" si="19"/>
        <v>0.36999999999999744</v>
      </c>
      <c r="AI20">
        <f t="shared" ca="1" si="20"/>
        <v>2.1999999999999957</v>
      </c>
      <c r="AJ20">
        <f t="shared" ca="1" si="21"/>
        <v>4.269999999999996</v>
      </c>
      <c r="AK20">
        <f t="shared" ca="1" si="22"/>
        <v>4.5599999999999952</v>
      </c>
      <c r="AL20">
        <f t="shared" ca="1" si="23"/>
        <v>4.1714285714285708</v>
      </c>
      <c r="AM20" s="13">
        <f t="shared" si="47"/>
        <v>5.2100000000000009</v>
      </c>
      <c r="AN20">
        <f t="shared" si="43"/>
        <v>5.009999999999998</v>
      </c>
      <c r="AO20">
        <f t="shared" si="24"/>
        <v>3.8099999999999952</v>
      </c>
      <c r="AP20">
        <f t="shared" si="25"/>
        <v>1.6099999999999994</v>
      </c>
      <c r="AQ20">
        <f t="shared" si="26"/>
        <v>-0.78999999999999915</v>
      </c>
      <c r="AR20">
        <f t="shared" si="27"/>
        <v>-1.3900000000000006</v>
      </c>
      <c r="AS20" s="30">
        <f t="shared" si="48"/>
        <v>7.0171212121212108</v>
      </c>
      <c r="AT20">
        <f t="shared" si="44"/>
        <v>6.7284722222222229</v>
      </c>
      <c r="AU20">
        <f t="shared" si="28"/>
        <v>5.5401333333333298</v>
      </c>
      <c r="AV20">
        <f t="shared" si="29"/>
        <v>3.2782051282051299</v>
      </c>
      <c r="AW20">
        <f t="shared" si="30"/>
        <v>0.5802564102564105</v>
      </c>
      <c r="AX20">
        <f t="shared" si="31"/>
        <v>-0.69987179487179674</v>
      </c>
      <c r="AY20" s="13">
        <f ca="1">W20-$AC20</f>
        <v>6.2452107425679486</v>
      </c>
      <c r="AZ20" s="6">
        <f t="shared" ca="1" si="45"/>
        <v>6.186592270241448</v>
      </c>
      <c r="BA20" s="6">
        <f t="shared" ca="1" si="32"/>
        <v>5.2583532275692377</v>
      </c>
      <c r="BB20" s="6">
        <f t="shared" ca="1" si="33"/>
        <v>3.4969277399926355</v>
      </c>
      <c r="BC20" s="6">
        <f t="shared" ca="1" si="34"/>
        <v>0.89496430312372155</v>
      </c>
      <c r="BD20" s="2">
        <f t="shared" ca="1" si="35"/>
        <v>-0.59595726365272839</v>
      </c>
      <c r="BE20" t="s">
        <v>193</v>
      </c>
      <c r="BG20">
        <f ca="1">SLOPE(BG8:BM8,BG6:BM6)</f>
        <v>0.47565431472310071</v>
      </c>
    </row>
    <row r="21" spans="1:74" x14ac:dyDescent="0.25">
      <c r="A21" t="s">
        <v>91</v>
      </c>
      <c r="B21">
        <v>0</v>
      </c>
      <c r="C21" s="13">
        <f ca="1">'Historical Trends'!P65</f>
        <v>39.036652267818567</v>
      </c>
      <c r="D21">
        <f ca="1">AVERAGE(OFFSET('Historical Trends'!$F$66,$B5,0,'Polling Correlations - LNP'!D$4,1))</f>
        <v>42</v>
      </c>
      <c r="E21">
        <f ca="1">AVERAGE(OFFSET('Historical Trends'!$F$66,$B5,0,'Polling Correlations - LNP'!E$4,1))</f>
        <v>43.39</v>
      </c>
      <c r="F21">
        <f ca="1">AVERAGE(OFFSET('Historical Trends'!$F$66,$B5,0,'Polling Correlations - LNP'!F$4,1))</f>
        <v>42.126666666666665</v>
      </c>
      <c r="G21">
        <f ca="1">AVERAGE(OFFSET('Historical Trends'!$F$66,$B5,0,'Polling Correlations - LNP'!G$4,1))</f>
        <v>41.147500000000001</v>
      </c>
      <c r="H21">
        <f ca="1">AVERAGE(OFFSET('Historical Trends'!$F$66,$B5,0,'Polling Correlations - LNP'!H$4,1))</f>
        <v>42.322000000000003</v>
      </c>
      <c r="I21">
        <f ca="1">AVERAGE(OFFSET('Historical Trends'!$F$66,$B5,0,'Polling Correlations - LNP'!I$4,1))</f>
        <v>43.715000000000003</v>
      </c>
      <c r="J21">
        <f ca="1">AVERAGE(OFFSET('Historical Trends'!$F$66,$B5,0,'Polling Correlations - LNP'!J$4,1))</f>
        <v>44.89714285714286</v>
      </c>
      <c r="K21" s="13">
        <f>(42+42+40.1+41+43)/5</f>
        <v>41.62</v>
      </c>
      <c r="L21">
        <f>(43+42+44+39.8+41)/5</f>
        <v>41.96</v>
      </c>
      <c r="M21">
        <f>(41+39+41+43+42)/5</f>
        <v>41.2</v>
      </c>
      <c r="N21">
        <f>(42+40.8+41+39+41)/5</f>
        <v>40.760000000000005</v>
      </c>
      <c r="O21">
        <f>(39.4+40+42+40.8+41)/5</f>
        <v>40.64</v>
      </c>
      <c r="P21">
        <f>(40+37.8+40+36.8+39)/5</f>
        <v>38.72</v>
      </c>
      <c r="Q21" s="30">
        <f>K21-AVERAGE(AM$5:AM20,AM22:AM$31)</f>
        <v>43.482575757575759</v>
      </c>
      <c r="R21" s="31">
        <f>L21-AVERAGE(AN$5:AN20,AN22:AN$31)</f>
        <v>43.751805555555556</v>
      </c>
      <c r="S21" s="31">
        <f>M21-AVERAGE(AO$5:AO20,AO22:AO$31)</f>
        <v>43.018133333333338</v>
      </c>
      <c r="T21" s="31">
        <f>N21-AVERAGE(AP$5:AP20,AP22:AP$31)</f>
        <v>42.58051282051283</v>
      </c>
      <c r="U21" s="31">
        <f>O21-AVERAGE(AQ$5:AQ20,AQ22:AQ$31)</f>
        <v>42.250256410256412</v>
      </c>
      <c r="V21" s="31">
        <f>P21-AVERAGE(AR$5:AR20,AR22:AR$31)</f>
        <v>39.599358974358971</v>
      </c>
      <c r="W21" s="13">
        <f t="shared" ca="1" si="46"/>
        <v>43.555592385823566</v>
      </c>
      <c r="X21" s="6">
        <f t="shared" ca="1" si="42"/>
        <v>43.742608208007049</v>
      </c>
      <c r="Y21" s="6">
        <f t="shared" ca="1" si="12"/>
        <v>43.218476650266545</v>
      </c>
      <c r="Z21" s="6">
        <f t="shared" ca="1" si="13"/>
        <v>42.774099176954877</v>
      </c>
      <c r="AA21" s="6">
        <f t="shared" ca="1" si="14"/>
        <v>42.366084568107354</v>
      </c>
      <c r="AB21" s="2">
        <f t="shared" ca="1" si="15"/>
        <v>39.680667972852511</v>
      </c>
      <c r="AC21" s="2">
        <f>'Historical Trends'!F65</f>
        <v>35.19</v>
      </c>
      <c r="AE21" s="13">
        <f t="shared" ca="1" si="16"/>
        <v>3.8466522678185697</v>
      </c>
      <c r="AF21">
        <f t="shared" ca="1" si="17"/>
        <v>6.8100000000000023</v>
      </c>
      <c r="AG21">
        <f t="shared" ca="1" si="18"/>
        <v>8.2000000000000028</v>
      </c>
      <c r="AH21">
        <f t="shared" ca="1" si="19"/>
        <v>6.9366666666666674</v>
      </c>
      <c r="AI21">
        <f t="shared" ca="1" si="20"/>
        <v>5.9575000000000031</v>
      </c>
      <c r="AJ21">
        <f t="shared" ca="1" si="21"/>
        <v>7.132000000000005</v>
      </c>
      <c r="AK21">
        <f t="shared" ca="1" si="22"/>
        <v>8.5250000000000057</v>
      </c>
      <c r="AL21">
        <f t="shared" ca="1" si="23"/>
        <v>9.7071428571428626</v>
      </c>
      <c r="AM21" s="13">
        <f t="shared" si="47"/>
        <v>6.43</v>
      </c>
      <c r="AN21">
        <f t="shared" si="43"/>
        <v>6.7700000000000031</v>
      </c>
      <c r="AO21">
        <f t="shared" si="24"/>
        <v>6.0100000000000051</v>
      </c>
      <c r="AP21">
        <f t="shared" si="25"/>
        <v>5.5700000000000074</v>
      </c>
      <c r="AQ21">
        <f t="shared" si="26"/>
        <v>5.4500000000000028</v>
      </c>
      <c r="AR21">
        <f t="shared" si="27"/>
        <v>3.5300000000000011</v>
      </c>
      <c r="AS21" s="30">
        <f t="shared" si="48"/>
        <v>8.2925757575757615</v>
      </c>
      <c r="AT21">
        <f t="shared" si="44"/>
        <v>8.5618055555555586</v>
      </c>
      <c r="AU21">
        <f t="shared" si="28"/>
        <v>7.8281333333333407</v>
      </c>
      <c r="AV21">
        <f t="shared" si="29"/>
        <v>7.3905128205128321</v>
      </c>
      <c r="AW21">
        <f t="shared" si="30"/>
        <v>7.0602564102564145</v>
      </c>
      <c r="AX21">
        <f t="shared" si="31"/>
        <v>4.4093589743589732</v>
      </c>
      <c r="AY21" s="13">
        <f ca="1">W21-$AC21</f>
        <v>8.3655923858235681</v>
      </c>
      <c r="AZ21" s="6">
        <f t="shared" ca="1" si="45"/>
        <v>8.5526082080070509</v>
      </c>
      <c r="BA21" s="6">
        <f t="shared" ca="1" si="32"/>
        <v>8.0284766502665477</v>
      </c>
      <c r="BB21" s="6">
        <f t="shared" ca="1" si="33"/>
        <v>7.5840991769548793</v>
      </c>
      <c r="BC21" s="6">
        <f t="shared" ca="1" si="34"/>
        <v>7.1760845681073562</v>
      </c>
      <c r="BD21" s="2">
        <f t="shared" ca="1" si="35"/>
        <v>4.4906679728525134</v>
      </c>
      <c r="BE21" t="s">
        <v>194</v>
      </c>
      <c r="BG21">
        <f ca="1">INTERCEPT(BG8:BM8,BG6:BM6)</f>
        <v>1.2442056754431188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Trends'!P66</f>
        <v>37.441137586471996</v>
      </c>
      <c r="D22">
        <f ca="1">AVERAGE(OFFSET('Historical Trends'!$F$66,$B6,0,'Polling Correlations - LNP'!D$4,1))</f>
        <v>44.78</v>
      </c>
      <c r="E22">
        <f ca="1">AVERAGE(OFFSET('Historical Trends'!$F$66,$B6,0,'Polling Correlations - LNP'!E$4,1))</f>
        <v>42.19</v>
      </c>
      <c r="F22">
        <f ca="1">AVERAGE(OFFSET('Historical Trends'!$F$66,$B6,0,'Polling Correlations - LNP'!F$4,1))</f>
        <v>40.863333333333337</v>
      </c>
      <c r="G22">
        <f ca="1">AVERAGE(OFFSET('Historical Trends'!$F$66,$B6,0,'Polling Correlations - LNP'!G$4,1))</f>
        <v>42.402500000000003</v>
      </c>
      <c r="H22">
        <f ca="1">AVERAGE(OFFSET('Historical Trends'!$F$66,$B6,0,'Polling Correlations - LNP'!H$4,1))</f>
        <v>44.058000000000007</v>
      </c>
      <c r="I22">
        <f ca="1">AVERAGE(OFFSET('Historical Trends'!$F$66,$B6,0,'Polling Correlations - LNP'!I$4,1))</f>
        <v>45.38</v>
      </c>
      <c r="J22">
        <f ca="1">AVERAGE(OFFSET('Historical Trends'!$F$66,$B6,0,'Polling Correlations - LNP'!J$4,1))</f>
        <v>45.792857142857144</v>
      </c>
      <c r="K22" s="13">
        <f>(43+37+41+42+45)/5</f>
        <v>41.6</v>
      </c>
      <c r="L22">
        <f>(40+43.4+41+39+41)/5</f>
        <v>40.880000000000003</v>
      </c>
      <c r="M22">
        <f>(38+42+41+40+43.4)/5</f>
        <v>40.880000000000003</v>
      </c>
      <c r="N22">
        <f>(40+35+41+37+37)/5</f>
        <v>38</v>
      </c>
      <c r="O22">
        <f>(38.6+39+39+40+35)/5</f>
        <v>38.32</v>
      </c>
      <c r="P22">
        <f>(39.7+40+40+40+40)/5</f>
        <v>39.94</v>
      </c>
      <c r="Q22" s="30">
        <f>K22-AVERAGE(AM$5:AM21,AM23:AM$31)</f>
        <v>43.152121212121216</v>
      </c>
      <c r="R22" s="31">
        <f>L22-AVERAGE(AN$5:AN21,AN23:AN$31)</f>
        <v>42.343055555555559</v>
      </c>
      <c r="S22" s="31">
        <f>M22-AVERAGE(AO$5:AO21,AO23:AO$31)</f>
        <v>42.412933333333335</v>
      </c>
      <c r="T22" s="31">
        <f>N22-AVERAGE(AP$5:AP21,AP23:AP$31)</f>
        <v>39.452435897435898</v>
      </c>
      <c r="U22" s="31">
        <f>O22-AVERAGE(AQ$5:AQ21,AQ23:AQ$31)</f>
        <v>39.579102564102563</v>
      </c>
      <c r="V22" s="31">
        <f>P22-AVERAGE(AR$5:AR21,AR23:AR$31)</f>
        <v>40.604358974358973</v>
      </c>
      <c r="W22" s="13">
        <f t="shared" ca="1" si="46"/>
        <v>43.852014629171912</v>
      </c>
      <c r="X22" s="6">
        <f t="shared" ca="1" si="42"/>
        <v>43.101958202709312</v>
      </c>
      <c r="Y22" s="6">
        <f t="shared" ca="1" si="12"/>
        <v>43.265940093443305</v>
      </c>
      <c r="Z22" s="6">
        <f t="shared" ca="1" si="13"/>
        <v>40.463902186293211</v>
      </c>
      <c r="AA22" s="6">
        <f t="shared" ca="1" si="14"/>
        <v>40.037822621720224</v>
      </c>
      <c r="AB22" s="2">
        <f t="shared" ca="1" si="15"/>
        <v>40.698706996098565</v>
      </c>
      <c r="AC22" s="2">
        <f>'Historical Trends'!F66</f>
        <v>42</v>
      </c>
      <c r="AE22" s="13">
        <f t="shared" ca="1" si="16"/>
        <v>-4.5588624135280043</v>
      </c>
      <c r="AF22">
        <f t="shared" ca="1" si="17"/>
        <v>2.7800000000000011</v>
      </c>
      <c r="AG22">
        <f t="shared" ca="1" si="18"/>
        <v>0.18999999999999773</v>
      </c>
      <c r="AH22">
        <f t="shared" ca="1" si="19"/>
        <v>-1.1366666666666632</v>
      </c>
      <c r="AI22">
        <f t="shared" ca="1" si="20"/>
        <v>0.40250000000000341</v>
      </c>
      <c r="AJ22">
        <f t="shared" ca="1" si="21"/>
        <v>2.0580000000000069</v>
      </c>
      <c r="AK22">
        <f t="shared" ca="1" si="22"/>
        <v>3.3800000000000026</v>
      </c>
      <c r="AL22">
        <f t="shared" ca="1" si="23"/>
        <v>3.7928571428571445</v>
      </c>
      <c r="AM22" s="13">
        <f t="shared" si="47"/>
        <v>-0.39999999999999858</v>
      </c>
      <c r="AN22">
        <f t="shared" si="43"/>
        <v>-1.1199999999999974</v>
      </c>
      <c r="AO22">
        <f t="shared" si="24"/>
        <v>-1.1199999999999974</v>
      </c>
      <c r="AP22">
        <f t="shared" si="25"/>
        <v>-4</v>
      </c>
      <c r="AQ22">
        <f t="shared" si="26"/>
        <v>-3.6799999999999997</v>
      </c>
      <c r="AR22">
        <f t="shared" si="27"/>
        <v>-2.0600000000000023</v>
      </c>
      <c r="AS22" s="30">
        <f t="shared" si="48"/>
        <v>1.1521212121212159</v>
      </c>
      <c r="AT22">
        <f t="shared" si="44"/>
        <v>0.34305555555555856</v>
      </c>
      <c r="AU22">
        <f t="shared" si="28"/>
        <v>0.41293333333333493</v>
      </c>
      <c r="AV22">
        <f t="shared" si="29"/>
        <v>-2.5475641025641025</v>
      </c>
      <c r="AW22">
        <f t="shared" si="30"/>
        <v>-2.4208974358974373</v>
      </c>
      <c r="AX22">
        <f t="shared" si="31"/>
        <v>-1.3956410256410265</v>
      </c>
      <c r="AY22" s="13">
        <f ca="1">W22-$AC22</f>
        <v>1.8520146291719115</v>
      </c>
      <c r="AZ22" s="6">
        <f t="shared" ca="1" si="45"/>
        <v>1.1019582027093122</v>
      </c>
      <c r="BA22" s="6">
        <f t="shared" ca="1" si="32"/>
        <v>1.2659400934433052</v>
      </c>
      <c r="BB22" s="6">
        <f t="shared" ca="1" si="33"/>
        <v>-1.5360978137067889</v>
      </c>
      <c r="BC22" s="6">
        <f t="shared" ca="1" si="34"/>
        <v>-1.962177378279776</v>
      </c>
      <c r="BD22" s="2">
        <f t="shared" ca="1" si="35"/>
        <v>-1.301293003901435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1.019857923438495</v>
      </c>
    </row>
    <row r="23" spans="1:74" x14ac:dyDescent="0.25">
      <c r="A23" t="s">
        <v>93</v>
      </c>
      <c r="B23">
        <f>B22+1</f>
        <v>2</v>
      </c>
      <c r="C23" s="13">
        <f ca="1">'Historical Trends'!P67</f>
        <v>37.11159877017667</v>
      </c>
      <c r="D23">
        <f ca="1">AVERAGE(OFFSET('Historical Trends'!$F$66,$B7,0,'Polling Correlations - LNP'!D$4,1))</f>
        <v>39.6</v>
      </c>
      <c r="E23">
        <f ca="1">AVERAGE(OFFSET('Historical Trends'!$F$66,$B7,0,'Polling Correlations - LNP'!E$4,1))</f>
        <v>38.905000000000001</v>
      </c>
      <c r="F23">
        <f ca="1">AVERAGE(OFFSET('Historical Trends'!$F$66,$B7,0,'Polling Correlations - LNP'!F$4,1))</f>
        <v>41.610000000000007</v>
      </c>
      <c r="G23">
        <f ca="1">AVERAGE(OFFSET('Historical Trends'!$F$66,$B7,0,'Polling Correlations - LNP'!G$4,1))</f>
        <v>43.877500000000005</v>
      </c>
      <c r="H23">
        <f ca="1">AVERAGE(OFFSET('Historical Trends'!$F$66,$B7,0,'Polling Correlations - LNP'!H$4,1))</f>
        <v>45.500000000000007</v>
      </c>
      <c r="I23">
        <f ca="1">AVERAGE(OFFSET('Historical Trends'!$F$66,$B7,0,'Polling Correlations - LNP'!I$4,1))</f>
        <v>45.961666666666673</v>
      </c>
      <c r="J23">
        <f ca="1">AVERAGE(OFFSET('Historical Trends'!$F$66,$B7,0,'Polling Correlations - LNP'!J$4,1))</f>
        <v>46.417142857142856</v>
      </c>
      <c r="K23" s="13">
        <f>(39+41+38+38+36)/5</f>
        <v>38.4</v>
      </c>
      <c r="L23">
        <f>(35+35+37+33+37)/5</f>
        <v>35.4</v>
      </c>
      <c r="M23">
        <f>(41+39+39+35+35)/5</f>
        <v>37.799999999999997</v>
      </c>
      <c r="N23">
        <f>(36+36+41+39+39)/5</f>
        <v>38.200000000000003</v>
      </c>
      <c r="O23">
        <f>(38+40+43+44+36)/5</f>
        <v>40.200000000000003</v>
      </c>
      <c r="P23">
        <f>(45+45+44+44+40)/5</f>
        <v>43.6</v>
      </c>
      <c r="Q23" s="30">
        <f>K23-AVERAGE(AM$5:AM22,AM24:AM$31)</f>
        <v>39.68030303030303</v>
      </c>
      <c r="R23" s="31">
        <f>L23-AVERAGE(AN$5:AN22,AN24:AN$31)</f>
        <v>36.518888888888888</v>
      </c>
      <c r="S23" s="31">
        <f>M23-AVERAGE(AO$5:AO22,AO24:AO$31)</f>
        <v>39.098533333333329</v>
      </c>
      <c r="T23" s="31">
        <f>N23-AVERAGE(AP$5:AP22,AP24:AP$31)</f>
        <v>39.553205128205136</v>
      </c>
      <c r="U23" s="31">
        <f>O23-AVERAGE(AQ$5:AQ22,AQ24:AQ$31)</f>
        <v>41.42448717948718</v>
      </c>
      <c r="V23" s="31">
        <f>P23-AVERAGE(AR$5:AR22,AR24:AR$31)</f>
        <v>44.298205128205133</v>
      </c>
      <c r="W23" s="13">
        <f t="shared" ca="1" si="46"/>
        <v>41.653608347949294</v>
      </c>
      <c r="X23" s="6">
        <f t="shared" ca="1" si="42"/>
        <v>38.878546493146175</v>
      </c>
      <c r="Y23" s="6">
        <f t="shared" ca="1" si="12"/>
        <v>41.071626555214443</v>
      </c>
      <c r="Z23" s="6">
        <f t="shared" ca="1" si="13"/>
        <v>40.646730680596647</v>
      </c>
      <c r="AA23" s="6">
        <f t="shared" ca="1" si="14"/>
        <v>41.783275670195721</v>
      </c>
      <c r="AB23" s="2">
        <f t="shared" ca="1" si="15"/>
        <v>44.33106863376409</v>
      </c>
      <c r="AC23" s="2">
        <f>'Historical Trends'!F67</f>
        <v>44.78</v>
      </c>
      <c r="AE23" s="13">
        <f t="shared" ca="1" si="16"/>
        <v>-7.6684012298233313</v>
      </c>
      <c r="AF23">
        <f t="shared" ca="1" si="17"/>
        <v>-5.18</v>
      </c>
      <c r="AG23">
        <f t="shared" ca="1" si="18"/>
        <v>-5.875</v>
      </c>
      <c r="AH23">
        <f t="shared" ca="1" si="19"/>
        <v>-3.1699999999999946</v>
      </c>
      <c r="AI23">
        <f t="shared" ca="1" si="20"/>
        <v>-0.90249999999999631</v>
      </c>
      <c r="AJ23">
        <f t="shared" ca="1" si="21"/>
        <v>0.72000000000000597</v>
      </c>
      <c r="AK23">
        <f t="shared" ca="1" si="22"/>
        <v>1.181666666666672</v>
      </c>
      <c r="AL23">
        <f t="shared" ca="1" si="23"/>
        <v>1.6371428571428552</v>
      </c>
      <c r="AM23" s="13">
        <f t="shared" si="47"/>
        <v>-6.3800000000000026</v>
      </c>
      <c r="AN23">
        <f t="shared" si="43"/>
        <v>-9.3800000000000026</v>
      </c>
      <c r="AO23">
        <f t="shared" si="24"/>
        <v>-6.980000000000004</v>
      </c>
      <c r="AP23">
        <f t="shared" si="25"/>
        <v>-6.5799999999999983</v>
      </c>
      <c r="AQ23">
        <f t="shared" si="26"/>
        <v>-4.5799999999999983</v>
      </c>
      <c r="AR23">
        <f t="shared" si="27"/>
        <v>-1.1799999999999997</v>
      </c>
      <c r="AS23" s="30">
        <f t="shared" si="48"/>
        <v>-5.0996969696969714</v>
      </c>
      <c r="AT23">
        <f t="shared" si="44"/>
        <v>-8.2611111111111128</v>
      </c>
      <c r="AU23">
        <f t="shared" si="28"/>
        <v>-5.6814666666666724</v>
      </c>
      <c r="AV23">
        <f t="shared" si="29"/>
        <v>-5.2267948717948656</v>
      </c>
      <c r="AW23">
        <f t="shared" si="30"/>
        <v>-3.3555128205128213</v>
      </c>
      <c r="AX23">
        <f t="shared" si="31"/>
        <v>-0.48179487179486813</v>
      </c>
      <c r="AY23" s="13">
        <f ca="1">W23-$AC23</f>
        <v>-3.1263916520507067</v>
      </c>
      <c r="AZ23" s="6">
        <f t="shared" ca="1" si="45"/>
        <v>-5.9014535068538265</v>
      </c>
      <c r="BA23" s="6">
        <f t="shared" ca="1" si="32"/>
        <v>-3.7083734447855576</v>
      </c>
      <c r="BB23" s="6">
        <f t="shared" ca="1" si="33"/>
        <v>-4.1332693194033538</v>
      </c>
      <c r="BC23" s="6">
        <f t="shared" ca="1" si="34"/>
        <v>-2.9967243298042803</v>
      </c>
      <c r="BD23" s="2">
        <f t="shared" ca="1" si="35"/>
        <v>-0.4489313662359109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1.0165611101212213</v>
      </c>
    </row>
    <row r="24" spans="1:74" x14ac:dyDescent="0.25">
      <c r="A24" t="s">
        <v>94</v>
      </c>
      <c r="B24">
        <f>B23+1</f>
        <v>3</v>
      </c>
      <c r="C24" s="13">
        <f ca="1">'Historical Trends'!P68</f>
        <v>41.847046874999933</v>
      </c>
      <c r="D24">
        <f ca="1">AVERAGE(OFFSET('Historical Trends'!$F$66,$B8,0,'Polling Correlations - LNP'!D$4,1))</f>
        <v>38.21</v>
      </c>
      <c r="E24">
        <f ca="1">AVERAGE(OFFSET('Historical Trends'!$F$66,$B8,0,'Polling Correlations - LNP'!E$4,1))</f>
        <v>42.615000000000002</v>
      </c>
      <c r="F24">
        <f ca="1">AVERAGE(OFFSET('Historical Trends'!$F$66,$B8,0,'Polling Correlations - LNP'!F$4,1))</f>
        <v>45.303333333333335</v>
      </c>
      <c r="G24">
        <f ca="1">AVERAGE(OFFSET('Historical Trends'!$F$66,$B8,0,'Polling Correlations - LNP'!G$4,1))</f>
        <v>46.975000000000001</v>
      </c>
      <c r="H24">
        <f ca="1">AVERAGE(OFFSET('Historical Trends'!$F$66,$B8,0,'Polling Correlations - LNP'!H$4,1))</f>
        <v>47.234000000000002</v>
      </c>
      <c r="I24">
        <f ca="1">AVERAGE(OFFSET('Historical Trends'!$F$66,$B8,0,'Polling Correlations - LNP'!I$4,1))</f>
        <v>47.553333333333335</v>
      </c>
      <c r="J24">
        <f ca="1">AVERAGE(OFFSET('Historical Trends'!$F$66,$B8,0,'Polling Correlations - LNP'!J$4,1))</f>
        <v>46.945714285714288</v>
      </c>
      <c r="L24">
        <f>(39+41+41+39)/4</f>
        <v>40</v>
      </c>
      <c r="M24">
        <f>AVERAGE(39+38+40+40+39)/5</f>
        <v>39.200000000000003</v>
      </c>
      <c r="N24">
        <f>(41+40+36+39+38)/5</f>
        <v>38.799999999999997</v>
      </c>
      <c r="O24">
        <f>(40+39+41+40+36)/5</f>
        <v>39.200000000000003</v>
      </c>
      <c r="P24">
        <f>(37+39+40+40+40)/5</f>
        <v>39.200000000000003</v>
      </c>
      <c r="Q24" s="30"/>
      <c r="R24" s="31">
        <f>L24-AVERAGE(AN$5:AN23,AN25:AN$31)</f>
        <v>41.526388888888889</v>
      </c>
      <c r="S24" s="31">
        <f>M24-AVERAGE(AO$5:AO23,AO25:AO$31)</f>
        <v>40.761733333333339</v>
      </c>
      <c r="T24" s="31">
        <f>N24-AVERAGE(AP$5:AP23,AP25:AP$31)</f>
        <v>40.375512820512817</v>
      </c>
      <c r="U24" s="31">
        <f>O24-AVERAGE(AQ$5:AQ23,AQ25:AQ$31)</f>
        <v>40.585256410256413</v>
      </c>
      <c r="V24" s="31">
        <f>P24-AVERAGE(AR$5:AR23,AR25:AR$31)</f>
        <v>39.928205128205128</v>
      </c>
      <c r="X24" s="6">
        <f t="shared" ca="1" si="42"/>
        <v>43.032463226700571</v>
      </c>
      <c r="Y24" s="6">
        <f t="shared" ca="1" si="12"/>
        <v>42.714261322356002</v>
      </c>
      <c r="Z24" s="6">
        <f t="shared" ca="1" si="13"/>
        <v>41.600320068577147</v>
      </c>
      <c r="AA24" s="6">
        <f t="shared" ca="1" si="14"/>
        <v>41.136274021403615</v>
      </c>
      <c r="AB24" s="2">
        <f t="shared" ca="1" si="15"/>
        <v>40.078847891721473</v>
      </c>
      <c r="AC24" s="2">
        <f>'Historical Trends'!F68</f>
        <v>39.6</v>
      </c>
      <c r="AE24" s="13">
        <f t="shared" ca="1" si="16"/>
        <v>2.2470468749999313</v>
      </c>
      <c r="AF24">
        <f t="shared" ca="1" si="17"/>
        <v>-1.3900000000000006</v>
      </c>
      <c r="AG24">
        <f t="shared" ca="1" si="18"/>
        <v>3.0150000000000006</v>
      </c>
      <c r="AH24">
        <f t="shared" ca="1" si="19"/>
        <v>5.7033333333333331</v>
      </c>
      <c r="AI24">
        <f t="shared" ca="1" si="20"/>
        <v>7.375</v>
      </c>
      <c r="AJ24">
        <f t="shared" ca="1" si="21"/>
        <v>7.6340000000000003</v>
      </c>
      <c r="AK24">
        <f t="shared" ca="1" si="22"/>
        <v>7.9533333333333331</v>
      </c>
      <c r="AL24">
        <f t="shared" ca="1" si="23"/>
        <v>7.345714285714287</v>
      </c>
      <c r="AN24">
        <f t="shared" si="43"/>
        <v>0.39999999999999858</v>
      </c>
      <c r="AO24">
        <f t="shared" si="24"/>
        <v>-0.39999999999999858</v>
      </c>
      <c r="AP24">
        <f t="shared" si="25"/>
        <v>-0.80000000000000426</v>
      </c>
      <c r="AQ24">
        <f t="shared" si="26"/>
        <v>-0.39999999999999858</v>
      </c>
      <c r="AR24">
        <f t="shared" si="27"/>
        <v>-0.39999999999999858</v>
      </c>
      <c r="AS24" s="30"/>
      <c r="AT24">
        <f t="shared" si="44"/>
        <v>1.9263888888888872</v>
      </c>
      <c r="AU24">
        <f t="shared" si="28"/>
        <v>1.1617333333333377</v>
      </c>
      <c r="AV24">
        <f t="shared" si="29"/>
        <v>0.77551282051281589</v>
      </c>
      <c r="AW24">
        <f t="shared" si="30"/>
        <v>0.98525641025641164</v>
      </c>
      <c r="AX24">
        <f t="shared" si="31"/>
        <v>0.32820512820512704</v>
      </c>
      <c r="AZ24" s="6">
        <f t="shared" ca="1" si="45"/>
        <v>3.4324632267005697</v>
      </c>
      <c r="BA24" s="6">
        <f t="shared" ca="1" si="32"/>
        <v>3.1142613223560005</v>
      </c>
      <c r="BB24" s="6">
        <f t="shared" ca="1" si="33"/>
        <v>2.0003200685771461</v>
      </c>
      <c r="BC24" s="6">
        <f t="shared" ca="1" si="34"/>
        <v>1.5362740214036137</v>
      </c>
      <c r="BD24" s="2">
        <f t="shared" ca="1" si="35"/>
        <v>0.4788478917214718</v>
      </c>
      <c r="BP24">
        <f t="shared" ref="BP24:BP31" si="53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4">BU23+0.1</f>
        <v>0.2</v>
      </c>
      <c r="BV24">
        <f t="shared" si="52"/>
        <v>1.0132267619716167</v>
      </c>
    </row>
    <row r="25" spans="1:74" x14ac:dyDescent="0.25">
      <c r="A25" t="s">
        <v>106</v>
      </c>
      <c r="B25">
        <v>0</v>
      </c>
      <c r="C25" s="13">
        <f ca="1">'Historical Trends'!P83</f>
        <v>45.873483412322258</v>
      </c>
      <c r="D25">
        <f ca="1">AVERAGE(OFFSET('Historical Trends'!$F$84,$B5,0,'Polling Correlations - LNP'!D$4,1))</f>
        <v>53.15</v>
      </c>
      <c r="E25">
        <f ca="1">AVERAGE(OFFSET('Historical Trends'!$F$84,$B5,0,'Polling Correlations - LNP'!E$4,1))</f>
        <v>48.254999999999995</v>
      </c>
      <c r="F25">
        <f ca="1">AVERAGE(OFFSET('Historical Trends'!$F$84,$B5,0,'Polling Correlations - LNP'!F$4,1))</f>
        <v>45.279999999999994</v>
      </c>
      <c r="G25">
        <f ca="1">AVERAGE(OFFSET('Historical Trends'!$F$84,$B5,0,'Polling Correlations - LNP'!G$4,1))</f>
        <v>42.564999999999998</v>
      </c>
      <c r="H25">
        <f ca="1">AVERAGE(OFFSET('Historical Trends'!$F$84,$B5,0,'Polling Correlations - LNP'!H$4,1))</f>
        <v>43.19</v>
      </c>
      <c r="I25">
        <f ca="1">AVERAGE(OFFSET('Historical Trends'!$F$84,$B5,0,'Polling Correlations - LNP'!I$4,1))</f>
        <v>44.234999999999992</v>
      </c>
      <c r="J25">
        <f ca="1">AVERAGE(OFFSET('Historical Trends'!$F$84,$B5,0,'Polling Correlations - LNP'!J$4,1))</f>
        <v>44.685714285714276</v>
      </c>
      <c r="K25" s="13">
        <f>(34+34+35+6+8+6)/3</f>
        <v>41</v>
      </c>
      <c r="L25">
        <f>(40+34+37+4+6+5)/3</f>
        <v>42</v>
      </c>
      <c r="M25">
        <f>(34+36+34+4+6+6)/3</f>
        <v>40</v>
      </c>
      <c r="N25">
        <f>(35.9+38.2+34+6.1+5.4+4)/3</f>
        <v>41.199999999999996</v>
      </c>
      <c r="O25">
        <f>(30+36.1+34+5+6+6)/3</f>
        <v>39.033333333333331</v>
      </c>
      <c r="P25">
        <f>(33.9+32+31+34.6+35.4+6+5+5+6.8+8.4)/5</f>
        <v>39.620000000000005</v>
      </c>
      <c r="Q25" s="30">
        <f>K25-AVERAGE(AM$5:AM24,AM26:AM$31)</f>
        <v>42.768939393939398</v>
      </c>
      <c r="R25" s="31">
        <f>L25-AVERAGE(AN$5:AN24,AN26:AN$31)</f>
        <v>43.733472222222225</v>
      </c>
      <c r="S25" s="31">
        <f>M25-AVERAGE(AO$5:AO24,AO26:AO$31)</f>
        <v>41.712533333333333</v>
      </c>
      <c r="T25" s="31">
        <f>N25-AVERAGE(AP$5:AP24,AP26:AP$31)</f>
        <v>42.98205128205128</v>
      </c>
      <c r="U25" s="31">
        <f>O25-AVERAGE(AQ$5:AQ24,AQ26:AQ$31)</f>
        <v>40.526410256410252</v>
      </c>
      <c r="V25" s="31">
        <f>P25-AVERAGE(AR$5:AR24,AR26:AR$31)</f>
        <v>40.478589743589751</v>
      </c>
      <c r="W25" s="13">
        <f t="shared" ref="W25:W30" ca="1" si="55">Q25*W$4+$I25*(1-W$4)</f>
        <v>43.229505818271718</v>
      </c>
      <c r="X25" s="6">
        <f t="shared" ca="1" si="42"/>
        <v>43.85879909768515</v>
      </c>
      <c r="Y25" s="6">
        <f t="shared" ca="1" si="12"/>
        <v>42.437721325565406</v>
      </c>
      <c r="Z25" s="6">
        <f t="shared" ca="1" si="13"/>
        <v>43.195851650624924</v>
      </c>
      <c r="AA25" s="6">
        <f t="shared" ca="1" si="14"/>
        <v>40.819676000143673</v>
      </c>
      <c r="AB25" s="2">
        <f t="shared" ca="1" si="15"/>
        <v>40.552801744582233</v>
      </c>
      <c r="AC25" s="2">
        <f>'Historical Trends'!F83</f>
        <v>36.630000000000003</v>
      </c>
      <c r="AE25" s="13">
        <f t="shared" ca="1" si="16"/>
        <v>9.2434834123222558</v>
      </c>
      <c r="AF25">
        <f t="shared" ca="1" si="17"/>
        <v>16.519999999999996</v>
      </c>
      <c r="AG25">
        <f t="shared" ca="1" si="18"/>
        <v>11.624999999999993</v>
      </c>
      <c r="AH25">
        <f t="shared" ca="1" si="19"/>
        <v>8.6499999999999915</v>
      </c>
      <c r="AI25">
        <f t="shared" ca="1" si="20"/>
        <v>5.9349999999999952</v>
      </c>
      <c r="AJ25">
        <f t="shared" ca="1" si="21"/>
        <v>6.5599999999999952</v>
      </c>
      <c r="AK25">
        <f t="shared" ca="1" si="22"/>
        <v>7.6049999999999898</v>
      </c>
      <c r="AL25">
        <f t="shared" ca="1" si="23"/>
        <v>8.0557142857142736</v>
      </c>
      <c r="AM25" s="13">
        <f t="shared" ref="AM25:AM30" si="56">K25-$AC25</f>
        <v>4.3699999999999974</v>
      </c>
      <c r="AN25">
        <f t="shared" si="43"/>
        <v>5.3699999999999974</v>
      </c>
      <c r="AO25">
        <f t="shared" si="24"/>
        <v>3.3699999999999974</v>
      </c>
      <c r="AP25">
        <f t="shared" si="25"/>
        <v>4.5699999999999932</v>
      </c>
      <c r="AQ25">
        <f t="shared" si="26"/>
        <v>2.4033333333333289</v>
      </c>
      <c r="AR25">
        <f t="shared" si="27"/>
        <v>2.990000000000002</v>
      </c>
      <c r="AS25" s="30">
        <f t="shared" ref="AS25:AS30" si="57">Q25-$AC25</f>
        <v>6.1389393939393955</v>
      </c>
      <c r="AT25">
        <f t="shared" si="44"/>
        <v>7.1034722222222229</v>
      </c>
      <c r="AU25">
        <f t="shared" si="28"/>
        <v>5.0825333333333305</v>
      </c>
      <c r="AV25">
        <f t="shared" si="29"/>
        <v>6.3520512820512778</v>
      </c>
      <c r="AW25">
        <f t="shared" si="30"/>
        <v>3.896410256410249</v>
      </c>
      <c r="AX25">
        <f t="shared" si="31"/>
        <v>3.8485897435897485</v>
      </c>
      <c r="AY25" s="13">
        <f t="shared" ref="AY25:AY30" ca="1" si="58">W25-$AC25</f>
        <v>6.5995058182717159</v>
      </c>
      <c r="AZ25" s="6">
        <f t="shared" ca="1" si="45"/>
        <v>7.2287990976851475</v>
      </c>
      <c r="BA25" s="6">
        <f t="shared" ca="1" si="32"/>
        <v>5.807721325565403</v>
      </c>
      <c r="BB25" s="6">
        <f t="shared" ca="1" si="33"/>
        <v>6.5658516506249214</v>
      </c>
      <c r="BC25" s="6">
        <f t="shared" ca="1" si="34"/>
        <v>4.1896760001436704</v>
      </c>
      <c r="BD25" s="2">
        <f t="shared" ca="1" si="35"/>
        <v>3.9228017445822303</v>
      </c>
      <c r="BP25">
        <f t="shared" si="53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4"/>
        <v>0.30000000000000004</v>
      </c>
      <c r="BV25">
        <f t="shared" si="52"/>
        <v>1.0098542343082086</v>
      </c>
    </row>
    <row r="26" spans="1:74" x14ac:dyDescent="0.25">
      <c r="A26" t="s">
        <v>107</v>
      </c>
      <c r="B26">
        <f>B25+1</f>
        <v>1</v>
      </c>
      <c r="C26" s="13">
        <f ca="1">'Historical Trends'!P84</f>
        <v>36.461984924623152</v>
      </c>
      <c r="D26">
        <f ca="1">AVERAGE(OFFSET('Historical Trends'!$F$84,$B6,0,'Polling Correlations - LNP'!D$4,1))</f>
        <v>43.36</v>
      </c>
      <c r="E26">
        <f ca="1">AVERAGE(OFFSET('Historical Trends'!$F$84,$B6,0,'Polling Correlations - LNP'!E$4,1))</f>
        <v>41.344999999999999</v>
      </c>
      <c r="F26">
        <f ca="1">AVERAGE(OFFSET('Historical Trends'!$F$84,$B6,0,'Polling Correlations - LNP'!F$4,1))</f>
        <v>39.036666666666669</v>
      </c>
      <c r="G26">
        <f ca="1">AVERAGE(OFFSET('Historical Trends'!$F$84,$B6,0,'Polling Correlations - LNP'!G$4,1))</f>
        <v>40.700000000000003</v>
      </c>
      <c r="H26">
        <f ca="1">AVERAGE(OFFSET('Historical Trends'!$F$84,$B6,0,'Polling Correlations - LNP'!H$4,1))</f>
        <v>42.452000000000005</v>
      </c>
      <c r="I26">
        <f ca="1">AVERAGE(OFFSET('Historical Trends'!$F$84,$B6,0,'Polling Correlations - LNP'!I$4,1))</f>
        <v>43.275000000000006</v>
      </c>
      <c r="J26">
        <f ca="1">AVERAGE(OFFSET('Historical Trends'!$F$84,$B6,0,'Polling Correlations - LNP'!J$4,1))</f>
        <v>43.525714285714294</v>
      </c>
      <c r="K26" s="13">
        <f>(43+43+41+6+6+6)/3</f>
        <v>48.333333333333336</v>
      </c>
      <c r="L26">
        <f>(39+52+46+6+2+4)/3</f>
        <v>49.666666666666664</v>
      </c>
      <c r="M26">
        <f>(43+47+39+5+2+6)/3</f>
        <v>47.333333333333336</v>
      </c>
      <c r="N26">
        <f>(43+43+47+6+5+2)/3</f>
        <v>48.666666666666664</v>
      </c>
      <c r="O26">
        <f>(45+50+43+6+5+6)/3</f>
        <v>51.666666666666664</v>
      </c>
      <c r="P26">
        <f>(48+43+45+6+7+6)/3</f>
        <v>51.666666666666664</v>
      </c>
      <c r="Q26" s="30">
        <f>K26-AVERAGE(AM$5:AM25,AM27:AM$31)</f>
        <v>49.684696969696972</v>
      </c>
      <c r="R26" s="31">
        <f>L26-AVERAGE(AN$5:AN25,AN27:AN$31)</f>
        <v>51.03125</v>
      </c>
      <c r="S26" s="31">
        <f>M26-AVERAGE(AO$5:AO25,AO27:AO$31)</f>
        <v>48.678400000000003</v>
      </c>
      <c r="T26" s="31">
        <f>N26-AVERAGE(AP$5:AP25,AP27:AP$31)</f>
        <v>50.100512820512819</v>
      </c>
      <c r="U26" s="31">
        <f>O26-AVERAGE(AQ$5:AQ25,AQ27:AQ$31)</f>
        <v>53.01025641025641</v>
      </c>
      <c r="V26" s="31">
        <f>P26-AVERAGE(AR$5:AR25,AR27:AR$31)</f>
        <v>52.353205128205126</v>
      </c>
      <c r="W26" s="13">
        <f t="shared" ca="1" si="55"/>
        <v>47.671075430325871</v>
      </c>
      <c r="X26" s="6">
        <f t="shared" ca="1" si="42"/>
        <v>49.093039155295827</v>
      </c>
      <c r="Y26" s="6">
        <f t="shared" ca="1" si="12"/>
        <v>47.124967857959092</v>
      </c>
      <c r="Z26" s="6">
        <f t="shared" ca="1" si="13"/>
        <v>48.935822569567115</v>
      </c>
      <c r="AA26" s="6">
        <f t="shared" ca="1" si="14"/>
        <v>52.240417358491719</v>
      </c>
      <c r="AB26" s="2">
        <f t="shared" ca="1" si="15"/>
        <v>52.173855237751958</v>
      </c>
      <c r="AC26" s="2">
        <f>'Historical Trends'!F84</f>
        <v>53.15</v>
      </c>
      <c r="AE26" s="13">
        <f t="shared" ca="1" si="16"/>
        <v>-16.688015075376846</v>
      </c>
      <c r="AF26">
        <f t="shared" ca="1" si="17"/>
        <v>-9.7899999999999991</v>
      </c>
      <c r="AG26">
        <f t="shared" ca="1" si="18"/>
        <v>-11.805</v>
      </c>
      <c r="AH26">
        <f t="shared" ca="1" si="19"/>
        <v>-14.11333333333333</v>
      </c>
      <c r="AI26">
        <f t="shared" ca="1" si="20"/>
        <v>-12.449999999999996</v>
      </c>
      <c r="AJ26">
        <f t="shared" ca="1" si="21"/>
        <v>-10.697999999999993</v>
      </c>
      <c r="AK26">
        <f t="shared" ca="1" si="22"/>
        <v>-9.8749999999999929</v>
      </c>
      <c r="AL26">
        <f t="shared" ca="1" si="23"/>
        <v>-9.6242857142857048</v>
      </c>
      <c r="AM26" s="13">
        <f t="shared" si="56"/>
        <v>-4.8166666666666629</v>
      </c>
      <c r="AN26">
        <f t="shared" si="43"/>
        <v>-3.4833333333333343</v>
      </c>
      <c r="AO26">
        <f t="shared" si="24"/>
        <v>-5.8166666666666629</v>
      </c>
      <c r="AP26">
        <f t="shared" si="25"/>
        <v>-4.4833333333333343</v>
      </c>
      <c r="AQ26">
        <f t="shared" si="26"/>
        <v>-1.4833333333333343</v>
      </c>
      <c r="AR26">
        <f t="shared" si="27"/>
        <v>-1.4833333333333343</v>
      </c>
      <c r="AS26" s="30">
        <f t="shared" si="57"/>
        <v>-3.4653030303030263</v>
      </c>
      <c r="AT26">
        <f t="shared" si="44"/>
        <v>-2.1187499999999986</v>
      </c>
      <c r="AU26">
        <f t="shared" si="28"/>
        <v>-4.4715999999999951</v>
      </c>
      <c r="AV26">
        <f t="shared" si="29"/>
        <v>-3.0494871794871798</v>
      </c>
      <c r="AW26">
        <f t="shared" si="30"/>
        <v>-0.13974358974358836</v>
      </c>
      <c r="AX26">
        <f t="shared" si="31"/>
        <v>-0.79679487179487296</v>
      </c>
      <c r="AY26" s="13">
        <f t="shared" ca="1" si="58"/>
        <v>-5.4789245696741276</v>
      </c>
      <c r="AZ26" s="6">
        <f t="shared" ca="1" si="45"/>
        <v>-4.0569608447041716</v>
      </c>
      <c r="BA26" s="6">
        <f t="shared" ca="1" si="32"/>
        <v>-6.0250321420409065</v>
      </c>
      <c r="BB26" s="6">
        <f t="shared" ca="1" si="33"/>
        <v>-4.2141774304328834</v>
      </c>
      <c r="BC26" s="6">
        <f t="shared" ca="1" si="34"/>
        <v>-0.90958264150827972</v>
      </c>
      <c r="BD26" s="2">
        <f t="shared" ca="1" si="35"/>
        <v>-0.97614476224804037</v>
      </c>
      <c r="BP26">
        <f t="shared" si="53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4"/>
        <v>0.4</v>
      </c>
      <c r="BV26">
        <f t="shared" si="52"/>
        <v>1.0064428676008337</v>
      </c>
    </row>
    <row r="27" spans="1:74" x14ac:dyDescent="0.25">
      <c r="A27" t="s">
        <v>108</v>
      </c>
      <c r="B27">
        <f>B26+1</f>
        <v>2</v>
      </c>
      <c r="C27" s="13">
        <f ca="1">'Historical Trends'!P85</f>
        <v>36.346899224806066</v>
      </c>
      <c r="D27">
        <f ca="1">AVERAGE(OFFSET('Historical Trends'!$F$84,$B7,0,'Polling Correlations - LNP'!D$4,1))</f>
        <v>39.33</v>
      </c>
      <c r="E27">
        <f ca="1">AVERAGE(OFFSET('Historical Trends'!$F$84,$B7,0,'Polling Correlations - LNP'!E$4,1))</f>
        <v>36.875</v>
      </c>
      <c r="F27">
        <f ca="1">AVERAGE(OFFSET('Historical Trends'!$F$84,$B7,0,'Polling Correlations - LNP'!F$4,1))</f>
        <v>39.813333333333333</v>
      </c>
      <c r="G27">
        <f ca="1">AVERAGE(OFFSET('Historical Trends'!$F$84,$B7,0,'Polling Correlations - LNP'!G$4,1))</f>
        <v>42.225000000000001</v>
      </c>
      <c r="H27">
        <f ca="1">AVERAGE(OFFSET('Historical Trends'!$F$84,$B7,0,'Polling Correlations - LNP'!H$4,1))</f>
        <v>43.258000000000003</v>
      </c>
      <c r="I27">
        <f ca="1">AVERAGE(OFFSET('Historical Trends'!$F$84,$B7,0,'Polling Correlations - LNP'!I$4,1))</f>
        <v>43.553333333333342</v>
      </c>
      <c r="J27">
        <f ca="1">AVERAGE(OFFSET('Historical Trends'!$F$84,$B7,0,'Polling Correlations - LNP'!J$4,1))</f>
        <v>43.755714285714298</v>
      </c>
      <c r="K27" s="13">
        <f>(37+37+35+3+3+4)/3</f>
        <v>39.666666666666664</v>
      </c>
      <c r="L27">
        <f>(38+35+35+5+3+4)/3</f>
        <v>40</v>
      </c>
      <c r="M27">
        <f>(35+41+38+3+4+5)/3</f>
        <v>42</v>
      </c>
      <c r="N27">
        <f>(31+35+41+4+3+4)/3</f>
        <v>39.333333333333336</v>
      </c>
      <c r="O27">
        <f>(31+35+41+4+3+4)/3</f>
        <v>39.333333333333336</v>
      </c>
      <c r="P27">
        <f>(37+35+37+6+7+5)/3</f>
        <v>42.333333333333336</v>
      </c>
      <c r="Q27" s="30">
        <f>K27-AVERAGE(AM$5:AM26,AM28:AM$31)</f>
        <v>41.06909090909091</v>
      </c>
      <c r="R27" s="31">
        <f>L27-AVERAGE(AN$5:AN26,AN28:AN$31)</f>
        <v>41.369722222222222</v>
      </c>
      <c r="S27" s="31">
        <f>M27-AVERAGE(AO$5:AO26,AO28:AO$31)</f>
        <v>43.523333333333333</v>
      </c>
      <c r="T27" s="31">
        <f>N27-AVERAGE(AP$5:AP26,AP28:AP$31)</f>
        <v>40.784743589743591</v>
      </c>
      <c r="U27" s="31">
        <f>O27-AVERAGE(AQ$5:AQ26,AQ28:AQ$31)</f>
        <v>40.57910256410257</v>
      </c>
      <c r="V27" s="31">
        <f>P27-AVERAGE(AR$5:AR26,AR28:AR$31)</f>
        <v>43.037435897435898</v>
      </c>
      <c r="W27" s="13">
        <f t="shared" ca="1" si="55"/>
        <v>41.849521571901249</v>
      </c>
      <c r="X27" s="6">
        <f t="shared" ca="1" si="42"/>
        <v>41.91538523413805</v>
      </c>
      <c r="Y27" s="6">
        <f t="shared" ca="1" si="12"/>
        <v>43.531958081503234</v>
      </c>
      <c r="Z27" s="6">
        <f t="shared" ca="1" si="13"/>
        <v>41.257169555091792</v>
      </c>
      <c r="AA27" s="6">
        <f t="shared" ca="1" si="14"/>
        <v>40.814297087864851</v>
      </c>
      <c r="AB27" s="2">
        <f t="shared" ca="1" si="15"/>
        <v>43.047628016616571</v>
      </c>
      <c r="AC27" s="2">
        <f>'Historical Trends'!F85</f>
        <v>43.36</v>
      </c>
      <c r="AE27" s="13">
        <f t="shared" ca="1" si="16"/>
        <v>-7.0131007751939336</v>
      </c>
      <c r="AF27">
        <f t="shared" ca="1" si="17"/>
        <v>-4.0300000000000011</v>
      </c>
      <c r="AG27">
        <f t="shared" ca="1" si="18"/>
        <v>-6.4849999999999994</v>
      </c>
      <c r="AH27">
        <f t="shared" ca="1" si="19"/>
        <v>-3.5466666666666669</v>
      </c>
      <c r="AI27">
        <f t="shared" ca="1" si="20"/>
        <v>-1.134999999999998</v>
      </c>
      <c r="AJ27">
        <f t="shared" ca="1" si="21"/>
        <v>-0.10199999999999676</v>
      </c>
      <c r="AK27">
        <f t="shared" ca="1" si="22"/>
        <v>0.19333333333334224</v>
      </c>
      <c r="AL27">
        <f t="shared" ca="1" si="23"/>
        <v>0.39571428571429834</v>
      </c>
      <c r="AM27" s="13">
        <f t="shared" si="56"/>
        <v>-3.6933333333333351</v>
      </c>
      <c r="AN27">
        <f t="shared" si="43"/>
        <v>-3.3599999999999994</v>
      </c>
      <c r="AO27">
        <f t="shared" si="24"/>
        <v>-1.3599999999999994</v>
      </c>
      <c r="AP27">
        <f t="shared" si="25"/>
        <v>-4.0266666666666637</v>
      </c>
      <c r="AQ27">
        <f t="shared" si="26"/>
        <v>-4.0266666666666637</v>
      </c>
      <c r="AR27">
        <f t="shared" si="27"/>
        <v>-1.0266666666666637</v>
      </c>
      <c r="AS27" s="30">
        <f t="shared" si="57"/>
        <v>-2.2909090909090892</v>
      </c>
      <c r="AT27">
        <f t="shared" si="44"/>
        <v>-1.9902777777777771</v>
      </c>
      <c r="AU27">
        <f t="shared" si="28"/>
        <v>0.163333333333334</v>
      </c>
      <c r="AV27">
        <f t="shared" si="29"/>
        <v>-2.5752564102564079</v>
      </c>
      <c r="AW27">
        <f t="shared" si="30"/>
        <v>-2.7808974358974297</v>
      </c>
      <c r="AX27">
        <f t="shared" si="31"/>
        <v>-0.32256410256410106</v>
      </c>
      <c r="AY27" s="13">
        <f t="shared" ca="1" si="58"/>
        <v>-1.5104784280987502</v>
      </c>
      <c r="AZ27" s="6">
        <f t="shared" ca="1" si="45"/>
        <v>-1.4446147658619495</v>
      </c>
      <c r="BA27" s="6">
        <f t="shared" ca="1" si="32"/>
        <v>0.17195808150323444</v>
      </c>
      <c r="BB27" s="6">
        <f t="shared" ca="1" si="33"/>
        <v>-2.1028304449082071</v>
      </c>
      <c r="BC27" s="6">
        <f t="shared" ca="1" si="34"/>
        <v>-2.5457029121351482</v>
      </c>
      <c r="BD27" s="2">
        <f t="shared" ca="1" si="35"/>
        <v>-0.31237198338342864</v>
      </c>
      <c r="BP27">
        <f t="shared" si="53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4"/>
        <v>0.5</v>
      </c>
      <c r="BV27">
        <f t="shared" si="52"/>
        <v>1.002991987040655</v>
      </c>
    </row>
    <row r="28" spans="1:74" x14ac:dyDescent="0.25">
      <c r="A28" t="s">
        <v>123</v>
      </c>
      <c r="B28" s="2">
        <v>0</v>
      </c>
      <c r="C28" s="13">
        <f ca="1">'Historical Trends'!P100</f>
        <v>38.657776595744622</v>
      </c>
      <c r="D28">
        <f ca="1">AVERAGE(OFFSET('Historical Trends'!$F$101,$B5,0,'Polling Correlations - LNP'!D$4,1))</f>
        <v>44.91</v>
      </c>
      <c r="E28">
        <f ca="1">AVERAGE(OFFSET('Historical Trends'!$F$101,$B5,0,'Polling Correlations - LNP'!E$4,1))</f>
        <v>43.805</v>
      </c>
      <c r="F28">
        <f ca="1">AVERAGE(OFFSET('Historical Trends'!$F$101,$B5,0,'Polling Correlations - LNP'!F$4,1))</f>
        <v>41.223333333333336</v>
      </c>
      <c r="G28">
        <f ca="1">AVERAGE(OFFSET('Historical Trends'!$F$101,$B5,0,'Polling Correlations - LNP'!G$4,1))</f>
        <v>41.272500000000001</v>
      </c>
      <c r="H28">
        <f ca="1">AVERAGE(OFFSET('Historical Trends'!$F$101,$B5,0,'Polling Correlations - LNP'!H$4,1))</f>
        <v>41.446000000000005</v>
      </c>
      <c r="I28">
        <f ca="1">AVERAGE(OFFSET('Historical Trends'!$F$101,$B5,0,'Polling Correlations - LNP'!I$4,1))</f>
        <v>43.523333333333333</v>
      </c>
      <c r="J28">
        <f ca="1">AVERAGE(OFFSET('Historical Trends'!$F$101,$B5,0,'Polling Correlations - LNP'!J$4,1))</f>
        <v>43.79</v>
      </c>
      <c r="K28" s="13">
        <f>(29+33+32)/3</f>
        <v>31.333333333333332</v>
      </c>
      <c r="L28">
        <f>(28+38+32)/3</f>
        <v>32.666666666666664</v>
      </c>
      <c r="M28">
        <f>(30+34+31)/3</f>
        <v>31.666666666666668</v>
      </c>
      <c r="N28">
        <f>(31+29+30)/3</f>
        <v>30</v>
      </c>
      <c r="O28">
        <f>(33.4+32+31)/3</f>
        <v>32.133333333333333</v>
      </c>
      <c r="P28">
        <f>(34+34+32)/3</f>
        <v>33.333333333333336</v>
      </c>
      <c r="Q28" s="30">
        <f>K28-AVERAGE(AM$5:AM27,AM29:AM$31)</f>
        <v>32.600606060606061</v>
      </c>
      <c r="R28" s="31">
        <f>L28-AVERAGE(AN$5:AN27,AN29:AN$31)</f>
        <v>33.954166666666666</v>
      </c>
      <c r="S28" s="31">
        <f>M28-AVERAGE(AO$5:AO27,AO29:AO$31)</f>
        <v>32.991066666666669</v>
      </c>
      <c r="T28" s="31">
        <f>N28-AVERAGE(AP$5:AP27,AP29:AP$31)</f>
        <v>31.298589743589744</v>
      </c>
      <c r="U28" s="31">
        <f>O28-AVERAGE(AQ$5:AQ27,AQ29:AQ$31)</f>
        <v>33.30833333333333</v>
      </c>
      <c r="V28" s="31">
        <f>P28-AVERAGE(AR$5:AR27,AR29:AR$31)</f>
        <v>33.897435897435898</v>
      </c>
      <c r="W28" s="13">
        <f t="shared" ca="1" si="55"/>
        <v>36.03200679749294</v>
      </c>
      <c r="X28" s="6">
        <f t="shared" ca="1" si="42"/>
        <v>36.345407615335816</v>
      </c>
      <c r="Y28" s="6">
        <f t="shared" ca="1" si="12"/>
        <v>36.019004921940407</v>
      </c>
      <c r="Z28" s="6">
        <f t="shared" ca="1" si="13"/>
        <v>33.384592664351317</v>
      </c>
      <c r="AA28" s="6">
        <f t="shared" ca="1" si="14"/>
        <v>34.116109274960451</v>
      </c>
      <c r="AB28" s="2">
        <f t="shared" ca="1" si="15"/>
        <v>34.087606049603743</v>
      </c>
      <c r="AC28" s="2">
        <f>'Historical Trends'!F100</f>
        <v>38</v>
      </c>
      <c r="AE28" s="13">
        <f t="shared" ca="1" si="16"/>
        <v>0.65777659574462177</v>
      </c>
      <c r="AF28">
        <f t="shared" ca="1" si="17"/>
        <v>6.9099999999999966</v>
      </c>
      <c r="AG28">
        <f t="shared" ca="1" si="18"/>
        <v>5.8049999999999997</v>
      </c>
      <c r="AH28">
        <f t="shared" ca="1" si="19"/>
        <v>3.2233333333333363</v>
      </c>
      <c r="AI28">
        <f t="shared" ca="1" si="20"/>
        <v>3.2725000000000009</v>
      </c>
      <c r="AJ28">
        <f t="shared" ca="1" si="21"/>
        <v>3.4460000000000051</v>
      </c>
      <c r="AK28">
        <f t="shared" ca="1" si="22"/>
        <v>5.5233333333333334</v>
      </c>
      <c r="AL28">
        <f t="shared" ca="1" si="23"/>
        <v>5.7899999999999991</v>
      </c>
      <c r="AM28" s="13">
        <f t="shared" si="56"/>
        <v>-6.6666666666666679</v>
      </c>
      <c r="AN28">
        <f t="shared" si="43"/>
        <v>-5.3333333333333357</v>
      </c>
      <c r="AO28">
        <f t="shared" si="24"/>
        <v>-6.3333333333333321</v>
      </c>
      <c r="AP28">
        <f t="shared" si="25"/>
        <v>-8</v>
      </c>
      <c r="AQ28">
        <f t="shared" si="26"/>
        <v>-5.8666666666666671</v>
      </c>
      <c r="AR28">
        <f t="shared" si="27"/>
        <v>-4.6666666666666643</v>
      </c>
      <c r="AS28" s="30">
        <f t="shared" si="57"/>
        <v>-5.3993939393939385</v>
      </c>
      <c r="AT28">
        <f t="shared" si="44"/>
        <v>-4.0458333333333343</v>
      </c>
      <c r="AU28">
        <f t="shared" si="28"/>
        <v>-5.0089333333333315</v>
      </c>
      <c r="AV28">
        <f t="shared" si="29"/>
        <v>-6.7014102564102558</v>
      </c>
      <c r="AW28">
        <f t="shared" si="30"/>
        <v>-4.69166666666667</v>
      </c>
      <c r="AX28">
        <f t="shared" si="31"/>
        <v>-4.1025641025641022</v>
      </c>
      <c r="AY28" s="13">
        <f t="shared" ca="1" si="58"/>
        <v>-1.9679932025070599</v>
      </c>
      <c r="AZ28" s="6">
        <f t="shared" ca="1" si="45"/>
        <v>-1.6545923846641841</v>
      </c>
      <c r="BA28" s="6">
        <f t="shared" ca="1" si="32"/>
        <v>-1.9809950780595926</v>
      </c>
      <c r="BB28" s="6">
        <f t="shared" ca="1" si="33"/>
        <v>-4.6154073356486833</v>
      </c>
      <c r="BC28" s="6">
        <f t="shared" ca="1" si="34"/>
        <v>-3.8838907250395494</v>
      </c>
      <c r="BD28" s="2">
        <f t="shared" ca="1" si="35"/>
        <v>-3.9123939503962575</v>
      </c>
      <c r="BP28">
        <f t="shared" si="53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4"/>
        <v>0.6</v>
      </c>
      <c r="BV28">
        <f t="shared" si="52"/>
        <v>0.99950090209515341</v>
      </c>
    </row>
    <row r="29" spans="1:74" x14ac:dyDescent="0.25">
      <c r="A29" t="s">
        <v>124</v>
      </c>
      <c r="B29" s="2">
        <f>B28+1</f>
        <v>1</v>
      </c>
      <c r="C29" s="13">
        <f ca="1">'Historical Trends'!P101</f>
        <v>36.93241994750656</v>
      </c>
      <c r="D29">
        <f ca="1">AVERAGE(OFFSET('Historical Trends'!$F$101,$B6,0,'Polling Correlations - LNP'!D$4,1))</f>
        <v>42.7</v>
      </c>
      <c r="E29">
        <f ca="1">AVERAGE(OFFSET('Historical Trends'!$F$101,$B6,0,'Polling Correlations - LNP'!E$4,1))</f>
        <v>39.380000000000003</v>
      </c>
      <c r="F29">
        <f ca="1">AVERAGE(OFFSET('Historical Trends'!$F$101,$B6,0,'Polling Correlations - LNP'!F$4,1))</f>
        <v>40.06</v>
      </c>
      <c r="G29">
        <f ca="1">AVERAGE(OFFSET('Historical Trends'!$F$101,$B6,0,'Polling Correlations - LNP'!G$4,1))</f>
        <v>40.58</v>
      </c>
      <c r="H29">
        <f ca="1">AVERAGE(OFFSET('Historical Trends'!$F$101,$B6,0,'Polling Correlations - LNP'!H$4,1))</f>
        <v>43.245999999999995</v>
      </c>
      <c r="I29">
        <f ca="1">AVERAGE(OFFSET('Historical Trends'!$F$101,$B6,0,'Polling Correlations - LNP'!I$4,1))</f>
        <v>43.603333333333332</v>
      </c>
      <c r="J29">
        <f ca="1">AVERAGE(OFFSET('Historical Trends'!$F$101,$B6,0,'Polling Correlations - LNP'!J$4,1))</f>
        <v>43.64142857142857</v>
      </c>
      <c r="K29" s="13">
        <f>(40+42+43)/3</f>
        <v>41.666666666666664</v>
      </c>
      <c r="L29">
        <f>(44+54+41)/3</f>
        <v>46.333333333333336</v>
      </c>
      <c r="M29">
        <f>(44+54+41)/3</f>
        <v>46.333333333333336</v>
      </c>
      <c r="N29">
        <f>(40+44+44)/3</f>
        <v>42.666666666666664</v>
      </c>
      <c r="O29">
        <f>(46+40+44)/3</f>
        <v>43.333333333333336</v>
      </c>
      <c r="P29">
        <f>(41+44+46)/3</f>
        <v>43.666666666666664</v>
      </c>
      <c r="Q29" s="30">
        <f>K29-AVERAGE(AM$5:AM28,AM30:AM$31)</f>
        <v>43.089545454545451</v>
      </c>
      <c r="R29" s="31">
        <f>L29-AVERAGE(AN$5:AN28,AN30:AN$31)</f>
        <v>47.902361111111112</v>
      </c>
      <c r="S29" s="31">
        <f>M29-AVERAGE(AO$5:AO28,AO30:AO$31)</f>
        <v>47.968000000000004</v>
      </c>
      <c r="T29" s="31">
        <f>N29-AVERAGE(AP$5:AP28,AP30:AP$31)</f>
        <v>44.186666666666667</v>
      </c>
      <c r="U29" s="31">
        <f>O29-AVERAGE(AQ$5:AQ28,AQ30:AQ$31)</f>
        <v>44.673333333333339</v>
      </c>
      <c r="V29" s="31">
        <f>P29-AVERAGE(AR$5:AR28,AR30:AR$31)</f>
        <v>44.362435897435894</v>
      </c>
      <c r="W29" s="13">
        <f t="shared" ca="1" si="55"/>
        <v>43.25095313797982</v>
      </c>
      <c r="X29" s="6">
        <f t="shared" ca="1" si="42"/>
        <v>46.828076210473121</v>
      </c>
      <c r="Y29" s="6">
        <f t="shared" ca="1" si="12"/>
        <v>46.713194971815049</v>
      </c>
      <c r="Z29" s="6">
        <f t="shared" ca="1" si="13"/>
        <v>44.087127970564133</v>
      </c>
      <c r="AA29" s="6">
        <f t="shared" ca="1" si="14"/>
        <v>44.588720483843275</v>
      </c>
      <c r="AB29" s="2">
        <f t="shared" ca="1" si="15"/>
        <v>44.347438994436693</v>
      </c>
      <c r="AC29" s="2">
        <f>'Historical Trends'!F101</f>
        <v>44.91</v>
      </c>
      <c r="AE29" s="13">
        <f t="shared" ca="1" si="16"/>
        <v>-7.9775800524934368</v>
      </c>
      <c r="AF29">
        <f t="shared" ca="1" si="17"/>
        <v>-2.2099999999999937</v>
      </c>
      <c r="AG29">
        <f t="shared" ca="1" si="18"/>
        <v>-5.529999999999994</v>
      </c>
      <c r="AH29">
        <f t="shared" ca="1" si="19"/>
        <v>-4.8499999999999943</v>
      </c>
      <c r="AI29">
        <f t="shared" ca="1" si="20"/>
        <v>-4.3299999999999983</v>
      </c>
      <c r="AJ29">
        <f t="shared" ca="1" si="21"/>
        <v>-1.6640000000000015</v>
      </c>
      <c r="AK29">
        <f t="shared" ca="1" si="22"/>
        <v>-1.3066666666666649</v>
      </c>
      <c r="AL29">
        <f t="shared" ca="1" si="23"/>
        <v>-1.2685714285714269</v>
      </c>
      <c r="AM29" s="13">
        <f t="shared" si="56"/>
        <v>-3.2433333333333323</v>
      </c>
      <c r="AN29">
        <f t="shared" si="43"/>
        <v>1.4233333333333391</v>
      </c>
      <c r="AO29">
        <f t="shared" si="24"/>
        <v>1.4233333333333391</v>
      </c>
      <c r="AP29">
        <f t="shared" si="25"/>
        <v>-2.2433333333333323</v>
      </c>
      <c r="AQ29">
        <f t="shared" si="26"/>
        <v>-1.5766666666666609</v>
      </c>
      <c r="AR29">
        <f t="shared" si="27"/>
        <v>-1.2433333333333323</v>
      </c>
      <c r="AS29" s="30">
        <f t="shared" si="57"/>
        <v>-1.8204545454545453</v>
      </c>
      <c r="AT29">
        <f t="shared" si="44"/>
        <v>2.9923611111111157</v>
      </c>
      <c r="AU29">
        <f t="shared" si="28"/>
        <v>3.0580000000000069</v>
      </c>
      <c r="AV29">
        <f t="shared" si="29"/>
        <v>-0.72333333333332916</v>
      </c>
      <c r="AW29">
        <f t="shared" si="30"/>
        <v>-0.23666666666665748</v>
      </c>
      <c r="AX29">
        <f t="shared" si="31"/>
        <v>-0.54756410256410248</v>
      </c>
      <c r="AY29" s="13">
        <f t="shared" ca="1" si="58"/>
        <v>-1.6590468620201761</v>
      </c>
      <c r="AZ29" s="6">
        <f t="shared" ca="1" si="45"/>
        <v>1.9180762104731244</v>
      </c>
      <c r="BA29" s="6">
        <f t="shared" ca="1" si="32"/>
        <v>1.8031949718150528</v>
      </c>
      <c r="BB29" s="6">
        <f t="shared" ca="1" si="33"/>
        <v>-0.82287202943586379</v>
      </c>
      <c r="BC29" s="6">
        <f t="shared" ca="1" si="34"/>
        <v>-0.32127951615672146</v>
      </c>
      <c r="BD29" s="2">
        <f t="shared" ca="1" si="35"/>
        <v>-0.56256100556330324</v>
      </c>
      <c r="BP29">
        <f t="shared" si="53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4"/>
        <v>0.7</v>
      </c>
      <c r="BV29">
        <f t="shared" si="52"/>
        <v>0.99596890604747401</v>
      </c>
    </row>
    <row r="30" spans="1:74" x14ac:dyDescent="0.25">
      <c r="A30" t="s">
        <v>126</v>
      </c>
      <c r="B30" s="2">
        <f>B29+1</f>
        <v>2</v>
      </c>
      <c r="C30" s="13">
        <f ca="1">'Historical Trends'!P102</f>
        <v>37.452191489361667</v>
      </c>
      <c r="D30">
        <f ca="1">AVERAGE(OFFSET('Historical Trends'!$F$101,$B7,0,'Polling Correlations - LNP'!D$4,1))</f>
        <v>36.06</v>
      </c>
      <c r="E30">
        <f ca="1">AVERAGE(OFFSET('Historical Trends'!$F$101,$B7,0,'Polling Correlations - LNP'!E$4,1))</f>
        <v>38.74</v>
      </c>
      <c r="F30">
        <f ca="1">AVERAGE(OFFSET('Historical Trends'!$F$101,$B7,0,'Polling Correlations - LNP'!F$4,1))</f>
        <v>39.873333333333335</v>
      </c>
      <c r="G30">
        <f ca="1">AVERAGE(OFFSET('Historical Trends'!$F$101,$B7,0,'Polling Correlations - LNP'!G$4,1))</f>
        <v>43.3825</v>
      </c>
      <c r="H30">
        <f ca="1">AVERAGE(OFFSET('Historical Trends'!$F$101,$B7,0,'Polling Correlations - LNP'!H$4,1))</f>
        <v>43.784000000000006</v>
      </c>
      <c r="I30">
        <f ca="1">AVERAGE(OFFSET('Historical Trends'!$F$101,$B7,0,'Polling Correlations - LNP'!I$4,1))</f>
        <v>43.798333333333339</v>
      </c>
      <c r="J30">
        <f ca="1">AVERAGE(OFFSET('Historical Trends'!$F$101,$B7,0,'Polling Correlations - LNP'!J$4,1))</f>
        <v>43.96857142857143</v>
      </c>
      <c r="K30" s="13">
        <f>(37+37+34)/3</f>
        <v>36</v>
      </c>
      <c r="L30">
        <f>(37+35+36)/3</f>
        <v>36</v>
      </c>
      <c r="M30">
        <f>(34+37+35)/3</f>
        <v>35.333333333333336</v>
      </c>
      <c r="N30">
        <f>(35+36+38.6)/3</f>
        <v>36.533333333333331</v>
      </c>
      <c r="O30">
        <f>(39+35+36)/3</f>
        <v>36.666666666666664</v>
      </c>
      <c r="P30">
        <f>(42.5+42+39)/3</f>
        <v>41.166666666666664</v>
      </c>
      <c r="Q30" s="30">
        <f>K30-AVERAGE(AM$5:AM29,AM31:AM$31)</f>
        <v>37.265757575757576</v>
      </c>
      <c r="R30" s="31">
        <f>L30-AVERAGE(AN$5:AN29,AN31:AN$31)</f>
        <v>37.230555555555554</v>
      </c>
      <c r="S30" s="31">
        <f>M30-AVERAGE(AO$5:AO29,AO31:AO$31)</f>
        <v>36.616400000000006</v>
      </c>
      <c r="T30" s="31">
        <f>N30-AVERAGE(AP$5:AP29,AP31:AP$31)</f>
        <v>37.902435897435893</v>
      </c>
      <c r="U30" s="31">
        <f>O30-AVERAGE(AQ$5:AQ29,AQ31:AQ$31)</f>
        <v>37.835256410256406</v>
      </c>
      <c r="V30" s="31">
        <f>P30-AVERAGE(AR$5:AR29,AR31:AR$31)</f>
        <v>41.851282051282048</v>
      </c>
      <c r="W30" s="13">
        <f t="shared" ca="1" si="55"/>
        <v>39.317981778433087</v>
      </c>
      <c r="X30" s="6">
        <f t="shared" ca="1" si="42"/>
        <v>38.871778841872526</v>
      </c>
      <c r="Y30" s="6">
        <f t="shared" ca="1" si="12"/>
        <v>38.681145545766569</v>
      </c>
      <c r="Z30" s="6">
        <f t="shared" ca="1" si="13"/>
        <v>38.908498657076215</v>
      </c>
      <c r="AA30" s="6">
        <f t="shared" ca="1" si="14"/>
        <v>38.306801204826492</v>
      </c>
      <c r="AB30" s="2">
        <f t="shared" ca="1" si="15"/>
        <v>41.889748182991021</v>
      </c>
      <c r="AC30" s="2">
        <f>'Historical Trends'!F102</f>
        <v>42.7</v>
      </c>
      <c r="AE30" s="13">
        <f t="shared" ca="1" si="16"/>
        <v>-5.2478085106383361</v>
      </c>
      <c r="AF30">
        <f t="shared" ca="1" si="17"/>
        <v>-6.6400000000000006</v>
      </c>
      <c r="AG30">
        <f t="shared" ca="1" si="18"/>
        <v>-3.9600000000000009</v>
      </c>
      <c r="AH30">
        <f t="shared" ca="1" si="19"/>
        <v>-2.826666666666668</v>
      </c>
      <c r="AI30">
        <f t="shared" ca="1" si="20"/>
        <v>0.68249999999999744</v>
      </c>
      <c r="AJ30">
        <f t="shared" ca="1" si="21"/>
        <v>1.0840000000000032</v>
      </c>
      <c r="AK30">
        <f t="shared" ca="1" si="22"/>
        <v>1.0983333333333363</v>
      </c>
      <c r="AL30">
        <f t="shared" ca="1" si="23"/>
        <v>1.2685714285714269</v>
      </c>
      <c r="AM30" s="13">
        <f t="shared" si="56"/>
        <v>-6.7000000000000028</v>
      </c>
      <c r="AN30">
        <f t="shared" si="43"/>
        <v>-6.7000000000000028</v>
      </c>
      <c r="AO30">
        <f t="shared" si="24"/>
        <v>-7.3666666666666671</v>
      </c>
      <c r="AP30">
        <f t="shared" si="25"/>
        <v>-6.1666666666666714</v>
      </c>
      <c r="AQ30">
        <f t="shared" si="26"/>
        <v>-6.0333333333333385</v>
      </c>
      <c r="AR30">
        <f t="shared" si="27"/>
        <v>-1.5333333333333385</v>
      </c>
      <c r="AS30" s="30">
        <f t="shared" si="57"/>
        <v>-5.4342424242424272</v>
      </c>
      <c r="AT30">
        <f t="shared" si="44"/>
        <v>-5.4694444444444485</v>
      </c>
      <c r="AU30">
        <f t="shared" si="28"/>
        <v>-6.083599999999997</v>
      </c>
      <c r="AV30">
        <f t="shared" si="29"/>
        <v>-4.7975641025641096</v>
      </c>
      <c r="AW30">
        <f t="shared" si="30"/>
        <v>-4.8647435897435969</v>
      </c>
      <c r="AX30">
        <f t="shared" si="31"/>
        <v>-0.84871794871795458</v>
      </c>
      <c r="AY30" s="13">
        <f t="shared" ca="1" si="58"/>
        <v>-3.3820182215669163</v>
      </c>
      <c r="AZ30" s="6">
        <f t="shared" ca="1" si="45"/>
        <v>-3.8282211581274765</v>
      </c>
      <c r="BA30" s="6">
        <f t="shared" ca="1" si="32"/>
        <v>-4.0188544542334341</v>
      </c>
      <c r="BB30" s="6">
        <f t="shared" ca="1" si="33"/>
        <v>-3.7915013429237874</v>
      </c>
      <c r="BC30" s="6">
        <f t="shared" ca="1" si="34"/>
        <v>-4.393198795173511</v>
      </c>
      <c r="BD30" s="2">
        <f t="shared" ca="1" si="35"/>
        <v>-0.8102518170089823</v>
      </c>
      <c r="BP30">
        <f t="shared" si="53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4"/>
        <v>0.79999999999999993</v>
      </c>
      <c r="BV30">
        <f t="shared" si="52"/>
        <v>0.99239527551948059</v>
      </c>
    </row>
    <row r="31" spans="1:74" x14ac:dyDescent="0.25">
      <c r="A31" t="s">
        <v>127</v>
      </c>
      <c r="B31" s="2">
        <f>B30+1</f>
        <v>3</v>
      </c>
      <c r="C31" s="13">
        <f ca="1">'Historical Trends'!P103</f>
        <v>43.555687203791479</v>
      </c>
      <c r="D31">
        <f ca="1">AVERAGE(OFFSET('Historical Trends'!$F$101,$B8,0,'Polling Correlations - LNP'!D$4,1))</f>
        <v>41.42</v>
      </c>
      <c r="E31">
        <f ca="1">AVERAGE(OFFSET('Historical Trends'!$F$101,$B8,0,'Polling Correlations - LNP'!E$4,1))</f>
        <v>41.78</v>
      </c>
      <c r="F31">
        <f ca="1">AVERAGE(OFFSET('Historical Trends'!$F$101,$B8,0,'Polling Correlations - LNP'!F$4,1))</f>
        <v>45.823333333333331</v>
      </c>
      <c r="G31">
        <f ca="1">AVERAGE(OFFSET('Historical Trends'!$F$101,$B8,0,'Polling Correlations - LNP'!G$4,1))</f>
        <v>45.715000000000003</v>
      </c>
      <c r="H31">
        <f ca="1">AVERAGE(OFFSET('Historical Trends'!$F$101,$B8,0,'Polling Correlations - LNP'!H$4,1))</f>
        <v>45.346000000000004</v>
      </c>
      <c r="I31">
        <f ca="1">AVERAGE(OFFSET('Historical Trends'!$F$101,$B8,0,'Polling Correlations - LNP'!I$4,1))</f>
        <v>45.286666666666669</v>
      </c>
      <c r="J31">
        <f ca="1">AVERAGE(OFFSET('Historical Trends'!$F$101,$B8,0,'Polling Correlations - LNP'!J$4,1))</f>
        <v>45.938571428571436</v>
      </c>
      <c r="N31">
        <f>(37+40)/2</f>
        <v>38.5</v>
      </c>
      <c r="O31">
        <f>(39+37)/2</f>
        <v>38</v>
      </c>
      <c r="P31">
        <f>(34.5+39)/2</f>
        <v>36.75</v>
      </c>
      <c r="Q31" s="30"/>
      <c r="R31" s="31"/>
      <c r="S31" s="31"/>
      <c r="T31" s="31">
        <f>N31-AVERAGE(AP$5:AP30)</f>
        <v>40.200128205128209</v>
      </c>
      <c r="U31" s="31">
        <f>O31-AVERAGE(AQ$5:AQ30)</f>
        <v>39.475256410256414</v>
      </c>
      <c r="V31" s="31">
        <f>P31-AVERAGE(AR$5:AR30)</f>
        <v>37.520128205128202</v>
      </c>
      <c r="Z31" s="6">
        <f ca="1">T31*Z$4+$I31*(1-Z$4)</f>
        <v>41.068083758505821</v>
      </c>
      <c r="AA31" s="6">
        <f ca="1">U31*AA$4+$I31*(1-AA$4)</f>
        <v>39.934807794696283</v>
      </c>
      <c r="AB31" s="2">
        <f ca="1">V31*AB$4+$I31*(1-AB$4)</f>
        <v>37.673564683221159</v>
      </c>
      <c r="AC31" s="2">
        <f>'Historical Trends'!F103</f>
        <v>36.06</v>
      </c>
      <c r="AE31" s="13">
        <f t="shared" ca="1" si="16"/>
        <v>7.4956872037914763</v>
      </c>
      <c r="AF31">
        <f t="shared" ca="1" si="17"/>
        <v>5.3599999999999994</v>
      </c>
      <c r="AG31">
        <f t="shared" ca="1" si="18"/>
        <v>5.7199999999999989</v>
      </c>
      <c r="AH31">
        <f t="shared" ca="1" si="19"/>
        <v>9.7633333333333283</v>
      </c>
      <c r="AI31">
        <f t="shared" ca="1" si="20"/>
        <v>9.6550000000000011</v>
      </c>
      <c r="AJ31">
        <f t="shared" ca="1" si="21"/>
        <v>9.2860000000000014</v>
      </c>
      <c r="AK31">
        <f t="shared" ca="1" si="22"/>
        <v>9.2266666666666666</v>
      </c>
      <c r="AL31">
        <f t="shared" ca="1" si="23"/>
        <v>9.8785714285714334</v>
      </c>
      <c r="AP31">
        <f>N31-$AC31</f>
        <v>2.4399999999999977</v>
      </c>
      <c r="AQ31">
        <f>O31-$AC31</f>
        <v>1.9399999999999977</v>
      </c>
      <c r="AR31">
        <f>P31-$AC31</f>
        <v>0.68999999999999773</v>
      </c>
      <c r="AS31" s="30"/>
      <c r="AV31">
        <f>T31-$AC31</f>
        <v>4.1401282051282067</v>
      </c>
      <c r="AW31">
        <f>U31-$AC31</f>
        <v>3.4152564102564114</v>
      </c>
      <c r="AX31">
        <f>V31-$AC31</f>
        <v>1.4601282051281999</v>
      </c>
      <c r="BB31" s="6">
        <f ca="1">Z31-$AC31</f>
        <v>5.0080837585058191</v>
      </c>
      <c r="BC31" s="6">
        <f ca="1">AA31-$AC31</f>
        <v>3.8748077946962809</v>
      </c>
      <c r="BD31" s="2">
        <f ca="1">AB31-$AC31</f>
        <v>1.6135646832211563</v>
      </c>
      <c r="BP31">
        <f t="shared" si="53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4"/>
        <v>0.89999999999999991</v>
      </c>
      <c r="BV31">
        <f t="shared" si="52"/>
        <v>0.98877926997784571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4"/>
        <v>0.99999999999999989</v>
      </c>
      <c r="BV32">
        <f t="shared" si="52"/>
        <v>0.985120131222464</v>
      </c>
    </row>
    <row r="33" spans="57:74" x14ac:dyDescent="0.25">
      <c r="BP33">
        <f t="shared" ref="BP33:BP39" si="59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4"/>
        <v>1.0999999999999999</v>
      </c>
      <c r="BV33">
        <f t="shared" si="52"/>
        <v>0.98141708285645068</v>
      </c>
    </row>
    <row r="34" spans="57:74" x14ac:dyDescent="0.25">
      <c r="BP34">
        <f t="shared" si="59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4"/>
        <v>1.2</v>
      </c>
      <c r="BV34">
        <f t="shared" si="52"/>
        <v>0.97766932973694298</v>
      </c>
    </row>
    <row r="35" spans="57:74" x14ac:dyDescent="0.25">
      <c r="BP35">
        <f t="shared" si="59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4"/>
        <v>1.3</v>
      </c>
      <c r="BV35">
        <f t="shared" si="52"/>
        <v>0.97387605740589089</v>
      </c>
    </row>
    <row r="36" spans="57:74" x14ac:dyDescent="0.25">
      <c r="BP36">
        <f t="shared" si="59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4"/>
        <v>1.4000000000000001</v>
      </c>
      <c r="BV36">
        <f t="shared" si="52"/>
        <v>0.97003643149998153</v>
      </c>
    </row>
    <row r="37" spans="57:74" x14ac:dyDescent="0.25">
      <c r="BP37">
        <f t="shared" si="59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4"/>
        <v>1.5000000000000002</v>
      </c>
      <c r="BV37">
        <f t="shared" si="52"/>
        <v>0.966149597138797</v>
      </c>
    </row>
    <row r="38" spans="57:74" x14ac:dyDescent="0.25">
      <c r="BE38" t="s">
        <v>216</v>
      </c>
      <c r="BG38">
        <f>Q4</f>
        <v>-1.5020289855072471</v>
      </c>
      <c r="BH38">
        <f>R4</f>
        <v>-1.4493333333333334</v>
      </c>
      <c r="BI38">
        <f>S4</f>
        <v>-1.5170512820512825</v>
      </c>
      <c r="BJ38">
        <f>T4</f>
        <v>-1.5467901234567909</v>
      </c>
      <c r="BK38">
        <f>U4</f>
        <v>-1.3487654320987659</v>
      </c>
      <c r="BL38">
        <f>AVERAGE(BK38,BM38)</f>
        <v>-1.0324074074074077</v>
      </c>
      <c r="BM38">
        <f>V4</f>
        <v>-0.71604938271604945</v>
      </c>
      <c r="BP38">
        <f t="shared" si="59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4"/>
        <v>1.6000000000000003</v>
      </c>
      <c r="BV38">
        <f t="shared" si="52"/>
        <v>0.96221467829026619</v>
      </c>
    </row>
    <row r="39" spans="57:74" x14ac:dyDescent="0.25">
      <c r="BP39">
        <f t="shared" si="59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4"/>
        <v>1.7000000000000004</v>
      </c>
      <c r="BV39">
        <f t="shared" si="52"/>
        <v>0.95823077711241911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4"/>
        <v>1.8000000000000005</v>
      </c>
      <c r="BV40">
        <f t="shared" si="52"/>
        <v>0.95419697327040509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4"/>
        <v>1.9000000000000006</v>
      </c>
      <c r="BV41">
        <f t="shared" si="52"/>
        <v>0.95011232322768502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4"/>
        <v>2.0000000000000004</v>
      </c>
      <c r="BV42">
        <f t="shared" si="52"/>
        <v>0.9459758595102491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4"/>
        <v>2.1000000000000005</v>
      </c>
      <c r="BV43">
        <f t="shared" si="52"/>
        <v>0.94178658994265552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4"/>
        <v>2.2000000000000006</v>
      </c>
      <c r="BV44">
        <f t="shared" si="52"/>
        <v>0.9375434968546249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4"/>
        <v>2.3000000000000007</v>
      </c>
      <c r="BV45">
        <f t="shared" si="52"/>
        <v>0.93324553625685369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4"/>
        <v>2.4000000000000008</v>
      </c>
      <c r="BV46">
        <f t="shared" si="52"/>
        <v>0.92889163698464827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4"/>
        <v>2.5000000000000009</v>
      </c>
      <c r="BV47">
        <f t="shared" si="52"/>
        <v>0.92448069980790248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4"/>
        <v>2.600000000000001</v>
      </c>
      <c r="BV48">
        <f t="shared" si="52"/>
        <v>0.92001159650586573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4"/>
        <v>2.7000000000000011</v>
      </c>
      <c r="BV49">
        <f t="shared" si="52"/>
        <v>0.9154831689050652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4"/>
        <v>2.8000000000000012</v>
      </c>
      <c r="BV50">
        <f t="shared" si="52"/>
        <v>0.91089422787865948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4"/>
        <v>2.9000000000000012</v>
      </c>
      <c r="BV51">
        <f t="shared" si="52"/>
        <v>0.90624355230540699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4"/>
        <v>3.0000000000000013</v>
      </c>
      <c r="BV52">
        <f t="shared" si="52"/>
        <v>0.90152988798633704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4"/>
        <v>3.1000000000000014</v>
      </c>
      <c r="BV53">
        <f t="shared" si="52"/>
        <v>0.8967519465171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4"/>
        <v>3.2000000000000015</v>
      </c>
      <c r="BV54">
        <f t="shared" si="52"/>
        <v>0.89190840411387207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4"/>
        <v>3.3000000000000016</v>
      </c>
      <c r="BV55">
        <f t="shared" si="52"/>
        <v>0.88699790039056403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4"/>
        <v>3.4000000000000017</v>
      </c>
      <c r="BV56">
        <f t="shared" si="52"/>
        <v>0.88201903708496232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4"/>
        <v>3.5000000000000018</v>
      </c>
      <c r="BV57">
        <f t="shared" si="52"/>
        <v>0.87697037673129685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4"/>
        <v>3.6000000000000019</v>
      </c>
      <c r="BV58">
        <f t="shared" si="52"/>
        <v>0.87185044127658773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4"/>
        <v>3.700000000000002</v>
      </c>
      <c r="BV59">
        <f t="shared" si="52"/>
        <v>0.86665771063797403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4"/>
        <v>3.800000000000002</v>
      </c>
      <c r="BV60">
        <f t="shared" si="52"/>
        <v>0.8613906211980672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4"/>
        <v>3.9000000000000021</v>
      </c>
      <c r="BV61">
        <f t="shared" si="52"/>
        <v>0.85604756423519779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4"/>
        <v>4.0000000000000018</v>
      </c>
      <c r="BV62">
        <f t="shared" si="52"/>
        <v>0.8506268842852478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4"/>
        <v>4.1000000000000014</v>
      </c>
      <c r="BV63">
        <f t="shared" si="52"/>
        <v>0.84512687743156489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4"/>
        <v>4.2000000000000011</v>
      </c>
      <c r="BV64">
        <f t="shared" si="52"/>
        <v>0.83954578951924408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4"/>
        <v>4.3000000000000007</v>
      </c>
      <c r="BV65">
        <f t="shared" si="52"/>
        <v>0.8338818142898492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4"/>
        <v>4.4000000000000004</v>
      </c>
      <c r="BV66">
        <f t="shared" si="52"/>
        <v>0.82813309143240621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4"/>
        <v>4.5</v>
      </c>
      <c r="BV67">
        <f t="shared" si="52"/>
        <v>0.82229770454625051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4"/>
        <v>4.5999999999999996</v>
      </c>
      <c r="BV68">
        <f t="shared" si="52"/>
        <v>0.81637367901104141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4"/>
        <v>4.6999999999999993</v>
      </c>
      <c r="BV69">
        <f t="shared" si="52"/>
        <v>0.81035897975897253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4"/>
        <v>4.7999999999999989</v>
      </c>
      <c r="BV70">
        <f t="shared" si="52"/>
        <v>0.80425150894389641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4"/>
        <v>4.8999999999999986</v>
      </c>
      <c r="BV71">
        <f t="shared" si="52"/>
        <v>0.79804910350175529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4"/>
        <v>4.9999999999999982</v>
      </c>
      <c r="BV72">
        <f t="shared" si="52"/>
        <v>0.79174953259635861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4"/>
        <v>5.0999999999999979</v>
      </c>
      <c r="BV73">
        <f t="shared" si="52"/>
        <v>0.78535049494417264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4"/>
        <v>5.1999999999999975</v>
      </c>
      <c r="BV74">
        <f t="shared" si="52"/>
        <v>0.77884961601137981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4"/>
        <v>5.2999999999999972</v>
      </c>
      <c r="BV75">
        <f t="shared" si="52"/>
        <v>0.7722444450760374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4"/>
        <v>5.3999999999999968</v>
      </c>
      <c r="BV76">
        <f t="shared" si="52"/>
        <v>0.76553245214770138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4"/>
        <v>5.4999999999999964</v>
      </c>
      <c r="BV77">
        <f t="shared" si="52"/>
        <v>0.75871102473637853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4"/>
        <v>5.5999999999999961</v>
      </c>
      <c r="BV78">
        <f t="shared" si="52"/>
        <v>0.75177746446213845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4"/>
        <v>5.6999999999999957</v>
      </c>
      <c r="BV79">
        <f t="shared" si="52"/>
        <v>0.74472898349614658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4"/>
        <v>5.7999999999999954</v>
      </c>
      <c r="BV80">
        <f t="shared" si="52"/>
        <v>0.73756270082324982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4"/>
        <v>5.899999999999995</v>
      </c>
      <c r="BV81">
        <f t="shared" si="52"/>
        <v>0.73027563831559306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4"/>
        <v>5.9999999999999947</v>
      </c>
      <c r="BV82">
        <f t="shared" si="52"/>
        <v>0.72286471660602603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4"/>
        <v>6.0999999999999943</v>
      </c>
      <c r="BV83">
        <f t="shared" si="52"/>
        <v>0.71532675074928309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4"/>
        <v>6.199999999999994</v>
      </c>
      <c r="BV84">
        <f t="shared" si="52"/>
        <v>0.70765844565809521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4"/>
        <v>6.2999999999999936</v>
      </c>
      <c r="BV85">
        <f t="shared" si="52"/>
        <v>0.69985639130049637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4"/>
        <v>6.3999999999999932</v>
      </c>
      <c r="BV86">
        <f t="shared" si="52"/>
        <v>0.69191705764361366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4"/>
        <v>6.4999999999999929</v>
      </c>
      <c r="BV87">
        <f t="shared" ref="BV87:BV97" si="66">MAX(0,($BG$16+1/($BG$17*$BG$18))-1/(($BG$17-BU87) * $BG$18))</f>
        <v>0.68383678932819325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0.67561180005698107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0.6672381666788616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0.65871182294933106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0.65002855294645789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0.64118398411993327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0.63217357994912926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0.62299263218426559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0.6136362526428053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0.6040993645310424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0.59535747519590188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BD4" workbookViewId="0">
      <selection activeCell="BN15" sqref="BN1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1.0954545454545452</v>
      </c>
      <c r="R4" s="10">
        <f t="shared" si="0"/>
        <v>0.29546666666666682</v>
      </c>
      <c r="S4" s="10">
        <f t="shared" si="0"/>
        <v>0.1175641025641026</v>
      </c>
      <c r="T4" s="10">
        <f t="shared" si="0"/>
        <v>0.26345679012345674</v>
      </c>
      <c r="U4" s="10">
        <f t="shared" si="0"/>
        <v>0.17061728395061732</v>
      </c>
      <c r="V4" s="10">
        <f t="shared" si="0"/>
        <v>-7.2839506172839324E-2</v>
      </c>
      <c r="W4" s="14">
        <v>2.6197834206361733E-2</v>
      </c>
      <c r="X4" s="10">
        <v>0.27699192455460059</v>
      </c>
      <c r="Y4" s="10">
        <v>0.35290861460758766</v>
      </c>
      <c r="Z4" s="10">
        <v>0.44158841417118433</v>
      </c>
      <c r="AA4" s="10">
        <v>0.49469395337977351</v>
      </c>
      <c r="AB4" s="15">
        <v>0.61035382038228769</v>
      </c>
      <c r="AC4" s="15"/>
      <c r="AE4" s="14">
        <f ca="1">SQRT(SUMSQ(AE5:AE1001)/COUNT(AE5:AE1001))</f>
        <v>3.6079503992274842</v>
      </c>
      <c r="AF4" s="10">
        <f t="shared" ref="AF4:BD4" ca="1" si="1">SQRT(SUMSQ(AF5:AF1001)/COUNT(AF5:AF1001))</f>
        <v>1.9302849530574495</v>
      </c>
      <c r="AG4" s="10">
        <f t="shared" ca="1" si="1"/>
        <v>2.3524846990489139</v>
      </c>
      <c r="AH4" s="10">
        <f t="shared" ca="1" si="1"/>
        <v>2.8391066996243475</v>
      </c>
      <c r="AI4" s="10">
        <f t="shared" ca="1" si="1"/>
        <v>3.2515517148781052</v>
      </c>
      <c r="AJ4" s="10">
        <f t="shared" ca="1" si="1"/>
        <v>3.6492346456443703</v>
      </c>
      <c r="AK4" s="10">
        <f t="shared" ca="1" si="1"/>
        <v>3.9482766852035347</v>
      </c>
      <c r="AL4" s="10">
        <f t="shared" ca="1" si="1"/>
        <v>4.1597246537823018</v>
      </c>
      <c r="AM4" s="14">
        <f t="shared" si="1"/>
        <v>2.8696920258509135</v>
      </c>
      <c r="AN4" s="10">
        <f t="shared" si="1"/>
        <v>2.2864742387449817</v>
      </c>
      <c r="AO4" s="10">
        <f t="shared" si="1"/>
        <v>2.1465879305515871</v>
      </c>
      <c r="AP4" s="10">
        <f t="shared" si="1"/>
        <v>2.0606980718217494</v>
      </c>
      <c r="AQ4" s="10">
        <f t="shared" si="1"/>
        <v>1.8867423533219712</v>
      </c>
      <c r="AR4" s="10">
        <f t="shared" si="1"/>
        <v>1.5658445439450459</v>
      </c>
      <c r="AS4" s="14">
        <f t="shared" si="1"/>
        <v>2.7794350748293231</v>
      </c>
      <c r="AT4" s="10">
        <f t="shared" si="1"/>
        <v>2.3597180442478396</v>
      </c>
      <c r="AU4" s="10">
        <f t="shared" si="1"/>
        <v>2.2218876172079227</v>
      </c>
      <c r="AV4" s="10">
        <f t="shared" si="1"/>
        <v>2.1199380201750451</v>
      </c>
      <c r="AW4" s="10">
        <f t="shared" si="1"/>
        <v>1.9478181674167439</v>
      </c>
      <c r="AX4" s="10">
        <f t="shared" si="1"/>
        <v>1.6223407295805097</v>
      </c>
      <c r="AY4" s="14">
        <f t="shared" ca="1" si="1"/>
        <v>1.86359248515654</v>
      </c>
      <c r="AZ4" s="10">
        <f t="shared" ca="1" si="1"/>
        <v>1.6509601496006789</v>
      </c>
      <c r="BA4" s="10">
        <f t="shared" ca="1" si="1"/>
        <v>1.5759477874109011</v>
      </c>
      <c r="BB4" s="10">
        <f t="shared" ca="1" si="1"/>
        <v>1.5632758959115192</v>
      </c>
      <c r="BC4" s="10">
        <f t="shared" ca="1" si="1"/>
        <v>1.4690046889782427</v>
      </c>
      <c r="BD4" s="15">
        <f t="shared" ca="1" si="1"/>
        <v>1.3709204050450066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K5-AVERAGE(AM6:AM$31)</f>
        <v>8.6028571428571432</v>
      </c>
      <c r="R5" s="31">
        <f>L5-AVERAGE(AN6:AN$31)</f>
        <v>9.8838888888888885</v>
      </c>
      <c r="S5" s="31">
        <f>M5-AVERAGE(AO6:AO$31)</f>
        <v>9.6537333333333333</v>
      </c>
      <c r="T5" s="31">
        <f>N5-AVERAGE(AP6:AP$31)</f>
        <v>9.2956410256410251</v>
      </c>
      <c r="U5" s="31">
        <f>O5-AVERAGE(AQ6:AQ$31)</f>
        <v>9.599743589743591</v>
      </c>
      <c r="V5" s="31">
        <f>P5-AVERAGE(AR6:AR$31)</f>
        <v>9.6656410256410261</v>
      </c>
      <c r="W5" s="13">
        <f t="shared" ref="W5:W31" ca="1" si="2">Q5*W$4+$D5*(1-W$4)</f>
        <v>10.187372381198507</v>
      </c>
      <c r="X5" s="6">
        <f t="shared" ref="X5:X31" ca="1" si="3">R5*X$4+$D5*(1-X$4)</f>
        <v>10.134130017223601</v>
      </c>
      <c r="Y5" s="6">
        <f t="shared" ref="Y5:Y31" ca="1" si="4">S5*Y$4+$D5*(1-Y$4)</f>
        <v>10.026630529022134</v>
      </c>
      <c r="Z5" s="6">
        <f t="shared" ref="Z5:Z31" ca="1" si="5">T5*Z$4+$D5*(1-Z$4)</f>
        <v>9.8173979022462063</v>
      </c>
      <c r="AA5" s="6">
        <f t="shared" ref="AA5:AA31" ca="1" si="6">U5*AA$4+$D5*(1-AA$4)</f>
        <v>9.9182159647673132</v>
      </c>
      <c r="AB5" s="2">
        <f t="shared" ref="AB5:AB31" ca="1" si="7">V5*AB$4+$D5*(1-AB$4)</f>
        <v>9.8855413439329709</v>
      </c>
      <c r="AC5" s="2">
        <f>'Historical Trends'!G5</f>
        <v>10.4</v>
      </c>
      <c r="AE5" s="13">
        <f t="shared" ref="AE5:AS5" ca="1" si="8">C5-$AC5</f>
        <v>1.4999999999998632</v>
      </c>
      <c r="AF5">
        <f t="shared" ca="1" si="8"/>
        <v>-0.16999999999999993</v>
      </c>
      <c r="AG5">
        <f t="shared" ca="1" si="8"/>
        <v>-0.95999999999999908</v>
      </c>
      <c r="AH5">
        <f t="shared" ca="1" si="8"/>
        <v>-0.18666666666666742</v>
      </c>
      <c r="AI5">
        <f t="shared" ca="1" si="8"/>
        <v>-0.79250000000000043</v>
      </c>
      <c r="AJ5">
        <f t="shared" ca="1" si="8"/>
        <v>-1.2760000000000016</v>
      </c>
      <c r="AK5">
        <f t="shared" ca="1" si="8"/>
        <v>-1.9700000000000006</v>
      </c>
      <c r="AL5">
        <f t="shared" ca="1" si="8"/>
        <v>-2.8000000000000007</v>
      </c>
      <c r="AM5" s="13">
        <f t="shared" si="8"/>
        <v>-0.62000000000000099</v>
      </c>
      <c r="AN5">
        <f t="shared" si="8"/>
        <v>-0.20000000000000107</v>
      </c>
      <c r="AO5">
        <f t="shared" si="8"/>
        <v>-0.59999999999999964</v>
      </c>
      <c r="AP5">
        <f t="shared" si="8"/>
        <v>-0.80000000000000071</v>
      </c>
      <c r="AQ5">
        <f t="shared" si="8"/>
        <v>-0.59999999999999964</v>
      </c>
      <c r="AR5">
        <f t="shared" si="8"/>
        <v>-0.77999999999999936</v>
      </c>
      <c r="AS5" s="30">
        <f t="shared" si="8"/>
        <v>-1.7971428571428572</v>
      </c>
      <c r="AT5">
        <f t="shared" ref="AT5:AX10" si="9">R5-$AC5</f>
        <v>-0.51611111111111185</v>
      </c>
      <c r="AU5">
        <f t="shared" si="9"/>
        <v>-0.74626666666666708</v>
      </c>
      <c r="AV5">
        <f t="shared" si="9"/>
        <v>-1.1043589743589752</v>
      </c>
      <c r="AW5">
        <f t="shared" si="9"/>
        <v>-0.80025641025640937</v>
      </c>
      <c r="AX5">
        <f t="shared" si="9"/>
        <v>-0.73435897435897424</v>
      </c>
      <c r="AY5" s="13">
        <f t="shared" ref="AY5:BD9" ca="1" si="10">W5-$AC5</f>
        <v>-0.21262761880149306</v>
      </c>
      <c r="AZ5" s="6">
        <f t="shared" ca="1" si="10"/>
        <v>-0.26586998277639928</v>
      </c>
      <c r="BA5" s="6">
        <f t="shared" ca="1" si="10"/>
        <v>-0.37336947097786677</v>
      </c>
      <c r="BB5" s="6">
        <f t="shared" ca="1" si="10"/>
        <v>-0.58260209775379401</v>
      </c>
      <c r="BC5" s="6">
        <f t="shared" ca="1" si="10"/>
        <v>-0.4817840352326872</v>
      </c>
      <c r="BD5" s="2">
        <f t="shared" ca="1" si="10"/>
        <v>-0.51445865606702945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K6-AVERAGE(AM5:AM$5,AM7:AM$31)</f>
        <v>10.58047619047619</v>
      </c>
      <c r="R6" s="31">
        <f>L6-AVERAGE(AN5:AN$5,AN7:AN$31)</f>
        <v>12.411805555555556</v>
      </c>
      <c r="S6" s="31">
        <f>M6-AVERAGE(AO5:AO$5,AO7:AO$31)</f>
        <v>10.950133333333333</v>
      </c>
      <c r="T6" s="31">
        <f>N6-AVERAGE(AP5:AP$5,AP7:AP$31)</f>
        <v>11.088333333333333</v>
      </c>
      <c r="U6" s="31">
        <f>O6-AVERAGE(AQ5:AQ$5,AQ7:AQ$31)</f>
        <v>10.333205128205128</v>
      </c>
      <c r="V6" s="31">
        <f>P6-AVERAGE(AR5:AR$5,AR7:AR$31)</f>
        <v>10.108333333333334</v>
      </c>
      <c r="W6" s="13">
        <f t="shared" ca="1" si="2"/>
        <v>8.7005742951774252</v>
      </c>
      <c r="X6" s="6">
        <f t="shared" ca="1" si="3"/>
        <v>9.6919897606335219</v>
      </c>
      <c r="Y6" s="6">
        <f t="shared" ca="1" si="4"/>
        <v>9.4617368680793987</v>
      </c>
      <c r="Z6" s="6">
        <f t="shared" ca="1" si="5"/>
        <v>9.726739749887404</v>
      </c>
      <c r="AA6" s="6">
        <f t="shared" ca="1" si="6"/>
        <v>9.4826713992209033</v>
      </c>
      <c r="AB6" s="2">
        <f t="shared" ca="1" si="7"/>
        <v>9.5400993213908372</v>
      </c>
      <c r="AC6" s="2">
        <f>'Historical Trends'!G6</f>
        <v>10.23</v>
      </c>
      <c r="AE6" s="13">
        <f t="shared" ref="AE6:AR9" ca="1" si="11">C6-$AC6</f>
        <v>2.046666666666642</v>
      </c>
      <c r="AF6">
        <f t="shared" ca="1" si="11"/>
        <v>-1.58</v>
      </c>
      <c r="AG6">
        <f t="shared" ca="1" si="11"/>
        <v>-2.5000000000000355E-2</v>
      </c>
      <c r="AH6">
        <f t="shared" ca="1" si="11"/>
        <v>-0.83000000000000007</v>
      </c>
      <c r="AI6">
        <f t="shared" ca="1" si="11"/>
        <v>-1.3825000000000003</v>
      </c>
      <c r="AJ6">
        <f t="shared" ca="1" si="11"/>
        <v>-2.16</v>
      </c>
      <c r="AK6">
        <f t="shared" ca="1" si="11"/>
        <v>-3.0683333333333342</v>
      </c>
      <c r="AL6">
        <f t="shared" ca="1" si="11"/>
        <v>-3.6742857142857144</v>
      </c>
      <c r="AM6" s="13">
        <f t="shared" si="11"/>
        <v>1.4299999999999997</v>
      </c>
      <c r="AN6">
        <f t="shared" si="11"/>
        <v>2.3900000000000006</v>
      </c>
      <c r="AO6">
        <f t="shared" si="11"/>
        <v>0.8100000000000005</v>
      </c>
      <c r="AP6">
        <f t="shared" si="11"/>
        <v>1.0899999999999999</v>
      </c>
      <c r="AQ6">
        <f t="shared" si="11"/>
        <v>0.26999999999999957</v>
      </c>
      <c r="AR6">
        <f t="shared" si="11"/>
        <v>-0.1899999999999995</v>
      </c>
      <c r="AS6" s="30">
        <f>Q6-$AC6</f>
        <v>0.35047619047618994</v>
      </c>
      <c r="AT6">
        <f t="shared" si="9"/>
        <v>2.181805555555556</v>
      </c>
      <c r="AU6">
        <f t="shared" si="9"/>
        <v>0.72013333333333307</v>
      </c>
      <c r="AV6">
        <f t="shared" si="9"/>
        <v>0.8583333333333325</v>
      </c>
      <c r="AW6">
        <f t="shared" si="9"/>
        <v>0.10320512820512739</v>
      </c>
      <c r="AX6">
        <f t="shared" si="9"/>
        <v>-0.12166666666666615</v>
      </c>
      <c r="AY6" s="13">
        <f t="shared" ca="1" si="10"/>
        <v>-1.5294257048225752</v>
      </c>
      <c r="AZ6" s="6">
        <f t="shared" ca="1" si="10"/>
        <v>-0.53801023936647852</v>
      </c>
      <c r="BA6" s="6">
        <f t="shared" ca="1" si="10"/>
        <v>-0.76826313192060169</v>
      </c>
      <c r="BB6" s="6">
        <f t="shared" ca="1" si="10"/>
        <v>-0.50326025011259645</v>
      </c>
      <c r="BC6" s="6">
        <f t="shared" ca="1" si="10"/>
        <v>-0.74732860077909713</v>
      </c>
      <c r="BD6" s="2">
        <f t="shared" ca="1" si="10"/>
        <v>-0.68990067860916326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K7-AVERAGE(AM$5:AM6,AM8:AM$31)</f>
        <v>11.221428571428572</v>
      </c>
      <c r="R7" s="31">
        <f>L7-AVERAGE(AN$5:AN6,AN8:AN$31)</f>
        <v>10.165138888888889</v>
      </c>
      <c r="S7" s="31">
        <f>M7-AVERAGE(AO$5:AO6,AO8:AO$31)</f>
        <v>10.347733333333334</v>
      </c>
      <c r="T7" s="31">
        <f>N7-AVERAGE(AP$5:AP6,AP8:AP$31)</f>
        <v>9.5706410256410273</v>
      </c>
      <c r="U7" s="31">
        <f>O7-AVERAGE(AQ$5:AQ6,AQ8:AQ$31)</f>
        <v>9.0855128205128199</v>
      </c>
      <c r="V7" s="31">
        <f>P7-AVERAGE(AR$5:AR6,AR8:AR$31)</f>
        <v>9.9614102564102556</v>
      </c>
      <c r="W7" s="13">
        <f t="shared" ca="1" si="2"/>
        <v>11.745890595006003</v>
      </c>
      <c r="X7" s="6">
        <f t="shared" ca="1" si="3"/>
        <v>11.318236351436044</v>
      </c>
      <c r="Y7" s="6">
        <f t="shared" ca="1" si="4"/>
        <v>11.261598927210191</v>
      </c>
      <c r="Z7" s="6">
        <f t="shared" ca="1" si="5"/>
        <v>10.79320444246137</v>
      </c>
      <c r="AA7" s="6">
        <f t="shared" ca="1" si="6"/>
        <v>10.436947363915968</v>
      </c>
      <c r="AB7" s="2">
        <f t="shared" ca="1" si="7"/>
        <v>10.662223878699599</v>
      </c>
      <c r="AC7" s="2">
        <f>'Historical Trends'!G7</f>
        <v>8.65</v>
      </c>
      <c r="AE7" s="13">
        <f t="shared" ca="1" si="11"/>
        <v>4.0178837209301488</v>
      </c>
      <c r="AF7">
        <f t="shared" ca="1" si="11"/>
        <v>3.1099999999999994</v>
      </c>
      <c r="AG7">
        <f t="shared" ca="1" si="11"/>
        <v>1.125</v>
      </c>
      <c r="AH7">
        <f t="shared" ca="1" si="11"/>
        <v>0.26333333333333364</v>
      </c>
      <c r="AI7">
        <f t="shared" ca="1" si="11"/>
        <v>-0.72499999999999964</v>
      </c>
      <c r="AJ7">
        <f t="shared" ca="1" si="11"/>
        <v>-1.7860000000000005</v>
      </c>
      <c r="AK7">
        <f t="shared" ca="1" si="11"/>
        <v>-2.4433333333333334</v>
      </c>
      <c r="AL7">
        <f t="shared" ca="1" si="11"/>
        <v>-3.0685714285714285</v>
      </c>
      <c r="AM7" s="13">
        <f t="shared" si="11"/>
        <v>3.5499999999999989</v>
      </c>
      <c r="AN7">
        <f t="shared" si="11"/>
        <v>1.75</v>
      </c>
      <c r="AO7">
        <f t="shared" si="11"/>
        <v>1.75</v>
      </c>
      <c r="AP7">
        <f t="shared" si="11"/>
        <v>1.1500000000000004</v>
      </c>
      <c r="AQ7">
        <f t="shared" si="11"/>
        <v>0.58999999999999986</v>
      </c>
      <c r="AR7">
        <f t="shared" si="11"/>
        <v>1.1899999999999995</v>
      </c>
      <c r="AS7" s="30">
        <f>Q7-$AC7</f>
        <v>2.5714285714285712</v>
      </c>
      <c r="AT7">
        <f t="shared" si="9"/>
        <v>1.5151388888888881</v>
      </c>
      <c r="AU7">
        <f t="shared" si="9"/>
        <v>1.6977333333333338</v>
      </c>
      <c r="AV7">
        <f t="shared" si="9"/>
        <v>0.9206410256410269</v>
      </c>
      <c r="AW7">
        <f t="shared" si="9"/>
        <v>0.43551282051281959</v>
      </c>
      <c r="AX7">
        <f t="shared" si="9"/>
        <v>1.3114102564102552</v>
      </c>
      <c r="AY7" s="13">
        <f t="shared" ca="1" si="10"/>
        <v>3.0958905950060025</v>
      </c>
      <c r="AZ7" s="6">
        <f t="shared" ca="1" si="10"/>
        <v>2.6682363514360432</v>
      </c>
      <c r="BA7" s="6">
        <f t="shared" ca="1" si="10"/>
        <v>2.6115989272101903</v>
      </c>
      <c r="BB7" s="6">
        <f t="shared" ca="1" si="10"/>
        <v>2.1432044424613697</v>
      </c>
      <c r="BC7" s="6">
        <f t="shared" ca="1" si="10"/>
        <v>1.7869473639159672</v>
      </c>
      <c r="BD7" s="2">
        <f t="shared" ca="1" si="10"/>
        <v>2.012223878699599</v>
      </c>
      <c r="BE7" t="s">
        <v>179</v>
      </c>
      <c r="BG7">
        <f>AM4</f>
        <v>2.8696920258509135</v>
      </c>
      <c r="BH7">
        <f>AN4</f>
        <v>2.2864742387449817</v>
      </c>
      <c r="BI7">
        <f>AO4</f>
        <v>2.1465879305515871</v>
      </c>
      <c r="BJ7">
        <f>AP4</f>
        <v>2.0606980718217494</v>
      </c>
      <c r="BK7">
        <f>AQ4</f>
        <v>1.8867423533219712</v>
      </c>
      <c r="BL7">
        <f t="shared" si="12"/>
        <v>1.7262934486335086</v>
      </c>
      <c r="BM7">
        <f>AR4</f>
        <v>1.5658445439450459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K8-AVERAGE(AM$5:AM7,AM9:AM$31)</f>
        <v>8.5590476190476199</v>
      </c>
      <c r="R8" s="31">
        <f>L8-AVERAGE(AN$5:AN7,AN9:AN$31)</f>
        <v>9.8272222222222219</v>
      </c>
      <c r="S8" s="31">
        <f>M8-AVERAGE(AO$5:AO7,AO9:AO$31)</f>
        <v>11.887333333333334</v>
      </c>
      <c r="T8" s="31">
        <f>N8-AVERAGE(AP$5:AP7,AP9:AP$31)</f>
        <v>11.112564102564104</v>
      </c>
      <c r="U8" s="31">
        <f>O8-AVERAGE(AQ$5:AQ7,AQ9:AQ$31)</f>
        <v>12.455128205128204</v>
      </c>
      <c r="V8" s="31">
        <f>P8-AVERAGE(AR$5:AR7,AR9:AR$31)</f>
        <v>13.081794871794871</v>
      </c>
      <c r="W8" s="13">
        <f t="shared" ca="1" si="2"/>
        <v>7.8101473820206069</v>
      </c>
      <c r="X8" s="6">
        <f t="shared" ca="1" si="3"/>
        <v>8.3542941040787326</v>
      </c>
      <c r="Y8" s="6">
        <f t="shared" ca="1" si="4"/>
        <v>9.2359842302521571</v>
      </c>
      <c r="Z8" s="6">
        <f t="shared" ca="1" si="5"/>
        <v>9.2572058130333872</v>
      </c>
      <c r="AA8" s="6">
        <f t="shared" ca="1" si="6"/>
        <v>10.097810714818358</v>
      </c>
      <c r="AB8" s="2">
        <f t="shared" ca="1" si="7"/>
        <v>11.019867216679398</v>
      </c>
      <c r="AC8" s="2">
        <f>'Historical Trends'!G8</f>
        <v>11.76</v>
      </c>
      <c r="AE8" s="13">
        <f t="shared" ca="1" si="11"/>
        <v>-2.4526205191595043</v>
      </c>
      <c r="AF8">
        <f t="shared" ca="1" si="11"/>
        <v>-3.9699999999999998</v>
      </c>
      <c r="AG8">
        <f t="shared" ca="1" si="11"/>
        <v>-4.2699999999999996</v>
      </c>
      <c r="AH8">
        <f t="shared" ca="1" si="11"/>
        <v>-5.1133333333333324</v>
      </c>
      <c r="AI8">
        <f t="shared" ca="1" si="11"/>
        <v>-6.1199999999999992</v>
      </c>
      <c r="AJ8">
        <f t="shared" ca="1" si="11"/>
        <v>-6.6639999999999988</v>
      </c>
      <c r="AK8">
        <f t="shared" ca="1" si="11"/>
        <v>-7.208333333333333</v>
      </c>
      <c r="AL8">
        <f t="shared" ca="1" si="11"/>
        <v>-7.6628571428571419</v>
      </c>
      <c r="AM8" s="13">
        <f t="shared" si="11"/>
        <v>-1.9599999999999991</v>
      </c>
      <c r="AN8">
        <f t="shared" si="11"/>
        <v>-1.5600000000000005</v>
      </c>
      <c r="AO8">
        <f t="shared" si="11"/>
        <v>0.24000000000000021</v>
      </c>
      <c r="AP8">
        <f t="shared" si="11"/>
        <v>-0.35999999999999943</v>
      </c>
      <c r="AQ8">
        <f t="shared" si="11"/>
        <v>0.83999999999999986</v>
      </c>
      <c r="AR8">
        <f t="shared" si="11"/>
        <v>1.1999999999999993</v>
      </c>
      <c r="AS8" s="30">
        <f>Q8-$AC8</f>
        <v>-3.2009523809523799</v>
      </c>
      <c r="AT8">
        <f t="shared" si="9"/>
        <v>-1.9327777777777779</v>
      </c>
      <c r="AU8">
        <f t="shared" si="9"/>
        <v>0.12733333333333441</v>
      </c>
      <c r="AV8">
        <f t="shared" si="9"/>
        <v>-0.64743589743589602</v>
      </c>
      <c r="AW8">
        <f t="shared" si="9"/>
        <v>0.69512820512820461</v>
      </c>
      <c r="AX8">
        <f t="shared" si="9"/>
        <v>1.3217948717948715</v>
      </c>
      <c r="AY8" s="13">
        <f t="shared" ca="1" si="10"/>
        <v>-3.9498526179793929</v>
      </c>
      <c r="AZ8" s="6">
        <f t="shared" ca="1" si="10"/>
        <v>-3.4057058959212672</v>
      </c>
      <c r="BA8" s="6">
        <f t="shared" ca="1" si="10"/>
        <v>-2.5240157697478427</v>
      </c>
      <c r="BB8" s="6">
        <f t="shared" ca="1" si="10"/>
        <v>-2.5027941869666126</v>
      </c>
      <c r="BC8" s="6">
        <f t="shared" ca="1" si="10"/>
        <v>-1.6621892851816416</v>
      </c>
      <c r="BD8" s="2">
        <f t="shared" ca="1" si="10"/>
        <v>-0.74013278332060217</v>
      </c>
      <c r="BE8" t="s">
        <v>183</v>
      </c>
      <c r="BG8">
        <f ca="1">AY4</f>
        <v>1.86359248515654</v>
      </c>
      <c r="BH8">
        <f ca="1">AZ4</f>
        <v>1.6509601496006789</v>
      </c>
      <c r="BI8">
        <f ca="1">BA4</f>
        <v>1.5759477874109011</v>
      </c>
      <c r="BJ8">
        <f ca="1">BB4</f>
        <v>1.5632758959115192</v>
      </c>
      <c r="BK8">
        <f ca="1">BC4</f>
        <v>1.4690046889782427</v>
      </c>
      <c r="BL8">
        <f t="shared" ca="1" si="12"/>
        <v>1.4199625470116246</v>
      </c>
      <c r="BM8">
        <f ca="1">BD4</f>
        <v>1.3709204050450066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K9-AVERAGE(AM$5:AM8,AM10:AM$31)</f>
        <v>6.652857142857143</v>
      </c>
      <c r="R9" s="31">
        <f>L9-AVERAGE(AN$5:AN8,AN10:AN$31)</f>
        <v>6.4509722222222221</v>
      </c>
      <c r="S9" s="31">
        <f>M9-AVERAGE(AO$5:AO8,AO10:AO$31)</f>
        <v>4.9741333333333335</v>
      </c>
      <c r="T9" s="31">
        <f>N9-AVERAGE(AP$5:AP8,AP10:AP$31)</f>
        <v>5.0344871794871802</v>
      </c>
      <c r="U9" s="31">
        <f>O9-AVERAGE(AQ$5:AQ8,AQ10:AQ$31)</f>
        <v>5.9616666666666669</v>
      </c>
      <c r="V9" s="31">
        <f>P9-AVERAGE(AR$5:AR8,AR10:AR$31)</f>
        <v>6.8375641025641025</v>
      </c>
      <c r="W9" s="13">
        <f t="shared" ca="1" si="2"/>
        <v>7.1759280204834406</v>
      </c>
      <c r="X9" s="6">
        <f t="shared" ca="1" si="3"/>
        <v>6.9852952735340237</v>
      </c>
      <c r="Y9" s="6">
        <f t="shared" ca="1" si="4"/>
        <v>6.4080015645115331</v>
      </c>
      <c r="Z9" s="6">
        <f t="shared" ca="1" si="5"/>
        <v>6.2381505118640881</v>
      </c>
      <c r="AA9" s="6">
        <f t="shared" ca="1" si="6"/>
        <v>6.5823509272651783</v>
      </c>
      <c r="AB9" s="2">
        <f t="shared" ca="1" si="7"/>
        <v>6.9748894035601401</v>
      </c>
      <c r="AC9" s="2">
        <f>'Historical Trends'!G9</f>
        <v>7.79</v>
      </c>
      <c r="AE9" s="13">
        <f t="shared" ca="1" si="11"/>
        <v>-0.2962121212121156</v>
      </c>
      <c r="AF9">
        <f t="shared" ca="1" si="11"/>
        <v>-0.59999999999999964</v>
      </c>
      <c r="AG9">
        <f t="shared" ca="1" si="11"/>
        <v>-1.7149999999999999</v>
      </c>
      <c r="AH9">
        <f t="shared" ca="1" si="11"/>
        <v>-2.8666666666666671</v>
      </c>
      <c r="AI9">
        <f t="shared" ca="1" si="11"/>
        <v>-3.3675000000000006</v>
      </c>
      <c r="AJ9">
        <f t="shared" ca="1" si="11"/>
        <v>-3.886000000000001</v>
      </c>
      <c r="AK9">
        <f t="shared" ca="1" si="11"/>
        <v>-4.3083333333333336</v>
      </c>
      <c r="AL9">
        <f t="shared" ca="1" si="11"/>
        <v>-4.3083333333333336</v>
      </c>
      <c r="AM9" s="13">
        <f t="shared" si="11"/>
        <v>9.9999999999997868E-3</v>
      </c>
      <c r="AN9">
        <f t="shared" si="11"/>
        <v>-0.99000000000000021</v>
      </c>
      <c r="AO9">
        <f t="shared" si="11"/>
        <v>-2.59</v>
      </c>
      <c r="AP9">
        <f t="shared" si="11"/>
        <v>-2.3899999999999997</v>
      </c>
      <c r="AQ9">
        <f t="shared" si="11"/>
        <v>-1.5899999999999999</v>
      </c>
      <c r="AR9">
        <f t="shared" si="11"/>
        <v>-0.99000000000000021</v>
      </c>
      <c r="AS9" s="30">
        <f>Q9-$AC9</f>
        <v>-1.137142857142857</v>
      </c>
      <c r="AT9">
        <f t="shared" si="9"/>
        <v>-1.3390277777777779</v>
      </c>
      <c r="AU9">
        <f t="shared" si="9"/>
        <v>-2.8158666666666665</v>
      </c>
      <c r="AV9">
        <f t="shared" si="9"/>
        <v>-2.7555128205128199</v>
      </c>
      <c r="AW9">
        <f t="shared" si="9"/>
        <v>-1.8283333333333331</v>
      </c>
      <c r="AX9">
        <f t="shared" si="9"/>
        <v>-0.95243589743589752</v>
      </c>
      <c r="AY9" s="13">
        <f t="shared" ca="1" si="10"/>
        <v>-0.61407197951655945</v>
      </c>
      <c r="AZ9" s="6">
        <f t="shared" ca="1" si="10"/>
        <v>-0.80470472646597635</v>
      </c>
      <c r="BA9" s="6">
        <f t="shared" ca="1" si="10"/>
        <v>-1.3819984354884669</v>
      </c>
      <c r="BB9" s="6">
        <f t="shared" ca="1" si="10"/>
        <v>-1.5518494881359119</v>
      </c>
      <c r="BC9" s="6">
        <f t="shared" ca="1" si="10"/>
        <v>-1.2076490727348217</v>
      </c>
      <c r="BD9" s="2">
        <f t="shared" ca="1" si="10"/>
        <v>-0.81511059643985995</v>
      </c>
      <c r="BE9" t="s">
        <v>184</v>
      </c>
      <c r="BG9">
        <f t="shared" ref="BG9:BM9" ca="1" si="13">$AK$4</f>
        <v>3.9482766852035347</v>
      </c>
      <c r="BH9">
        <f t="shared" ca="1" si="13"/>
        <v>3.9482766852035347</v>
      </c>
      <c r="BI9">
        <f t="shared" ca="1" si="13"/>
        <v>3.9482766852035347</v>
      </c>
      <c r="BJ9">
        <f t="shared" ca="1" si="13"/>
        <v>3.9482766852035347</v>
      </c>
      <c r="BK9">
        <f t="shared" ca="1" si="13"/>
        <v>3.9482766852035347</v>
      </c>
      <c r="BL9">
        <f t="shared" ca="1" si="12"/>
        <v>3.9482766852035347</v>
      </c>
      <c r="BM9">
        <f t="shared" ca="1" si="13"/>
        <v>3.9482766852035347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M10-AVERAGE(AO$5:AO9,AO12:AO$31)</f>
        <v>5.2062499999999998</v>
      </c>
      <c r="T10" s="31">
        <f>N10-AVERAGE(AP$5:AP9,AP12:AP$31)</f>
        <v>6.7824</v>
      </c>
      <c r="U10" s="31">
        <f>O10-AVERAGE(AQ$5:AQ9,AQ12:AQ$31)</f>
        <v>6.9093333333333335</v>
      </c>
      <c r="V10" s="31">
        <f>P10-AVERAGE(AR$5:AR9,AR12:AR$31)</f>
        <v>6.7989333333333333</v>
      </c>
      <c r="W10" s="13">
        <f t="shared" ca="1" si="2"/>
        <v>4.8300587423364458</v>
      </c>
      <c r="X10" s="6">
        <f t="shared" ca="1" si="3"/>
        <v>3.5861200542091809</v>
      </c>
      <c r="Y10" s="6">
        <f t="shared" ca="1" si="4"/>
        <v>5.0469037463471178</v>
      </c>
      <c r="Z10" s="6">
        <f t="shared" ca="1" si="5"/>
        <v>5.7647507259855661</v>
      </c>
      <c r="AA10" s="6">
        <f t="shared" ca="1" si="6"/>
        <v>5.9243234131216385</v>
      </c>
      <c r="AB10" s="2">
        <f t="shared" ca="1" si="7"/>
        <v>6.082399985428335</v>
      </c>
      <c r="AC10" s="2">
        <f>'Historical Trends'!G10</f>
        <v>7.19</v>
      </c>
      <c r="AE10" s="13">
        <f t="shared" ref="AE10:AE30" ca="1" si="14">C10-$AC10</f>
        <v>-1.9472131147539953</v>
      </c>
      <c r="AF10">
        <f t="shared" ref="AF10:AF30" ca="1" si="15">D10-$AC10</f>
        <v>-2.2300000000000004</v>
      </c>
      <c r="AG10">
        <f t="shared" ref="AG10:AG30" ca="1" si="16">E10-$AC10</f>
        <v>-3.4000000000000004</v>
      </c>
      <c r="AH10">
        <f t="shared" ref="AH10:AH30" ca="1" si="17">F10-$AC10</f>
        <v>-3.6900000000000004</v>
      </c>
      <c r="AI10">
        <f t="shared" ref="AI10:AI30" ca="1" si="18">G10-$AC10</f>
        <v>-4.1074999999999999</v>
      </c>
      <c r="AJ10">
        <f t="shared" ref="AJ10:AJ30" ca="1" si="19">H10-$AC10</f>
        <v>-4.4500000000000011</v>
      </c>
      <c r="AK10">
        <f t="shared" ref="AK10:AK30" ca="1" si="20">I10-$AC10</f>
        <v>-4.4500000000000011</v>
      </c>
      <c r="AL10">
        <f t="shared" ref="AL10:AL30" ca="1" si="21">J10-$AC10</f>
        <v>-4.4500000000000011</v>
      </c>
      <c r="AO10">
        <f t="shared" ref="AO10:AO30" si="22">M10-$AC10</f>
        <v>-1.8566666666666674</v>
      </c>
      <c r="AP10">
        <f t="shared" ref="AP10:AP30" si="23">N10-$AC10</f>
        <v>-0.19000000000000039</v>
      </c>
      <c r="AQ10">
        <f t="shared" ref="AQ10:AQ30" si="24">O10-$AC10</f>
        <v>-0.19000000000000039</v>
      </c>
      <c r="AR10">
        <f t="shared" ref="AR10:AR30" si="25">P10-$AC10</f>
        <v>-0.52333333333333343</v>
      </c>
      <c r="AS10" s="30"/>
      <c r="AU10">
        <f t="shared" si="9"/>
        <v>-1.9837500000000006</v>
      </c>
      <c r="AV10">
        <f t="shared" si="9"/>
        <v>-0.40760000000000041</v>
      </c>
      <c r="AW10">
        <f t="shared" si="9"/>
        <v>-0.28066666666666684</v>
      </c>
      <c r="AX10">
        <f t="shared" si="9"/>
        <v>-0.39106666666666712</v>
      </c>
      <c r="BA10" s="6">
        <f t="shared" ref="BA10:BA30" ca="1" si="26">Y10-$AC10</f>
        <v>-2.1430962536528826</v>
      </c>
      <c r="BB10" s="6">
        <f t="shared" ref="BB10:BB30" ca="1" si="27">Z10-$AC10</f>
        <v>-1.4252492740144342</v>
      </c>
      <c r="BC10" s="6">
        <f t="shared" ref="BC10:BC30" ca="1" si="28">AA10-$AC10</f>
        <v>-1.2656765868783619</v>
      </c>
      <c r="BD10" s="2">
        <f t="shared" ref="BD10:BD30" ca="1" si="29">AB10-$AC10</f>
        <v>-1.1076000145716653</v>
      </c>
      <c r="BE10" t="s">
        <v>152</v>
      </c>
      <c r="BG10">
        <f>W4</f>
        <v>2.6197834206361733E-2</v>
      </c>
      <c r="BH10">
        <f>X4</f>
        <v>0.27699192455460059</v>
      </c>
      <c r="BI10">
        <f>Y4</f>
        <v>0.35290861460758766</v>
      </c>
      <c r="BJ10">
        <f>Z4</f>
        <v>0.44158841417118433</v>
      </c>
      <c r="BK10">
        <f>AA4</f>
        <v>0.49469395337977351</v>
      </c>
      <c r="BL10">
        <f t="shared" si="12"/>
        <v>0.5525238868810306</v>
      </c>
      <c r="BM10">
        <f>AB4</f>
        <v>0.61035382038228769</v>
      </c>
    </row>
    <row r="11" spans="1:66" x14ac:dyDescent="0.25">
      <c r="A11" t="s">
        <v>67</v>
      </c>
      <c r="B11">
        <v>0</v>
      </c>
      <c r="C11" s="13">
        <f ca="1">'Historical Trends'!Q26</f>
        <v>9.7777606177606344</v>
      </c>
      <c r="D11">
        <f ca="1">AVERAGE(OFFSET('Historical Trends'!$G$28,$B4,0,'Polling Correlations - GRN'!D$4,1))</f>
        <v>8.43</v>
      </c>
      <c r="E11">
        <f ca="1">AVERAGE(OFFSET('Historical Trends'!$G$28,$B4,0,'Polling Correlations - GRN'!E$4,1))</f>
        <v>7.98</v>
      </c>
      <c r="F11">
        <f ca="1">AVERAGE(OFFSET('Historical Trends'!$G$28,$B4,0,'Polling Correlations - GRN'!F$4,1))</f>
        <v>8.11</v>
      </c>
      <c r="G11">
        <f ca="1">AVERAGE(OFFSET('Historical Trends'!$G$28,$B4,0,'Polling Correlations - GRN'!G$4,1))</f>
        <v>8.08</v>
      </c>
      <c r="H11">
        <f ca="1">AVERAGE(OFFSET('Historical Trends'!$G$28,$B4,0,'Polling Correlations - GRN'!H$4,1))</f>
        <v>7.8159999999999998</v>
      </c>
      <c r="I11">
        <f ca="1">AVERAGE(OFFSET('Historical Trends'!$G$28,$B4,0,'Polling Correlations - GRN'!I$4,1))</f>
        <v>6.9316666666666658</v>
      </c>
      <c r="J11">
        <f ca="1">AVERAGE(OFFSET('Historical Trends'!$G$28,$B4,0,'Polling Correlations - GRN'!J$4,1))</f>
        <v>6.2785714285714276</v>
      </c>
      <c r="K11" s="13">
        <f>(11+10+10)/3</f>
        <v>10.333333333333334</v>
      </c>
      <c r="L11">
        <f>(13+11+11)/3</f>
        <v>11.666666666666666</v>
      </c>
      <c r="M11">
        <f>(10+13+11)/3</f>
        <v>11.333333333333334</v>
      </c>
      <c r="N11">
        <f>(12+12+10)/3</f>
        <v>11.333333333333334</v>
      </c>
      <c r="O11">
        <f>(12+12+12)/3</f>
        <v>12</v>
      </c>
      <c r="P11">
        <f>(11+11+12)/3</f>
        <v>11.333333333333334</v>
      </c>
      <c r="Q11" s="30">
        <f>K11-AVERAGE(AM$5:AM9,AM12:AM$31)</f>
        <v>9.2268253968253973</v>
      </c>
      <c r="R11" s="31">
        <f>L11-AVERAGE(AN$5:AN9,AN12:AN$31)</f>
        <v>11.450416666666666</v>
      </c>
      <c r="S11" s="31">
        <f>M11-AVERAGE(AO$5:AO9,AO12:AO$31)</f>
        <v>11.206250000000001</v>
      </c>
      <c r="T11" s="31">
        <f>N11-AVERAGE(AP$5:AP9,AP12:AP$31)</f>
        <v>11.115733333333335</v>
      </c>
      <c r="U11" s="31">
        <f>O11-AVERAGE(AQ$5:AQ9,AQ12:AQ$31)</f>
        <v>11.909333333333333</v>
      </c>
      <c r="V11" s="31">
        <f>P11-AVERAGE(AR$5:AR9,AR12:AR$31)</f>
        <v>11.4656</v>
      </c>
      <c r="W11" s="13">
        <f t="shared" ca="1" si="2"/>
        <v>8.4508750996374502</v>
      </c>
      <c r="X11" s="6">
        <f t="shared" ca="1" si="3"/>
        <v>9.2666310254567907</v>
      </c>
      <c r="Y11" s="6">
        <f t="shared" ca="1" si="4"/>
        <v>9.409762541304314</v>
      </c>
      <c r="Z11" s="6">
        <f t="shared" ca="1" si="5"/>
        <v>9.6159887235533557</v>
      </c>
      <c r="AA11" s="6">
        <f t="shared" ca="1" si="6"/>
        <v>10.151205161792692</v>
      </c>
      <c r="AB11" s="2">
        <f t="shared" ca="1" si="7"/>
        <v>10.282790057152473</v>
      </c>
      <c r="AC11" s="2">
        <f>'Historical Trends'!G26</f>
        <v>9.4700000000000006</v>
      </c>
      <c r="AE11" s="13">
        <f t="shared" ca="1" si="14"/>
        <v>0.30776061776063379</v>
      </c>
      <c r="AF11">
        <f t="shared" ca="1" si="15"/>
        <v>-1.0400000000000009</v>
      </c>
      <c r="AG11">
        <f t="shared" ca="1" si="16"/>
        <v>-1.4900000000000002</v>
      </c>
      <c r="AH11">
        <f t="shared" ca="1" si="17"/>
        <v>-1.3600000000000012</v>
      </c>
      <c r="AI11">
        <f t="shared" ca="1" si="18"/>
        <v>-1.3900000000000006</v>
      </c>
      <c r="AJ11">
        <f t="shared" ca="1" si="19"/>
        <v>-1.6540000000000008</v>
      </c>
      <c r="AK11">
        <f t="shared" ca="1" si="20"/>
        <v>-2.5383333333333349</v>
      </c>
      <c r="AL11">
        <f t="shared" ca="1" si="21"/>
        <v>-3.1914285714285731</v>
      </c>
      <c r="AM11" s="13">
        <f t="shared" ref="AM11:AN15" si="30">K11-$AC11</f>
        <v>0.86333333333333329</v>
      </c>
      <c r="AN11">
        <f t="shared" si="30"/>
        <v>2.1966666666666654</v>
      </c>
      <c r="AO11">
        <f t="shared" si="22"/>
        <v>1.8633333333333333</v>
      </c>
      <c r="AP11">
        <f t="shared" si="23"/>
        <v>1.8633333333333333</v>
      </c>
      <c r="AQ11">
        <f t="shared" si="24"/>
        <v>2.5299999999999994</v>
      </c>
      <c r="AR11">
        <f t="shared" si="25"/>
        <v>1.8633333333333333</v>
      </c>
      <c r="AS11" s="30">
        <f t="shared" ref="AS11:AZ15" si="31">Q11-$AC11</f>
        <v>-0.24317460317460338</v>
      </c>
      <c r="AT11">
        <f t="shared" si="31"/>
        <v>1.9804166666666649</v>
      </c>
      <c r="AU11">
        <f t="shared" si="31"/>
        <v>1.7362500000000001</v>
      </c>
      <c r="AV11">
        <f t="shared" si="31"/>
        <v>1.6457333333333342</v>
      </c>
      <c r="AW11">
        <f t="shared" si="31"/>
        <v>2.439333333333332</v>
      </c>
      <c r="AX11">
        <f t="shared" si="31"/>
        <v>1.9955999999999996</v>
      </c>
      <c r="AY11" s="13">
        <f t="shared" ca="1" si="31"/>
        <v>-1.0191249003625504</v>
      </c>
      <c r="AZ11" s="6">
        <f t="shared" ca="1" si="31"/>
        <v>-0.2033689745432099</v>
      </c>
      <c r="BA11" s="6">
        <f t="shared" ca="1" si="26"/>
        <v>-6.0237458695686641E-2</v>
      </c>
      <c r="BB11" s="6">
        <f t="shared" ca="1" si="27"/>
        <v>0.14598872355335502</v>
      </c>
      <c r="BC11" s="6">
        <f t="shared" ca="1" si="28"/>
        <v>0.68120516179269153</v>
      </c>
      <c r="BD11" s="2">
        <f t="shared" ca="1" si="29"/>
        <v>0.81279005715247266</v>
      </c>
      <c r="BE11" t="s">
        <v>185</v>
      </c>
      <c r="BG11">
        <f>BG10</f>
        <v>2.6197834206361733E-2</v>
      </c>
      <c r="BH11">
        <f>AVERAGE(BG10:BI10)</f>
        <v>0.21869945778951663</v>
      </c>
      <c r="BI11">
        <f>AVERAGE(BH10:BJ10)</f>
        <v>0.35716298444445754</v>
      </c>
      <c r="BJ11">
        <f>AVERAGE(BI10:BK10)</f>
        <v>0.42973032738618189</v>
      </c>
      <c r="BK11">
        <f>AVERAGE(BJ10:BM10)</f>
        <v>0.52479001870356901</v>
      </c>
      <c r="BL11">
        <f t="shared" si="12"/>
        <v>0.56757191954292829</v>
      </c>
      <c r="BM11">
        <f>BM10</f>
        <v>0.61035382038228769</v>
      </c>
    </row>
    <row r="12" spans="1:66" x14ac:dyDescent="0.25">
      <c r="A12" t="s">
        <v>49</v>
      </c>
      <c r="B12">
        <f>B11+1</f>
        <v>1</v>
      </c>
      <c r="C12" s="13">
        <f ca="1">'Historical Trends'!Q27</f>
        <v>9.9122496909765232</v>
      </c>
      <c r="D12">
        <f ca="1">AVERAGE(OFFSET('Historical Trends'!$G$28,$B5,0,'Polling Correlations - GRN'!D$4,1))</f>
        <v>8.43</v>
      </c>
      <c r="E12">
        <f ca="1">AVERAGE(OFFSET('Historical Trends'!$G$28,$B5,0,'Polling Correlations - GRN'!E$4,1))</f>
        <v>7.98</v>
      </c>
      <c r="F12">
        <f ca="1">AVERAGE(OFFSET('Historical Trends'!$G$28,$B5,0,'Polling Correlations - GRN'!F$4,1))</f>
        <v>8.11</v>
      </c>
      <c r="G12">
        <f ca="1">AVERAGE(OFFSET('Historical Trends'!$G$28,$B5,0,'Polling Correlations - GRN'!G$4,1))</f>
        <v>8.08</v>
      </c>
      <c r="H12">
        <f ca="1">AVERAGE(OFFSET('Historical Trends'!$G$28,$B5,0,'Polling Correlations - GRN'!H$4,1))</f>
        <v>7.8159999999999998</v>
      </c>
      <c r="I12">
        <f ca="1">AVERAGE(OFFSET('Historical Trends'!$G$28,$B5,0,'Polling Correlations - GRN'!I$4,1))</f>
        <v>6.9316666666666658</v>
      </c>
      <c r="J12">
        <f ca="1">AVERAGE(OFFSET('Historical Trends'!$G$28,$B5,0,'Polling Correlations - GRN'!J$4,1))</f>
        <v>6.2785714285714276</v>
      </c>
      <c r="K12" s="13">
        <f>(9+9+8+8+9)/5</f>
        <v>8.6</v>
      </c>
      <c r="L12">
        <f>(10+8+9+8+9)/5</f>
        <v>8.8000000000000007</v>
      </c>
      <c r="M12">
        <f>(9+7+10+7+8)/5</f>
        <v>8.1999999999999993</v>
      </c>
      <c r="N12">
        <f>(8+8+7+12+9.4)/5</f>
        <v>8.879999999999999</v>
      </c>
      <c r="O12">
        <f>(10+8+8.1+10+8)/5</f>
        <v>8.82</v>
      </c>
      <c r="P12">
        <f>(9+10+10+9+10)/5</f>
        <v>9.6</v>
      </c>
      <c r="Q12" s="30">
        <f>K12-AVERAGE(AM$5:AM10,AM13:AM$31)</f>
        <v>7.3681666666666663</v>
      </c>
      <c r="R12" s="31">
        <f>L12-AVERAGE(AN$5:AN10,AN13:AN$31)</f>
        <v>8.5221739130434795</v>
      </c>
      <c r="S12" s="31">
        <f>M12-AVERAGE(AO$5:AO10,AO13:AO$31)</f>
        <v>8.0752777777777762</v>
      </c>
      <c r="T12" s="31">
        <f>N12-AVERAGE(AP$5:AP10,AP13:AP$31)</f>
        <v>8.6251999999999995</v>
      </c>
      <c r="U12" s="31">
        <f>O12-AVERAGE(AQ$5:AQ10,AQ13:AQ$31)</f>
        <v>8.6897333333333329</v>
      </c>
      <c r="V12" s="31">
        <f>P12-AVERAGE(AR$5:AR10,AR13:AR$31)</f>
        <v>9.7371999999999996</v>
      </c>
      <c r="W12" s="13">
        <f t="shared" ca="1" si="2"/>
        <v>8.4021822663785457</v>
      </c>
      <c r="X12" s="6">
        <f t="shared" ca="1" si="3"/>
        <v>8.4555314295676407</v>
      </c>
      <c r="Y12" s="6">
        <f t="shared" ca="1" si="4"/>
        <v>8.3048154719850302</v>
      </c>
      <c r="Z12" s="6">
        <f t="shared" ca="1" si="5"/>
        <v>8.5161980584462142</v>
      </c>
      <c r="AA12" s="6">
        <f t="shared" ca="1" si="6"/>
        <v>8.5584885094911733</v>
      </c>
      <c r="AB12" s="2">
        <f t="shared" ca="1" si="7"/>
        <v>9.2278545140037256</v>
      </c>
      <c r="AC12" s="2">
        <f>'Historical Trends'!G27</f>
        <v>10</v>
      </c>
      <c r="AE12" s="13">
        <f t="shared" ca="1" si="14"/>
        <v>-8.7750309023476802E-2</v>
      </c>
      <c r="AF12">
        <f t="shared" ca="1" si="15"/>
        <v>-1.5700000000000003</v>
      </c>
      <c r="AG12">
        <f t="shared" ca="1" si="16"/>
        <v>-2.0199999999999996</v>
      </c>
      <c r="AH12">
        <f t="shared" ca="1" si="17"/>
        <v>-1.8900000000000006</v>
      </c>
      <c r="AI12">
        <f t="shared" ca="1" si="18"/>
        <v>-1.92</v>
      </c>
      <c r="AJ12">
        <f t="shared" ca="1" si="19"/>
        <v>-2.1840000000000002</v>
      </c>
      <c r="AK12">
        <f t="shared" ca="1" si="20"/>
        <v>-3.0683333333333342</v>
      </c>
      <c r="AL12">
        <f t="shared" ca="1" si="21"/>
        <v>-3.7214285714285724</v>
      </c>
      <c r="AM12" s="13">
        <f t="shared" si="30"/>
        <v>-1.4000000000000004</v>
      </c>
      <c r="AN12">
        <f t="shared" si="30"/>
        <v>-1.1999999999999993</v>
      </c>
      <c r="AO12">
        <f t="shared" si="22"/>
        <v>-1.8000000000000007</v>
      </c>
      <c r="AP12">
        <f t="shared" si="23"/>
        <v>-1.120000000000001</v>
      </c>
      <c r="AQ12">
        <f t="shared" si="24"/>
        <v>-1.1799999999999997</v>
      </c>
      <c r="AR12">
        <f t="shared" si="25"/>
        <v>-0.40000000000000036</v>
      </c>
      <c r="AS12" s="30">
        <f t="shared" si="31"/>
        <v>-2.6318333333333337</v>
      </c>
      <c r="AT12">
        <f t="shared" si="31"/>
        <v>-1.4778260869565205</v>
      </c>
      <c r="AU12">
        <f t="shared" si="31"/>
        <v>-1.9247222222222238</v>
      </c>
      <c r="AV12">
        <f t="shared" si="31"/>
        <v>-1.3748000000000005</v>
      </c>
      <c r="AW12">
        <f t="shared" si="31"/>
        <v>-1.3102666666666671</v>
      </c>
      <c r="AX12">
        <f t="shared" si="31"/>
        <v>-0.26280000000000037</v>
      </c>
      <c r="AY12" s="13">
        <f t="shared" ca="1" si="31"/>
        <v>-1.5978177336214543</v>
      </c>
      <c r="AZ12" s="6">
        <f t="shared" ca="1" si="31"/>
        <v>-1.5444685704323593</v>
      </c>
      <c r="BA12" s="6">
        <f t="shared" ca="1" si="26"/>
        <v>-1.6951845280149698</v>
      </c>
      <c r="BB12" s="6">
        <f t="shared" ca="1" si="27"/>
        <v>-1.4838019415537858</v>
      </c>
      <c r="BC12" s="6">
        <f t="shared" ca="1" si="28"/>
        <v>-1.4415114905088267</v>
      </c>
      <c r="BD12" s="2">
        <f t="shared" ca="1" si="29"/>
        <v>-0.77214548599627442</v>
      </c>
      <c r="BE12" t="s">
        <v>192</v>
      </c>
      <c r="BG12">
        <f>MAX(0,($BG$16+1/($BG$17*$BG$18))-1/(($BG$17-BG6) * $BG$18))</f>
        <v>3.2266615820823019E-2</v>
      </c>
      <c r="BH12">
        <f t="shared" ref="BH12:BM12" si="32">MAX(0,($BG$16+1/($BG$17*$BG$18))-1/(($BG$17-BH6) * $BG$18))</f>
        <v>0.25296177487582067</v>
      </c>
      <c r="BI12">
        <f t="shared" si="32"/>
        <v>0.36861986353923304</v>
      </c>
      <c r="BJ12">
        <f t="shared" si="32"/>
        <v>0.44026812250623509</v>
      </c>
      <c r="BK12">
        <f t="shared" si="32"/>
        <v>0.50925009671986332</v>
      </c>
      <c r="BL12">
        <f t="shared" si="32"/>
        <v>0.55987555823249391</v>
      </c>
      <c r="BM12">
        <f t="shared" si="32"/>
        <v>0.59201639804774298</v>
      </c>
    </row>
    <row r="13" spans="1:66" x14ac:dyDescent="0.25">
      <c r="A13" t="s">
        <v>51</v>
      </c>
      <c r="B13">
        <f>B12+1</f>
        <v>2</v>
      </c>
      <c r="C13" s="13">
        <f ca="1">'Historical Trends'!Q28</f>
        <v>10.530606060606033</v>
      </c>
      <c r="D13">
        <f ca="1">AVERAGE(OFFSET('Historical Trends'!$G$28,$B6,0,'Polling Correlations - GRN'!D$4,1))</f>
        <v>7.53</v>
      </c>
      <c r="E13">
        <f ca="1">AVERAGE(OFFSET('Historical Trends'!$G$28,$B6,0,'Polling Correlations - GRN'!E$4,1))</f>
        <v>7.9499999999999993</v>
      </c>
      <c r="F13">
        <f ca="1">AVERAGE(OFFSET('Historical Trends'!$G$28,$B6,0,'Polling Correlations - GRN'!F$4,1))</f>
        <v>7.9633333333333338</v>
      </c>
      <c r="G13">
        <f ca="1">AVERAGE(OFFSET('Historical Trends'!$G$28,$B6,0,'Polling Correlations - GRN'!G$4,1))</f>
        <v>7.6624999999999996</v>
      </c>
      <c r="H13">
        <f ca="1">AVERAGE(OFFSET('Historical Trends'!$G$28,$B6,0,'Polling Correlations - GRN'!H$4,1))</f>
        <v>6.6319999999999997</v>
      </c>
      <c r="I13">
        <f ca="1">AVERAGE(OFFSET('Historical Trends'!$G$28,$B6,0,'Polling Correlations - GRN'!I$4,1))</f>
        <v>5.919999999999999</v>
      </c>
      <c r="J13">
        <f ca="1">AVERAGE(OFFSET('Historical Trends'!$G$28,$B6,0,'Polling Correlations - GRN'!J$4,1))</f>
        <v>5.4842857142857131</v>
      </c>
      <c r="K13" s="13">
        <f>(8.4+8.2+8+9.5+8)/5</f>
        <v>8.42</v>
      </c>
      <c r="L13">
        <f>(6+5+7+8+8)/5</f>
        <v>6.8</v>
      </c>
      <c r="M13">
        <f>(6.1+6.1+5.2+8+4)/5</f>
        <v>5.88</v>
      </c>
      <c r="N13">
        <f>(7.2+6+10+7+5.5)/5</f>
        <v>7.1400000000000006</v>
      </c>
      <c r="O13">
        <f>(10+7.9+9+10+7.2)/5</f>
        <v>8.82</v>
      </c>
      <c r="P13">
        <f>(7.5+8+6+8.4+7)/5</f>
        <v>7.38</v>
      </c>
      <c r="Q13" s="30">
        <f>K13-AVERAGE(AM$5:AM12,AM14:AM$31)</f>
        <v>7.2719047619047625</v>
      </c>
      <c r="R13" s="31">
        <f>L13-AVERAGE(AN$5:AN12,AN14:AN$31)</f>
        <v>6.4243055555555548</v>
      </c>
      <c r="S13" s="31">
        <f>M13-AVERAGE(AO$5:AO12,AO14:AO$31)</f>
        <v>5.6557333333333331</v>
      </c>
      <c r="T13" s="31">
        <f>N13-AVERAGE(AP$5:AP12,AP14:AP$31)</f>
        <v>6.8167948717948725</v>
      </c>
      <c r="U13" s="31">
        <f>O13-AVERAGE(AQ$5:AQ12,AQ14:AQ$31)</f>
        <v>8.6578205128205123</v>
      </c>
      <c r="V13" s="31">
        <f>P13-AVERAGE(AR$5:AR12,AR14:AR$31)</f>
        <v>7.4152564102564096</v>
      </c>
      <c r="W13" s="13">
        <f t="shared" ca="1" si="2"/>
        <v>7.5232384637429304</v>
      </c>
      <c r="X13" s="6">
        <f t="shared" ca="1" si="3"/>
        <v>7.2237315678640028</v>
      </c>
      <c r="Y13" s="6">
        <f t="shared" ca="1" si="4"/>
        <v>6.8685551472614854</v>
      </c>
      <c r="Z13" s="6">
        <f t="shared" ca="1" si="5"/>
        <v>7.2150568784571423</v>
      </c>
      <c r="AA13" s="6">
        <f t="shared" ca="1" si="6"/>
        <v>8.0879259881899834</v>
      </c>
      <c r="AB13" s="2">
        <f t="shared" ca="1" si="7"/>
        <v>7.4599658116356222</v>
      </c>
      <c r="AC13" s="2">
        <f>'Historical Trends'!G28</f>
        <v>8.43</v>
      </c>
      <c r="AE13" s="13">
        <f t="shared" ca="1" si="14"/>
        <v>2.1006060606060331</v>
      </c>
      <c r="AF13">
        <f t="shared" ca="1" si="15"/>
        <v>-0.89999999999999947</v>
      </c>
      <c r="AG13">
        <f t="shared" ca="1" si="16"/>
        <v>-0.48000000000000043</v>
      </c>
      <c r="AH13">
        <f t="shared" ca="1" si="17"/>
        <v>-0.4666666666666659</v>
      </c>
      <c r="AI13" s="6">
        <f t="shared" ca="1" si="18"/>
        <v>-0.76750000000000007</v>
      </c>
      <c r="AJ13">
        <f t="shared" ca="1" si="19"/>
        <v>-1.798</v>
      </c>
      <c r="AK13">
        <f t="shared" ca="1" si="20"/>
        <v>-2.5100000000000007</v>
      </c>
      <c r="AL13">
        <f t="shared" ca="1" si="21"/>
        <v>-2.9457142857142866</v>
      </c>
      <c r="AM13" s="13">
        <f t="shared" si="30"/>
        <v>-9.9999999999997868E-3</v>
      </c>
      <c r="AN13">
        <f t="shared" si="30"/>
        <v>-1.63</v>
      </c>
      <c r="AO13">
        <f t="shared" si="22"/>
        <v>-2.5499999999999998</v>
      </c>
      <c r="AP13">
        <f t="shared" si="23"/>
        <v>-1.2899999999999991</v>
      </c>
      <c r="AQ13">
        <f t="shared" si="24"/>
        <v>0.39000000000000057</v>
      </c>
      <c r="AR13">
        <f t="shared" si="25"/>
        <v>-1.0499999999999998</v>
      </c>
      <c r="AS13" s="30">
        <f t="shared" si="31"/>
        <v>-1.1580952380952372</v>
      </c>
      <c r="AT13">
        <f t="shared" si="31"/>
        <v>-2.0056944444444449</v>
      </c>
      <c r="AU13">
        <f t="shared" si="31"/>
        <v>-2.7742666666666667</v>
      </c>
      <c r="AV13">
        <f t="shared" si="31"/>
        <v>-1.6132051282051272</v>
      </c>
      <c r="AW13">
        <f t="shared" si="31"/>
        <v>0.22782051282051263</v>
      </c>
      <c r="AX13">
        <f t="shared" si="31"/>
        <v>-1.0147435897435901</v>
      </c>
      <c r="AY13" s="13">
        <f t="shared" ca="1" si="31"/>
        <v>-0.90676153625706934</v>
      </c>
      <c r="AZ13" s="6">
        <f t="shared" ca="1" si="31"/>
        <v>-1.2062684321359969</v>
      </c>
      <c r="BA13" s="6">
        <f t="shared" ca="1" si="26"/>
        <v>-1.5614448527385143</v>
      </c>
      <c r="BB13" s="6">
        <f t="shared" ca="1" si="27"/>
        <v>-1.2149431215428574</v>
      </c>
      <c r="BC13" s="6">
        <f t="shared" ca="1" si="28"/>
        <v>-0.34207401181001629</v>
      </c>
      <c r="BD13" s="2">
        <f t="shared" ca="1" si="29"/>
        <v>-0.97003418836437749</v>
      </c>
      <c r="BE13" t="s">
        <v>191</v>
      </c>
      <c r="BG13">
        <f>(BG12-BG10)^2</f>
        <v>3.6830110284023333E-5</v>
      </c>
      <c r="BH13">
        <f t="shared" ref="BH13:BM13" si="33">(BH12-BH10)^2</f>
        <v>5.7744809358456679E-4</v>
      </c>
      <c r="BI13">
        <f t="shared" si="33"/>
        <v>2.468433429921282E-4</v>
      </c>
      <c r="BJ13">
        <f t="shared" si="33"/>
        <v>1.743170080534425E-6</v>
      </c>
      <c r="BK13">
        <f t="shared" si="33"/>
        <v>2.1188130893724097E-4</v>
      </c>
      <c r="BL13">
        <f t="shared" si="33"/>
        <v>5.4047071659926324E-5</v>
      </c>
      <c r="BM13">
        <f t="shared" si="33"/>
        <v>3.3626105787545944E-4</v>
      </c>
      <c r="BN13">
        <f>SQRT(SUM(BG13:BM13))</f>
        <v>3.8276025857106419E-2</v>
      </c>
    </row>
    <row r="14" spans="1:66" x14ac:dyDescent="0.25">
      <c r="A14" t="s">
        <v>52</v>
      </c>
      <c r="B14">
        <f>B13+1</f>
        <v>3</v>
      </c>
      <c r="C14" s="13">
        <f ca="1">'Historical Trends'!Q29</f>
        <v>10.02134734239803</v>
      </c>
      <c r="D14">
        <f ca="1">AVERAGE(OFFSET('Historical Trends'!$G$28,$B7,0,'Polling Correlations - GRN'!D$4,1))</f>
        <v>8.3699999999999992</v>
      </c>
      <c r="E14">
        <f ca="1">AVERAGE(OFFSET('Historical Trends'!$G$28,$B7,0,'Polling Correlations - GRN'!E$4,1))</f>
        <v>8.18</v>
      </c>
      <c r="F14">
        <f ca="1">AVERAGE(OFFSET('Historical Trends'!$G$28,$B7,0,'Polling Correlations - GRN'!F$4,1))</f>
        <v>7.7066666666666661</v>
      </c>
      <c r="G14">
        <f ca="1">AVERAGE(OFFSET('Historical Trends'!$G$28,$B7,0,'Polling Correlations - GRN'!G$4,1))</f>
        <v>6.4074999999999989</v>
      </c>
      <c r="H14">
        <f ca="1">AVERAGE(OFFSET('Historical Trends'!$G$28,$B7,0,'Polling Correlations - GRN'!H$4,1))</f>
        <v>5.597999999999999</v>
      </c>
      <c r="I14">
        <f ca="1">AVERAGE(OFFSET('Historical Trends'!$G$28,$B7,0,'Polling Correlations - GRN'!I$4,1))</f>
        <v>5.1433333333333326</v>
      </c>
      <c r="J14">
        <f ca="1">AVERAGE(OFFSET('Historical Trends'!$G$28,$B7,0,'Polling Correlations - GRN'!J$4,1))</f>
        <v>4.5028571428571427</v>
      </c>
      <c r="K14" s="13">
        <f>(13+15+12)/3</f>
        <v>13.333333333333334</v>
      </c>
      <c r="L14">
        <f>(12+10+16+13+9)/5</f>
        <v>12</v>
      </c>
      <c r="M14">
        <f>(8+7+10+12+10)/5</f>
        <v>9.4</v>
      </c>
      <c r="N14">
        <f>(10+10+8+7+10)/5</f>
        <v>9</v>
      </c>
      <c r="O14">
        <f>(11+9+10+10+10)/5</f>
        <v>10</v>
      </c>
      <c r="P14">
        <f>(10+6+9+11+9)/5</f>
        <v>9</v>
      </c>
      <c r="Q14" s="30">
        <f>K14-AVERAGE(AM$5:AM13,AM15:AM$31)</f>
        <v>12.462063492063493</v>
      </c>
      <c r="R14" s="31">
        <f>L14-AVERAGE(AN$5:AN13,AN15:AN$31)</f>
        <v>11.878472222222221</v>
      </c>
      <c r="S14" s="31">
        <f>M14-AVERAGE(AO$5:AO13,AO15:AO$31)</f>
        <v>9.3525333333333336</v>
      </c>
      <c r="T14" s="31">
        <f>N14-AVERAGE(AP$5:AP13,AP15:AP$31)</f>
        <v>8.7829487179487185</v>
      </c>
      <c r="U14" s="31">
        <f>O14-AVERAGE(AQ$5:AQ13,AQ15:AQ$31)</f>
        <v>9.9178205128205121</v>
      </c>
      <c r="V14" s="31">
        <f>P14-AVERAGE(AR$5:AR13,AR15:AR$31)</f>
        <v>9.1321794871794868</v>
      </c>
      <c r="W14" s="13">
        <f t="shared" ca="1" si="2"/>
        <v>8.4772032009269846</v>
      </c>
      <c r="X14" s="6">
        <f t="shared" ca="1" si="3"/>
        <v>9.3418184730796874</v>
      </c>
      <c r="Y14" s="6">
        <f t="shared" ca="1" si="4"/>
        <v>8.7167444774724423</v>
      </c>
      <c r="Z14" s="6">
        <f t="shared" ca="1" si="5"/>
        <v>8.5523533694929981</v>
      </c>
      <c r="AA14" s="6">
        <f t="shared" ca="1" si="6"/>
        <v>9.1356974486094877</v>
      </c>
      <c r="AB14" s="2">
        <f t="shared" ca="1" si="7"/>
        <v>8.8351991618170125</v>
      </c>
      <c r="AC14" s="2">
        <f>'Historical Trends'!G29</f>
        <v>7.53</v>
      </c>
      <c r="AE14" s="13">
        <f t="shared" ca="1" si="14"/>
        <v>2.4913473423980301</v>
      </c>
      <c r="AF14">
        <f t="shared" ca="1" si="15"/>
        <v>0.83999999999999897</v>
      </c>
      <c r="AG14">
        <f t="shared" ca="1" si="16"/>
        <v>0.64999999999999947</v>
      </c>
      <c r="AH14">
        <f t="shared" ca="1" si="17"/>
        <v>0.17666666666666586</v>
      </c>
      <c r="AI14">
        <f t="shared" ca="1" si="18"/>
        <v>-1.1225000000000014</v>
      </c>
      <c r="AJ14">
        <f t="shared" ca="1" si="19"/>
        <v>-1.9320000000000013</v>
      </c>
      <c r="AK14">
        <f t="shared" ca="1" si="20"/>
        <v>-2.3866666666666676</v>
      </c>
      <c r="AL14">
        <f t="shared" ca="1" si="21"/>
        <v>-3.0271428571428576</v>
      </c>
      <c r="AM14" s="13">
        <f t="shared" si="30"/>
        <v>5.8033333333333337</v>
      </c>
      <c r="AN14">
        <f t="shared" si="30"/>
        <v>4.47</v>
      </c>
      <c r="AO14">
        <f t="shared" si="22"/>
        <v>1.87</v>
      </c>
      <c r="AP14">
        <f t="shared" si="23"/>
        <v>1.4699999999999998</v>
      </c>
      <c r="AQ14">
        <f t="shared" si="24"/>
        <v>2.4699999999999998</v>
      </c>
      <c r="AR14">
        <f t="shared" si="25"/>
        <v>1.4699999999999998</v>
      </c>
      <c r="AS14" s="30">
        <f t="shared" si="31"/>
        <v>4.9320634920634925</v>
      </c>
      <c r="AT14">
        <f t="shared" si="31"/>
        <v>4.3484722222222212</v>
      </c>
      <c r="AU14">
        <f t="shared" si="31"/>
        <v>1.8225333333333333</v>
      </c>
      <c r="AV14">
        <f t="shared" si="31"/>
        <v>1.2529487179487182</v>
      </c>
      <c r="AW14">
        <f t="shared" si="31"/>
        <v>2.3878205128205119</v>
      </c>
      <c r="AX14">
        <f t="shared" si="31"/>
        <v>1.6021794871794866</v>
      </c>
      <c r="AY14" s="13">
        <f t="shared" ca="1" si="31"/>
        <v>0.9472032009269844</v>
      </c>
      <c r="AZ14" s="6">
        <f t="shared" ca="1" si="31"/>
        <v>1.8118184730796871</v>
      </c>
      <c r="BA14" s="6">
        <f t="shared" ca="1" si="26"/>
        <v>1.186744477472442</v>
      </c>
      <c r="BB14" s="6">
        <f t="shared" ca="1" si="27"/>
        <v>1.0223533694929978</v>
      </c>
      <c r="BC14" s="6">
        <f t="shared" ca="1" si="28"/>
        <v>1.6056974486094875</v>
      </c>
      <c r="BD14" s="2">
        <f t="shared" ca="1" si="29"/>
        <v>1.3051991618170122</v>
      </c>
    </row>
    <row r="15" spans="1:66" x14ac:dyDescent="0.25">
      <c r="A15" t="s">
        <v>53</v>
      </c>
      <c r="B15">
        <f>B14+1</f>
        <v>4</v>
      </c>
      <c r="C15" s="13">
        <f ca="1">'Historical Trends'!Q30</f>
        <v>8.4830465116278901</v>
      </c>
      <c r="D15">
        <f ca="1">AVERAGE(OFFSET('Historical Trends'!$G$28,$B8,0,'Polling Correlations - GRN'!D$4,1))</f>
        <v>7.99</v>
      </c>
      <c r="E15">
        <f ca="1">AVERAGE(OFFSET('Historical Trends'!$G$28,$B8,0,'Polling Correlations - GRN'!E$4,1))</f>
        <v>7.375</v>
      </c>
      <c r="F15">
        <f ca="1">AVERAGE(OFFSET('Historical Trends'!$G$28,$B8,0,'Polling Correlations - GRN'!F$4,1))</f>
        <v>5.753333333333333</v>
      </c>
      <c r="G15">
        <f ca="1">AVERAGE(OFFSET('Historical Trends'!$G$28,$B8,0,'Polling Correlations - GRN'!G$4,1))</f>
        <v>4.9049999999999994</v>
      </c>
      <c r="H15">
        <f ca="1">AVERAGE(OFFSET('Historical Trends'!$G$28,$B8,0,'Polling Correlations - GRN'!H$4,1))</f>
        <v>4.4979999999999993</v>
      </c>
      <c r="I15">
        <f ca="1">AVERAGE(OFFSET('Historical Trends'!$G$28,$B8,0,'Polling Correlations - GRN'!I$4,1))</f>
        <v>3.8583333333333329</v>
      </c>
      <c r="J15">
        <f ca="1">AVERAGE(OFFSET('Historical Trends'!$G$28,$B8,0,'Polling Correlations - GRN'!J$4,1))</f>
        <v>3.3542857142857136</v>
      </c>
      <c r="K15" s="13">
        <f>12</f>
        <v>12</v>
      </c>
      <c r="L15">
        <f>(9+8+8)/3</f>
        <v>8.3333333333333339</v>
      </c>
      <c r="M15">
        <f>(9+9+10)/3</f>
        <v>9.3333333333333339</v>
      </c>
      <c r="N15">
        <f>(8+9+9)/3</f>
        <v>8.6666666666666661</v>
      </c>
      <c r="O15">
        <f>(7+8+9)/3</f>
        <v>8</v>
      </c>
      <c r="P15">
        <f>(7+8+7)/3</f>
        <v>7.333333333333333</v>
      </c>
      <c r="Q15" s="30">
        <f>K15-AVERAGE(AM$5:AM14,AM16:AM$31)</f>
        <v>11.025238095238096</v>
      </c>
      <c r="R15" s="31">
        <f>L15-AVERAGE(AN$5:AN14,AN16:AN$31)</f>
        <v>8.0240277777777784</v>
      </c>
      <c r="S15" s="31">
        <f>M15-AVERAGE(AO$5:AO14,AO16:AO$31)</f>
        <v>9.2496000000000009</v>
      </c>
      <c r="T15" s="31">
        <f>N15-AVERAGE(AP$5:AP14,AP16:AP$31)</f>
        <v>8.4044871794871785</v>
      </c>
      <c r="U15" s="31">
        <f>O15-AVERAGE(AQ$5:AQ14,AQ16:AQ$31)</f>
        <v>7.808589743589744</v>
      </c>
      <c r="V15" s="31">
        <f>P15-AVERAGE(AR$5:AR14,AR16:AR$31)</f>
        <v>7.3691025641025636</v>
      </c>
      <c r="W15" s="13">
        <f t="shared" ca="1" si="2"/>
        <v>8.0695166643958807</v>
      </c>
      <c r="X15" s="6">
        <f t="shared" ca="1" si="3"/>
        <v>7.9994254196549832</v>
      </c>
      <c r="Y15" s="6">
        <f t="shared" ca="1" si="4"/>
        <v>8.4345236909597165</v>
      </c>
      <c r="Z15" s="6">
        <f t="shared" ca="1" si="5"/>
        <v>8.1730327362840303</v>
      </c>
      <c r="AA15" s="6">
        <f t="shared" ca="1" si="6"/>
        <v>7.9002574430727721</v>
      </c>
      <c r="AB15" s="2">
        <f t="shared" ca="1" si="7"/>
        <v>7.6110328779344325</v>
      </c>
      <c r="AC15" s="2">
        <f>'Historical Trends'!G30</f>
        <v>8.3699999999999992</v>
      </c>
      <c r="AE15" s="13">
        <f t="shared" ca="1" si="14"/>
        <v>0.11304651162789092</v>
      </c>
      <c r="AF15">
        <f t="shared" ca="1" si="15"/>
        <v>-0.37999999999999901</v>
      </c>
      <c r="AG15">
        <f t="shared" ca="1" si="16"/>
        <v>-0.99499999999999922</v>
      </c>
      <c r="AH15">
        <f t="shared" ca="1" si="17"/>
        <v>-2.6166666666666663</v>
      </c>
      <c r="AI15">
        <f t="shared" ca="1" si="18"/>
        <v>-3.4649999999999999</v>
      </c>
      <c r="AJ15">
        <f t="shared" ca="1" si="19"/>
        <v>-3.8719999999999999</v>
      </c>
      <c r="AK15">
        <f t="shared" ca="1" si="20"/>
        <v>-4.5116666666666667</v>
      </c>
      <c r="AL15">
        <f t="shared" ca="1" si="21"/>
        <v>-5.0157142857142851</v>
      </c>
      <c r="AM15" s="13">
        <f t="shared" si="30"/>
        <v>3.6300000000000008</v>
      </c>
      <c r="AN15">
        <f t="shared" si="30"/>
        <v>-3.6666666666665293E-2</v>
      </c>
      <c r="AO15">
        <f t="shared" si="22"/>
        <v>0.96333333333333471</v>
      </c>
      <c r="AP15">
        <f t="shared" si="23"/>
        <v>0.29666666666666686</v>
      </c>
      <c r="AQ15">
        <f t="shared" si="24"/>
        <v>-0.36999999999999922</v>
      </c>
      <c r="AR15">
        <f t="shared" si="25"/>
        <v>-1.0366666666666662</v>
      </c>
      <c r="AS15" s="30">
        <f t="shared" si="31"/>
        <v>2.6552380952380972</v>
      </c>
      <c r="AT15">
        <f t="shared" si="31"/>
        <v>-0.34597222222222079</v>
      </c>
      <c r="AU15">
        <f t="shared" si="31"/>
        <v>0.87960000000000171</v>
      </c>
      <c r="AV15">
        <f t="shared" si="31"/>
        <v>3.4487179487179276E-2</v>
      </c>
      <c r="AW15">
        <f t="shared" si="31"/>
        <v>-0.56141025641025522</v>
      </c>
      <c r="AX15">
        <f t="shared" si="31"/>
        <v>-1.0008974358974356</v>
      </c>
      <c r="AY15" s="13">
        <f t="shared" ca="1" si="31"/>
        <v>-0.30048333560411855</v>
      </c>
      <c r="AZ15" s="6">
        <f t="shared" ca="1" si="31"/>
        <v>-0.370574580345016</v>
      </c>
      <c r="BA15" s="6">
        <f t="shared" ca="1" si="26"/>
        <v>6.4523690959717328E-2</v>
      </c>
      <c r="BB15" s="6">
        <f t="shared" ca="1" si="27"/>
        <v>-0.19696726371596895</v>
      </c>
      <c r="BC15" s="6">
        <f t="shared" ca="1" si="28"/>
        <v>-0.46974255692722711</v>
      </c>
      <c r="BD15" s="2">
        <f t="shared" ca="1" si="29"/>
        <v>-0.75896712206556671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Trends'!Q31</f>
        <v>5.9464761904762327</v>
      </c>
      <c r="D16">
        <f ca="1">AVERAGE(OFFSET('Historical Trends'!$G$28,$B9,0,'Polling Correlations - GRN'!D$4,1))</f>
        <v>6.76</v>
      </c>
      <c r="E16">
        <f ca="1">AVERAGE(OFFSET('Historical Trends'!$G$28,$B9,0,'Polling Correlations - GRN'!E$4,1))</f>
        <v>4.6349999999999998</v>
      </c>
      <c r="F16">
        <f ca="1">AVERAGE(OFFSET('Historical Trends'!$G$28,$B9,0,'Polling Correlations - GRN'!F$4,1))</f>
        <v>3.8766666666666665</v>
      </c>
      <c r="G16">
        <f ca="1">AVERAGE(OFFSET('Historical Trends'!$G$28,$B9,0,'Polling Correlations - GRN'!G$4,1))</f>
        <v>3.625</v>
      </c>
      <c r="H16">
        <f ca="1">AVERAGE(OFFSET('Historical Trends'!$G$28,$B9,0,'Polling Correlations - GRN'!H$4,1))</f>
        <v>3.032</v>
      </c>
      <c r="I16">
        <f ca="1">AVERAGE(OFFSET('Historical Trends'!$G$28,$B9,0,'Polling Correlations - GRN'!I$4,1))</f>
        <v>2.5816666666666666</v>
      </c>
      <c r="J16">
        <f ca="1">AVERAGE(OFFSET('Historical Trends'!$G$28,$B9,0,'Polling Correlations - GRN'!J$4,1))</f>
        <v>2.5816666666666666</v>
      </c>
      <c r="L16">
        <f>(4+3+3)/3</f>
        <v>3.3333333333333335</v>
      </c>
      <c r="M16">
        <f>(4+3+4)/3</f>
        <v>3.6666666666666665</v>
      </c>
      <c r="N16">
        <f>(4+4+3)/3</f>
        <v>3.6666666666666665</v>
      </c>
      <c r="O16">
        <f>(2+4+4)/3</f>
        <v>3.3333333333333335</v>
      </c>
      <c r="P16">
        <f>(4+2+4)/3</f>
        <v>3.3333333333333335</v>
      </c>
      <c r="Q16" s="30"/>
      <c r="R16" s="31">
        <f>L16-AVERAGE(AN$5:AN15,AN17:AN$31)</f>
        <v>2.8315277777777776</v>
      </c>
      <c r="S16" s="31">
        <f>M16-AVERAGE(AO$5:AO15,AO17:AO$31)</f>
        <v>3.3714666666666666</v>
      </c>
      <c r="T16" s="31">
        <f>N16-AVERAGE(AP$5:AP15,AP17:AP$31)</f>
        <v>3.2267948717948718</v>
      </c>
      <c r="U16" s="31">
        <f>O16-AVERAGE(AQ$5:AQ15,AQ17:AQ$31)</f>
        <v>2.9770512820512822</v>
      </c>
      <c r="V16" s="31">
        <f>P16-AVERAGE(AR$5:AR15,AR17:AR$31)</f>
        <v>3.2298717948717948</v>
      </c>
      <c r="W16" s="13">
        <f t="shared" ca="1" si="2"/>
        <v>6.5829026407649947</v>
      </c>
      <c r="X16" s="6">
        <f t="shared" ca="1" si="3"/>
        <v>5.6718449186073769</v>
      </c>
      <c r="Y16" s="6">
        <f t="shared" ca="1" si="4"/>
        <v>5.5641573957817023</v>
      </c>
      <c r="Z16" s="6">
        <f t="shared" ca="1" si="5"/>
        <v>5.1997775504944013</v>
      </c>
      <c r="AA16" s="6">
        <f t="shared" ca="1" si="6"/>
        <v>4.8885981432850025</v>
      </c>
      <c r="AB16" s="2">
        <f t="shared" ca="1" si="7"/>
        <v>4.605372763560732</v>
      </c>
      <c r="AC16" s="2">
        <f>'Historical Trends'!G31</f>
        <v>7.99</v>
      </c>
      <c r="AE16" s="13">
        <f t="shared" ca="1" si="14"/>
        <v>-2.0435238095237676</v>
      </c>
      <c r="AF16">
        <f t="shared" ca="1" si="15"/>
        <v>-1.2300000000000004</v>
      </c>
      <c r="AG16">
        <f t="shared" ca="1" si="16"/>
        <v>-3.3550000000000004</v>
      </c>
      <c r="AH16">
        <f t="shared" ca="1" si="17"/>
        <v>-4.1133333333333333</v>
      </c>
      <c r="AI16">
        <f t="shared" ca="1" si="18"/>
        <v>-4.3650000000000002</v>
      </c>
      <c r="AJ16">
        <f t="shared" ca="1" si="19"/>
        <v>-4.9580000000000002</v>
      </c>
      <c r="AK16">
        <f t="shared" ca="1" si="20"/>
        <v>-5.4083333333333332</v>
      </c>
      <c r="AL16">
        <f t="shared" ca="1" si="21"/>
        <v>-5.4083333333333332</v>
      </c>
      <c r="AN16">
        <f t="shared" ref="AN16:AN30" si="34">L16-$AC16</f>
        <v>-4.6566666666666663</v>
      </c>
      <c r="AO16">
        <f t="shared" si="22"/>
        <v>-4.3233333333333341</v>
      </c>
      <c r="AP16">
        <f t="shared" si="23"/>
        <v>-4.3233333333333341</v>
      </c>
      <c r="AQ16">
        <f t="shared" si="24"/>
        <v>-4.6566666666666663</v>
      </c>
      <c r="AR16">
        <f t="shared" si="25"/>
        <v>-4.6566666666666663</v>
      </c>
      <c r="AS16" s="30"/>
      <c r="AT16">
        <f t="shared" ref="AT16:AT30" si="35">R16-$AC16</f>
        <v>-5.1584722222222226</v>
      </c>
      <c r="AU16">
        <f t="shared" ref="AU16:AU30" si="36">S16-$AC16</f>
        <v>-4.6185333333333336</v>
      </c>
      <c r="AV16">
        <f t="shared" ref="AV16:AV30" si="37">T16-$AC16</f>
        <v>-4.7632051282051284</v>
      </c>
      <c r="AW16">
        <f t="shared" ref="AW16:AW30" si="38">U16-$AC16</f>
        <v>-5.012948717948718</v>
      </c>
      <c r="AX16">
        <f t="shared" ref="AX16:AX30" si="39">V16-$AC16</f>
        <v>-4.7601282051282059</v>
      </c>
      <c r="AZ16" s="6">
        <f t="shared" ref="AZ16:AZ30" ca="1" si="40">X16-$AC16</f>
        <v>-2.3181550813926233</v>
      </c>
      <c r="BA16" s="6">
        <f t="shared" ca="1" si="26"/>
        <v>-2.4258426042182979</v>
      </c>
      <c r="BB16" s="6">
        <f t="shared" ca="1" si="27"/>
        <v>-2.7902224495055989</v>
      </c>
      <c r="BC16" s="6">
        <f t="shared" ca="1" si="28"/>
        <v>-3.1014018567149977</v>
      </c>
      <c r="BD16" s="2">
        <f t="shared" ca="1" si="29"/>
        <v>-3.3846272364392682</v>
      </c>
      <c r="BE16" t="s">
        <v>188</v>
      </c>
      <c r="BG16">
        <v>0.60431650657076286</v>
      </c>
    </row>
    <row r="17" spans="1:74" x14ac:dyDescent="0.25">
      <c r="A17" t="s">
        <v>48</v>
      </c>
      <c r="B17">
        <v>0</v>
      </c>
      <c r="C17" s="13">
        <f ca="1">'Historical Trends'!Q46</f>
        <v>12.126666666666608</v>
      </c>
      <c r="D17">
        <f ca="1">AVERAGE(OFFSET('Historical Trends'!$G$48,$B5,0,'Polling Correlations - GRN'!D$4,1))</f>
        <v>10.29</v>
      </c>
      <c r="E17">
        <f ca="1">AVERAGE(OFFSET('Historical Trends'!$G$48,$B5,0,'Polling Correlations - GRN'!E$4,1))</f>
        <v>10.285</v>
      </c>
      <c r="F17">
        <f ca="1">AVERAGE(OFFSET('Historical Trends'!$G$48,$B5,0,'Polling Correlations - GRN'!F$4,1))</f>
        <v>9.84</v>
      </c>
      <c r="G17">
        <f ca="1">AVERAGE(OFFSET('Historical Trends'!$G$48,$B5,0,'Polling Correlations - GRN'!G$4,1))</f>
        <v>9.442499999999999</v>
      </c>
      <c r="H17">
        <f ca="1">AVERAGE(OFFSET('Historical Trends'!$G$48,$B5,0,'Polling Correlations - GRN'!H$4,1))</f>
        <v>8.33</v>
      </c>
      <c r="I17">
        <f ca="1">AVERAGE(OFFSET('Historical Trends'!$G$48,$B5,0,'Polling Correlations - GRN'!I$4,1))</f>
        <v>7.37</v>
      </c>
      <c r="J17">
        <f ca="1">AVERAGE(OFFSET('Historical Trends'!$G$48,$B5,0,'Polling Correlations - GRN'!J$4,1))</f>
        <v>6.3942857142857141</v>
      </c>
      <c r="K17" s="13">
        <f>(10+9+8.4+8.6+11)/5</f>
        <v>9.4</v>
      </c>
      <c r="L17">
        <f>(10+11+9+9.9+9)/5</f>
        <v>9.7799999999999994</v>
      </c>
      <c r="M17">
        <f>(10.8+10+11+9+9.9)/5</f>
        <v>10.139999999999999</v>
      </c>
      <c r="N17">
        <f>(10.8+10+11+9+9.9)/5</f>
        <v>10.139999999999999</v>
      </c>
      <c r="O17">
        <f>(9+10+10+9+10.8)/5</f>
        <v>9.76</v>
      </c>
      <c r="P17">
        <f>(10+9+10+10.1+9)/5</f>
        <v>9.620000000000001</v>
      </c>
      <c r="Q17" s="30">
        <f>K17-AVERAGE(AM$5:AM16,AM18:AM$31)</f>
        <v>8.2442857142857147</v>
      </c>
      <c r="R17" s="31">
        <f>L17-AVERAGE(AN$5:AN16,AN18:AN$31)</f>
        <v>9.4809722222222206</v>
      </c>
      <c r="S17" s="31">
        <f>M17-AVERAGE(AO$5:AO16,AO18:AO$31)</f>
        <v>10.040533333333332</v>
      </c>
      <c r="T17" s="31">
        <f>N17-AVERAGE(AP$5:AP16,AP18:AP$31)</f>
        <v>9.8883333333333319</v>
      </c>
      <c r="U17" s="31">
        <f>O17-AVERAGE(AQ$5:AQ16,AQ18:AQ$31)</f>
        <v>9.5901282051282042</v>
      </c>
      <c r="V17" s="31">
        <f>P17-AVERAGE(AR$5:AR16,AR18:AR$31)</f>
        <v>9.6975641025641028</v>
      </c>
      <c r="W17" s="13">
        <f t="shared" ca="1" si="2"/>
        <v>10.23640671630927</v>
      </c>
      <c r="X17" s="6">
        <f t="shared" ca="1" si="3"/>
        <v>10.065905838815199</v>
      </c>
      <c r="Y17" s="6">
        <f t="shared" ca="1" si="4"/>
        <v>10.201961064275892</v>
      </c>
      <c r="Z17" s="6">
        <f t="shared" ca="1" si="5"/>
        <v>10.11262865364124</v>
      </c>
      <c r="AA17" s="6">
        <f t="shared" ca="1" si="6"/>
        <v>9.9437776549358734</v>
      </c>
      <c r="AB17" s="2">
        <f t="shared" ca="1" si="7"/>
        <v>9.9284044866683914</v>
      </c>
      <c r="AC17" s="2">
        <f>'Historical Trends'!G47</f>
        <v>9.57</v>
      </c>
      <c r="AE17" s="13">
        <f t="shared" ca="1" si="14"/>
        <v>2.556666666666608</v>
      </c>
      <c r="AF17">
        <f t="shared" ca="1" si="15"/>
        <v>0.71999999999999886</v>
      </c>
      <c r="AG17">
        <f t="shared" ca="1" si="16"/>
        <v>0.71499999999999986</v>
      </c>
      <c r="AH17">
        <f t="shared" ca="1" si="17"/>
        <v>0.26999999999999957</v>
      </c>
      <c r="AI17">
        <f t="shared" ca="1" si="18"/>
        <v>-0.12750000000000128</v>
      </c>
      <c r="AJ17">
        <f t="shared" ca="1" si="19"/>
        <v>-1.2400000000000002</v>
      </c>
      <c r="AK17">
        <f t="shared" ca="1" si="20"/>
        <v>-2.2000000000000002</v>
      </c>
      <c r="AL17">
        <f t="shared" ca="1" si="21"/>
        <v>-3.1757142857142862</v>
      </c>
      <c r="AM17" s="13">
        <f>K17-$AC17</f>
        <v>-0.16999999999999993</v>
      </c>
      <c r="AN17">
        <f t="shared" si="34"/>
        <v>0.20999999999999908</v>
      </c>
      <c r="AO17">
        <f t="shared" si="22"/>
        <v>0.56999999999999851</v>
      </c>
      <c r="AP17">
        <f t="shared" si="23"/>
        <v>0.56999999999999851</v>
      </c>
      <c r="AQ17">
        <f t="shared" si="24"/>
        <v>0.1899999999999995</v>
      </c>
      <c r="AR17">
        <f t="shared" si="25"/>
        <v>5.0000000000000711E-2</v>
      </c>
      <c r="AS17" s="30">
        <f>Q17-$AC17</f>
        <v>-1.3257142857142856</v>
      </c>
      <c r="AT17">
        <f t="shared" si="35"/>
        <v>-8.9027777777779704E-2</v>
      </c>
      <c r="AU17">
        <f t="shared" si="36"/>
        <v>0.47053333333333214</v>
      </c>
      <c r="AV17">
        <f t="shared" si="37"/>
        <v>0.31833333333333158</v>
      </c>
      <c r="AW17">
        <f t="shared" si="38"/>
        <v>2.0128205128203902E-2</v>
      </c>
      <c r="AX17">
        <f t="shared" si="39"/>
        <v>0.12756410256410255</v>
      </c>
      <c r="AY17" s="13">
        <f ca="1">W17-$AC17</f>
        <v>0.66640671630926995</v>
      </c>
      <c r="AZ17" s="6">
        <f t="shared" ca="1" si="40"/>
        <v>0.49590583881519912</v>
      </c>
      <c r="BA17" s="6">
        <f t="shared" ca="1" si="26"/>
        <v>0.63196106427589172</v>
      </c>
      <c r="BB17" s="6">
        <f t="shared" ca="1" si="27"/>
        <v>0.54262865364123947</v>
      </c>
      <c r="BC17" s="6">
        <f t="shared" ca="1" si="28"/>
        <v>0.37377765493587312</v>
      </c>
      <c r="BD17" s="2">
        <f t="shared" ca="1" si="29"/>
        <v>0.35840448666839109</v>
      </c>
      <c r="BE17" t="s">
        <v>189</v>
      </c>
      <c r="BG17">
        <v>8.1099227832541203</v>
      </c>
    </row>
    <row r="18" spans="1:74" x14ac:dyDescent="0.25">
      <c r="A18" t="s">
        <v>70</v>
      </c>
      <c r="B18">
        <f>B17+1</f>
        <v>1</v>
      </c>
      <c r="C18" s="13">
        <f ca="1">'Historical Trends'!Q47</f>
        <v>13.220000000000027</v>
      </c>
      <c r="D18">
        <f ca="1">AVERAGE(OFFSET('Historical Trends'!$G$48,$B6,0,'Polling Correlations - GRN'!D$4,1))</f>
        <v>10.28</v>
      </c>
      <c r="E18">
        <f ca="1">AVERAGE(OFFSET('Historical Trends'!$G$48,$B6,0,'Polling Correlations - GRN'!E$4,1))</f>
        <v>9.6149999999999984</v>
      </c>
      <c r="F18">
        <f ca="1">AVERAGE(OFFSET('Historical Trends'!$G$48,$B6,0,'Polling Correlations - GRN'!F$4,1))</f>
        <v>9.1599999999999984</v>
      </c>
      <c r="G18">
        <f ca="1">AVERAGE(OFFSET('Historical Trends'!$G$48,$B6,0,'Polling Correlations - GRN'!G$4,1))</f>
        <v>7.839999999999999</v>
      </c>
      <c r="H18">
        <f ca="1">AVERAGE(OFFSET('Historical Trends'!$G$48,$B6,0,'Polling Correlations - GRN'!H$4,1))</f>
        <v>6.7859999999999987</v>
      </c>
      <c r="I18">
        <f ca="1">AVERAGE(OFFSET('Historical Trends'!$G$48,$B6,0,'Polling Correlations - GRN'!I$4,1))</f>
        <v>5.7449999999999983</v>
      </c>
      <c r="J18">
        <f ca="1">AVERAGE(OFFSET('Historical Trends'!$G$48,$B6,0,'Polling Correlations - GRN'!J$4,1))</f>
        <v>5.7449999999999983</v>
      </c>
      <c r="K18" s="13">
        <f>(10+11+11+8+11)/5</f>
        <v>10.199999999999999</v>
      </c>
      <c r="L18">
        <f>(12+10+10+10+12)/5</f>
        <v>10.8</v>
      </c>
      <c r="M18">
        <f>(11+13+13+11+11)/5</f>
        <v>11.8</v>
      </c>
      <c r="N18">
        <f>(7+11+11+13+11)/5</f>
        <v>10.6</v>
      </c>
      <c r="O18">
        <f>(10+11+10+11+11)/5</f>
        <v>10.6</v>
      </c>
      <c r="P18">
        <f>(10.5+11+11+10+9)/5</f>
        <v>10.3</v>
      </c>
      <c r="Q18" s="30">
        <f>K18-AVERAGE(AM$5:AM17,AM19:AM$31)</f>
        <v>9.0480952380952377</v>
      </c>
      <c r="R18" s="31">
        <f>L18-AVERAGE(AN$5:AN17,AN19:AN$31)</f>
        <v>10.513472222222223</v>
      </c>
      <c r="S18" s="31">
        <f>M18-AVERAGE(AO$5:AO17,AO19:AO$31)</f>
        <v>11.738133333333334</v>
      </c>
      <c r="T18" s="31">
        <f>N18-AVERAGE(AP$5:AP17,AP19:AP$31)</f>
        <v>10.338333333333333</v>
      </c>
      <c r="U18" s="31">
        <f>O18-AVERAGE(AQ$5:AQ17,AQ19:AQ$31)</f>
        <v>10.43474358974359</v>
      </c>
      <c r="V18" s="31">
        <f>P18-AVERAGE(AR$5:AR17,AR19:AR$31)</f>
        <v>10.376025641025642</v>
      </c>
      <c r="W18" s="13">
        <f t="shared" ca="1" si="2"/>
        <v>10.24772676328959</v>
      </c>
      <c r="X18" s="6">
        <f t="shared" ca="1" si="3"/>
        <v>10.344669920163373</v>
      </c>
      <c r="Y18" s="6">
        <f t="shared" ca="1" si="4"/>
        <v>10.79458781457981</v>
      </c>
      <c r="Z18" s="6">
        <f t="shared" ca="1" si="5"/>
        <v>10.305759324159986</v>
      </c>
      <c r="AA18" s="6">
        <f t="shared" ca="1" si="6"/>
        <v>10.356550718170435</v>
      </c>
      <c r="AB18" s="2">
        <f t="shared" ca="1" si="7"/>
        <v>10.338609616854658</v>
      </c>
      <c r="AC18" s="2">
        <f>'Historical Trends'!G48</f>
        <v>10.29</v>
      </c>
      <c r="AE18" s="13">
        <f t="shared" ca="1" si="14"/>
        <v>2.9300000000000281</v>
      </c>
      <c r="AF18">
        <f t="shared" ca="1" si="15"/>
        <v>-9.9999999999997868E-3</v>
      </c>
      <c r="AG18">
        <f t="shared" ca="1" si="16"/>
        <v>-0.67500000000000071</v>
      </c>
      <c r="AH18">
        <f t="shared" ca="1" si="17"/>
        <v>-1.1300000000000008</v>
      </c>
      <c r="AI18">
        <f t="shared" ca="1" si="18"/>
        <v>-2.4500000000000002</v>
      </c>
      <c r="AJ18">
        <f t="shared" ca="1" si="19"/>
        <v>-3.5040000000000004</v>
      </c>
      <c r="AK18">
        <f t="shared" ca="1" si="20"/>
        <v>-4.5450000000000008</v>
      </c>
      <c r="AL18">
        <f t="shared" ca="1" si="21"/>
        <v>-4.5450000000000008</v>
      </c>
      <c r="AM18" s="13">
        <f>K18-$AC18</f>
        <v>-8.9999999999999858E-2</v>
      </c>
      <c r="AN18">
        <f t="shared" si="34"/>
        <v>0.51000000000000156</v>
      </c>
      <c r="AO18">
        <f t="shared" si="22"/>
        <v>1.5100000000000016</v>
      </c>
      <c r="AP18">
        <f t="shared" si="23"/>
        <v>0.3100000000000005</v>
      </c>
      <c r="AQ18">
        <f t="shared" si="24"/>
        <v>0.3100000000000005</v>
      </c>
      <c r="AR18">
        <f t="shared" si="25"/>
        <v>1.0000000000001563E-2</v>
      </c>
      <c r="AS18" s="30">
        <f>Q18-$AC18</f>
        <v>-1.2419047619047614</v>
      </c>
      <c r="AT18">
        <f t="shared" si="35"/>
        <v>0.22347222222222385</v>
      </c>
      <c r="AU18">
        <f t="shared" si="36"/>
        <v>1.4481333333333346</v>
      </c>
      <c r="AV18">
        <f t="shared" si="37"/>
        <v>4.8333333333333783E-2</v>
      </c>
      <c r="AW18">
        <f t="shared" si="38"/>
        <v>0.14474358974359092</v>
      </c>
      <c r="AX18">
        <f t="shared" si="39"/>
        <v>8.6025641025642585E-2</v>
      </c>
      <c r="AY18" s="13">
        <f ca="1">W18-$AC18</f>
        <v>-4.2273236710409279E-2</v>
      </c>
      <c r="AZ18" s="6">
        <f t="shared" ca="1" si="40"/>
        <v>5.4669920163373575E-2</v>
      </c>
      <c r="BA18" s="6">
        <f t="shared" ca="1" si="26"/>
        <v>0.50458781457981061</v>
      </c>
      <c r="BB18" s="6">
        <f t="shared" ca="1" si="27"/>
        <v>1.5759324159986932E-2</v>
      </c>
      <c r="BC18" s="6">
        <f t="shared" ca="1" si="28"/>
        <v>6.655071817043634E-2</v>
      </c>
      <c r="BD18" s="2">
        <f t="shared" ca="1" si="29"/>
        <v>4.860961685465881E-2</v>
      </c>
      <c r="BE18" t="s">
        <v>190</v>
      </c>
      <c r="BG18">
        <v>0.93688149109686991</v>
      </c>
    </row>
    <row r="19" spans="1:74" x14ac:dyDescent="0.25">
      <c r="A19" t="s">
        <v>72</v>
      </c>
      <c r="B19">
        <f>B18+1</f>
        <v>2</v>
      </c>
      <c r="C19" s="13">
        <f ca="1">'Historical Trends'!Q48</f>
        <v>12.965999999999894</v>
      </c>
      <c r="D19">
        <f ca="1">AVERAGE(OFFSET('Historical Trends'!$G$48,$B7,0,'Polling Correlations - GRN'!D$4,1))</f>
        <v>8.9499999999999993</v>
      </c>
      <c r="E19">
        <f ca="1">AVERAGE(OFFSET('Historical Trends'!$G$48,$B7,0,'Polling Correlations - GRN'!E$4,1))</f>
        <v>8.6</v>
      </c>
      <c r="F19">
        <f ca="1">AVERAGE(OFFSET('Historical Trends'!$G$48,$B7,0,'Polling Correlations - GRN'!F$4,1))</f>
        <v>7.0266666666666664</v>
      </c>
      <c r="G19">
        <f ca="1">AVERAGE(OFFSET('Historical Trends'!$G$48,$B7,0,'Polling Correlations - GRN'!G$4,1))</f>
        <v>5.9124999999999996</v>
      </c>
      <c r="H19">
        <f ca="1">AVERAGE(OFFSET('Historical Trends'!$G$48,$B7,0,'Polling Correlations - GRN'!H$4,1))</f>
        <v>4.8379999999999992</v>
      </c>
      <c r="I19">
        <f ca="1">AVERAGE(OFFSET('Historical Trends'!$G$48,$B7,0,'Polling Correlations - GRN'!I$4,1))</f>
        <v>4.8379999999999992</v>
      </c>
      <c r="J19">
        <f ca="1">AVERAGE(OFFSET('Historical Trends'!$G$48,$B7,0,'Polling Correlations - GRN'!J$4,1))</f>
        <v>4.8379999999999992</v>
      </c>
      <c r="K19" s="13">
        <f>(15+14+11+13+13)/5</f>
        <v>13.2</v>
      </c>
      <c r="L19">
        <f>(12+15+12+17+12)/5</f>
        <v>13.6</v>
      </c>
      <c r="M19">
        <f>(14+16+14+12+15)/5</f>
        <v>14.2</v>
      </c>
      <c r="N19">
        <f>(15+17+14+16+14)/5</f>
        <v>15.2</v>
      </c>
      <c r="O19">
        <f>(13+12+17+12+15)/5</f>
        <v>13.8</v>
      </c>
      <c r="P19">
        <f>(13+12+12+11+11)/5</f>
        <v>11.8</v>
      </c>
      <c r="Q19" s="30">
        <f>K19-AVERAGE(AM$5:AM18,AM20:AM$31)</f>
        <v>12.19142857142857</v>
      </c>
      <c r="R19" s="31">
        <f>L19-AVERAGE(AN$5:AN18,AN20:AN$31)</f>
        <v>13.430555555555555</v>
      </c>
      <c r="S19" s="31">
        <f>M19-AVERAGE(AO$5:AO18,AO20:AO$31)</f>
        <v>14.234533333333333</v>
      </c>
      <c r="T19" s="31">
        <f>N19-AVERAGE(AP$5:AP18,AP20:AP$31)</f>
        <v>15.115641025641025</v>
      </c>
      <c r="U19" s="31">
        <f>O19-AVERAGE(AQ$5:AQ18,AQ20:AQ$31)</f>
        <v>13.758205128205129</v>
      </c>
      <c r="V19" s="31">
        <f>P19-AVERAGE(AR$5:AR18,AR20:AR$31)</f>
        <v>11.934102564102565</v>
      </c>
      <c r="W19" s="13">
        <f t="shared" ca="1" si="2"/>
        <v>9.0349184083060479</v>
      </c>
      <c r="X19" s="6">
        <f t="shared" ca="1" si="3"/>
        <v>10.191077706407139</v>
      </c>
      <c r="Y19" s="6">
        <f t="shared" ca="1" si="4"/>
        <v>10.814957337514283</v>
      </c>
      <c r="Z19" s="6">
        <f t="shared" ca="1" si="5"/>
        <v>11.672675642861615</v>
      </c>
      <c r="AA19" s="6">
        <f t="shared" ca="1" si="6"/>
        <v>11.328590003532696</v>
      </c>
      <c r="AB19" s="2">
        <f t="shared" ca="1" si="7"/>
        <v>10.771358400412581</v>
      </c>
      <c r="AC19" s="2">
        <f>'Historical Trends'!G49</f>
        <v>10.28</v>
      </c>
      <c r="AE19" s="13">
        <f t="shared" ca="1" si="14"/>
        <v>2.6859999999998951</v>
      </c>
      <c r="AF19">
        <f t="shared" ca="1" si="15"/>
        <v>-1.33</v>
      </c>
      <c r="AG19">
        <f t="shared" ca="1" si="16"/>
        <v>-1.6799999999999997</v>
      </c>
      <c r="AH19">
        <f t="shared" ca="1" si="17"/>
        <v>-3.253333333333333</v>
      </c>
      <c r="AI19">
        <f t="shared" ca="1" si="18"/>
        <v>-4.3674999999999997</v>
      </c>
      <c r="AJ19">
        <f t="shared" ca="1" si="19"/>
        <v>-5.4420000000000002</v>
      </c>
      <c r="AK19">
        <f t="shared" ca="1" si="20"/>
        <v>-5.4420000000000002</v>
      </c>
      <c r="AL19">
        <f t="shared" ca="1" si="21"/>
        <v>-5.4420000000000002</v>
      </c>
      <c r="AM19" s="13">
        <f>K19-$AC19</f>
        <v>2.92</v>
      </c>
      <c r="AN19">
        <f t="shared" si="34"/>
        <v>3.3200000000000003</v>
      </c>
      <c r="AO19">
        <f t="shared" si="22"/>
        <v>3.92</v>
      </c>
      <c r="AP19">
        <f t="shared" si="23"/>
        <v>4.92</v>
      </c>
      <c r="AQ19">
        <f t="shared" si="24"/>
        <v>3.5200000000000014</v>
      </c>
      <c r="AR19">
        <f t="shared" si="25"/>
        <v>1.5200000000000014</v>
      </c>
      <c r="AS19" s="30">
        <f>Q19-$AC19</f>
        <v>1.911428571428571</v>
      </c>
      <c r="AT19">
        <f t="shared" si="35"/>
        <v>3.150555555555556</v>
      </c>
      <c r="AU19">
        <f t="shared" si="36"/>
        <v>3.9545333333333339</v>
      </c>
      <c r="AV19">
        <f t="shared" si="37"/>
        <v>4.835641025641026</v>
      </c>
      <c r="AW19">
        <f t="shared" si="38"/>
        <v>3.4782051282051292</v>
      </c>
      <c r="AX19">
        <f t="shared" si="39"/>
        <v>1.6541025641025655</v>
      </c>
      <c r="AY19" s="13">
        <f ca="1">W19-$AC19</f>
        <v>-1.2450815916939515</v>
      </c>
      <c r="AZ19" s="6">
        <f t="shared" ca="1" si="40"/>
        <v>-8.8922293592860413E-2</v>
      </c>
      <c r="BA19" s="6">
        <f t="shared" ca="1" si="26"/>
        <v>0.53495733751428354</v>
      </c>
      <c r="BB19" s="6">
        <f t="shared" ca="1" si="27"/>
        <v>1.3926756428616152</v>
      </c>
      <c r="BC19" s="6">
        <f t="shared" ca="1" si="28"/>
        <v>1.0485900035326967</v>
      </c>
      <c r="BD19" s="2">
        <f t="shared" ca="1" si="29"/>
        <v>0.49135840041258128</v>
      </c>
    </row>
    <row r="20" spans="1:74" x14ac:dyDescent="0.25">
      <c r="A20" t="s">
        <v>73</v>
      </c>
      <c r="B20">
        <f>B19+1</f>
        <v>3</v>
      </c>
      <c r="C20" s="13">
        <f ca="1">'Historical Trends'!Q49</f>
        <v>11.587999999999965</v>
      </c>
      <c r="D20">
        <f ca="1">AVERAGE(OFFSET('Historical Trends'!$G$48,$B8,0,'Polling Correlations - GRN'!D$4,1))</f>
        <v>8.25</v>
      </c>
      <c r="E20">
        <f ca="1">AVERAGE(OFFSET('Historical Trends'!$G$48,$B8,0,'Polling Correlations - GRN'!E$4,1))</f>
        <v>6.0649999999999995</v>
      </c>
      <c r="F20">
        <f ca="1">AVERAGE(OFFSET('Historical Trends'!$G$48,$B8,0,'Polling Correlations - GRN'!F$4,1))</f>
        <v>4.8999999999999995</v>
      </c>
      <c r="G20">
        <f ca="1">AVERAGE(OFFSET('Historical Trends'!$G$48,$B8,0,'Polling Correlations - GRN'!G$4,1))</f>
        <v>3.8099999999999996</v>
      </c>
      <c r="H20">
        <f ca="1">AVERAGE(OFFSET('Historical Trends'!$G$48,$B8,0,'Polling Correlations - GRN'!H$4,1))</f>
        <v>3.8099999999999996</v>
      </c>
      <c r="I20">
        <f ca="1">AVERAGE(OFFSET('Historical Trends'!$G$48,$B8,0,'Polling Correlations - GRN'!I$4,1))</f>
        <v>3.8099999999999996</v>
      </c>
      <c r="J20">
        <f ca="1">AVERAGE(OFFSET('Historical Trends'!$G$48,$B8,0,'Polling Correlations - GRN'!J$4,1))</f>
        <v>3.8099999999999996</v>
      </c>
      <c r="L20">
        <f>(6+7+8)/3</f>
        <v>7</v>
      </c>
      <c r="M20">
        <f>(6+7+6)/3</f>
        <v>6.333333333333333</v>
      </c>
      <c r="N20">
        <f>(7+7+6)/3</f>
        <v>6.666666666666667</v>
      </c>
      <c r="O20">
        <f>(7+7+7)/3</f>
        <v>7</v>
      </c>
      <c r="P20">
        <f>(10+7+7)/3</f>
        <v>8</v>
      </c>
      <c r="Q20" s="30">
        <f>K20-AVERAGE(AM$5:AM19,AM21:AM$31)</f>
        <v>-1.0954545454545452</v>
      </c>
      <c r="R20" s="31">
        <f>L20-AVERAGE(AN$5:AN19,AN21:AN$31)</f>
        <v>6.6109722222222222</v>
      </c>
      <c r="S20" s="31">
        <f>M20-AVERAGE(AO$5:AO19,AO21:AO$31)</f>
        <v>6.1063999999999998</v>
      </c>
      <c r="T20" s="31">
        <f>N20-AVERAGE(AP$5:AP19,AP21:AP$31)</f>
        <v>6.305256410256411</v>
      </c>
      <c r="U20" s="31">
        <f>O20-AVERAGE(AQ$5:AQ19,AQ21:AQ$31)</f>
        <v>6.7478205128205131</v>
      </c>
      <c r="V20" s="31">
        <f>P20-AVERAGE(AR$5:AR19,AR21:AR$31)</f>
        <v>8.0391025641025635</v>
      </c>
      <c r="W20" s="13">
        <f t="shared" ca="1" si="2"/>
        <v>8.0051693312350931</v>
      </c>
      <c r="X20" s="6">
        <f t="shared" ca="1" si="3"/>
        <v>7.7960025414348824</v>
      </c>
      <c r="Y20" s="6">
        <f t="shared" ca="1" si="4"/>
        <v>7.4935050937271743</v>
      </c>
      <c r="Z20" s="6">
        <f t="shared" ca="1" si="5"/>
        <v>7.3912237622355521</v>
      </c>
      <c r="AA20" s="6">
        <f t="shared" ca="1" si="6"/>
        <v>7.5068808908011793</v>
      </c>
      <c r="AB20" s="2">
        <f t="shared" ca="1" si="7"/>
        <v>8.1212779442911707</v>
      </c>
      <c r="AC20" s="2">
        <f>'Historical Trends'!G50</f>
        <v>8.9499999999999993</v>
      </c>
      <c r="AE20" s="13">
        <f t="shared" ca="1" si="14"/>
        <v>2.6379999999999661</v>
      </c>
      <c r="AF20">
        <f t="shared" ca="1" si="15"/>
        <v>-0.69999999999999929</v>
      </c>
      <c r="AG20">
        <f t="shared" ca="1" si="16"/>
        <v>-2.8849999999999998</v>
      </c>
      <c r="AH20">
        <f t="shared" ca="1" si="17"/>
        <v>-4.05</v>
      </c>
      <c r="AI20">
        <f t="shared" ca="1" si="18"/>
        <v>-5.14</v>
      </c>
      <c r="AJ20">
        <f t="shared" ca="1" si="19"/>
        <v>-5.14</v>
      </c>
      <c r="AK20">
        <f t="shared" ca="1" si="20"/>
        <v>-5.14</v>
      </c>
      <c r="AL20">
        <f t="shared" ca="1" si="21"/>
        <v>-5.14</v>
      </c>
      <c r="AN20">
        <f t="shared" si="34"/>
        <v>-1.9499999999999993</v>
      </c>
      <c r="AO20">
        <f t="shared" si="22"/>
        <v>-2.6166666666666663</v>
      </c>
      <c r="AP20">
        <f t="shared" si="23"/>
        <v>-2.2833333333333323</v>
      </c>
      <c r="AQ20">
        <f t="shared" si="24"/>
        <v>-1.9499999999999993</v>
      </c>
      <c r="AR20">
        <f t="shared" si="25"/>
        <v>-0.94999999999999929</v>
      </c>
      <c r="AS20" s="30"/>
      <c r="AT20">
        <f t="shared" si="35"/>
        <v>-2.339027777777777</v>
      </c>
      <c r="AU20">
        <f t="shared" si="36"/>
        <v>-2.8435999999999995</v>
      </c>
      <c r="AV20">
        <f t="shared" si="37"/>
        <v>-2.6447435897435883</v>
      </c>
      <c r="AW20">
        <f t="shared" si="38"/>
        <v>-2.2021794871794862</v>
      </c>
      <c r="AX20">
        <f t="shared" si="39"/>
        <v>-0.91089743589743577</v>
      </c>
      <c r="AZ20" s="6">
        <f t="shared" ca="1" si="40"/>
        <v>-1.1539974585651169</v>
      </c>
      <c r="BA20" s="6">
        <f t="shared" ca="1" si="26"/>
        <v>-1.456494906272825</v>
      </c>
      <c r="BB20" s="6">
        <f t="shared" ca="1" si="27"/>
        <v>-1.5587762377644472</v>
      </c>
      <c r="BC20" s="6">
        <f t="shared" ca="1" si="28"/>
        <v>-1.44311910919882</v>
      </c>
      <c r="BD20" s="2">
        <f t="shared" ca="1" si="29"/>
        <v>-0.82872205570882862</v>
      </c>
      <c r="BE20" t="s">
        <v>193</v>
      </c>
      <c r="BG20">
        <f ca="1">SLOPE(BG8:BM8,BG6:BM6)</f>
        <v>7.1317172049744859E-2</v>
      </c>
    </row>
    <row r="21" spans="1:74" x14ac:dyDescent="0.25">
      <c r="A21" t="s">
        <v>91</v>
      </c>
      <c r="B21">
        <v>0</v>
      </c>
      <c r="C21" s="13">
        <f ca="1">'Historical Trends'!Q65</f>
        <v>15.321850828729112</v>
      </c>
      <c r="D21">
        <f ca="1">AVERAGE(OFFSET('Historical Trends'!$G$66,$B5,0,'Polling Correlations - GRN'!D$4,1))</f>
        <v>11.48</v>
      </c>
      <c r="E21">
        <f ca="1">AVERAGE(OFFSET('Historical Trends'!$G$66,$B5,0,'Polling Correlations - GRN'!E$4,1))</f>
        <v>11.345000000000001</v>
      </c>
      <c r="F21">
        <f ca="1">AVERAGE(OFFSET('Historical Trends'!$G$66,$B5,0,'Polling Correlations - GRN'!F$4,1))</f>
        <v>10.910000000000002</v>
      </c>
      <c r="G21">
        <f ca="1">AVERAGE(OFFSET('Historical Trends'!$G$66,$B5,0,'Polling Correlations - GRN'!G$4,1))</f>
        <v>10.615000000000002</v>
      </c>
      <c r="H21">
        <f ca="1">AVERAGE(OFFSET('Historical Trends'!$G$66,$B5,0,'Polling Correlations - GRN'!H$4,1))</f>
        <v>8.7220000000000013</v>
      </c>
      <c r="I21">
        <f ca="1">AVERAGE(OFFSET('Historical Trends'!$G$66,$B5,0,'Polling Correlations - GRN'!I$4,1))</f>
        <v>8.7220000000000013</v>
      </c>
      <c r="J21">
        <f ca="1">AVERAGE(OFFSET('Historical Trends'!$G$66,$B5,0,'Polling Correlations - GRN'!J$4,1))</f>
        <v>8.7220000000000013</v>
      </c>
      <c r="K21" s="13">
        <f>(12+12+10.7+12+12)/5</f>
        <v>11.74</v>
      </c>
      <c r="L21">
        <f>(10+10+8+8+10)/5</f>
        <v>9.1999999999999993</v>
      </c>
      <c r="M21">
        <f>(11+11+10+10+10)/5</f>
        <v>10.4</v>
      </c>
      <c r="N21">
        <f>(10+10.9+11+11+10)/5</f>
        <v>10.58</v>
      </c>
      <c r="O21">
        <f>(10.9+10+10+10.9+11)/5</f>
        <v>10.559999999999999</v>
      </c>
      <c r="P21">
        <f>(11+11+11+10.3+11)/5</f>
        <v>10.86</v>
      </c>
      <c r="Q21" s="30">
        <f>K21-AVERAGE(AM$5:AM20,AM22:AM$31)</f>
        <v>10.641428571428571</v>
      </c>
      <c r="R21" s="31">
        <f>L21-AVERAGE(AN$5:AN20,AN22:AN$31)</f>
        <v>8.8293055555555551</v>
      </c>
      <c r="S21" s="31">
        <f>M21-AVERAGE(AO$5:AO20,AO22:AO$31)</f>
        <v>10.265333333333334</v>
      </c>
      <c r="T21" s="31">
        <f>N21-AVERAGE(AP$5:AP20,AP22:AP$31)</f>
        <v>10.301410256410257</v>
      </c>
      <c r="U21" s="31">
        <f>O21-AVERAGE(AQ$5:AQ20,AQ22:AQ$31)</f>
        <v>10.37705128205128</v>
      </c>
      <c r="V21" s="31">
        <f>P21-AVERAGE(AR$5:AR20,AR22:AR$31)</f>
        <v>10.941410256410256</v>
      </c>
      <c r="W21" s="13">
        <f t="shared" ca="1" si="2"/>
        <v>11.458031244744095</v>
      </c>
      <c r="X21" s="6">
        <f t="shared" ca="1" si="3"/>
        <v>10.745779044427145</v>
      </c>
      <c r="Y21" s="6">
        <f t="shared" ca="1" si="4"/>
        <v>11.05133366945665</v>
      </c>
      <c r="Z21" s="6">
        <f t="shared" ca="1" si="5"/>
        <v>10.959548424169782</v>
      </c>
      <c r="AA21" s="6">
        <f t="shared" ca="1" si="6"/>
        <v>10.934377938342795</v>
      </c>
      <c r="AB21" s="2">
        <f t="shared" ca="1" si="7"/>
        <v>11.151269692381284</v>
      </c>
      <c r="AC21" s="2">
        <f>'Historical Trends'!G65</f>
        <v>10.71</v>
      </c>
      <c r="AE21" s="13">
        <f t="shared" ca="1" si="14"/>
        <v>4.6118508287291107</v>
      </c>
      <c r="AF21">
        <f t="shared" ca="1" si="15"/>
        <v>0.76999999999999957</v>
      </c>
      <c r="AG21">
        <f t="shared" ca="1" si="16"/>
        <v>0.63499999999999979</v>
      </c>
      <c r="AH21">
        <f t="shared" ca="1" si="17"/>
        <v>0.20000000000000107</v>
      </c>
      <c r="AI21">
        <f t="shared" ca="1" si="18"/>
        <v>-9.4999999999998863E-2</v>
      </c>
      <c r="AJ21">
        <f t="shared" ca="1" si="19"/>
        <v>-1.9879999999999995</v>
      </c>
      <c r="AK21">
        <f t="shared" ca="1" si="20"/>
        <v>-1.9879999999999995</v>
      </c>
      <c r="AL21">
        <f t="shared" ca="1" si="21"/>
        <v>-1.9879999999999995</v>
      </c>
      <c r="AM21" s="13">
        <f>K21-$AC21</f>
        <v>1.0299999999999994</v>
      </c>
      <c r="AN21">
        <f t="shared" si="34"/>
        <v>-1.5100000000000016</v>
      </c>
      <c r="AO21">
        <f t="shared" si="22"/>
        <v>-0.3100000000000005</v>
      </c>
      <c r="AP21">
        <f t="shared" si="23"/>
        <v>-0.13000000000000078</v>
      </c>
      <c r="AQ21">
        <f t="shared" si="24"/>
        <v>-0.15000000000000213</v>
      </c>
      <c r="AR21">
        <f t="shared" si="25"/>
        <v>0.14999999999999858</v>
      </c>
      <c r="AS21" s="30">
        <f>Q21-$AC21</f>
        <v>-6.8571428571429394E-2</v>
      </c>
      <c r="AT21">
        <f t="shared" si="35"/>
        <v>-1.8806944444444458</v>
      </c>
      <c r="AU21">
        <f t="shared" si="36"/>
        <v>-0.44466666666666654</v>
      </c>
      <c r="AV21">
        <f t="shared" si="37"/>
        <v>-0.40858974358974365</v>
      </c>
      <c r="AW21">
        <f t="shared" si="38"/>
        <v>-0.33294871794872094</v>
      </c>
      <c r="AX21">
        <f t="shared" si="39"/>
        <v>0.23141025641025514</v>
      </c>
      <c r="AY21" s="13">
        <f ca="1">W21-$AC21</f>
        <v>0.74803124474409444</v>
      </c>
      <c r="AZ21" s="6">
        <f t="shared" ca="1" si="40"/>
        <v>3.5779044427144413E-2</v>
      </c>
      <c r="BA21" s="6">
        <f t="shared" ca="1" si="26"/>
        <v>0.34133366945664889</v>
      </c>
      <c r="BB21" s="6">
        <f t="shared" ca="1" si="27"/>
        <v>0.24954842416978096</v>
      </c>
      <c r="BC21" s="6">
        <f t="shared" ca="1" si="28"/>
        <v>0.22437793834279418</v>
      </c>
      <c r="BD21" s="2">
        <f t="shared" ca="1" si="29"/>
        <v>0.44126969238128311</v>
      </c>
      <c r="BE21" t="s">
        <v>194</v>
      </c>
      <c r="BG21">
        <f ca="1">INTERCEPT(BG8:BM8,BG6:BM6)</f>
        <v>1.2703797598624926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Trends'!Q66</f>
        <v>15.704509090909141</v>
      </c>
      <c r="D22">
        <f ca="1">AVERAGE(OFFSET('Historical Trends'!$G$66,$B6,0,'Polling Correlations - GRN'!D$4,1))</f>
        <v>11.21</v>
      </c>
      <c r="E22">
        <f ca="1">AVERAGE(OFFSET('Historical Trends'!$G$66,$B6,0,'Polling Correlations - GRN'!E$4,1))</f>
        <v>10.625</v>
      </c>
      <c r="F22">
        <f ca="1">AVERAGE(OFFSET('Historical Trends'!$G$66,$B6,0,'Polling Correlations - GRN'!F$4,1))</f>
        <v>10.326666666666666</v>
      </c>
      <c r="G22">
        <f ca="1">AVERAGE(OFFSET('Historical Trends'!$G$66,$B6,0,'Polling Correlations - GRN'!G$4,1))</f>
        <v>8.0325000000000006</v>
      </c>
      <c r="H22">
        <f ca="1">AVERAGE(OFFSET('Historical Trends'!$G$66,$B6,0,'Polling Correlations - GRN'!H$4,1))</f>
        <v>8.0325000000000006</v>
      </c>
      <c r="I22">
        <f ca="1">AVERAGE(OFFSET('Historical Trends'!$G$66,$B6,0,'Polling Correlations - GRN'!I$4,1))</f>
        <v>8.0325000000000006</v>
      </c>
      <c r="J22">
        <f ca="1">AVERAGE(OFFSET('Historical Trends'!$G$66,$B6,0,'Polling Correlations - GRN'!J$4,1))</f>
        <v>8.0325000000000006</v>
      </c>
      <c r="K22" s="13">
        <f>(11+13+13+17+14)/5</f>
        <v>13.6</v>
      </c>
      <c r="L22">
        <f>(13+11+13+14+13)/5</f>
        <v>12.8</v>
      </c>
      <c r="M22">
        <f>(13+12+13+13+11)/5</f>
        <v>12.4</v>
      </c>
      <c r="N22">
        <f>(12+16+16+14+16)/5</f>
        <v>14.8</v>
      </c>
      <c r="O22">
        <f>(13.3+12+11+12+16)/5</f>
        <v>12.86</v>
      </c>
      <c r="P22">
        <f>(13.5+12+13+13+13)/5</f>
        <v>12.9</v>
      </c>
      <c r="Q22" s="30">
        <f>K22-AVERAGE(AM$5:AM21,AM23:AM$31)</f>
        <v>12.553333333333333</v>
      </c>
      <c r="R22" s="31">
        <f>L22-AVERAGE(AN$5:AN21,AN23:AN$31)</f>
        <v>12.547222222222222</v>
      </c>
      <c r="S22" s="31">
        <f>M22-AVERAGE(AO$5:AO21,AO23:AO$31)</f>
        <v>12.314533333333333</v>
      </c>
      <c r="T22" s="31">
        <f>N22-AVERAGE(AP$5:AP21,AP23:AP$31)</f>
        <v>14.654102564102566</v>
      </c>
      <c r="U22" s="31">
        <f>O22-AVERAGE(AQ$5:AQ21,AQ23:AQ$31)</f>
        <v>12.735897435897435</v>
      </c>
      <c r="V22" s="31">
        <f>P22-AVERAGE(AR$5:AR21,AR23:AR$31)</f>
        <v>13.03025641025641</v>
      </c>
      <c r="W22" s="13">
        <f t="shared" ca="1" si="2"/>
        <v>11.245192423950549</v>
      </c>
      <c r="X22" s="6">
        <f t="shared" ca="1" si="3"/>
        <v>11.580399756890515</v>
      </c>
      <c r="Y22" s="6">
        <f t="shared" ca="1" si="4"/>
        <v>11.599799328454568</v>
      </c>
      <c r="Z22" s="6">
        <f t="shared" ca="1" si="5"/>
        <v>12.730875789524962</v>
      </c>
      <c r="AA22" s="6">
        <f t="shared" ca="1" si="6"/>
        <v>11.964852235016162</v>
      </c>
      <c r="AB22" s="2">
        <f t="shared" ca="1" si="7"/>
        <v>12.321000454075349</v>
      </c>
      <c r="AC22" s="2">
        <f>'Historical Trends'!G66</f>
        <v>11.48</v>
      </c>
      <c r="AE22" s="13">
        <f t="shared" ca="1" si="14"/>
        <v>4.224509090909141</v>
      </c>
      <c r="AF22">
        <f t="shared" ca="1" si="15"/>
        <v>-0.26999999999999957</v>
      </c>
      <c r="AG22">
        <f t="shared" ca="1" si="16"/>
        <v>-0.85500000000000043</v>
      </c>
      <c r="AH22">
        <f t="shared" ca="1" si="17"/>
        <v>-1.1533333333333342</v>
      </c>
      <c r="AI22">
        <f t="shared" ca="1" si="18"/>
        <v>-3.4474999999999998</v>
      </c>
      <c r="AJ22">
        <f t="shared" ca="1" si="19"/>
        <v>-3.4474999999999998</v>
      </c>
      <c r="AK22">
        <f t="shared" ca="1" si="20"/>
        <v>-3.4474999999999998</v>
      </c>
      <c r="AL22">
        <f t="shared" ca="1" si="21"/>
        <v>-3.4474999999999998</v>
      </c>
      <c r="AM22" s="13">
        <f>K22-$AC22</f>
        <v>2.1199999999999992</v>
      </c>
      <c r="AN22">
        <f t="shared" si="34"/>
        <v>1.3200000000000003</v>
      </c>
      <c r="AO22">
        <f t="shared" si="22"/>
        <v>0.91999999999999993</v>
      </c>
      <c r="AP22">
        <f t="shared" si="23"/>
        <v>3.3200000000000003</v>
      </c>
      <c r="AQ22">
        <f t="shared" si="24"/>
        <v>1.379999999999999</v>
      </c>
      <c r="AR22">
        <f t="shared" si="25"/>
        <v>1.42</v>
      </c>
      <c r="AS22" s="30">
        <f>Q22-$AC22</f>
        <v>1.0733333333333324</v>
      </c>
      <c r="AT22">
        <f t="shared" si="35"/>
        <v>1.0672222222222221</v>
      </c>
      <c r="AU22">
        <f t="shared" si="36"/>
        <v>0.83453333333333291</v>
      </c>
      <c r="AV22">
        <f t="shared" si="37"/>
        <v>3.1741025641025651</v>
      </c>
      <c r="AW22">
        <f t="shared" si="38"/>
        <v>1.2558974358974346</v>
      </c>
      <c r="AX22">
        <f t="shared" si="39"/>
        <v>1.5502564102564094</v>
      </c>
      <c r="AY22" s="13">
        <f ca="1">W22-$AC22</f>
        <v>-0.23480757604945168</v>
      </c>
      <c r="AZ22" s="6">
        <f t="shared" ca="1" si="40"/>
        <v>0.10039975689051417</v>
      </c>
      <c r="BA22" s="6">
        <f t="shared" ca="1" si="26"/>
        <v>0.11979932845456709</v>
      </c>
      <c r="BB22" s="6">
        <f t="shared" ca="1" si="27"/>
        <v>1.2508757895249616</v>
      </c>
      <c r="BC22" s="6">
        <f t="shared" ca="1" si="28"/>
        <v>0.48485223501616126</v>
      </c>
      <c r="BD22" s="2">
        <f t="shared" ca="1" si="29"/>
        <v>0.84100045407534907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0.60431650657076286</v>
      </c>
    </row>
    <row r="23" spans="1:74" x14ac:dyDescent="0.25">
      <c r="A23" t="s">
        <v>93</v>
      </c>
      <c r="B23">
        <f>B22+1</f>
        <v>2</v>
      </c>
      <c r="C23" s="13">
        <f ca="1">'Historical Trends'!Q67</f>
        <v>16.215810810811035</v>
      </c>
      <c r="D23">
        <f ca="1">AVERAGE(OFFSET('Historical Trends'!$G$66,$B7,0,'Polling Correlations - GRN'!D$4,1))</f>
        <v>10.039999999999999</v>
      </c>
      <c r="E23">
        <f ca="1">AVERAGE(OFFSET('Historical Trends'!$G$66,$B7,0,'Polling Correlations - GRN'!E$4,1))</f>
        <v>9.8849999999999998</v>
      </c>
      <c r="F23">
        <f ca="1">AVERAGE(OFFSET('Historical Trends'!$G$66,$B7,0,'Polling Correlations - GRN'!F$4,1))</f>
        <v>6.9733333333333327</v>
      </c>
      <c r="G23">
        <f ca="1">AVERAGE(OFFSET('Historical Trends'!$G$66,$B7,0,'Polling Correlations - GRN'!G$4,1))</f>
        <v>6.9733333333333327</v>
      </c>
      <c r="H23">
        <f ca="1">AVERAGE(OFFSET('Historical Trends'!$G$66,$B7,0,'Polling Correlations - GRN'!H$4,1))</f>
        <v>6.9733333333333327</v>
      </c>
      <c r="I23">
        <f ca="1">AVERAGE(OFFSET('Historical Trends'!$G$66,$B7,0,'Polling Correlations - GRN'!I$4,1))</f>
        <v>6.9733333333333327</v>
      </c>
      <c r="J23">
        <f ca="1">AVERAGE(OFFSET('Historical Trends'!$G$66,$B7,0,'Polling Correlations - GRN'!J$4,1))</f>
        <v>6.9733333333333327</v>
      </c>
      <c r="K23" s="13">
        <f>(11+15+12+14+12)/5</f>
        <v>12.8</v>
      </c>
      <c r="L23">
        <f>(15+12+14+15+13)/5</f>
        <v>13.8</v>
      </c>
      <c r="M23">
        <f>(14+14+14+14+15)/5</f>
        <v>14.2</v>
      </c>
      <c r="N23">
        <f>(17+18+14+14+14)/5</f>
        <v>15.4</v>
      </c>
      <c r="O23">
        <f>(16+19+14+12+17)/5</f>
        <v>15.6</v>
      </c>
      <c r="P23">
        <f>(15+14+14+14+16)/5</f>
        <v>14.6</v>
      </c>
      <c r="Q23" s="30">
        <f>K23-AVERAGE(AM$5:AM22,AM24:AM$31)</f>
        <v>11.728095238095239</v>
      </c>
      <c r="R23" s="31">
        <f>L23-AVERAGE(AN$5:AN22,AN24:AN$31)</f>
        <v>13.600138888888889</v>
      </c>
      <c r="S23" s="31">
        <f>M23-AVERAGE(AO$5:AO22,AO24:AO$31)</f>
        <v>14.197333333333333</v>
      </c>
      <c r="T23" s="31">
        <f>N23-AVERAGE(AP$5:AP22,AP24:AP$31)</f>
        <v>15.287564102564103</v>
      </c>
      <c r="U23" s="31">
        <f>O23-AVERAGE(AQ$5:AQ22,AQ24:AQ$31)</f>
        <v>15.591666666666667</v>
      </c>
      <c r="V23" s="31">
        <f>P23-AVERAGE(AR$5:AR22,AR24:AR$31)</f>
        <v>14.80602564102564</v>
      </c>
      <c r="W23" s="13">
        <f t="shared" ca="1" si="2"/>
        <v>10.084224439172168</v>
      </c>
      <c r="X23" s="6">
        <f t="shared" ca="1" si="3"/>
        <v>11.026129722515009</v>
      </c>
      <c r="Y23" s="6">
        <f t="shared" ca="1" si="4"/>
        <v>11.50715874712861</v>
      </c>
      <c r="Z23" s="6">
        <f t="shared" ca="1" si="5"/>
        <v>12.357263510312915</v>
      </c>
      <c r="AA23" s="6">
        <f t="shared" ca="1" si="6"/>
        <v>12.786375931180043</v>
      </c>
      <c r="AB23" s="2">
        <f t="shared" ca="1" si="7"/>
        <v>12.94896195803994</v>
      </c>
      <c r="AC23" s="2">
        <f>'Historical Trends'!G67</f>
        <v>11.21</v>
      </c>
      <c r="AE23" s="13">
        <f t="shared" ca="1" si="14"/>
        <v>5.0058108108110346</v>
      </c>
      <c r="AF23">
        <f t="shared" ca="1" si="15"/>
        <v>-1.1700000000000017</v>
      </c>
      <c r="AG23">
        <f t="shared" ca="1" si="16"/>
        <v>-1.3250000000000011</v>
      </c>
      <c r="AH23">
        <f t="shared" ca="1" si="17"/>
        <v>-4.2366666666666681</v>
      </c>
      <c r="AI23">
        <f t="shared" ca="1" si="18"/>
        <v>-4.2366666666666681</v>
      </c>
      <c r="AJ23">
        <f t="shared" ca="1" si="19"/>
        <v>-4.2366666666666681</v>
      </c>
      <c r="AK23">
        <f t="shared" ca="1" si="20"/>
        <v>-4.2366666666666681</v>
      </c>
      <c r="AL23">
        <f t="shared" ca="1" si="21"/>
        <v>-4.2366666666666681</v>
      </c>
      <c r="AM23" s="13">
        <f>K23-$AC23</f>
        <v>1.5899999999999999</v>
      </c>
      <c r="AN23">
        <f t="shared" si="34"/>
        <v>2.59</v>
      </c>
      <c r="AO23">
        <f t="shared" si="22"/>
        <v>2.9899999999999984</v>
      </c>
      <c r="AP23">
        <f t="shared" si="23"/>
        <v>4.1899999999999995</v>
      </c>
      <c r="AQ23">
        <f t="shared" si="24"/>
        <v>4.3899999999999988</v>
      </c>
      <c r="AR23">
        <f t="shared" si="25"/>
        <v>3.3899999999999988</v>
      </c>
      <c r="AS23" s="30">
        <f>Q23-$AC23</f>
        <v>0.51809523809523839</v>
      </c>
      <c r="AT23">
        <f t="shared" si="35"/>
        <v>2.3901388888888881</v>
      </c>
      <c r="AU23">
        <f t="shared" si="36"/>
        <v>2.9873333333333321</v>
      </c>
      <c r="AV23">
        <f t="shared" si="37"/>
        <v>4.0775641025641018</v>
      </c>
      <c r="AW23">
        <f t="shared" si="38"/>
        <v>4.3816666666666659</v>
      </c>
      <c r="AX23">
        <f t="shared" si="39"/>
        <v>3.5960256410256388</v>
      </c>
      <c r="AY23" s="13">
        <f ca="1">W23-$AC23</f>
        <v>-1.125775560827833</v>
      </c>
      <c r="AZ23" s="6">
        <f t="shared" ca="1" si="40"/>
        <v>-0.18387027748499207</v>
      </c>
      <c r="BA23" s="6">
        <f t="shared" ca="1" si="26"/>
        <v>0.29715874712860924</v>
      </c>
      <c r="BB23" s="6">
        <f t="shared" ca="1" si="27"/>
        <v>1.1472635103129143</v>
      </c>
      <c r="BC23" s="6">
        <f t="shared" ca="1" si="28"/>
        <v>1.576375931180042</v>
      </c>
      <c r="BD23" s="2">
        <f t="shared" ca="1" si="29"/>
        <v>1.7389619580399387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0.60267338274841609</v>
      </c>
    </row>
    <row r="24" spans="1:74" x14ac:dyDescent="0.25">
      <c r="A24" t="s">
        <v>94</v>
      </c>
      <c r="B24">
        <f>B23+1</f>
        <v>3</v>
      </c>
      <c r="C24" s="13">
        <f ca="1">'Historical Trends'!Q68</f>
        <v>21.170000000000073</v>
      </c>
      <c r="D24">
        <f ca="1">AVERAGE(OFFSET('Historical Trends'!$G$66,$B8,0,'Polling Correlations - GRN'!D$4,1))</f>
        <v>9.73</v>
      </c>
      <c r="E24">
        <f ca="1">AVERAGE(OFFSET('Historical Trends'!$G$66,$B8,0,'Polling Correlations - GRN'!E$4,1))</f>
        <v>5.44</v>
      </c>
      <c r="F24">
        <f ca="1">AVERAGE(OFFSET('Historical Trends'!$G$66,$B8,0,'Polling Correlations - GRN'!F$4,1))</f>
        <v>5.44</v>
      </c>
      <c r="G24">
        <f ca="1">AVERAGE(OFFSET('Historical Trends'!$G$66,$B8,0,'Polling Correlations - GRN'!G$4,1))</f>
        <v>5.44</v>
      </c>
      <c r="H24">
        <f ca="1">AVERAGE(OFFSET('Historical Trends'!$G$66,$B8,0,'Polling Correlations - GRN'!H$4,1))</f>
        <v>5.44</v>
      </c>
      <c r="I24">
        <f ca="1">AVERAGE(OFFSET('Historical Trends'!$G$66,$B8,0,'Polling Correlations - GRN'!I$4,1))</f>
        <v>5.44</v>
      </c>
      <c r="J24">
        <f ca="1">AVERAGE(OFFSET('Historical Trends'!$G$66,$B8,0,'Polling Correlations - GRN'!J$4,1))</f>
        <v>5.44</v>
      </c>
      <c r="L24">
        <f>(11+6+6+9)/4</f>
        <v>8</v>
      </c>
      <c r="M24">
        <f>(11+7+5+7+11)/5</f>
        <v>8.1999999999999993</v>
      </c>
      <c r="N24">
        <f>(11+6+5+11+7)/5</f>
        <v>8</v>
      </c>
      <c r="O24">
        <f>(13+7+11+6+5)/5</f>
        <v>8.4</v>
      </c>
      <c r="P24">
        <f>(9+12+12+8+13)/5</f>
        <v>10.8</v>
      </c>
      <c r="Q24" s="30"/>
      <c r="R24" s="31">
        <f>L24-AVERAGE(AN$5:AN23,AN25:AN$31)</f>
        <v>7.6072222222222221</v>
      </c>
      <c r="S24" s="31">
        <f>M24-AVERAGE(AO$5:AO23,AO25:AO$31)</f>
        <v>8.004133333333332</v>
      </c>
      <c r="T24" s="31">
        <f>N24-AVERAGE(AP$5:AP23,AP25:AP$31)</f>
        <v>7.6479487179487178</v>
      </c>
      <c r="U24" s="31">
        <f>O24-AVERAGE(AQ$5:AQ23,AQ25:AQ$31)</f>
        <v>8.1597435897435897</v>
      </c>
      <c r="V24" s="31">
        <f>P24-AVERAGE(AR$5:AR23,AR25:AR$31)</f>
        <v>10.904871794871795</v>
      </c>
      <c r="W24" s="13">
        <f t="shared" ca="1" si="2"/>
        <v>9.4750950731721009</v>
      </c>
      <c r="X24" s="6">
        <f t="shared" ca="1" si="3"/>
        <v>9.1420076979315947</v>
      </c>
      <c r="Y24" s="6">
        <f t="shared" ca="1" si="4"/>
        <v>9.1209267856692513</v>
      </c>
      <c r="Z24" s="6">
        <f t="shared" ca="1" si="5"/>
        <v>8.8105902761358941</v>
      </c>
      <c r="AA24" s="6">
        <f t="shared" ca="1" si="6"/>
        <v>8.9532036485903248</v>
      </c>
      <c r="AB24" s="2">
        <f t="shared" ca="1" si="7"/>
        <v>10.447087488459395</v>
      </c>
      <c r="AC24" s="2">
        <f>'Historical Trends'!G68</f>
        <v>10.039999999999999</v>
      </c>
      <c r="AE24" s="13">
        <f t="shared" ca="1" si="14"/>
        <v>11.130000000000074</v>
      </c>
      <c r="AF24">
        <f t="shared" ca="1" si="15"/>
        <v>-0.30999999999999872</v>
      </c>
      <c r="AG24">
        <f t="shared" ca="1" si="16"/>
        <v>-4.5999999999999988</v>
      </c>
      <c r="AH24">
        <f t="shared" ca="1" si="17"/>
        <v>-4.5999999999999988</v>
      </c>
      <c r="AI24">
        <f t="shared" ca="1" si="18"/>
        <v>-4.5999999999999988</v>
      </c>
      <c r="AJ24">
        <f t="shared" ca="1" si="19"/>
        <v>-4.5999999999999988</v>
      </c>
      <c r="AK24">
        <f t="shared" ca="1" si="20"/>
        <v>-4.5999999999999988</v>
      </c>
      <c r="AL24">
        <f t="shared" ca="1" si="21"/>
        <v>-4.5999999999999988</v>
      </c>
      <c r="AN24">
        <f t="shared" si="34"/>
        <v>-2.0399999999999991</v>
      </c>
      <c r="AO24">
        <f t="shared" si="22"/>
        <v>-1.8399999999999999</v>
      </c>
      <c r="AP24">
        <f t="shared" si="23"/>
        <v>-2.0399999999999991</v>
      </c>
      <c r="AQ24">
        <f t="shared" si="24"/>
        <v>-1.6399999999999988</v>
      </c>
      <c r="AR24">
        <f t="shared" si="25"/>
        <v>0.76000000000000156</v>
      </c>
      <c r="AS24" s="30"/>
      <c r="AT24">
        <f t="shared" si="35"/>
        <v>-2.432777777777777</v>
      </c>
      <c r="AU24">
        <f t="shared" si="36"/>
        <v>-2.0358666666666672</v>
      </c>
      <c r="AV24">
        <f t="shared" si="37"/>
        <v>-2.3920512820512814</v>
      </c>
      <c r="AW24">
        <f t="shared" si="38"/>
        <v>-1.8802564102564094</v>
      </c>
      <c r="AX24">
        <f t="shared" si="39"/>
        <v>0.86487179487179588</v>
      </c>
      <c r="AZ24" s="6">
        <f t="shared" ca="1" si="40"/>
        <v>-0.89799230206840441</v>
      </c>
      <c r="BA24" s="6">
        <f t="shared" ca="1" si="26"/>
        <v>-0.91907321433074785</v>
      </c>
      <c r="BB24" s="6">
        <f t="shared" ca="1" si="27"/>
        <v>-1.2294097238641051</v>
      </c>
      <c r="BC24" s="6">
        <f t="shared" ca="1" si="28"/>
        <v>-1.0867963514096743</v>
      </c>
      <c r="BD24" s="2">
        <f t="shared" ca="1" si="29"/>
        <v>0.40708748845939624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0.60098871303826817</v>
      </c>
    </row>
    <row r="25" spans="1:74" x14ac:dyDescent="0.25">
      <c r="A25" t="s">
        <v>106</v>
      </c>
      <c r="B25">
        <v>0</v>
      </c>
      <c r="C25" s="13">
        <f ca="1">'Historical Trends'!Q83</f>
        <v>11.57431279620846</v>
      </c>
      <c r="D25">
        <f ca="1">AVERAGE(OFFSET('Historical Trends'!$G$84,$B5,0,'Polling Correlations - GRN'!D$4,1))</f>
        <v>8.39</v>
      </c>
      <c r="E25">
        <f ca="1">AVERAGE(OFFSET('Historical Trends'!$G$84,$B5,0,'Polling Correlations - GRN'!E$4,1))</f>
        <v>10.155000000000001</v>
      </c>
      <c r="F25">
        <f ca="1">AVERAGE(OFFSET('Historical Trends'!$G$84,$B5,0,'Polling Correlations - GRN'!F$4,1))</f>
        <v>9.2933333333333348</v>
      </c>
      <c r="G25">
        <f ca="1">AVERAGE(OFFSET('Historical Trends'!$G$84,$B5,0,'Polling Correlations - GRN'!G$4,1))</f>
        <v>8.7875000000000014</v>
      </c>
      <c r="H25">
        <f ca="1">AVERAGE(OFFSET('Historical Trends'!$G$84,$B5,0,'Polling Correlations - GRN'!H$4,1))</f>
        <v>7.9760000000000018</v>
      </c>
      <c r="I25">
        <f ca="1">AVERAGE(OFFSET('Historical Trends'!$G$84,$B5,0,'Polling Correlations - GRN'!I$4,1))</f>
        <v>7.365000000000002</v>
      </c>
      <c r="J25">
        <f ca="1">AVERAGE(OFFSET('Historical Trends'!$G$84,$B5,0,'Polling Correlations - GRN'!J$4,1))</f>
        <v>6.3885714285714306</v>
      </c>
      <c r="K25" s="13">
        <f>(14+15+15+17+13)/5</f>
        <v>14.8</v>
      </c>
      <c r="L25">
        <f>(12+9+10+14+14)/5</f>
        <v>11.8</v>
      </c>
      <c r="M25">
        <f>(11+10+11+13+12)/5</f>
        <v>11.4</v>
      </c>
      <c r="N25">
        <f>(11+7.7+7.7+11+10)/5</f>
        <v>9.48</v>
      </c>
      <c r="O25">
        <f>(6+9+9+6.7+11)/5</f>
        <v>8.34</v>
      </c>
      <c r="P25">
        <f>(6.5+7+8+10.7+6)/5</f>
        <v>7.6400000000000006</v>
      </c>
      <c r="Q25" s="30">
        <f>K25-AVERAGE(AM$5:AM24,AM26:AM$31)</f>
        <v>13.932857142857143</v>
      </c>
      <c r="R25" s="31">
        <f>L25-AVERAGE(AN$5:AN24,AN26:AN$31)</f>
        <v>11.61263888888889</v>
      </c>
      <c r="S25" s="31">
        <f>M25-AVERAGE(AO$5:AO24,AO26:AO$31)</f>
        <v>11.377333333333334</v>
      </c>
      <c r="T25" s="31">
        <f>N25-AVERAGE(AP$5:AP24,AP26:AP$31)</f>
        <v>9.2283333333333335</v>
      </c>
      <c r="U25" s="31">
        <f>O25-AVERAGE(AQ$5:AQ24,AQ26:AQ$31)</f>
        <v>8.1408974358974362</v>
      </c>
      <c r="V25" s="31">
        <f>P25-AVERAGE(AR$5:AR24,AR26:AR$31)</f>
        <v>7.6667948717948722</v>
      </c>
      <c r="W25" s="13">
        <f t="shared" ca="1" si="2"/>
        <v>8.5352108524581194</v>
      </c>
      <c r="X25" s="6">
        <f t="shared" ca="1" si="3"/>
        <v>9.2826449479778326</v>
      </c>
      <c r="Y25" s="6">
        <f t="shared" ca="1" si="4"/>
        <v>9.4442556680377336</v>
      </c>
      <c r="Z25" s="6">
        <f t="shared" ca="1" si="5"/>
        <v>8.7601982872135107</v>
      </c>
      <c r="AA25" s="6">
        <f t="shared" ca="1" si="6"/>
        <v>8.2667704677670635</v>
      </c>
      <c r="AB25" s="2">
        <f t="shared" ca="1" si="7"/>
        <v>7.9485889870799378</v>
      </c>
      <c r="AC25" s="2">
        <f>'Historical Trends'!G83</f>
        <v>8.91</v>
      </c>
      <c r="AE25" s="13">
        <f t="shared" ca="1" si="14"/>
        <v>2.6643127962084598</v>
      </c>
      <c r="AF25">
        <f t="shared" ca="1" si="15"/>
        <v>-0.51999999999999957</v>
      </c>
      <c r="AG25">
        <f t="shared" ca="1" si="16"/>
        <v>1.245000000000001</v>
      </c>
      <c r="AH25">
        <f t="shared" ca="1" si="17"/>
        <v>0.38333333333333464</v>
      </c>
      <c r="AI25">
        <f t="shared" ca="1" si="18"/>
        <v>-0.12249999999999872</v>
      </c>
      <c r="AJ25">
        <f t="shared" ca="1" si="19"/>
        <v>-0.93399999999999839</v>
      </c>
      <c r="AK25">
        <f t="shared" ca="1" si="20"/>
        <v>-1.5449999999999982</v>
      </c>
      <c r="AL25">
        <f t="shared" ca="1" si="21"/>
        <v>-2.5214285714285696</v>
      </c>
      <c r="AM25" s="13">
        <f t="shared" ref="AM25:AM30" si="47">K25-$AC25</f>
        <v>5.8900000000000006</v>
      </c>
      <c r="AN25">
        <f t="shared" si="34"/>
        <v>2.8900000000000006</v>
      </c>
      <c r="AO25">
        <f t="shared" si="22"/>
        <v>2.4900000000000002</v>
      </c>
      <c r="AP25">
        <f t="shared" si="23"/>
        <v>0.57000000000000028</v>
      </c>
      <c r="AQ25">
        <f t="shared" si="24"/>
        <v>-0.57000000000000028</v>
      </c>
      <c r="AR25">
        <f t="shared" si="25"/>
        <v>-1.2699999999999996</v>
      </c>
      <c r="AS25" s="30">
        <f t="shared" ref="AS25:AS30" si="48">Q25-$AC25</f>
        <v>5.0228571428571431</v>
      </c>
      <c r="AT25">
        <f t="shared" si="35"/>
        <v>2.7026388888888899</v>
      </c>
      <c r="AU25">
        <f t="shared" si="36"/>
        <v>2.4673333333333343</v>
      </c>
      <c r="AV25">
        <f t="shared" si="37"/>
        <v>0.31833333333333336</v>
      </c>
      <c r="AW25">
        <f t="shared" si="38"/>
        <v>-0.76910256410256395</v>
      </c>
      <c r="AX25">
        <f t="shared" si="39"/>
        <v>-1.243205128205128</v>
      </c>
      <c r="AY25" s="13">
        <f t="shared" ref="AY25:AY30" ca="1" si="49">W25-$AC25</f>
        <v>-0.37478914754188075</v>
      </c>
      <c r="AZ25" s="6">
        <f t="shared" ca="1" si="40"/>
        <v>0.37264494797783243</v>
      </c>
      <c r="BA25" s="6">
        <f t="shared" ca="1" si="26"/>
        <v>0.5342556680377335</v>
      </c>
      <c r="BB25" s="6">
        <f t="shared" ca="1" si="27"/>
        <v>-0.14980171278648946</v>
      </c>
      <c r="BC25" s="6">
        <f t="shared" ca="1" si="28"/>
        <v>-0.64322953223293666</v>
      </c>
      <c r="BD25" s="2">
        <f t="shared" ca="1" si="29"/>
        <v>-0.96141101292006237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0.59926090155176981</v>
      </c>
    </row>
    <row r="26" spans="1:74" x14ac:dyDescent="0.25">
      <c r="A26" t="s">
        <v>107</v>
      </c>
      <c r="B26">
        <f>B25+1</f>
        <v>1</v>
      </c>
      <c r="C26" s="13">
        <f ca="1">'Historical Trends'!Q84</f>
        <v>13.293693467336652</v>
      </c>
      <c r="D26">
        <f ca="1">AVERAGE(OFFSET('Historical Trends'!$G$84,$B6,0,'Polling Correlations - GRN'!D$4,1))</f>
        <v>11.92</v>
      </c>
      <c r="E26">
        <f ca="1">AVERAGE(OFFSET('Historical Trends'!$G$84,$B6,0,'Polling Correlations - GRN'!E$4,1))</f>
        <v>9.745000000000001</v>
      </c>
      <c r="F26">
        <f ca="1">AVERAGE(OFFSET('Historical Trends'!$G$84,$B6,0,'Polling Correlations - GRN'!F$4,1))</f>
        <v>8.92</v>
      </c>
      <c r="G26">
        <f ca="1">AVERAGE(OFFSET('Historical Trends'!$G$84,$B6,0,'Polling Correlations - GRN'!G$4,1))</f>
        <v>7.8725000000000005</v>
      </c>
      <c r="H26">
        <f ca="1">AVERAGE(OFFSET('Historical Trends'!$G$84,$B6,0,'Polling Correlations - GRN'!H$4,1))</f>
        <v>7.160000000000001</v>
      </c>
      <c r="I26">
        <f ca="1">AVERAGE(OFFSET('Historical Trends'!$G$84,$B6,0,'Polling Correlations - GRN'!I$4,1))</f>
        <v>6.0550000000000006</v>
      </c>
      <c r="J26">
        <f ca="1">AVERAGE(OFFSET('Historical Trends'!$G$84,$B6,0,'Polling Correlations - GRN'!J$4,1))</f>
        <v>6.0550000000000006</v>
      </c>
      <c r="K26" s="13">
        <f>(12+13+14)/3</f>
        <v>13</v>
      </c>
      <c r="L26">
        <f>(11+11+12)/3</f>
        <v>11.333333333333334</v>
      </c>
      <c r="M26">
        <f>(12+8+11)/3</f>
        <v>10.333333333333334</v>
      </c>
      <c r="N26">
        <f>(12+12+8)/3</f>
        <v>10.666666666666666</v>
      </c>
      <c r="O26">
        <f>(8+10+12)/3</f>
        <v>10</v>
      </c>
      <c r="P26">
        <f>(8+9+8)/3</f>
        <v>8.3333333333333339</v>
      </c>
      <c r="Q26" s="30">
        <f>K26-AVERAGE(AM$5:AM25,AM27:AM$31)</f>
        <v>12.071904761904761</v>
      </c>
      <c r="R26" s="31">
        <f>L26-AVERAGE(AN$5:AN25,AN27:AN$31)</f>
        <v>11.148194444444444</v>
      </c>
      <c r="S26" s="31">
        <f>M26-AVERAGE(AO$5:AO25,AO27:AO$31)</f>
        <v>10.2888</v>
      </c>
      <c r="T26" s="31">
        <f>N26-AVERAGE(AP$5:AP25,AP27:AP$31)</f>
        <v>10.480641025641026</v>
      </c>
      <c r="U26" s="31">
        <f>O26-AVERAGE(AQ$5:AQ25,AQ27:AQ$31)</f>
        <v>9.8847435897435894</v>
      </c>
      <c r="V26" s="31">
        <f>P26-AVERAGE(AR$5:AR25,AR27:AR$31)</f>
        <v>8.4067948717948724</v>
      </c>
      <c r="W26" s="13">
        <f t="shared" ca="1" si="2"/>
        <v>11.923979575767538</v>
      </c>
      <c r="X26" s="6">
        <f t="shared" ca="1" si="3"/>
        <v>11.706216093784732</v>
      </c>
      <c r="Y26" s="6">
        <f t="shared" ca="1" si="4"/>
        <v>11.344335467852101</v>
      </c>
      <c r="Z26" s="6">
        <f t="shared" ca="1" si="5"/>
        <v>11.284395753089758</v>
      </c>
      <c r="AA26" s="6">
        <f t="shared" ca="1" si="6"/>
        <v>10.913170960268729</v>
      </c>
      <c r="AB26" s="2">
        <f t="shared" ca="1" si="7"/>
        <v>9.7757018282133554</v>
      </c>
      <c r="AC26" s="2">
        <f>'Historical Trends'!G84</f>
        <v>8.39</v>
      </c>
      <c r="AE26" s="13">
        <f t="shared" ca="1" si="14"/>
        <v>4.9036934673366517</v>
      </c>
      <c r="AF26">
        <f t="shared" ca="1" si="15"/>
        <v>3.5299999999999994</v>
      </c>
      <c r="AG26">
        <f t="shared" ca="1" si="16"/>
        <v>1.3550000000000004</v>
      </c>
      <c r="AH26">
        <f t="shared" ca="1" si="17"/>
        <v>0.52999999999999936</v>
      </c>
      <c r="AI26">
        <f t="shared" ca="1" si="18"/>
        <v>-0.51750000000000007</v>
      </c>
      <c r="AJ26">
        <f t="shared" ca="1" si="19"/>
        <v>-1.2299999999999995</v>
      </c>
      <c r="AK26">
        <f t="shared" ca="1" si="20"/>
        <v>-2.335</v>
      </c>
      <c r="AL26">
        <f t="shared" ca="1" si="21"/>
        <v>-2.335</v>
      </c>
      <c r="AM26" s="13">
        <f t="shared" si="47"/>
        <v>4.6099999999999994</v>
      </c>
      <c r="AN26">
        <f t="shared" si="34"/>
        <v>2.9433333333333334</v>
      </c>
      <c r="AO26">
        <f t="shared" si="22"/>
        <v>1.9433333333333334</v>
      </c>
      <c r="AP26">
        <f t="shared" si="23"/>
        <v>2.2766666666666655</v>
      </c>
      <c r="AQ26">
        <f t="shared" si="24"/>
        <v>1.6099999999999994</v>
      </c>
      <c r="AR26">
        <f t="shared" si="25"/>
        <v>-5.6666666666666643E-2</v>
      </c>
      <c r="AS26" s="30">
        <f t="shared" si="48"/>
        <v>3.6819047619047609</v>
      </c>
      <c r="AT26">
        <f t="shared" si="35"/>
        <v>2.7581944444444435</v>
      </c>
      <c r="AU26">
        <f t="shared" si="36"/>
        <v>1.8987999999999996</v>
      </c>
      <c r="AV26">
        <f t="shared" si="37"/>
        <v>2.0906410256410251</v>
      </c>
      <c r="AW26">
        <f t="shared" si="38"/>
        <v>1.4947435897435888</v>
      </c>
      <c r="AX26">
        <f t="shared" si="39"/>
        <v>1.6794871794871824E-2</v>
      </c>
      <c r="AY26" s="13">
        <f t="shared" ca="1" si="49"/>
        <v>3.5339795757675372</v>
      </c>
      <c r="AZ26" s="6">
        <f t="shared" ca="1" si="40"/>
        <v>3.3162160937847318</v>
      </c>
      <c r="BA26" s="6">
        <f t="shared" ca="1" si="26"/>
        <v>2.9543354678521005</v>
      </c>
      <c r="BB26" s="6">
        <f t="shared" ca="1" si="27"/>
        <v>2.8943957530897571</v>
      </c>
      <c r="BC26" s="6">
        <f t="shared" ca="1" si="28"/>
        <v>2.5231709602687289</v>
      </c>
      <c r="BD26" s="2">
        <f t="shared" ca="1" si="29"/>
        <v>1.3857018282133549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0.59748826960376822</v>
      </c>
    </row>
    <row r="27" spans="1:74" x14ac:dyDescent="0.25">
      <c r="A27" t="s">
        <v>108</v>
      </c>
      <c r="B27">
        <f>B26+1</f>
        <v>2</v>
      </c>
      <c r="C27" s="13">
        <f ca="1">'Historical Trends'!Q85</f>
        <v>9.6400497512437369</v>
      </c>
      <c r="D27">
        <f ca="1">AVERAGE(OFFSET('Historical Trends'!$G$84,$B7,0,'Polling Correlations - GRN'!D$4,1))</f>
        <v>7.57</v>
      </c>
      <c r="E27">
        <f ca="1">AVERAGE(OFFSET('Historical Trends'!$G$84,$B7,0,'Polling Correlations - GRN'!E$4,1))</f>
        <v>7.42</v>
      </c>
      <c r="F27">
        <f ca="1">AVERAGE(OFFSET('Historical Trends'!$G$84,$B7,0,'Polling Correlations - GRN'!F$4,1))</f>
        <v>6.5233333333333334</v>
      </c>
      <c r="G27">
        <f ca="1">AVERAGE(OFFSET('Historical Trends'!$G$84,$B7,0,'Polling Correlations - GRN'!G$4,1))</f>
        <v>5.97</v>
      </c>
      <c r="H27">
        <f ca="1">AVERAGE(OFFSET('Historical Trends'!$G$84,$B7,0,'Polling Correlations - GRN'!H$4,1))</f>
        <v>4.8819999999999997</v>
      </c>
      <c r="I27">
        <f ca="1">AVERAGE(OFFSET('Historical Trends'!$G$84,$B7,0,'Polling Correlations - GRN'!I$4,1))</f>
        <v>4.8819999999999997</v>
      </c>
      <c r="J27">
        <f ca="1">AVERAGE(OFFSET('Historical Trends'!$G$84,$B7,0,'Polling Correlations - GRN'!J$4,1))</f>
        <v>4.8819999999999997</v>
      </c>
      <c r="K27" s="13">
        <f>(6+4+8)/3</f>
        <v>6</v>
      </c>
      <c r="L27">
        <f>(6+8+10)/3</f>
        <v>8</v>
      </c>
      <c r="M27">
        <f>(12+8+6)/3</f>
        <v>8.6666666666666661</v>
      </c>
      <c r="N27">
        <f>(16+12+8)/3</f>
        <v>12</v>
      </c>
      <c r="O27">
        <f>(16+12+8)/3</f>
        <v>12</v>
      </c>
      <c r="P27">
        <f>(12+10+10)/3</f>
        <v>10.666666666666666</v>
      </c>
      <c r="Q27" s="30">
        <f>K27-AVERAGE(AM$5:AM26,AM28:AM$31)</f>
        <v>4.5704761904761906</v>
      </c>
      <c r="R27" s="31">
        <f>L27-AVERAGE(AN$5:AN26,AN28:AN$31)</f>
        <v>7.528888888888889</v>
      </c>
      <c r="S27" s="31">
        <f>M27-AVERAGE(AO$5:AO26,AO28:AO$31)</f>
        <v>8.4142666666666663</v>
      </c>
      <c r="T27" s="31">
        <f>N27-AVERAGE(AP$5:AP26,AP28:AP$31)</f>
        <v>11.72948717948718</v>
      </c>
      <c r="U27" s="31">
        <f>O27-AVERAGE(AQ$5:AQ26,AQ28:AQ$31)</f>
        <v>11.825897435897437</v>
      </c>
      <c r="V27" s="31">
        <f>P27-AVERAGE(AR$5:AR26,AR28:AR$31)</f>
        <v>10.694102564102563</v>
      </c>
      <c r="W27" s="13">
        <f t="shared" ca="1" si="2"/>
        <v>7.4914189725400613</v>
      </c>
      <c r="X27" s="6">
        <f t="shared" ca="1" si="3"/>
        <v>7.5586125542127549</v>
      </c>
      <c r="Y27" s="6">
        <f t="shared" ca="1" si="4"/>
        <v>7.8679489796926987</v>
      </c>
      <c r="Z27" s="6">
        <f t="shared" ca="1" si="5"/>
        <v>9.4067813473551176</v>
      </c>
      <c r="AA27" s="6">
        <f t="shared" ca="1" si="6"/>
        <v>9.6753667277429454</v>
      </c>
      <c r="AB27" s="2">
        <f t="shared" ca="1" si="7"/>
        <v>9.4768079352661001</v>
      </c>
      <c r="AC27" s="2">
        <f>'Historical Trends'!G85</f>
        <v>11.92</v>
      </c>
      <c r="AE27" s="13">
        <f t="shared" ca="1" si="14"/>
        <v>-2.2799502487562631</v>
      </c>
      <c r="AF27">
        <f t="shared" ca="1" si="15"/>
        <v>-4.3499999999999996</v>
      </c>
      <c r="AG27">
        <f t="shared" ca="1" si="16"/>
        <v>-4.5</v>
      </c>
      <c r="AH27">
        <f t="shared" ca="1" si="17"/>
        <v>-5.3966666666666665</v>
      </c>
      <c r="AI27">
        <f t="shared" ca="1" si="18"/>
        <v>-5.95</v>
      </c>
      <c r="AJ27">
        <f t="shared" ca="1" si="19"/>
        <v>-7.0380000000000003</v>
      </c>
      <c r="AK27">
        <f t="shared" ca="1" si="20"/>
        <v>-7.0380000000000003</v>
      </c>
      <c r="AL27">
        <f t="shared" ca="1" si="21"/>
        <v>-7.0380000000000003</v>
      </c>
      <c r="AM27" s="13">
        <f t="shared" si="47"/>
        <v>-5.92</v>
      </c>
      <c r="AN27">
        <f t="shared" si="34"/>
        <v>-3.92</v>
      </c>
      <c r="AO27">
        <f t="shared" si="22"/>
        <v>-3.2533333333333339</v>
      </c>
      <c r="AP27">
        <f t="shared" si="23"/>
        <v>8.0000000000000071E-2</v>
      </c>
      <c r="AQ27">
        <f t="shared" si="24"/>
        <v>8.0000000000000071E-2</v>
      </c>
      <c r="AR27">
        <f t="shared" si="25"/>
        <v>-1.2533333333333339</v>
      </c>
      <c r="AS27" s="30">
        <f t="shared" si="48"/>
        <v>-7.3495238095238093</v>
      </c>
      <c r="AT27">
        <f t="shared" si="35"/>
        <v>-4.391111111111111</v>
      </c>
      <c r="AU27">
        <f t="shared" si="36"/>
        <v>-3.5057333333333336</v>
      </c>
      <c r="AV27">
        <f t="shared" si="37"/>
        <v>-0.19051282051282037</v>
      </c>
      <c r="AW27">
        <f t="shared" si="38"/>
        <v>-9.4102564102563235E-2</v>
      </c>
      <c r="AX27">
        <f t="shared" si="39"/>
        <v>-1.225897435897437</v>
      </c>
      <c r="AY27" s="13">
        <f t="shared" ca="1" si="49"/>
        <v>-4.4285810274599386</v>
      </c>
      <c r="AZ27" s="6">
        <f t="shared" ca="1" si="40"/>
        <v>-4.361387445787245</v>
      </c>
      <c r="BA27" s="6">
        <f t="shared" ca="1" si="26"/>
        <v>-4.0520510203073012</v>
      </c>
      <c r="BB27" s="6">
        <f t="shared" ca="1" si="27"/>
        <v>-2.5132186526448823</v>
      </c>
      <c r="BC27" s="6">
        <f t="shared" ca="1" si="28"/>
        <v>-2.2446332722570546</v>
      </c>
      <c r="BD27" s="2">
        <f t="shared" ca="1" si="29"/>
        <v>-2.4431920647338998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0.59566905027246475</v>
      </c>
    </row>
    <row r="28" spans="1:74" x14ac:dyDescent="0.25">
      <c r="A28" t="s">
        <v>123</v>
      </c>
      <c r="B28" s="2">
        <v>0</v>
      </c>
      <c r="C28" s="13">
        <f ca="1">'Historical Trends'!Q100</f>
        <v>11.575000000000045</v>
      </c>
      <c r="D28">
        <f ca="1">AVERAGE(OFFSET('Historical Trends'!$G$101,$B5,0,'Polling Correlations - GRN'!D$4,1))</f>
        <v>8.6999999999999993</v>
      </c>
      <c r="E28">
        <f ca="1">AVERAGE(OFFSET('Historical Trends'!$G$101,$B5,0,'Polling Correlations - GRN'!E$4,1))</f>
        <v>8.4049999999999994</v>
      </c>
      <c r="F28">
        <f ca="1">AVERAGE(OFFSET('Historical Trends'!$G$101,$B5,0,'Polling Correlations - GRN'!F$4,1))</f>
        <v>7.7666666666666657</v>
      </c>
      <c r="G28">
        <f ca="1">AVERAGE(OFFSET('Historical Trends'!$G$101,$B5,0,'Polling Correlations - GRN'!G$4,1))</f>
        <v>6.4149999999999991</v>
      </c>
      <c r="H28">
        <f ca="1">AVERAGE(OFFSET('Historical Trends'!$G$101,$B5,0,'Polling Correlations - GRN'!H$4,1))</f>
        <v>6.4149999999999991</v>
      </c>
      <c r="I28">
        <f ca="1">AVERAGE(OFFSET('Historical Trends'!$G$101,$B5,0,'Polling Correlations - GRN'!I$4,1))</f>
        <v>6.4149999999999991</v>
      </c>
      <c r="J28">
        <f ca="1">AVERAGE(OFFSET('Historical Trends'!$G$101,$B5,0,'Polling Correlations - GRN'!J$4,1))</f>
        <v>6.4149999999999991</v>
      </c>
      <c r="K28" s="13">
        <f>(7+9+10)/3</f>
        <v>8.6666666666666661</v>
      </c>
      <c r="L28">
        <f>(6+9+7)/3</f>
        <v>7.333333333333333</v>
      </c>
      <c r="M28">
        <f>(6+6+7+6+9)/5</f>
        <v>6.8</v>
      </c>
      <c r="N28">
        <f>(8+6+6+6+7)/5</f>
        <v>6.6</v>
      </c>
      <c r="O28">
        <f>(8+6+6+6+7)/5</f>
        <v>6.6</v>
      </c>
      <c r="P28">
        <f>(7+7+8+8+7)/5</f>
        <v>7.4</v>
      </c>
      <c r="Q28" s="30">
        <f>K28-AVERAGE(AM$5:AM27,AM29:AM$31)</f>
        <v>7.6126984126984123</v>
      </c>
      <c r="R28" s="31">
        <f>L28-AVERAGE(AN$5:AN27,AN29:AN$31)</f>
        <v>7.0519444444444437</v>
      </c>
      <c r="S28" s="31">
        <f>M28-AVERAGE(AO$5:AO27,AO29:AO$31)</f>
        <v>6.6817333333333329</v>
      </c>
      <c r="T28" s="31">
        <f>N28-AVERAGE(AP$5:AP27,AP29:AP$31)</f>
        <v>6.322564102564102</v>
      </c>
      <c r="U28" s="31">
        <f>O28-AVERAGE(AQ$5:AQ27,AQ29:AQ$31)</f>
        <v>6.4189743589743582</v>
      </c>
      <c r="V28" s="31">
        <f>P28-AVERAGE(AR$5:AR27,AR29:AR$31)</f>
        <v>7.5025641025641026</v>
      </c>
      <c r="W28" s="13">
        <f t="shared" ca="1" si="2"/>
        <v>8.6715150532835583</v>
      </c>
      <c r="X28" s="6">
        <f t="shared" ca="1" si="3"/>
        <v>8.2435019198937631</v>
      </c>
      <c r="Y28" s="6">
        <f t="shared" ca="1" si="4"/>
        <v>7.9877363067579914</v>
      </c>
      <c r="Z28" s="6">
        <f t="shared" ca="1" si="5"/>
        <v>7.6501518522576344</v>
      </c>
      <c r="AA28" s="6">
        <f t="shared" ca="1" si="6"/>
        <v>7.5715904078803931</v>
      </c>
      <c r="AB28" s="2">
        <f t="shared" ca="1" si="7"/>
        <v>7.9691404253371072</v>
      </c>
      <c r="AC28" s="2">
        <f>'Historical Trends'!G100</f>
        <v>6.7</v>
      </c>
      <c r="AE28" s="13">
        <f t="shared" ca="1" si="14"/>
        <v>4.8750000000000453</v>
      </c>
      <c r="AF28">
        <f t="shared" ca="1" si="15"/>
        <v>1.9999999999999991</v>
      </c>
      <c r="AG28">
        <f t="shared" ca="1" si="16"/>
        <v>1.7049999999999992</v>
      </c>
      <c r="AH28">
        <f t="shared" ca="1" si="17"/>
        <v>1.0666666666666655</v>
      </c>
      <c r="AI28">
        <f t="shared" ca="1" si="18"/>
        <v>-0.28500000000000103</v>
      </c>
      <c r="AJ28">
        <f t="shared" ca="1" si="19"/>
        <v>-0.28500000000000103</v>
      </c>
      <c r="AK28">
        <f t="shared" ca="1" si="20"/>
        <v>-0.28500000000000103</v>
      </c>
      <c r="AL28">
        <f t="shared" ca="1" si="21"/>
        <v>-0.28500000000000103</v>
      </c>
      <c r="AM28" s="13">
        <f t="shared" si="47"/>
        <v>1.9666666666666659</v>
      </c>
      <c r="AN28">
        <f t="shared" si="34"/>
        <v>0.63333333333333286</v>
      </c>
      <c r="AO28">
        <f t="shared" si="22"/>
        <v>9.9999999999999645E-2</v>
      </c>
      <c r="AP28">
        <f t="shared" si="23"/>
        <v>-0.10000000000000053</v>
      </c>
      <c r="AQ28">
        <f t="shared" si="24"/>
        <v>-0.10000000000000053</v>
      </c>
      <c r="AR28">
        <f t="shared" si="25"/>
        <v>0.70000000000000018</v>
      </c>
      <c r="AS28" s="30">
        <f t="shared" si="48"/>
        <v>0.91269841269841212</v>
      </c>
      <c r="AT28">
        <f t="shared" si="35"/>
        <v>0.3519444444444435</v>
      </c>
      <c r="AU28">
        <f t="shared" si="36"/>
        <v>-1.8266666666667319E-2</v>
      </c>
      <c r="AV28">
        <f t="shared" si="37"/>
        <v>-0.37743589743589823</v>
      </c>
      <c r="AW28">
        <f t="shared" si="38"/>
        <v>-0.28102564102564198</v>
      </c>
      <c r="AX28">
        <f t="shared" si="39"/>
        <v>0.80256410256410238</v>
      </c>
      <c r="AY28" s="13">
        <f t="shared" ca="1" si="49"/>
        <v>1.9715150532835581</v>
      </c>
      <c r="AZ28" s="6">
        <f t="shared" ca="1" si="40"/>
        <v>1.543501919893763</v>
      </c>
      <c r="BA28" s="6">
        <f t="shared" ca="1" si="26"/>
        <v>1.2877363067579912</v>
      </c>
      <c r="BB28" s="6">
        <f t="shared" ca="1" si="27"/>
        <v>0.95015185225763421</v>
      </c>
      <c r="BC28" s="6">
        <f t="shared" ca="1" si="28"/>
        <v>0.87159040788039288</v>
      </c>
      <c r="BD28" s="2">
        <f t="shared" ca="1" si="29"/>
        <v>1.269140425337107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0.59380138252474468</v>
      </c>
    </row>
    <row r="29" spans="1:74" x14ac:dyDescent="0.25">
      <c r="A29" t="s">
        <v>124</v>
      </c>
      <c r="B29" s="2">
        <f>B28+1</f>
        <v>1</v>
      </c>
      <c r="C29" s="13">
        <f ca="1">'Historical Trends'!Q101</f>
        <v>11.403333333333421</v>
      </c>
      <c r="D29">
        <f ca="1">AVERAGE(OFFSET('Historical Trends'!$G$101,$B6,0,'Polling Correlations - GRN'!D$4,1))</f>
        <v>8.11</v>
      </c>
      <c r="E29">
        <f ca="1">AVERAGE(OFFSET('Historical Trends'!$G$101,$B6,0,'Polling Correlations - GRN'!E$4,1))</f>
        <v>7.3</v>
      </c>
      <c r="F29">
        <f ca="1">AVERAGE(OFFSET('Historical Trends'!$G$101,$B6,0,'Polling Correlations - GRN'!F$4,1))</f>
        <v>5.6533333333333333</v>
      </c>
      <c r="G29">
        <f ca="1">AVERAGE(OFFSET('Historical Trends'!$G$101,$B6,0,'Polling Correlations - GRN'!G$4,1))</f>
        <v>5.6533333333333333</v>
      </c>
      <c r="H29">
        <f ca="1">AVERAGE(OFFSET('Historical Trends'!$G$101,$B6,0,'Polling Correlations - GRN'!H$4,1))</f>
        <v>5.6533333333333333</v>
      </c>
      <c r="I29">
        <f ca="1">AVERAGE(OFFSET('Historical Trends'!$G$101,$B6,0,'Polling Correlations - GRN'!I$4,1))</f>
        <v>5.6533333333333333</v>
      </c>
      <c r="J29">
        <f ca="1">AVERAGE(OFFSET('Historical Trends'!$G$101,$B6,0,'Polling Correlations - GRN'!J$4,1))</f>
        <v>5.6533333333333333</v>
      </c>
      <c r="K29" s="13">
        <f>(11+9+6)/3</f>
        <v>8.6666666666666661</v>
      </c>
      <c r="L29">
        <f>(10+6+9)/3</f>
        <v>8.3333333333333339</v>
      </c>
      <c r="M29">
        <f>(10+6+9)/3</f>
        <v>8.3333333333333339</v>
      </c>
      <c r="N29">
        <f>(10+8+10)/3</f>
        <v>9.3333333333333339</v>
      </c>
      <c r="O29">
        <f>(7+10+8)/3</f>
        <v>8.3333333333333339</v>
      </c>
      <c r="P29">
        <f>(9+7+7)/3</f>
        <v>7.666666666666667</v>
      </c>
      <c r="Q29" s="30">
        <f>K29-AVERAGE(AM$5:AM28,AM30:AM$31)</f>
        <v>7.5174603174603174</v>
      </c>
      <c r="R29" s="31">
        <f>L29-AVERAGE(AN$5:AN28,AN30:AN$31)</f>
        <v>8.0102777777777785</v>
      </c>
      <c r="S29" s="31">
        <f>M29-AVERAGE(AO$5:AO28,AO30:AO$31)</f>
        <v>8.1964000000000006</v>
      </c>
      <c r="T29" s="31">
        <f>N29-AVERAGE(AP$5:AP28,AP30:AP$31)</f>
        <v>9.0841025641025652</v>
      </c>
      <c r="U29" s="31">
        <f>O29-AVERAGE(AQ$5:AQ28,AQ30:AQ$31)</f>
        <v>8.1420512820512823</v>
      </c>
      <c r="V29" s="31">
        <f>P29-AVERAGE(AR$5:AR28,AR30:AR$31)</f>
        <v>7.7025641025641027</v>
      </c>
      <c r="W29" s="13">
        <f t="shared" ca="1" si="2"/>
        <v>8.094476743636136</v>
      </c>
      <c r="X29" s="6">
        <f t="shared" ca="1" si="3"/>
        <v>8.0823777497458043</v>
      </c>
      <c r="Y29" s="6">
        <f t="shared" ca="1" si="4"/>
        <v>8.1404913043020954</v>
      </c>
      <c r="Z29" s="6">
        <f t="shared" ca="1" si="5"/>
        <v>8.5401524065221359</v>
      </c>
      <c r="AA29" s="6">
        <f t="shared" ca="1" si="6"/>
        <v>8.1258555754288402</v>
      </c>
      <c r="AB29" s="2">
        <f t="shared" ca="1" si="7"/>
        <v>7.8613199434391134</v>
      </c>
      <c r="AC29" s="2">
        <f>'Historical Trends'!G101</f>
        <v>8.6999999999999993</v>
      </c>
      <c r="AE29" s="13">
        <f t="shared" ca="1" si="14"/>
        <v>2.703333333333422</v>
      </c>
      <c r="AF29">
        <f t="shared" ca="1" si="15"/>
        <v>-0.58999999999999986</v>
      </c>
      <c r="AG29">
        <f t="shared" ca="1" si="16"/>
        <v>-1.3999999999999995</v>
      </c>
      <c r="AH29">
        <f t="shared" ca="1" si="17"/>
        <v>-3.046666666666666</v>
      </c>
      <c r="AI29">
        <f t="shared" ca="1" si="18"/>
        <v>-3.046666666666666</v>
      </c>
      <c r="AJ29">
        <f t="shared" ca="1" si="19"/>
        <v>-3.046666666666666</v>
      </c>
      <c r="AK29">
        <f t="shared" ca="1" si="20"/>
        <v>-3.046666666666666</v>
      </c>
      <c r="AL29">
        <f t="shared" ca="1" si="21"/>
        <v>-3.046666666666666</v>
      </c>
      <c r="AM29" s="13">
        <f t="shared" si="47"/>
        <v>-3.3333333333333215E-2</v>
      </c>
      <c r="AN29">
        <f t="shared" si="34"/>
        <v>-0.36666666666666536</v>
      </c>
      <c r="AO29">
        <f t="shared" si="22"/>
        <v>-0.36666666666666536</v>
      </c>
      <c r="AP29">
        <f t="shared" si="23"/>
        <v>0.63333333333333464</v>
      </c>
      <c r="AQ29">
        <f t="shared" si="24"/>
        <v>-0.36666666666666536</v>
      </c>
      <c r="AR29">
        <f t="shared" si="25"/>
        <v>-1.0333333333333323</v>
      </c>
      <c r="AS29" s="30">
        <f t="shared" si="48"/>
        <v>-1.1825396825396819</v>
      </c>
      <c r="AT29">
        <f t="shared" si="35"/>
        <v>-0.68972222222222079</v>
      </c>
      <c r="AU29">
        <f t="shared" si="36"/>
        <v>-0.50359999999999872</v>
      </c>
      <c r="AV29">
        <f t="shared" si="37"/>
        <v>0.38410256410256594</v>
      </c>
      <c r="AW29">
        <f t="shared" si="38"/>
        <v>-0.55794871794871703</v>
      </c>
      <c r="AX29">
        <f t="shared" si="39"/>
        <v>-0.99743589743589656</v>
      </c>
      <c r="AY29" s="13">
        <f t="shared" ca="1" si="49"/>
        <v>-0.60552325636386328</v>
      </c>
      <c r="AZ29" s="6">
        <f t="shared" ca="1" si="40"/>
        <v>-0.61762225025419504</v>
      </c>
      <c r="BA29" s="6">
        <f t="shared" ca="1" si="26"/>
        <v>-0.55950869569790385</v>
      </c>
      <c r="BB29" s="6">
        <f t="shared" ca="1" si="27"/>
        <v>-0.15984759347786337</v>
      </c>
      <c r="BC29" s="6">
        <f t="shared" ca="1" si="28"/>
        <v>-0.57414442457115911</v>
      </c>
      <c r="BD29" s="2">
        <f t="shared" ca="1" si="29"/>
        <v>-0.83868005656088584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0.59188330486581897</v>
      </c>
    </row>
    <row r="30" spans="1:74" x14ac:dyDescent="0.25">
      <c r="A30" t="s">
        <v>126</v>
      </c>
      <c r="B30" s="2">
        <f>B29+1</f>
        <v>2</v>
      </c>
      <c r="C30" s="13">
        <f ca="1">'Historical Trends'!Q102</f>
        <v>10.619999999999891</v>
      </c>
      <c r="D30">
        <f ca="1">AVERAGE(OFFSET('Historical Trends'!$G$101,$B7,0,'Polling Correlations - GRN'!D$4,1))</f>
        <v>6.49</v>
      </c>
      <c r="E30">
        <f ca="1">AVERAGE(OFFSET('Historical Trends'!$G$101,$B7,0,'Polling Correlations - GRN'!E$4,1))</f>
        <v>4.4249999999999998</v>
      </c>
      <c r="F30">
        <f ca="1">AVERAGE(OFFSET('Historical Trends'!$G$101,$B7,0,'Polling Correlations - GRN'!F$4,1))</f>
        <v>4.4249999999999998</v>
      </c>
      <c r="G30">
        <f ca="1">AVERAGE(OFFSET('Historical Trends'!$G$101,$B7,0,'Polling Correlations - GRN'!G$4,1))</f>
        <v>4.4249999999999998</v>
      </c>
      <c r="H30">
        <f ca="1">AVERAGE(OFFSET('Historical Trends'!$G$101,$B7,0,'Polling Correlations - GRN'!H$4,1))</f>
        <v>4.4249999999999998</v>
      </c>
      <c r="I30">
        <f ca="1">AVERAGE(OFFSET('Historical Trends'!$G$101,$B7,0,'Polling Correlations - GRN'!I$4,1))</f>
        <v>4.4249999999999998</v>
      </c>
      <c r="J30">
        <f ca="1">AVERAGE(OFFSET('Historical Trends'!$G$101,$B7,0,'Polling Correlations - GRN'!J$4,1))</f>
        <v>4.4249999999999998</v>
      </c>
      <c r="K30" s="13">
        <f>(8+7+6)/3</f>
        <v>7</v>
      </c>
      <c r="L30">
        <f>(10+13+8)/3</f>
        <v>10.333333333333334</v>
      </c>
      <c r="M30">
        <f>(11+10+13)/3</f>
        <v>11.333333333333334</v>
      </c>
      <c r="N30">
        <f>(10+12+8)/3</f>
        <v>10</v>
      </c>
      <c r="O30">
        <f>(9+10+12)/3</f>
        <v>10.333333333333334</v>
      </c>
      <c r="P30">
        <f>(9.3+10+9)/3</f>
        <v>9.4333333333333336</v>
      </c>
      <c r="Q30" s="30">
        <f>K30-AVERAGE(AM$5:AM29,AM31:AM$31)</f>
        <v>5.7995238095238095</v>
      </c>
      <c r="R30" s="31">
        <f>L30-AVERAGE(AN$5:AN29,AN31:AN$31)</f>
        <v>10.118194444444445</v>
      </c>
      <c r="S30" s="31">
        <f>M30-AVERAGE(AO$5:AO29,AO31:AO$31)</f>
        <v>11.34</v>
      </c>
      <c r="T30" s="31">
        <f>N30-AVERAGE(AP$5:AP29,AP31:AP$31)</f>
        <v>9.7991025641025633</v>
      </c>
      <c r="U30" s="31">
        <f>O30-AVERAGE(AQ$5:AQ29,AQ31:AQ$31)</f>
        <v>10.241666666666667</v>
      </c>
      <c r="V30" s="31">
        <f>P30-AVERAGE(AR$5:AR29,AR31:AR$31)</f>
        <v>9.5598717948717944</v>
      </c>
      <c r="W30" s="13">
        <f t="shared" ca="1" si="2"/>
        <v>6.4719110192384655</v>
      </c>
      <c r="X30" s="6">
        <f t="shared" ca="1" si="3"/>
        <v>7.4949805618249767</v>
      </c>
      <c r="Y30" s="6">
        <f t="shared" ca="1" si="4"/>
        <v>8.2016067808467987</v>
      </c>
      <c r="Z30" s="6">
        <f t="shared" ca="1" si="5"/>
        <v>7.9512613536118506</v>
      </c>
      <c r="AA30" s="6">
        <f t="shared" ca="1" si="6"/>
        <v>8.3459268150964512</v>
      </c>
      <c r="AB30" s="2">
        <f t="shared" ca="1" si="7"/>
        <v>8.3637079780838306</v>
      </c>
      <c r="AC30" s="2">
        <f>'Historical Trends'!G102</f>
        <v>8.11</v>
      </c>
      <c r="AE30" s="13">
        <f t="shared" ca="1" si="14"/>
        <v>2.5099999999998914</v>
      </c>
      <c r="AF30">
        <f t="shared" ca="1" si="15"/>
        <v>-1.6199999999999992</v>
      </c>
      <c r="AG30">
        <f t="shared" ca="1" si="16"/>
        <v>-3.6849999999999996</v>
      </c>
      <c r="AH30">
        <f t="shared" ca="1" si="17"/>
        <v>-3.6849999999999996</v>
      </c>
      <c r="AI30">
        <f t="shared" ca="1" si="18"/>
        <v>-3.6849999999999996</v>
      </c>
      <c r="AJ30">
        <f t="shared" ca="1" si="19"/>
        <v>-3.6849999999999996</v>
      </c>
      <c r="AK30">
        <f t="shared" ca="1" si="20"/>
        <v>-3.6849999999999996</v>
      </c>
      <c r="AL30">
        <f t="shared" ca="1" si="21"/>
        <v>-3.6849999999999996</v>
      </c>
      <c r="AM30" s="13">
        <f t="shared" si="47"/>
        <v>-1.1099999999999994</v>
      </c>
      <c r="AN30">
        <f t="shared" si="34"/>
        <v>2.2233333333333345</v>
      </c>
      <c r="AO30">
        <f t="shared" si="22"/>
        <v>3.2233333333333345</v>
      </c>
      <c r="AP30">
        <f t="shared" si="23"/>
        <v>1.8900000000000006</v>
      </c>
      <c r="AQ30">
        <f t="shared" si="24"/>
        <v>2.2233333333333345</v>
      </c>
      <c r="AR30">
        <f t="shared" si="25"/>
        <v>1.3233333333333341</v>
      </c>
      <c r="AS30" s="30">
        <f t="shared" si="48"/>
        <v>-2.3104761904761899</v>
      </c>
      <c r="AT30">
        <f t="shared" si="35"/>
        <v>2.0081944444444453</v>
      </c>
      <c r="AU30">
        <f t="shared" si="36"/>
        <v>3.2300000000000004</v>
      </c>
      <c r="AV30">
        <f t="shared" si="37"/>
        <v>1.6891025641025639</v>
      </c>
      <c r="AW30">
        <f t="shared" si="38"/>
        <v>2.1316666666666677</v>
      </c>
      <c r="AX30">
        <f t="shared" si="39"/>
        <v>1.449871794871795</v>
      </c>
      <c r="AY30" s="13">
        <f t="shared" ca="1" si="49"/>
        <v>-1.638088980761534</v>
      </c>
      <c r="AZ30" s="6">
        <f t="shared" ca="1" si="40"/>
        <v>-0.61501943817502269</v>
      </c>
      <c r="BA30" s="6">
        <f t="shared" ca="1" si="26"/>
        <v>9.1606780846799296E-2</v>
      </c>
      <c r="BB30" s="6">
        <f t="shared" ca="1" si="27"/>
        <v>-0.15873864638814883</v>
      </c>
      <c r="BC30" s="6">
        <f t="shared" ca="1" si="28"/>
        <v>0.23592681509645175</v>
      </c>
      <c r="BD30" s="2">
        <f t="shared" ca="1" si="29"/>
        <v>0.25370797808383116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0.58991274846762887</v>
      </c>
    </row>
    <row r="31" spans="1:74" x14ac:dyDescent="0.25">
      <c r="A31" t="s">
        <v>127</v>
      </c>
      <c r="B31" s="2">
        <f>B30+1</f>
        <v>3</v>
      </c>
      <c r="D31">
        <f ca="1">AVERAGE(OFFSET('Historical Trends'!$G$101,$B8,0,'Polling Correlations - GRN'!D$4,1))</f>
        <v>2.36</v>
      </c>
      <c r="E31">
        <f ca="1">AVERAGE(OFFSET('Historical Trends'!$G$101,$B8,0,'Polling Correlations - GRN'!E$4,1))</f>
        <v>2.36</v>
      </c>
      <c r="F31">
        <f ca="1">AVERAGE(OFFSET('Historical Trends'!$G$101,$B8,0,'Polling Correlations - GRN'!F$4,1))</f>
        <v>2.36</v>
      </c>
      <c r="G31">
        <f ca="1">AVERAGE(OFFSET('Historical Trends'!$G$101,$B8,0,'Polling Correlations - GRN'!G$4,1))</f>
        <v>2.36</v>
      </c>
      <c r="H31">
        <f ca="1">AVERAGE(OFFSET('Historical Trends'!$G$101,$B8,0,'Polling Correlations - GRN'!H$4,1))</f>
        <v>2.36</v>
      </c>
      <c r="I31">
        <f ca="1">AVERAGE(OFFSET('Historical Trends'!$G$101,$B8,0,'Polling Correlations - GRN'!I$4,1))</f>
        <v>2.36</v>
      </c>
      <c r="J31">
        <f ca="1">AVERAGE(OFFSET('Historical Trends'!$G$101,$B8,0,'Polling Correlations - GRN'!J$4,1))</f>
        <v>2.36</v>
      </c>
      <c r="N31">
        <f>(4+4)/2</f>
        <v>4</v>
      </c>
      <c r="O31">
        <f>(3+4+4)/3</f>
        <v>3.6666666666666665</v>
      </c>
      <c r="P31">
        <f>(4+3+4)/3</f>
        <v>3.6666666666666665</v>
      </c>
      <c r="Q31" s="30"/>
      <c r="R31" s="31"/>
      <c r="S31" s="31"/>
      <c r="T31" s="31">
        <f>N31-AVERAGE(AP$5:AP30)</f>
        <v>3.6306410256410255</v>
      </c>
      <c r="U31" s="31">
        <f>O31-AVERAGE(AQ$5:AQ30)</f>
        <v>3.3808974358974355</v>
      </c>
      <c r="V31" s="31">
        <f>P31-AVERAGE(AR$5:AR30)</f>
        <v>3.6337179487179485</v>
      </c>
      <c r="W31" s="13">
        <f t="shared" ca="1" si="2"/>
        <v>2.2981731112729862</v>
      </c>
      <c r="X31" s="6">
        <f t="shared" ca="1" si="3"/>
        <v>1.7062990580511423</v>
      </c>
      <c r="Y31" s="6">
        <f t="shared" ca="1" si="4"/>
        <v>1.5271356695260929</v>
      </c>
      <c r="Z31" s="6">
        <f t="shared" ca="1" si="5"/>
        <v>2.9211003554936674</v>
      </c>
      <c r="AA31" s="6">
        <f t="shared" ca="1" si="6"/>
        <v>2.8650317885593761</v>
      </c>
      <c r="AB31" s="2">
        <f t="shared" ca="1" si="7"/>
        <v>3.1374186160894904</v>
      </c>
      <c r="AC31" s="2">
        <f>'Historical Trends'!G103</f>
        <v>6.49</v>
      </c>
      <c r="AF31">
        <f t="shared" ref="AF31:AL31" ca="1" si="50">D31-$AC31</f>
        <v>-4.1300000000000008</v>
      </c>
      <c r="AG31">
        <f t="shared" ca="1" si="50"/>
        <v>-4.1300000000000008</v>
      </c>
      <c r="AH31">
        <f t="shared" ca="1" si="50"/>
        <v>-4.1300000000000008</v>
      </c>
      <c r="AI31">
        <f t="shared" ca="1" si="50"/>
        <v>-4.1300000000000008</v>
      </c>
      <c r="AJ31">
        <f t="shared" ca="1" si="50"/>
        <v>-4.1300000000000008</v>
      </c>
      <c r="AK31">
        <f t="shared" ca="1" si="50"/>
        <v>-4.1300000000000008</v>
      </c>
      <c r="AL31">
        <f t="shared" ca="1" si="50"/>
        <v>-4.1300000000000008</v>
      </c>
      <c r="AP31">
        <f>N31-$AC31</f>
        <v>-2.4900000000000002</v>
      </c>
      <c r="AQ31">
        <f>O31-$AC31</f>
        <v>-2.8233333333333337</v>
      </c>
      <c r="AR31">
        <f>P31-$AC31</f>
        <v>-2.8233333333333337</v>
      </c>
      <c r="AS31" s="30"/>
      <c r="AV31">
        <f>T31-$AC31</f>
        <v>-2.8593589743589747</v>
      </c>
      <c r="AW31">
        <f>U31-$AC31</f>
        <v>-3.1091025641025647</v>
      </c>
      <c r="AX31">
        <f>V31-$AC31</f>
        <v>-2.8562820512820517</v>
      </c>
      <c r="BB31" s="6">
        <f ca="1">Z31-$AC31</f>
        <v>-3.5688996445063328</v>
      </c>
      <c r="BC31" s="6">
        <f ca="1">AA31-$AC31</f>
        <v>-3.6249682114406241</v>
      </c>
      <c r="BD31" s="2">
        <f ca="1">AB31-$AC31</f>
        <v>-3.3525813839105099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0.58788752972540459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0.58580534218607905</v>
      </c>
    </row>
    <row r="33" spans="57:74" x14ac:dyDescent="0.25">
      <c r="BP33">
        <f t="shared" ref="BP33:BP39" si="51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0.58366374778583063</v>
      </c>
    </row>
    <row r="34" spans="57:74" x14ac:dyDescent="0.25">
      <c r="BP34">
        <f t="shared" si="51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0.5814601673267672</v>
      </c>
    </row>
    <row r="35" spans="57:74" x14ac:dyDescent="0.25">
      <c r="BP35">
        <f t="shared" si="51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0.57919187011454243</v>
      </c>
    </row>
    <row r="36" spans="57:74" x14ac:dyDescent="0.25">
      <c r="BP36">
        <f t="shared" si="51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0.57685596266936856</v>
      </c>
    </row>
    <row r="37" spans="57:74" x14ac:dyDescent="0.25">
      <c r="BP37">
        <f t="shared" si="51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0.57444937641230032</v>
      </c>
    </row>
    <row r="38" spans="57:74" x14ac:dyDescent="0.25">
      <c r="BE38" t="s">
        <v>216</v>
      </c>
      <c r="BG38">
        <f>Q4</f>
        <v>1.0954545454545452</v>
      </c>
      <c r="BH38">
        <f>R4</f>
        <v>0.29546666666666682</v>
      </c>
      <c r="BI38">
        <f>S4</f>
        <v>0.1175641025641026</v>
      </c>
      <c r="BJ38">
        <f>T4</f>
        <v>0.26345679012345674</v>
      </c>
      <c r="BK38">
        <f>U4</f>
        <v>0.17061728395061732</v>
      </c>
      <c r="BL38">
        <f>AVERAGE(BK38,BM38)</f>
        <v>4.8888888888888996E-2</v>
      </c>
      <c r="BM38">
        <f>V4</f>
        <v>-7.2839506172839324E-2</v>
      </c>
      <c r="BP38">
        <f t="shared" si="51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0.57196885421659815</v>
      </c>
    </row>
    <row r="39" spans="57:74" x14ac:dyDescent="0.25">
      <c r="BP39">
        <f t="shared" si="51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0.56941093570023571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0.56677194111989515</v>
      </c>
    </row>
    <row r="41" spans="57:74" x14ac:dyDescent="0.25">
      <c r="BP41">
        <f t="shared" ref="BP41:BP54" si="52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0.56404795370880778</v>
      </c>
    </row>
    <row r="42" spans="57:74" x14ac:dyDescent="0.25">
      <c r="BP42">
        <f t="shared" si="52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0.56123480028015449</v>
      </c>
    </row>
    <row r="43" spans="57:74" x14ac:dyDescent="0.25">
      <c r="BP43">
        <f t="shared" si="52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0.55832802989400909</v>
      </c>
    </row>
    <row r="44" spans="57:74" x14ac:dyDescent="0.25">
      <c r="BP44">
        <f t="shared" si="52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0.55532289035846027</v>
      </c>
    </row>
    <row r="45" spans="57:74" x14ac:dyDescent="0.25">
      <c r="BP45">
        <f t="shared" si="52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0.55221430230396684</v>
      </c>
    </row>
    <row r="46" spans="57:74" x14ac:dyDescent="0.25">
      <c r="BP46">
        <f t="shared" si="52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0.54899683053344106</v>
      </c>
    </row>
    <row r="47" spans="57:74" x14ac:dyDescent="0.25">
      <c r="BP47">
        <f t="shared" si="52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0.54566465230812666</v>
      </c>
    </row>
    <row r="48" spans="57:74" x14ac:dyDescent="0.25">
      <c r="BP48">
        <f t="shared" si="52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0.54221152217998547</v>
      </c>
    </row>
    <row r="49" spans="68:74" x14ac:dyDescent="0.25">
      <c r="BP49">
        <f t="shared" si="52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0.53863073292373886</v>
      </c>
    </row>
    <row r="50" spans="68:74" x14ac:dyDescent="0.25">
      <c r="BP50">
        <f t="shared" si="52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0.5349150720543856</v>
      </c>
    </row>
    <row r="51" spans="68:74" x14ac:dyDescent="0.25">
      <c r="BP51">
        <f t="shared" si="52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0.53105677333706658</v>
      </c>
    </row>
    <row r="52" spans="68:74" x14ac:dyDescent="0.25">
      <c r="BP52">
        <f t="shared" si="52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0.52704746260328572</v>
      </c>
    </row>
    <row r="53" spans="68:74" x14ac:dyDescent="0.25">
      <c r="BP53">
        <f t="shared" si="52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0.52287809707795463</v>
      </c>
    </row>
    <row r="54" spans="68:74" x14ac:dyDescent="0.25">
      <c r="BP54">
        <f t="shared" si="52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0.51853889729211144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0.5140192705022858</v>
      </c>
    </row>
    <row r="56" spans="68:74" x14ac:dyDescent="0.25">
      <c r="BP56">
        <f t="shared" ref="BP56:BP70" si="53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0.50930772435421112</v>
      </c>
    </row>
    <row r="57" spans="68:74" x14ac:dyDescent="0.25">
      <c r="BP57">
        <f t="shared" si="53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0.50439176930951934</v>
      </c>
    </row>
    <row r="58" spans="68:74" x14ac:dyDescent="0.25">
      <c r="BP58">
        <f t="shared" si="53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0.4992578080912875</v>
      </c>
    </row>
    <row r="59" spans="68:74" x14ac:dyDescent="0.25">
      <c r="BP59">
        <f t="shared" si="53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0.49389101008789799</v>
      </c>
    </row>
    <row r="60" spans="68:74" x14ac:dyDescent="0.25">
      <c r="BP60">
        <f t="shared" si="53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0.48827516827220435</v>
      </c>
    </row>
    <row r="61" spans="68:74" x14ac:dyDescent="0.25">
      <c r="BP61">
        <f t="shared" si="53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0.48239253572875529</v>
      </c>
    </row>
    <row r="62" spans="68:74" x14ac:dyDescent="0.25">
      <c r="BP62">
        <f t="shared" si="53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0.47622363831593117</v>
      </c>
    </row>
    <row r="63" spans="68:74" x14ac:dyDescent="0.25">
      <c r="BP63">
        <f t="shared" si="53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0.46974705929693822</v>
      </c>
    </row>
    <row r="64" spans="68:74" x14ac:dyDescent="0.25">
      <c r="BP64">
        <f t="shared" si="53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0.46293919092119723</v>
      </c>
    </row>
    <row r="65" spans="68:74" x14ac:dyDescent="0.25">
      <c r="BP65">
        <f t="shared" si="53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0.45577394688389883</v>
      </c>
    </row>
    <row r="66" spans="68:74" x14ac:dyDescent="0.25">
      <c r="BP66">
        <f t="shared" si="53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0.44822242828209241</v>
      </c>
    </row>
    <row r="67" spans="68:74" x14ac:dyDescent="0.25">
      <c r="BP67">
        <f t="shared" si="53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0.44025253404982456</v>
      </c>
    </row>
    <row r="68" spans="68:74" x14ac:dyDescent="0.25">
      <c r="BP68">
        <f t="shared" si="53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0.43182850479952761</v>
      </c>
    </row>
    <row r="69" spans="68:74" x14ac:dyDescent="0.25">
      <c r="BP69">
        <f t="shared" si="53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0.42291038639907946</v>
      </c>
    </row>
    <row r="70" spans="68:74" x14ac:dyDescent="0.25">
      <c r="BP70">
        <f t="shared" si="53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0.41345339630980721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0.40340717148014749</v>
      </c>
    </row>
    <row r="72" spans="68:74" x14ac:dyDescent="0.25">
      <c r="BP72">
        <f t="shared" ref="BP72:BP121" si="54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0.39271487113480263</v>
      </c>
    </row>
    <row r="73" spans="68:74" x14ac:dyDescent="0.25">
      <c r="BP73">
        <f t="shared" si="54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0.38131210071329291</v>
      </c>
    </row>
    <row r="74" spans="68:74" x14ac:dyDescent="0.25">
      <c r="BP74">
        <f t="shared" si="54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0.36912561393428184</v>
      </c>
    </row>
    <row r="75" spans="68:74" x14ac:dyDescent="0.25">
      <c r="BP75">
        <f t="shared" si="54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0.35607173771299588</v>
      </c>
    </row>
    <row r="76" spans="68:74" x14ac:dyDescent="0.25">
      <c r="BP76">
        <f t="shared" si="54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0.34205444834193677</v>
      </c>
    </row>
    <row r="77" spans="68:74" x14ac:dyDescent="0.25">
      <c r="BP77">
        <f t="shared" si="54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0.32696300540120138</v>
      </c>
    </row>
    <row r="78" spans="68:74" x14ac:dyDescent="0.25">
      <c r="BP78">
        <f t="shared" si="54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0.31066902005227526</v>
      </c>
    </row>
    <row r="79" spans="68:74" x14ac:dyDescent="0.25">
      <c r="BP79">
        <f t="shared" si="54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0.29302279342307674</v>
      </c>
    </row>
    <row r="80" spans="68:74" x14ac:dyDescent="0.25">
      <c r="BP80">
        <f t="shared" si="54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0.27384870389238863</v>
      </c>
    </row>
    <row r="81" spans="68:74" x14ac:dyDescent="0.25">
      <c r="BP81">
        <f t="shared" si="54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0.25293934200956392</v>
      </c>
    </row>
    <row r="82" spans="68:74" x14ac:dyDescent="0.25">
      <c r="BP82">
        <f t="shared" si="54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0.23004797755785111</v>
      </c>
    </row>
    <row r="83" spans="68:74" x14ac:dyDescent="0.25">
      <c r="BP83">
        <f t="shared" si="54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0.20487877789351883</v>
      </c>
    </row>
    <row r="84" spans="68:74" x14ac:dyDescent="0.25">
      <c r="BP84">
        <f t="shared" si="54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0.17707395338769971</v>
      </c>
    </row>
    <row r="85" spans="68:74" x14ac:dyDescent="0.25">
      <c r="BP85">
        <f t="shared" si="54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0.14619664150694089</v>
      </c>
    </row>
    <row r="86" spans="68:74" x14ac:dyDescent="0.25">
      <c r="BP86">
        <f t="shared" si="54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0.11170778503678302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ref="BV87:BV97" si="58">MAX(0,($BG$16+1/($BG$17*$BG$18))-1/(($BG$17-BU87) * $BG$18))</f>
        <v>7.2934393080960946E-2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2.9025189892161962E-2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opLeftCell="BD10" workbookViewId="0">
      <selection activeCell="BR25" sqref="BR2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12" t="s">
        <v>140</v>
      </c>
      <c r="X2" s="11"/>
      <c r="Y2" s="11"/>
      <c r="Z2" s="11"/>
      <c r="AA2" s="11"/>
      <c r="AB2" s="7"/>
      <c r="AC2" s="7"/>
      <c r="AE2" s="18"/>
      <c r="AF2" s="35" t="s">
        <v>87</v>
      </c>
      <c r="AG2" s="35"/>
      <c r="AH2" s="35"/>
      <c r="AI2" s="35"/>
      <c r="AJ2" s="35"/>
      <c r="AK2" s="35"/>
      <c r="AL2" s="1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2.7368181818181836</v>
      </c>
      <c r="R4" s="10">
        <f t="shared" si="0"/>
        <v>1.8981333333333348</v>
      </c>
      <c r="S4" s="10">
        <f t="shared" si="0"/>
        <v>1.5864000000000009</v>
      </c>
      <c r="T4" s="10">
        <f t="shared" si="0"/>
        <v>1.7786419753086424</v>
      </c>
      <c r="U4" s="10">
        <f t="shared" si="0"/>
        <v>1.0875925925925938</v>
      </c>
      <c r="V4" s="10">
        <f t="shared" si="0"/>
        <v>0.75098765432098846</v>
      </c>
      <c r="W4" s="14">
        <v>0.51009263475806355</v>
      </c>
      <c r="X4" s="10">
        <v>0.48815056138048579</v>
      </c>
      <c r="Y4" s="10">
        <v>0.52422428152067224</v>
      </c>
      <c r="Z4" s="10">
        <v>0.41366519780983352</v>
      </c>
      <c r="AA4" s="10">
        <v>0.51288919782583731</v>
      </c>
      <c r="AB4" s="15">
        <v>0.57965229807250418</v>
      </c>
      <c r="AC4" s="15"/>
      <c r="AE4" s="14">
        <f ca="1">SQRT(SUMSQ(AE5:AE1001)/COUNT(AE5:AE1001))</f>
        <v>2.1810290945662754</v>
      </c>
      <c r="AF4" s="10">
        <f t="shared" ref="AF4:BD4" ca="1" si="1">SQRT(SUMSQ(AF5:AF1001)/COUNT(AF5:AF1001))</f>
        <v>2.3897055451650524</v>
      </c>
      <c r="AG4" s="10">
        <f t="shared" ca="1" si="1"/>
        <v>2.2921332858278554</v>
      </c>
      <c r="AH4" s="10">
        <f t="shared" ca="1" si="1"/>
        <v>2.3036312362068676</v>
      </c>
      <c r="AI4" s="10">
        <f t="shared" ca="1" si="1"/>
        <v>2.3758686033470728</v>
      </c>
      <c r="AJ4" s="10">
        <f t="shared" ca="1" si="1"/>
        <v>2.3895797863966712</v>
      </c>
      <c r="AK4" s="10">
        <f t="shared" ca="1" si="1"/>
        <v>2.6322582193495636</v>
      </c>
      <c r="AL4" s="10">
        <f t="shared" ca="1" si="1"/>
        <v>2.851067190892584</v>
      </c>
      <c r="AM4" s="14">
        <f t="shared" si="1"/>
        <v>3.622577978749558</v>
      </c>
      <c r="AN4" s="10">
        <f t="shared" si="1"/>
        <v>3.057965772644728</v>
      </c>
      <c r="AO4" s="10">
        <f t="shared" si="1"/>
        <v>2.7754724122410432</v>
      </c>
      <c r="AP4" s="10">
        <f t="shared" si="1"/>
        <v>3.1945109171827863</v>
      </c>
      <c r="AQ4" s="10">
        <f t="shared" si="1"/>
        <v>2.4915237582371308</v>
      </c>
      <c r="AR4" s="10">
        <f t="shared" si="1"/>
        <v>2.127378165743528</v>
      </c>
      <c r="AS4" s="14">
        <f t="shared" si="1"/>
        <v>2.4815448698618319</v>
      </c>
      <c r="AT4" s="10">
        <f t="shared" si="1"/>
        <v>2.4971088764433582</v>
      </c>
      <c r="AU4" s="10">
        <f t="shared" si="1"/>
        <v>2.3720821804502079</v>
      </c>
      <c r="AV4" s="10">
        <f t="shared" si="1"/>
        <v>2.7506395830389265</v>
      </c>
      <c r="AW4" s="10">
        <f t="shared" si="1"/>
        <v>2.3213477102897242</v>
      </c>
      <c r="AX4" s="10">
        <f t="shared" si="1"/>
        <v>2.0624986115914967</v>
      </c>
      <c r="AY4" s="14">
        <f t="shared" ca="1" si="1"/>
        <v>2.0928558329181328</v>
      </c>
      <c r="AZ4" s="10">
        <f t="shared" ca="1" si="1"/>
        <v>2.0105000055255982</v>
      </c>
      <c r="BA4" s="10">
        <f t="shared" ca="1" si="1"/>
        <v>1.9259936198653065</v>
      </c>
      <c r="BB4" s="10">
        <f t="shared" ca="1" si="1"/>
        <v>1.9677472783435876</v>
      </c>
      <c r="BC4" s="10">
        <f t="shared" ca="1" si="1"/>
        <v>1.5570724755501115</v>
      </c>
      <c r="BD4" s="15">
        <f t="shared" ca="1" si="1"/>
        <v>1.6242241881844359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K5-AVERAGE(AM6:AM$31)</f>
        <v>5.9609523809523806</v>
      </c>
      <c r="R5" s="31">
        <f>L5-AVERAGE(AN6:AN$31)</f>
        <v>7.0556944444444429</v>
      </c>
      <c r="S5" s="31">
        <f>M5-AVERAGE(AO6:AO$31)</f>
        <v>7.7970833333333323</v>
      </c>
      <c r="T5" s="31">
        <f>N5-AVERAGE(AP6:AP$31)</f>
        <v>7.1833333333333336</v>
      </c>
      <c r="U5" s="31">
        <f>O5-AVERAGE(AQ6:AQ$31)</f>
        <v>7.6932692307692303</v>
      </c>
      <c r="V5" s="31">
        <f>P5-AVERAGE(AR6:AR$31)</f>
        <v>7.7520512820512808</v>
      </c>
      <c r="W5" s="13">
        <f t="shared" ref="W5:W31" ca="1" si="2">Q5*W$4+$D5*(1-W$4)</f>
        <v>8.7774531526504251</v>
      </c>
      <c r="X5" s="6">
        <f t="shared" ref="X5:X31" ca="1" si="3">R5*X$4+$D5*(1-X$4)</f>
        <v>9.4379981302192384</v>
      </c>
      <c r="Y5" s="6">
        <f t="shared" ref="Y5:Y31" ca="1" si="4">S5*Y$4+$D5*(1-Y$4)</f>
        <v>9.6587540717663991</v>
      </c>
      <c r="Z5" s="6">
        <f t="shared" ref="Z5:Z31" ca="1" si="5">T5*Z$4+$D5*(1-Z$4)</f>
        <v>9.8374755379141501</v>
      </c>
      <c r="AA5" s="6">
        <f t="shared" ref="AA5:AA31" ca="1" si="6">U5*AA$4+$D5*(1-AA$4)</f>
        <v>9.6498621778868703</v>
      </c>
      <c r="AB5" s="2">
        <f t="shared" ref="AB5:AB31" ca="1" si="7">V5*AB$4+$D5*(1-AB$4)</f>
        <v>9.4157659299879004</v>
      </c>
      <c r="AC5" s="2">
        <f>'Historical Trends'!D5</f>
        <v>8.2099999999999937</v>
      </c>
      <c r="AE5" s="13">
        <f t="shared" ref="AE5:AS5" ca="1" si="8">C5-$AC5</f>
        <v>2.597999999999999</v>
      </c>
      <c r="AF5">
        <f t="shared" ca="1" si="8"/>
        <v>3.5</v>
      </c>
      <c r="AG5">
        <f t="shared" ca="1" si="8"/>
        <v>1.1099999999999959</v>
      </c>
      <c r="AH5">
        <f t="shared" ca="1" si="8"/>
        <v>0.12666666666666337</v>
      </c>
      <c r="AI5">
        <f t="shared" ca="1" si="8"/>
        <v>-0.51750000000000362</v>
      </c>
      <c r="AJ5">
        <f t="shared" ca="1" si="8"/>
        <v>-0.84800000000000075</v>
      </c>
      <c r="AK5">
        <f t="shared" ca="1" si="8"/>
        <v>-1.3199999999999994</v>
      </c>
      <c r="AL5">
        <f t="shared" ca="1" si="8"/>
        <v>-1.8457142857142825</v>
      </c>
      <c r="AM5" s="13">
        <f t="shared" si="8"/>
        <v>0.59000000000000696</v>
      </c>
      <c r="AN5">
        <f t="shared" si="8"/>
        <v>0.79000000000000625</v>
      </c>
      <c r="AO5">
        <f t="shared" si="8"/>
        <v>1.1900000000000066</v>
      </c>
      <c r="AP5">
        <f t="shared" si="8"/>
        <v>0.79000000000000625</v>
      </c>
      <c r="AQ5">
        <f t="shared" si="8"/>
        <v>0.59000000000000696</v>
      </c>
      <c r="AR5">
        <f t="shared" si="8"/>
        <v>0.31000000000000583</v>
      </c>
      <c r="AS5" s="30">
        <f t="shared" si="8"/>
        <v>-2.2490476190476132</v>
      </c>
      <c r="AT5">
        <f t="shared" ref="AT5:AX10" si="9">R5-$AC5</f>
        <v>-1.1543055555555508</v>
      </c>
      <c r="AU5">
        <f t="shared" si="9"/>
        <v>-0.41291666666666149</v>
      </c>
      <c r="AV5">
        <f t="shared" si="9"/>
        <v>-1.0266666666666602</v>
      </c>
      <c r="AW5">
        <f t="shared" si="9"/>
        <v>-0.51673076923076344</v>
      </c>
      <c r="AX5">
        <f t="shared" si="9"/>
        <v>-0.45794871794871295</v>
      </c>
      <c r="AY5" s="13">
        <f t="shared" ref="AY5:BD9" ca="1" si="10">W5-$AC5</f>
        <v>0.56745315265043139</v>
      </c>
      <c r="AZ5" s="6">
        <f t="shared" ca="1" si="10"/>
        <v>1.2279981302192446</v>
      </c>
      <c r="BA5" s="6">
        <f t="shared" ca="1" si="10"/>
        <v>1.4487540717664054</v>
      </c>
      <c r="BB5" s="6">
        <f t="shared" ca="1" si="10"/>
        <v>1.6274755379141563</v>
      </c>
      <c r="BC5" s="6">
        <f t="shared" ca="1" si="10"/>
        <v>1.4398621778868765</v>
      </c>
      <c r="BD5" s="2">
        <f t="shared" ca="1" si="10"/>
        <v>1.2057659299879067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K6-AVERAGE(AM5:AM$5,AM7:AM$31)</f>
        <v>11.137142857142855</v>
      </c>
      <c r="R6" s="31">
        <f>L6-AVERAGE(AN5:AN$5,AN7:AN$31)</f>
        <v>7.7431944444444438</v>
      </c>
      <c r="S6" s="31">
        <f>M6-AVERAGE(AO5:AO$5,AO7:AO$31)</f>
        <v>8.0470833333333314</v>
      </c>
      <c r="T6" s="31">
        <f>N6-AVERAGE(AP5:AP$5,AP7:AP$31)</f>
        <v>8.5233333333333334</v>
      </c>
      <c r="U6" s="31">
        <f>O6-AVERAGE(AQ5:AQ$5,AQ7:AQ$31)</f>
        <v>13.415576923076923</v>
      </c>
      <c r="V6" s="31">
        <f>P6-AVERAGE(AR5:AR$5,AR7:AR$31)</f>
        <v>12.103589743589742</v>
      </c>
      <c r="W6" s="13">
        <f t="shared" ca="1" si="2"/>
        <v>9.0760325848035599</v>
      </c>
      <c r="X6" s="6">
        <f t="shared" ca="1" si="3"/>
        <v>7.3269613245670415</v>
      </c>
      <c r="Y6" s="6">
        <f t="shared" ca="1" si="4"/>
        <v>7.5156022078153768</v>
      </c>
      <c r="Z6" s="6">
        <f t="shared" ca="1" si="5"/>
        <v>7.5891065485103271</v>
      </c>
      <c r="AA6" s="6">
        <f t="shared" ca="1" si="6"/>
        <v>10.256382345514679</v>
      </c>
      <c r="AB6" s="2">
        <f t="shared" ca="1" si="7"/>
        <v>9.9288831841561276</v>
      </c>
      <c r="AC6" s="2">
        <f>'Historical Trends'!D6</f>
        <v>11.709999999999994</v>
      </c>
      <c r="AE6" s="13">
        <f t="shared" ref="AE6:AR9" ca="1" si="11">C6-$AC6</f>
        <v>-3.8526666666666216</v>
      </c>
      <c r="AF6">
        <f t="shared" ca="1" si="11"/>
        <v>-4.7800000000000065</v>
      </c>
      <c r="AG6">
        <f t="shared" ca="1" si="11"/>
        <v>-5.0600000000000049</v>
      </c>
      <c r="AH6">
        <f t="shared" ca="1" si="11"/>
        <v>-5.3566666666666718</v>
      </c>
      <c r="AI6">
        <f t="shared" ca="1" si="11"/>
        <v>-5.4350000000000005</v>
      </c>
      <c r="AJ6">
        <f t="shared" ca="1" si="11"/>
        <v>-5.7839999999999989</v>
      </c>
      <c r="AK6">
        <f t="shared" ca="1" si="11"/>
        <v>-6.2366666666666637</v>
      </c>
      <c r="AL6">
        <f t="shared" ca="1" si="11"/>
        <v>-6.4014285714285686</v>
      </c>
      <c r="AM6" s="13">
        <f t="shared" si="11"/>
        <v>2.1900000000000066</v>
      </c>
      <c r="AN6">
        <f t="shared" si="11"/>
        <v>-1.909999999999993</v>
      </c>
      <c r="AO6">
        <f t="shared" si="11"/>
        <v>-1.9299999999999944</v>
      </c>
      <c r="AP6">
        <f t="shared" si="11"/>
        <v>-1.2899999999999938</v>
      </c>
      <c r="AQ6">
        <f t="shared" si="11"/>
        <v>2.7300000000000075</v>
      </c>
      <c r="AR6">
        <f t="shared" si="11"/>
        <v>1.1300000000000061</v>
      </c>
      <c r="AS6" s="30">
        <f>Q6-$AC6</f>
        <v>-0.57285714285713851</v>
      </c>
      <c r="AT6">
        <f t="shared" si="9"/>
        <v>-3.9668055555555499</v>
      </c>
      <c r="AU6">
        <f t="shared" si="9"/>
        <v>-3.6629166666666624</v>
      </c>
      <c r="AV6">
        <f t="shared" si="9"/>
        <v>-3.1866666666666603</v>
      </c>
      <c r="AW6">
        <f t="shared" si="9"/>
        <v>1.7055769230769293</v>
      </c>
      <c r="AX6">
        <f t="shared" si="9"/>
        <v>0.39358974358974841</v>
      </c>
      <c r="AY6" s="13">
        <f t="shared" ca="1" si="10"/>
        <v>-2.6339674151964338</v>
      </c>
      <c r="AZ6" s="6">
        <f t="shared" ca="1" si="10"/>
        <v>-4.3830386754329522</v>
      </c>
      <c r="BA6" s="6">
        <f t="shared" ca="1" si="10"/>
        <v>-4.1943977921846169</v>
      </c>
      <c r="BB6" s="6">
        <f t="shared" ca="1" si="10"/>
        <v>-4.1208934514896667</v>
      </c>
      <c r="BC6" s="6">
        <f t="shared" ca="1" si="10"/>
        <v>-1.4536176544853152</v>
      </c>
      <c r="BD6" s="2">
        <f t="shared" ca="1" si="10"/>
        <v>-1.7811168158438662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K7-AVERAGE(AM$5:AM6,AM8:AM$31)</f>
        <v>7.6980952380952372</v>
      </c>
      <c r="R7" s="31">
        <f>L7-AVERAGE(AN$5:AN6,AN8:AN$31)</f>
        <v>9.8173611111111097</v>
      </c>
      <c r="S7" s="31">
        <f>M7-AVERAGE(AO$5:AO6,AO8:AO$31)</f>
        <v>8.4754166666666659</v>
      </c>
      <c r="T7" s="31">
        <f>N7-AVERAGE(AP$5:AP6,AP8:AP$31)</f>
        <v>10.555641025641025</v>
      </c>
      <c r="U7" s="31">
        <f>O7-AVERAGE(AQ$5:AQ6,AQ8:AQ$31)</f>
        <v>6.8701923076923057</v>
      </c>
      <c r="V7" s="31">
        <f>P7-AVERAGE(AR$5:AR6,AR8:AR$31)</f>
        <v>7.676666666666665</v>
      </c>
      <c r="W7" s="13">
        <f t="shared" ca="1" si="2"/>
        <v>7.0474515992096318</v>
      </c>
      <c r="X7" s="6">
        <f t="shared" ca="1" si="3"/>
        <v>8.0528312616701392</v>
      </c>
      <c r="Y7" s="6">
        <f t="shared" ca="1" si="4"/>
        <v>7.4737105393849772</v>
      </c>
      <c r="Z7" s="6">
        <f t="shared" ca="1" si="5"/>
        <v>8.1014540228327441</v>
      </c>
      <c r="AA7" s="6">
        <f t="shared" ca="1" si="6"/>
        <v>6.626543231450956</v>
      </c>
      <c r="AB7" s="2">
        <f t="shared" ca="1" si="7"/>
        <v>7.1274123361480672</v>
      </c>
      <c r="AC7" s="2">
        <f>'Historical Trends'!D7</f>
        <v>6.9299999999999873</v>
      </c>
      <c r="AE7" s="13">
        <f t="shared" ca="1" si="11"/>
        <v>0.1555348837209376</v>
      </c>
      <c r="AF7">
        <f t="shared" ca="1" si="11"/>
        <v>-0.55999999999999694</v>
      </c>
      <c r="AG7">
        <f t="shared" ca="1" si="11"/>
        <v>-0.86499999999999666</v>
      </c>
      <c r="AH7">
        <f t="shared" ca="1" si="11"/>
        <v>-0.87333333333332508</v>
      </c>
      <c r="AI7">
        <f t="shared" ca="1" si="11"/>
        <v>-1.2549999999999901</v>
      </c>
      <c r="AJ7">
        <f t="shared" ca="1" si="11"/>
        <v>-1.7479999999999878</v>
      </c>
      <c r="AK7">
        <f t="shared" ca="1" si="11"/>
        <v>-1.8916666666666559</v>
      </c>
      <c r="AL7">
        <f t="shared" ca="1" si="11"/>
        <v>-1.8642857142857023</v>
      </c>
      <c r="AM7" s="13">
        <f t="shared" si="11"/>
        <v>3.4700000000000131</v>
      </c>
      <c r="AN7">
        <f t="shared" si="11"/>
        <v>4.6700000000000124</v>
      </c>
      <c r="AO7">
        <f t="shared" si="11"/>
        <v>3.0700000000000127</v>
      </c>
      <c r="AP7">
        <f t="shared" si="11"/>
        <v>5.270000000000012</v>
      </c>
      <c r="AQ7">
        <f t="shared" si="11"/>
        <v>1.0300000000000118</v>
      </c>
      <c r="AR7">
        <f t="shared" si="11"/>
        <v>1.4700000000000113</v>
      </c>
      <c r="AS7" s="30">
        <f>Q7-$AC7</f>
        <v>0.76809523809524993</v>
      </c>
      <c r="AT7">
        <f t="shared" si="9"/>
        <v>2.8873611111111224</v>
      </c>
      <c r="AU7">
        <f t="shared" si="9"/>
        <v>1.5454166666666787</v>
      </c>
      <c r="AV7">
        <f t="shared" si="9"/>
        <v>3.6256410256410376</v>
      </c>
      <c r="AW7">
        <f t="shared" si="9"/>
        <v>-5.980769230768157E-2</v>
      </c>
      <c r="AX7">
        <f t="shared" si="9"/>
        <v>0.74666666666667769</v>
      </c>
      <c r="AY7" s="13">
        <f t="shared" ca="1" si="10"/>
        <v>0.11745159920964454</v>
      </c>
      <c r="AZ7" s="6">
        <f t="shared" ca="1" si="10"/>
        <v>1.1228312616701519</v>
      </c>
      <c r="BA7" s="6">
        <f t="shared" ca="1" si="10"/>
        <v>0.54371053938498992</v>
      </c>
      <c r="BB7" s="6">
        <f t="shared" ca="1" si="10"/>
        <v>1.1714540228327568</v>
      </c>
      <c r="BC7" s="6">
        <f t="shared" ca="1" si="10"/>
        <v>-0.30345676854903125</v>
      </c>
      <c r="BD7" s="2">
        <f t="shared" ca="1" si="10"/>
        <v>0.19741233614807996</v>
      </c>
      <c r="BE7" t="s">
        <v>179</v>
      </c>
      <c r="BG7">
        <f>AM4</f>
        <v>3.622577978749558</v>
      </c>
      <c r="BH7">
        <f>AN4</f>
        <v>3.057965772644728</v>
      </c>
      <c r="BI7">
        <f>AO4</f>
        <v>2.7754724122410432</v>
      </c>
      <c r="BJ7">
        <f>AP4</f>
        <v>3.1945109171827863</v>
      </c>
      <c r="BK7">
        <f>AQ4</f>
        <v>2.4915237582371308</v>
      </c>
      <c r="BL7">
        <f t="shared" si="12"/>
        <v>2.3094509619903292</v>
      </c>
      <c r="BM7">
        <f>AR4</f>
        <v>2.127378165743528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4.3723809523809507</v>
      </c>
      <c r="R8" s="31">
        <f>L8-AVERAGE(AN$5:AN7,AN9:AN$31)</f>
        <v>5.88236111111111</v>
      </c>
      <c r="S8" s="31">
        <f>M8-AVERAGE(AO$5:AO7,AO9:AO$31)</f>
        <v>6.8320833333333324</v>
      </c>
      <c r="T8" s="31">
        <f>N8-AVERAGE(AP$5:AP7,AP9:AP$31)</f>
        <v>7.877179487179486</v>
      </c>
      <c r="U8" s="31">
        <f>O8-AVERAGE(AQ$5:AQ7,AQ9:AQ$31)</f>
        <v>5.0640384615384608</v>
      </c>
      <c r="V8" s="31">
        <f>P8-AVERAGE(AR$5:AR7,AR9:AR$31)</f>
        <v>6.0574358974358971</v>
      </c>
      <c r="W8" s="13">
        <f t="shared" ca="1" si="2"/>
        <v>5.0521857439595195</v>
      </c>
      <c r="X8" s="6">
        <f t="shared" ca="1" si="3"/>
        <v>5.8197306450800239</v>
      </c>
      <c r="Y8" s="6">
        <f t="shared" ca="1" si="4"/>
        <v>6.3220121151469488</v>
      </c>
      <c r="Z8" s="6">
        <f t="shared" ca="1" si="5"/>
        <v>6.635803471363019</v>
      </c>
      <c r="AA8" s="6">
        <f t="shared" ca="1" si="6"/>
        <v>5.4030488448208214</v>
      </c>
      <c r="AB8" s="2">
        <f t="shared" ca="1" si="7"/>
        <v>5.9324094014779716</v>
      </c>
      <c r="AC8" s="2">
        <f>'Historical Trends'!D8</f>
        <v>6.3699999999999903</v>
      </c>
      <c r="AE8" s="13">
        <f t="shared" ca="1" si="11"/>
        <v>-0.50009888751544906</v>
      </c>
      <c r="AF8">
        <f t="shared" ca="1" si="11"/>
        <v>-0.60999999999999943</v>
      </c>
      <c r="AG8">
        <f t="shared" ca="1" si="11"/>
        <v>-0.46999999999999176</v>
      </c>
      <c r="AH8">
        <f t="shared" ca="1" si="11"/>
        <v>-0.92666666666665787</v>
      </c>
      <c r="AI8">
        <f t="shared" ca="1" si="11"/>
        <v>-1.4849999999999888</v>
      </c>
      <c r="AJ8">
        <f t="shared" ca="1" si="11"/>
        <v>-1.5979999999999901</v>
      </c>
      <c r="AK8">
        <f t="shared" ca="1" si="11"/>
        <v>-1.5216666666666567</v>
      </c>
      <c r="AL8">
        <f t="shared" ca="1" si="11"/>
        <v>-1.5757142857142776</v>
      </c>
      <c r="AM8" s="13">
        <f t="shared" si="11"/>
        <v>0.83000000000000984</v>
      </c>
      <c r="AN8">
        <f t="shared" si="11"/>
        <v>1.4300000000000095</v>
      </c>
      <c r="AO8">
        <f t="shared" si="11"/>
        <v>2.03000000000001</v>
      </c>
      <c r="AP8">
        <f t="shared" si="11"/>
        <v>3.2300000000000093</v>
      </c>
      <c r="AQ8">
        <f t="shared" si="11"/>
        <v>-0.16999999999999016</v>
      </c>
      <c r="AR8">
        <f t="shared" si="11"/>
        <v>0.45000000000000995</v>
      </c>
      <c r="AS8" s="30">
        <f>Q8-$AC8</f>
        <v>-1.9976190476190396</v>
      </c>
      <c r="AT8">
        <f t="shared" si="9"/>
        <v>-0.4876388888888803</v>
      </c>
      <c r="AU8">
        <f t="shared" si="9"/>
        <v>0.46208333333334206</v>
      </c>
      <c r="AV8">
        <f t="shared" si="9"/>
        <v>1.5071794871794957</v>
      </c>
      <c r="AW8">
        <f t="shared" si="9"/>
        <v>-1.3059615384615295</v>
      </c>
      <c r="AX8">
        <f t="shared" si="9"/>
        <v>-0.31256410256409328</v>
      </c>
      <c r="AY8" s="13">
        <f t="shared" ca="1" si="10"/>
        <v>-1.3178142560404709</v>
      </c>
      <c r="AZ8" s="6">
        <f t="shared" ca="1" si="10"/>
        <v>-0.55026935491996642</v>
      </c>
      <c r="BA8" s="6">
        <f t="shared" ca="1" si="10"/>
        <v>-4.7987884853041507E-2</v>
      </c>
      <c r="BB8" s="6">
        <f t="shared" ca="1" si="10"/>
        <v>0.26580347136302862</v>
      </c>
      <c r="BC8" s="6">
        <f t="shared" ca="1" si="10"/>
        <v>-0.96695115517916896</v>
      </c>
      <c r="BD8" s="2">
        <f t="shared" ca="1" si="10"/>
        <v>-0.43759059852201876</v>
      </c>
      <c r="BE8" t="s">
        <v>183</v>
      </c>
      <c r="BG8">
        <f ca="1">AY4</f>
        <v>2.0928558329181328</v>
      </c>
      <c r="BH8">
        <f ca="1">AZ4</f>
        <v>2.0105000055255982</v>
      </c>
      <c r="BI8">
        <f ca="1">BA4</f>
        <v>1.9259936198653065</v>
      </c>
      <c r="BJ8">
        <f ca="1">BB4</f>
        <v>1.9677472783435876</v>
      </c>
      <c r="BK8">
        <f ca="1">BC4</f>
        <v>1.5570724755501115</v>
      </c>
      <c r="BL8">
        <f t="shared" ca="1" si="12"/>
        <v>1.5906483318672737</v>
      </c>
      <c r="BM8">
        <f ca="1">BD4</f>
        <v>1.6242241881844359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10.477619047619045</v>
      </c>
      <c r="R9" s="31">
        <f>L9-AVERAGE(AN$5:AN8,AN10:AN$31)</f>
        <v>10.282777777777778</v>
      </c>
      <c r="S9" s="31">
        <f>M9-AVERAGE(AO$5:AO8,AO10:AO$31)</f>
        <v>6.6491666666666651</v>
      </c>
      <c r="T9" s="31">
        <f>N9-AVERAGE(AP$5:AP8,AP10:AP$31)</f>
        <v>6.6544871794871794</v>
      </c>
      <c r="U9" s="31">
        <f>O9-AVERAGE(AQ$5:AQ8,AQ10:AQ$31)</f>
        <v>5.2951923076923073</v>
      </c>
      <c r="V9" s="31">
        <f>P9-AVERAGE(AR$5:AR8,AR10:AR$31)</f>
        <v>4.8139743589743578</v>
      </c>
      <c r="W9" s="13">
        <f t="shared" ca="1" si="2"/>
        <v>8.30359679205257</v>
      </c>
      <c r="X9" s="6">
        <f t="shared" ca="1" si="3"/>
        <v>8.1111143540348749</v>
      </c>
      <c r="Y9" s="6">
        <f t="shared" ca="1" si="4"/>
        <v>6.3593399581596781</v>
      </c>
      <c r="Z9" s="6">
        <f t="shared" ca="1" si="5"/>
        <v>6.2941919606541745</v>
      </c>
      <c r="AA9" s="6">
        <f t="shared" ca="1" si="6"/>
        <v>5.6579961801577969</v>
      </c>
      <c r="AB9" s="2">
        <f t="shared" ca="1" si="7"/>
        <v>5.3293314196836743</v>
      </c>
      <c r="AC9" s="2">
        <f>'Historical Trends'!D9</f>
        <v>5.7599999999999909</v>
      </c>
      <c r="AE9" s="13">
        <f t="shared" ca="1" si="11"/>
        <v>-0.59030303030301923</v>
      </c>
      <c r="AF9">
        <f t="shared" ca="1" si="11"/>
        <v>0.28000000000001535</v>
      </c>
      <c r="AG9">
        <f t="shared" ca="1" si="11"/>
        <v>-0.47499999999998721</v>
      </c>
      <c r="AH9">
        <f t="shared" ca="1" si="11"/>
        <v>-1.1666666666666528</v>
      </c>
      <c r="AI9">
        <f t="shared" ca="1" si="11"/>
        <v>-1.2349999999999888</v>
      </c>
      <c r="AJ9">
        <f t="shared" ca="1" si="11"/>
        <v>-1.0939999999999888</v>
      </c>
      <c r="AK9">
        <f t="shared" ca="1" si="11"/>
        <v>-1.126666666666658</v>
      </c>
      <c r="AL9">
        <f t="shared" ca="1" si="11"/>
        <v>-1.4742857142857053</v>
      </c>
      <c r="AM9" s="13">
        <f t="shared" si="11"/>
        <v>7.2400000000000091</v>
      </c>
      <c r="AN9">
        <f t="shared" si="11"/>
        <v>6.2400000000000091</v>
      </c>
      <c r="AO9">
        <f t="shared" si="11"/>
        <v>2.4400000000000084</v>
      </c>
      <c r="AP9">
        <f t="shared" si="11"/>
        <v>2.6400000000000095</v>
      </c>
      <c r="AQ9">
        <f t="shared" si="11"/>
        <v>0.64000000000000945</v>
      </c>
      <c r="AR9">
        <f t="shared" si="11"/>
        <v>-0.15999999999999126</v>
      </c>
      <c r="AS9" s="30">
        <f>Q9-$AC9</f>
        <v>4.7176190476190545</v>
      </c>
      <c r="AT9">
        <f t="shared" si="9"/>
        <v>4.5227777777777867</v>
      </c>
      <c r="AU9">
        <f t="shared" si="9"/>
        <v>0.88916666666667421</v>
      </c>
      <c r="AV9">
        <f t="shared" si="9"/>
        <v>0.89448717948718848</v>
      </c>
      <c r="AW9">
        <f t="shared" si="9"/>
        <v>-0.4648076923076836</v>
      </c>
      <c r="AX9">
        <f t="shared" si="9"/>
        <v>-0.94602564102563313</v>
      </c>
      <c r="AY9" s="13">
        <f t="shared" ca="1" si="10"/>
        <v>2.543596792052579</v>
      </c>
      <c r="AZ9" s="6">
        <f t="shared" ca="1" si="10"/>
        <v>2.351114354034884</v>
      </c>
      <c r="BA9" s="6">
        <f t="shared" ca="1" si="10"/>
        <v>0.59933995815968721</v>
      </c>
      <c r="BB9" s="6">
        <f t="shared" ca="1" si="10"/>
        <v>0.53419196065418362</v>
      </c>
      <c r="BC9" s="6">
        <f t="shared" ca="1" si="10"/>
        <v>-0.10200381984219398</v>
      </c>
      <c r="BD9" s="2">
        <f t="shared" ca="1" si="10"/>
        <v>-0.43066858031631661</v>
      </c>
      <c r="BE9" t="s">
        <v>184</v>
      </c>
      <c r="BG9">
        <f t="shared" ref="BG9:BM9" ca="1" si="13">$AK$4</f>
        <v>2.6322582193495636</v>
      </c>
      <c r="BH9">
        <f t="shared" ca="1" si="13"/>
        <v>2.6322582193495636</v>
      </c>
      <c r="BI9">
        <f t="shared" ca="1" si="13"/>
        <v>2.6322582193495636</v>
      </c>
      <c r="BJ9">
        <f t="shared" ca="1" si="13"/>
        <v>2.6322582193495636</v>
      </c>
      <c r="BK9">
        <f t="shared" ca="1" si="13"/>
        <v>2.6322582193495636</v>
      </c>
      <c r="BL9">
        <f t="shared" ca="1" si="12"/>
        <v>2.6322582193495636</v>
      </c>
      <c r="BM9">
        <f t="shared" ca="1" si="13"/>
        <v>2.6322582193495636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-1.6287500000000008</v>
      </c>
      <c r="T10" s="31">
        <f>N10-AVERAGE(AP$5:AP9,AP12:AP$31)</f>
        <v>7.8602666666666652</v>
      </c>
      <c r="U10" s="31">
        <f>O10-AVERAGE(AQ$5:AQ9,AQ12:AQ$31)</f>
        <v>8.2199333333333318</v>
      </c>
      <c r="V10" s="31">
        <f>P10-AVERAGE(AR$5:AR9,AR12:AR$31)</f>
        <v>8.2901333333333316</v>
      </c>
      <c r="W10" s="13">
        <f t="shared" ca="1" si="2"/>
        <v>2.2192803645459729</v>
      </c>
      <c r="X10" s="6">
        <f t="shared" ca="1" si="3"/>
        <v>2.3186779569464</v>
      </c>
      <c r="Y10" s="6">
        <f t="shared" ca="1" si="4"/>
        <v>1.3014337061845598</v>
      </c>
      <c r="Z10" s="6">
        <f t="shared" ca="1" si="5"/>
        <v>5.9076154194261612</v>
      </c>
      <c r="AA10" s="6">
        <f t="shared" ca="1" si="6"/>
        <v>6.4225269473641511</v>
      </c>
      <c r="AB10" s="2">
        <f t="shared" ca="1" si="7"/>
        <v>6.7095699277256919</v>
      </c>
      <c r="AC10" s="2">
        <f>'Historical Trends'!D10</f>
        <v>6.0400000000000063</v>
      </c>
      <c r="AE10" s="13">
        <f t="shared" ref="AE10:AE31" ca="1" si="14">C10-$AC10</f>
        <v>-1.2672929542645335</v>
      </c>
      <c r="AF10">
        <f t="shared" ref="AF10:AF31" ca="1" si="15">D10-$AC10</f>
        <v>-1.5100000000000051</v>
      </c>
      <c r="AG10">
        <f t="shared" ref="AG10:AG31" ca="1" si="16">E10-$AC10</f>
        <v>-2.1700000000000017</v>
      </c>
      <c r="AH10">
        <f t="shared" ref="AH10:AH31" ca="1" si="17">F10-$AC10</f>
        <v>-2.0200000000000058</v>
      </c>
      <c r="AI10">
        <f t="shared" ref="AI10:AI31" ca="1" si="18">G10-$AC10</f>
        <v>-1.7175000000000047</v>
      </c>
      <c r="AJ10">
        <f t="shared" ref="AJ10:AJ31" ca="1" si="19">H10-$AC10</f>
        <v>-1.6880000000000077</v>
      </c>
      <c r="AK10">
        <f t="shared" ref="AK10:AK31" ca="1" si="20">I10-$AC10</f>
        <v>-2.046666666666674</v>
      </c>
      <c r="AL10">
        <f t="shared" ref="AL10:AL31" ca="1" si="21">J10-$AC10</f>
        <v>-2.3328571428571507</v>
      </c>
      <c r="AP10">
        <f t="shared" ref="AP10:AP31" si="22">N10-$AC10</f>
        <v>3.6266666666666598</v>
      </c>
      <c r="AQ10">
        <f t="shared" ref="AQ10:AQ31" si="23">O10-$AC10</f>
        <v>3.2933333333333277</v>
      </c>
      <c r="AR10">
        <f t="shared" ref="AR10:AR31" si="24">P10-$AC10</f>
        <v>2.9599999999999937</v>
      </c>
      <c r="AS10" s="30"/>
      <c r="AV10">
        <f t="shared" si="9"/>
        <v>1.8202666666666589</v>
      </c>
      <c r="AW10">
        <f t="shared" si="9"/>
        <v>2.1799333333333255</v>
      </c>
      <c r="AX10">
        <f t="shared" si="9"/>
        <v>2.2501333333333253</v>
      </c>
      <c r="BB10" s="6">
        <f t="shared" ref="BB10:BB31" ca="1" si="25">Z10-$AC10</f>
        <v>-0.13238458057384506</v>
      </c>
      <c r="BC10" s="6">
        <f t="shared" ref="BC10:BC31" ca="1" si="26">AA10-$AC10</f>
        <v>0.38252694736414483</v>
      </c>
      <c r="BD10" s="2">
        <f t="shared" ref="BD10:BD31" ca="1" si="27">AB10-$AC10</f>
        <v>0.66956992772568569</v>
      </c>
      <c r="BE10" t="s">
        <v>152</v>
      </c>
      <c r="BG10">
        <f>W4</f>
        <v>0.51009263475806355</v>
      </c>
      <c r="BH10">
        <f>X4</f>
        <v>0.48815056138048579</v>
      </c>
      <c r="BI10">
        <f>Y4</f>
        <v>0.52422428152067224</v>
      </c>
      <c r="BJ10">
        <f>Z4</f>
        <v>0.41366519780983352</v>
      </c>
      <c r="BK10">
        <f>AA4</f>
        <v>0.51288919782583731</v>
      </c>
      <c r="BL10">
        <f t="shared" si="12"/>
        <v>0.54627074794917074</v>
      </c>
      <c r="BM10">
        <f>AB4</f>
        <v>0.57965229807250418</v>
      </c>
    </row>
    <row r="11" spans="1:75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xOTH'!D$4,1))</f>
        <v>7.6700000000000017</v>
      </c>
      <c r="E11">
        <f ca="1">AVERAGE(OFFSET('Historical Trends'!$D$28,$B4,0,'Polling Correlations - xOTH'!E$4,1))</f>
        <v>6.1450000000000031</v>
      </c>
      <c r="F11">
        <f ca="1">AVERAGE(OFFSET('Historical Trends'!$D$28,$B4,0,'Polling Correlations - xOTH'!F$4,1))</f>
        <v>6.563333333333337</v>
      </c>
      <c r="G11">
        <f ca="1">AVERAGE(OFFSET('Historical Trends'!$D$28,$B4,0,'Polling Correlations - xOTH'!G$4,1))</f>
        <v>6.5650000000000048</v>
      </c>
      <c r="H11">
        <f ca="1">AVERAGE(OFFSET('Historical Trends'!$D$28,$B4,0,'Polling Correlations - xOTH'!H$4,1))</f>
        <v>6.4220000000000024</v>
      </c>
      <c r="I11">
        <f ca="1">AVERAGE(OFFSET('Historical Trends'!$D$28,$B4,0,'Polling Correlations - xOTH'!I$4,1))</f>
        <v>7.1850000000000023</v>
      </c>
      <c r="J11">
        <f ca="1">AVERAGE(OFFSET('Historical Trends'!$D$28,$B4,0,'Polling Correlations - xOTH'!J$4,1))</f>
        <v>6.6200000000000028</v>
      </c>
      <c r="K11" s="13">
        <f>(7+5+7)/3</f>
        <v>6.333333333333333</v>
      </c>
      <c r="L11">
        <f>(5+7+9)/3</f>
        <v>7</v>
      </c>
      <c r="M11">
        <f>(6+5+7)/3</f>
        <v>6</v>
      </c>
      <c r="N11">
        <f>(5+3+6)/3</f>
        <v>4.666666666666667</v>
      </c>
      <c r="O11">
        <f>(3+5+3)/3</f>
        <v>3.6666666666666665</v>
      </c>
      <c r="P11">
        <f>(6+6+3)/3</f>
        <v>5</v>
      </c>
      <c r="Q11" s="30">
        <f>K11-AVERAGE(AM$5:AM9,AM12:AM$31)</f>
        <v>3.5092063492063468</v>
      </c>
      <c r="R11" s="31">
        <f>L11-AVERAGE(AN$5:AN9,AN12:AN$31)</f>
        <v>5.0881944444444436</v>
      </c>
      <c r="S11" s="31">
        <f>M11-AVERAGE(AO$5:AO9,AO12:AO$31)</f>
        <v>4.371249999999999</v>
      </c>
      <c r="T11" s="31">
        <f>N11-AVERAGE(AP$5:AP9,AP12:AP$31)</f>
        <v>2.8602666666666661</v>
      </c>
      <c r="U11" s="31">
        <f>O11-AVERAGE(AQ$5:AQ9,AQ12:AQ$31)</f>
        <v>2.5532666666666648</v>
      </c>
      <c r="V11" s="31">
        <f>P11-AVERAGE(AR$5:AR9,AR12:AR$31)</f>
        <v>4.2901333333333325</v>
      </c>
      <c r="W11" s="13">
        <f t="shared" ca="1" si="2"/>
        <v>5.5476098039820441</v>
      </c>
      <c r="X11" s="6">
        <f t="shared" ca="1" si="3"/>
        <v>6.4096901686802994</v>
      </c>
      <c r="Y11" s="6">
        <f t="shared" ca="1" si="4"/>
        <v>5.9407151513336824</v>
      </c>
      <c r="Z11" s="6">
        <f t="shared" ca="1" si="5"/>
        <v>5.6803807092541172</v>
      </c>
      <c r="AA11" s="6">
        <f t="shared" ca="1" si="6"/>
        <v>5.0456827451779436</v>
      </c>
      <c r="AB11" s="2">
        <f t="shared" ca="1" si="7"/>
        <v>5.7108525194880126</v>
      </c>
      <c r="AC11" s="2">
        <f>'Historical Trends'!D26</f>
        <v>5.43</v>
      </c>
      <c r="AE11" s="13">
        <f t="shared" ca="1" si="14"/>
        <v>0.29751608751607961</v>
      </c>
      <c r="AF11">
        <f t="shared" ca="1" si="15"/>
        <v>2.240000000000002</v>
      </c>
      <c r="AG11">
        <f t="shared" ca="1" si="16"/>
        <v>0.71500000000000341</v>
      </c>
      <c r="AH11">
        <f t="shared" ca="1" si="17"/>
        <v>1.1333333333333373</v>
      </c>
      <c r="AI11">
        <f t="shared" ca="1" si="18"/>
        <v>1.1350000000000051</v>
      </c>
      <c r="AJ11">
        <f t="shared" ca="1" si="19"/>
        <v>0.99200000000000266</v>
      </c>
      <c r="AK11">
        <f t="shared" ca="1" si="20"/>
        <v>1.7550000000000026</v>
      </c>
      <c r="AL11">
        <f t="shared" ca="1" si="21"/>
        <v>1.1900000000000031</v>
      </c>
      <c r="AM11" s="13">
        <f t="shared" ref="AM11:AO15" si="28">K11-$AC11</f>
        <v>0.90333333333333332</v>
      </c>
      <c r="AN11">
        <f t="shared" si="28"/>
        <v>1.5700000000000003</v>
      </c>
      <c r="AO11">
        <f t="shared" si="28"/>
        <v>0.57000000000000028</v>
      </c>
      <c r="AP11">
        <f t="shared" si="22"/>
        <v>-0.76333333333333275</v>
      </c>
      <c r="AQ11">
        <f t="shared" si="23"/>
        <v>-1.7633333333333332</v>
      </c>
      <c r="AR11">
        <f t="shared" si="24"/>
        <v>-0.42999999999999972</v>
      </c>
      <c r="AS11" s="30">
        <f t="shared" ref="AS11:BA15" si="29">Q11-$AC11</f>
        <v>-1.9207936507936529</v>
      </c>
      <c r="AT11">
        <f t="shared" si="29"/>
        <v>-0.34180555555555614</v>
      </c>
      <c r="AU11">
        <f t="shared" si="29"/>
        <v>-1.0587500000000007</v>
      </c>
      <c r="AV11">
        <f t="shared" si="29"/>
        <v>-2.5697333333333336</v>
      </c>
      <c r="AW11">
        <f t="shared" si="29"/>
        <v>-2.8767333333333349</v>
      </c>
      <c r="AX11">
        <f t="shared" si="29"/>
        <v>-1.1398666666666672</v>
      </c>
      <c r="AY11" s="13">
        <f t="shared" ca="1" si="29"/>
        <v>0.11760980398204435</v>
      </c>
      <c r="AZ11" s="6">
        <f t="shared" ca="1" si="29"/>
        <v>0.97969016868029968</v>
      </c>
      <c r="BA11" s="6">
        <f t="shared" ca="1" si="29"/>
        <v>0.51071515133368273</v>
      </c>
      <c r="BB11" s="6">
        <f t="shared" ca="1" si="25"/>
        <v>0.25038070925411748</v>
      </c>
      <c r="BC11" s="6">
        <f t="shared" ca="1" si="26"/>
        <v>-0.38431725482205614</v>
      </c>
      <c r="BD11" s="2">
        <f t="shared" ca="1" si="27"/>
        <v>0.28085251948801293</v>
      </c>
      <c r="BE11" t="s">
        <v>185</v>
      </c>
      <c r="BG11">
        <f>BG10</f>
        <v>0.51009263475806355</v>
      </c>
      <c r="BH11">
        <f>AVERAGE(BG10:BI10)</f>
        <v>0.50748915921974058</v>
      </c>
      <c r="BI11">
        <f>AVERAGE(BH10:BJ10)</f>
        <v>0.47534668023699722</v>
      </c>
      <c r="BJ11">
        <f>AVERAGE(BI10:BK10)</f>
        <v>0.48359289238544773</v>
      </c>
      <c r="BK11">
        <f>AVERAGE(BJ10:BM10)</f>
        <v>0.51311936041433648</v>
      </c>
      <c r="BL11">
        <f t="shared" si="12"/>
        <v>0.54638582924342027</v>
      </c>
      <c r="BM11">
        <f>BM10</f>
        <v>0.57965229807250418</v>
      </c>
    </row>
    <row r="12" spans="1:75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xOTH'!D$4,1))</f>
        <v>7.6700000000000017</v>
      </c>
      <c r="E12">
        <f ca="1">AVERAGE(OFFSET('Historical Trends'!$D$28,$B5,0,'Polling Correlations - xOTH'!E$4,1))</f>
        <v>6.1450000000000031</v>
      </c>
      <c r="F12">
        <f ca="1">AVERAGE(OFFSET('Historical Trends'!$D$28,$B5,0,'Polling Correlations - xOTH'!F$4,1))</f>
        <v>6.563333333333337</v>
      </c>
      <c r="G12">
        <f ca="1">AVERAGE(OFFSET('Historical Trends'!$D$28,$B5,0,'Polling Correlations - xOTH'!G$4,1))</f>
        <v>6.5650000000000048</v>
      </c>
      <c r="H12">
        <f ca="1">AVERAGE(OFFSET('Historical Trends'!$D$28,$B5,0,'Polling Correlations - xOTH'!H$4,1))</f>
        <v>6.4220000000000024</v>
      </c>
      <c r="I12">
        <f ca="1">AVERAGE(OFFSET('Historical Trends'!$D$28,$B5,0,'Polling Correlations - xOTH'!I$4,1))</f>
        <v>7.1850000000000023</v>
      </c>
      <c r="J12">
        <f ca="1">AVERAGE(OFFSET('Historical Trends'!$D$28,$B5,0,'Polling Correlations - xOTH'!J$4,1))</f>
        <v>6.6200000000000028</v>
      </c>
      <c r="K12" s="13">
        <f>(12+9+12+8+12)/5</f>
        <v>10.6</v>
      </c>
      <c r="L12">
        <f>(7+4+8+9+15)/5</f>
        <v>8.6</v>
      </c>
      <c r="M12">
        <f>(8+6+8+6.6+5)/5</f>
        <v>6.7200000000000006</v>
      </c>
      <c r="N12">
        <f>(7+6+7+7+6.4)/5</f>
        <v>6.68</v>
      </c>
      <c r="O12">
        <f>(5+5+4.3+5+7)/5</f>
        <v>5.26</v>
      </c>
      <c r="P12">
        <f>(7+7+9+4+6)/5</f>
        <v>6.6</v>
      </c>
      <c r="Q12" s="30">
        <f>K12-AVERAGE(AM$5:AM10,AM13:AM$31)</f>
        <v>7.9231666666666642</v>
      </c>
      <c r="R12" s="31">
        <f>L12-AVERAGE(AN$5:AN10,AN13:AN$31)</f>
        <v>6.7689855072463754</v>
      </c>
      <c r="S12" s="31">
        <f>M12-AVERAGE(AO$5:AO10,AO13:AO$31)</f>
        <v>5.1026086956521732</v>
      </c>
      <c r="T12" s="31">
        <f>N12-AVERAGE(AP$5:AP10,AP13:AP$31)</f>
        <v>4.8025333333333329</v>
      </c>
      <c r="U12" s="31">
        <f>O12-AVERAGE(AQ$5:AQ10,AQ13:AQ$31)</f>
        <v>4.0320666666666654</v>
      </c>
      <c r="V12" s="31">
        <f>P12-AVERAGE(AR$5:AR10,AR13:AR$31)</f>
        <v>5.842533333333332</v>
      </c>
      <c r="W12" s="13">
        <f t="shared" ca="1" si="2"/>
        <v>7.7991384520329161</v>
      </c>
      <c r="X12" s="6">
        <f t="shared" ca="1" si="3"/>
        <v>7.2301692695503661</v>
      </c>
      <c r="Y12" s="6">
        <f t="shared" ca="1" si="4"/>
        <v>6.3241111380958399</v>
      </c>
      <c r="Z12" s="6">
        <f t="shared" ca="1" si="5"/>
        <v>6.4838288341202297</v>
      </c>
      <c r="AA12" s="6">
        <f t="shared" ca="1" si="6"/>
        <v>5.8041432909227924</v>
      </c>
      <c r="AB12" s="2">
        <f t="shared" ca="1" si="7"/>
        <v>6.6107047470157676</v>
      </c>
      <c r="AC12" s="2">
        <f>'Historical Trends'!D27</f>
        <v>4.8299999999999983</v>
      </c>
      <c r="AE12" s="13">
        <f t="shared" ca="1" si="14"/>
        <v>0.53401730531514602</v>
      </c>
      <c r="AF12">
        <f t="shared" ca="1" si="15"/>
        <v>2.8400000000000034</v>
      </c>
      <c r="AG12">
        <f t="shared" ca="1" si="16"/>
        <v>1.3150000000000048</v>
      </c>
      <c r="AH12">
        <f t="shared" ca="1" si="17"/>
        <v>1.7333333333333387</v>
      </c>
      <c r="AI12">
        <f t="shared" ca="1" si="18"/>
        <v>1.7350000000000065</v>
      </c>
      <c r="AJ12">
        <f t="shared" ca="1" si="19"/>
        <v>1.5920000000000041</v>
      </c>
      <c r="AK12">
        <f t="shared" ca="1" si="20"/>
        <v>2.355000000000004</v>
      </c>
      <c r="AL12">
        <f t="shared" ca="1" si="21"/>
        <v>1.7900000000000045</v>
      </c>
      <c r="AM12" s="13">
        <f t="shared" si="28"/>
        <v>5.7700000000000014</v>
      </c>
      <c r="AN12">
        <f t="shared" si="28"/>
        <v>3.7700000000000014</v>
      </c>
      <c r="AO12">
        <f t="shared" si="28"/>
        <v>1.8900000000000023</v>
      </c>
      <c r="AP12">
        <f t="shared" si="22"/>
        <v>1.8500000000000014</v>
      </c>
      <c r="AQ12">
        <f t="shared" si="23"/>
        <v>0.43000000000000149</v>
      </c>
      <c r="AR12">
        <f t="shared" si="24"/>
        <v>1.7700000000000014</v>
      </c>
      <c r="AS12" s="30">
        <f t="shared" si="29"/>
        <v>3.093166666666666</v>
      </c>
      <c r="AT12">
        <f t="shared" si="29"/>
        <v>1.9389855072463771</v>
      </c>
      <c r="AU12">
        <f t="shared" si="29"/>
        <v>0.27260869565217494</v>
      </c>
      <c r="AV12">
        <f t="shared" si="29"/>
        <v>-2.7466666666665418E-2</v>
      </c>
      <c r="AW12">
        <f t="shared" si="29"/>
        <v>-0.79793333333333294</v>
      </c>
      <c r="AX12">
        <f t="shared" si="29"/>
        <v>1.0125333333333337</v>
      </c>
      <c r="AY12" s="13">
        <f t="shared" ca="1" si="29"/>
        <v>2.9691384520329178</v>
      </c>
      <c r="AZ12" s="6">
        <f t="shared" ca="1" si="29"/>
        <v>2.4001692695503678</v>
      </c>
      <c r="BA12" s="6">
        <f t="shared" ca="1" si="29"/>
        <v>1.4941111380958416</v>
      </c>
      <c r="BB12" s="6">
        <f t="shared" ca="1" si="25"/>
        <v>1.6538288341202314</v>
      </c>
      <c r="BC12" s="6">
        <f t="shared" ca="1" si="26"/>
        <v>0.97414329092279406</v>
      </c>
      <c r="BD12" s="2">
        <f t="shared" ca="1" si="27"/>
        <v>1.7807047470157693</v>
      </c>
      <c r="BE12" t="s">
        <v>192</v>
      </c>
      <c r="BG12">
        <f>MAX(0,($BG$16+1/($BG$17*$BG$18))-1/(($BG$17-BG6) * $BG$18))</f>
        <v>0.47534841211111001</v>
      </c>
      <c r="BH12">
        <f t="shared" ref="BH12:BM12" si="30">MAX(0,($BG$16+1/($BG$17*$BG$18))-1/(($BG$17-BH6) * $BG$18))</f>
        <v>0.48496343330860014</v>
      </c>
      <c r="BI12">
        <f t="shared" si="30"/>
        <v>0.49461312677972558</v>
      </c>
      <c r="BJ12">
        <f t="shared" si="30"/>
        <v>0.50437455183177349</v>
      </c>
      <c r="BK12">
        <f t="shared" si="30"/>
        <v>0.51959634916533304</v>
      </c>
      <c r="BL12">
        <f t="shared" si="30"/>
        <v>0.53834540904475858</v>
      </c>
      <c r="BM12">
        <f t="shared" si="30"/>
        <v>0.55708166901927569</v>
      </c>
    </row>
    <row r="13" spans="1:75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xOTH'!D$4,1))</f>
        <v>4.6200000000000045</v>
      </c>
      <c r="E13">
        <f ca="1">AVERAGE(OFFSET('Historical Trends'!$D$28,$B6,0,'Polling Correlations - xOTH'!E$4,1))</f>
        <v>6.0100000000000051</v>
      </c>
      <c r="F13">
        <f ca="1">AVERAGE(OFFSET('Historical Trends'!$D$28,$B6,0,'Polling Correlations - xOTH'!F$4,1))</f>
        <v>6.1966666666666725</v>
      </c>
      <c r="G13">
        <f ca="1">AVERAGE(OFFSET('Historical Trends'!$D$28,$B6,0,'Polling Correlations - xOTH'!G$4,1))</f>
        <v>6.110000000000003</v>
      </c>
      <c r="H13">
        <f ca="1">AVERAGE(OFFSET('Historical Trends'!$D$28,$B6,0,'Polling Correlations - xOTH'!H$4,1))</f>
        <v>7.0880000000000027</v>
      </c>
      <c r="I13">
        <f ca="1">AVERAGE(OFFSET('Historical Trends'!$D$28,$B6,0,'Polling Correlations - xOTH'!I$4,1))</f>
        <v>6.4450000000000029</v>
      </c>
      <c r="J13">
        <f ca="1">AVERAGE(OFFSET('Historical Trends'!$D$28,$B6,0,'Polling Correlations - xOTH'!J$4,1))</f>
        <v>6.0957142857142879</v>
      </c>
      <c r="K13" s="13">
        <f>(3.7+5.7+9+5.4+15)/5</f>
        <v>7.76</v>
      </c>
      <c r="L13">
        <f>(7+6+6+9+6)/5</f>
        <v>6.8</v>
      </c>
      <c r="M13">
        <f>(8.3+5.4+6.3+10+7)/5</f>
        <v>7.4</v>
      </c>
      <c r="N13">
        <f>(9.3+7+7.3+6+5.4)/5</f>
        <v>7</v>
      </c>
      <c r="O13">
        <f>(10+9.1+9+9.3+7)/5</f>
        <v>8.8800000000000008</v>
      </c>
      <c r="P13">
        <f>(9.4+10+7+11+7.7)/5</f>
        <v>9.02</v>
      </c>
      <c r="Q13" s="30">
        <f>K13-AVERAGE(AM$5:AM12,AM14:AM$31)</f>
        <v>4.897142857142855</v>
      </c>
      <c r="R13" s="31">
        <f>L13-AVERAGE(AN$5:AN12,AN14:AN$31)</f>
        <v>4.7865277777777759</v>
      </c>
      <c r="S13" s="31">
        <f>M13-AVERAGE(AO$5:AO12,AO14:AO$31)</f>
        <v>5.7362499999999992</v>
      </c>
      <c r="T13" s="31">
        <f>N13-AVERAGE(AP$5:AP12,AP14:AP$31)</f>
        <v>5.127179487179486</v>
      </c>
      <c r="U13" s="31">
        <f>O13-AVERAGE(AQ$5:AQ12,AQ14:AQ$31)</f>
        <v>7.7971153846153847</v>
      </c>
      <c r="V13" s="31">
        <f>P13-AVERAGE(AR$5:AR12,AR14:AR$31)</f>
        <v>8.2920512820512808</v>
      </c>
      <c r="W13" s="13">
        <f t="shared" ca="1" si="2"/>
        <v>4.7613685302043791</v>
      </c>
      <c r="X13" s="6">
        <f t="shared" ca="1" si="3"/>
        <v>4.7012906282076692</v>
      </c>
      <c r="Y13" s="6">
        <f t="shared" ca="1" si="4"/>
        <v>5.2051653542474519</v>
      </c>
      <c r="Z13" s="6">
        <f t="shared" ca="1" si="5"/>
        <v>4.8298025028891942</v>
      </c>
      <c r="AA13" s="6">
        <f t="shared" ca="1" si="6"/>
        <v>6.2495081610155134</v>
      </c>
      <c r="AB13" s="2">
        <f t="shared" ca="1" si="7"/>
        <v>6.7485129642811117</v>
      </c>
      <c r="AC13" s="2">
        <f>'Historical Trends'!D28</f>
        <v>7.6700000000000017</v>
      </c>
      <c r="AE13" s="13">
        <f t="shared" ca="1" si="14"/>
        <v>-1.5242424242424235</v>
      </c>
      <c r="AF13">
        <f t="shared" ca="1" si="15"/>
        <v>-3.0499999999999972</v>
      </c>
      <c r="AG13">
        <f t="shared" ca="1" si="16"/>
        <v>-1.6599999999999966</v>
      </c>
      <c r="AH13">
        <f t="shared" ca="1" si="17"/>
        <v>-1.4733333333333292</v>
      </c>
      <c r="AI13" s="6">
        <f t="shared" ca="1" si="18"/>
        <v>-1.5599999999999987</v>
      </c>
      <c r="AJ13">
        <f t="shared" ca="1" si="19"/>
        <v>-0.58199999999999896</v>
      </c>
      <c r="AK13">
        <f t="shared" ca="1" si="20"/>
        <v>-1.2249999999999988</v>
      </c>
      <c r="AL13">
        <f t="shared" ca="1" si="21"/>
        <v>-1.5742857142857138</v>
      </c>
      <c r="AM13" s="13">
        <f t="shared" si="28"/>
        <v>8.9999999999998082E-2</v>
      </c>
      <c r="AN13">
        <f t="shared" si="28"/>
        <v>-0.87000000000000188</v>
      </c>
      <c r="AO13">
        <f t="shared" si="28"/>
        <v>-0.27000000000000135</v>
      </c>
      <c r="AP13">
        <f t="shared" si="22"/>
        <v>-0.67000000000000171</v>
      </c>
      <c r="AQ13">
        <f t="shared" si="23"/>
        <v>1.2099999999999991</v>
      </c>
      <c r="AR13">
        <f t="shared" si="24"/>
        <v>1.3499999999999979</v>
      </c>
      <c r="AS13" s="30">
        <f t="shared" si="29"/>
        <v>-2.7728571428571467</v>
      </c>
      <c r="AT13">
        <f t="shared" si="29"/>
        <v>-2.8834722222222258</v>
      </c>
      <c r="AU13">
        <f t="shared" si="29"/>
        <v>-1.9337500000000025</v>
      </c>
      <c r="AV13">
        <f t="shared" si="29"/>
        <v>-2.5428205128205157</v>
      </c>
      <c r="AW13">
        <f t="shared" si="29"/>
        <v>0.12711538461538296</v>
      </c>
      <c r="AX13">
        <f t="shared" si="29"/>
        <v>0.62205128205127913</v>
      </c>
      <c r="AY13" s="13">
        <f t="shared" ca="1" si="29"/>
        <v>-2.9086314697956226</v>
      </c>
      <c r="AZ13" s="6">
        <f t="shared" ca="1" si="29"/>
        <v>-2.9687093717923325</v>
      </c>
      <c r="BA13" s="6">
        <f t="shared" ca="1" si="29"/>
        <v>-2.4648346457525498</v>
      </c>
      <c r="BB13" s="6">
        <f t="shared" ca="1" si="25"/>
        <v>-2.8401974971108075</v>
      </c>
      <c r="BC13" s="6">
        <f t="shared" ca="1" si="26"/>
        <v>-1.4204918389844883</v>
      </c>
      <c r="BD13" s="2">
        <f t="shared" ca="1" si="27"/>
        <v>-0.92148703571889001</v>
      </c>
      <c r="BE13" t="s">
        <v>191</v>
      </c>
      <c r="BG13">
        <f>(BG12-BG10)^2</f>
        <v>1.2071610073410791E-3</v>
      </c>
      <c r="BH13">
        <f t="shared" ref="BH13:BM13" si="31">(BH12-BH10)^2</f>
        <v>1.0157785346601525E-5</v>
      </c>
      <c r="BI13">
        <f t="shared" si="31"/>
        <v>8.7682048509228822E-4</v>
      </c>
      <c r="BJ13">
        <f t="shared" si="31"/>
        <v>8.2281869070776371E-3</v>
      </c>
      <c r="BK13">
        <f t="shared" si="31"/>
        <v>4.498587909089939E-5</v>
      </c>
      <c r="BL13">
        <f t="shared" si="31"/>
        <v>6.2810996749788938E-5</v>
      </c>
      <c r="BM13">
        <f t="shared" si="31"/>
        <v>5.094332958584418E-4</v>
      </c>
      <c r="BN13">
        <f>SQRT(SUM(BG13:BM13))</f>
        <v>0.10459233411945991</v>
      </c>
    </row>
    <row r="14" spans="1:75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xOTH'!D$4,1))</f>
        <v>7.4000000000000057</v>
      </c>
      <c r="E14">
        <f ca="1">AVERAGE(OFFSET('Historical Trends'!$D$28,$B7,0,'Polling Correlations - xOTH'!E$4,1))</f>
        <v>6.9850000000000065</v>
      </c>
      <c r="F14">
        <f ca="1">AVERAGE(OFFSET('Historical Trends'!$D$28,$B7,0,'Polling Correlations - xOTH'!F$4,1))</f>
        <v>6.6066666666666691</v>
      </c>
      <c r="G14">
        <f ca="1">AVERAGE(OFFSET('Historical Trends'!$D$28,$B7,0,'Polling Correlations - xOTH'!G$4,1))</f>
        <v>7.7050000000000018</v>
      </c>
      <c r="H14">
        <f ca="1">AVERAGE(OFFSET('Historical Trends'!$D$28,$B7,0,'Polling Correlations - xOTH'!H$4,1))</f>
        <v>6.8100000000000023</v>
      </c>
      <c r="I14">
        <f ca="1">AVERAGE(OFFSET('Historical Trends'!$D$28,$B7,0,'Polling Correlations - xOTH'!I$4,1))</f>
        <v>6.3416666666666686</v>
      </c>
      <c r="J14">
        <f ca="1">AVERAGE(OFFSET('Historical Trends'!$D$28,$B7,0,'Polling Correlations - xOTH'!J$4,1))</f>
        <v>6.3114285714285741</v>
      </c>
      <c r="K14" s="13">
        <f>(8+10+8.5+8+10)/5</f>
        <v>8.9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AVERAGE(5+5+8)/3</f>
        <v>6</v>
      </c>
      <c r="P14">
        <f>AVERAGE(7+6+5+5+8)/5</f>
        <v>6.2</v>
      </c>
      <c r="Q14" s="30">
        <f>K14-AVERAGE(AM$5:AM13,AM15:AM$31)</f>
        <v>6.2366666666666646</v>
      </c>
      <c r="R14" s="31">
        <f>L14-AVERAGE(AN$5:AN13,AN15:AN$31)</f>
        <v>9.9136111111111092</v>
      </c>
      <c r="S14" s="31">
        <f>M14-AVERAGE(AO$5:AO13,AO15:AO$31)</f>
        <v>9.6133333333333315</v>
      </c>
      <c r="T14" s="31">
        <f>N14-AVERAGE(AP$5:AP13,AP15:AP$31)</f>
        <v>10.436794871794872</v>
      </c>
      <c r="U14" s="31">
        <f>O14-AVERAGE(AQ$5:AQ13,AQ15:AQ$31)</f>
        <v>4.9236538461538446</v>
      </c>
      <c r="V14" s="31">
        <f>P14-AVERAGE(AR$5:AR13,AR15:AR$31)</f>
        <v>5.4808974358974352</v>
      </c>
      <c r="W14" s="13">
        <f t="shared" ca="1" si="2"/>
        <v>6.8065922348981207</v>
      </c>
      <c r="X14" s="6">
        <f t="shared" ca="1" si="3"/>
        <v>8.627020674981118</v>
      </c>
      <c r="Y14" s="6">
        <f t="shared" ca="1" si="4"/>
        <v>8.5602830764324231</v>
      </c>
      <c r="Z14" s="6">
        <f t="shared" ca="1" si="5"/>
        <v>8.6562163513489168</v>
      </c>
      <c r="AA14" s="6">
        <f t="shared" ca="1" si="6"/>
        <v>6.1299088076147505</v>
      </c>
      <c r="AB14" s="2">
        <f t="shared" ca="1" si="7"/>
        <v>6.2875877884811153</v>
      </c>
      <c r="AC14" s="2">
        <f>'Historical Trends'!D29</f>
        <v>4.6200000000000045</v>
      </c>
      <c r="AE14" s="13">
        <f t="shared" ca="1" si="14"/>
        <v>4.020284301606921</v>
      </c>
      <c r="AF14">
        <f t="shared" ca="1" si="15"/>
        <v>2.7800000000000011</v>
      </c>
      <c r="AG14">
        <f t="shared" ca="1" si="16"/>
        <v>2.365000000000002</v>
      </c>
      <c r="AH14">
        <f t="shared" ca="1" si="17"/>
        <v>1.9866666666666646</v>
      </c>
      <c r="AI14">
        <f t="shared" ca="1" si="18"/>
        <v>3.0849999999999973</v>
      </c>
      <c r="AJ14">
        <f t="shared" ca="1" si="19"/>
        <v>2.1899999999999977</v>
      </c>
      <c r="AK14">
        <f t="shared" ca="1" si="20"/>
        <v>1.721666666666664</v>
      </c>
      <c r="AL14">
        <f t="shared" ca="1" si="21"/>
        <v>1.6914285714285695</v>
      </c>
      <c r="AM14" s="13">
        <f t="shared" si="28"/>
        <v>4.2799999999999958</v>
      </c>
      <c r="AN14">
        <f t="shared" si="28"/>
        <v>6.9799999999999951</v>
      </c>
      <c r="AO14">
        <f t="shared" si="28"/>
        <v>6.3799999999999955</v>
      </c>
      <c r="AP14">
        <f t="shared" si="22"/>
        <v>7.3799999999999955</v>
      </c>
      <c r="AQ14">
        <f t="shared" si="23"/>
        <v>1.3799999999999955</v>
      </c>
      <c r="AR14">
        <f t="shared" si="24"/>
        <v>1.5799999999999956</v>
      </c>
      <c r="AS14" s="30">
        <f t="shared" si="29"/>
        <v>1.61666666666666</v>
      </c>
      <c r="AT14">
        <f t="shared" si="29"/>
        <v>5.2936111111111046</v>
      </c>
      <c r="AU14">
        <f t="shared" si="29"/>
        <v>4.993333333333327</v>
      </c>
      <c r="AV14">
        <f t="shared" si="29"/>
        <v>5.8167948717948672</v>
      </c>
      <c r="AW14">
        <f t="shared" si="29"/>
        <v>0.30365384615384006</v>
      </c>
      <c r="AX14">
        <f t="shared" si="29"/>
        <v>0.86089743589743062</v>
      </c>
      <c r="AY14" s="13">
        <f t="shared" ca="1" si="29"/>
        <v>2.1865922348981162</v>
      </c>
      <c r="AZ14" s="6">
        <f t="shared" ca="1" si="29"/>
        <v>4.0070206749811135</v>
      </c>
      <c r="BA14" s="6">
        <f t="shared" ca="1" si="29"/>
        <v>3.9402830764324186</v>
      </c>
      <c r="BB14" s="6">
        <f t="shared" ca="1" si="25"/>
        <v>4.0362163513489122</v>
      </c>
      <c r="BC14" s="6">
        <f t="shared" ca="1" si="26"/>
        <v>1.509908807614746</v>
      </c>
      <c r="BD14" s="2">
        <f t="shared" ca="1" si="27"/>
        <v>1.6675877884811108</v>
      </c>
    </row>
    <row r="15" spans="1:75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xOTH'!D$4,1))</f>
        <v>6.5700000000000074</v>
      </c>
      <c r="E15">
        <f ca="1">AVERAGE(OFFSET('Historical Trends'!$D$28,$B8,0,'Polling Correlations - xOTH'!E$4,1))</f>
        <v>6.2100000000000009</v>
      </c>
      <c r="F15">
        <f ca="1">AVERAGE(OFFSET('Historical Trends'!$D$28,$B8,0,'Polling Correlations - xOTH'!F$4,1))</f>
        <v>7.8066666666666675</v>
      </c>
      <c r="G15">
        <f ca="1">AVERAGE(OFFSET('Historical Trends'!$D$28,$B8,0,'Polling Correlations - xOTH'!G$4,1))</f>
        <v>6.6625000000000014</v>
      </c>
      <c r="H15">
        <f ca="1">AVERAGE(OFFSET('Historical Trends'!$D$28,$B8,0,'Polling Correlations - xOTH'!H$4,1))</f>
        <v>6.1300000000000008</v>
      </c>
      <c r="I15">
        <f ca="1">AVERAGE(OFFSET('Historical Trends'!$D$28,$B8,0,'Polling Correlations - xOTH'!I$4,1))</f>
        <v>6.1300000000000026</v>
      </c>
      <c r="J15">
        <f ca="1">AVERAGE(OFFSET('Historical Trends'!$D$28,$B8,0,'Polling Correlations - xOTH'!J$4,1))</f>
        <v>5.7957142857142872</v>
      </c>
      <c r="K15" s="13">
        <f>(11+8+10)/3</f>
        <v>9.6666666666666661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6.9074603174603144</v>
      </c>
      <c r="R15" s="31">
        <f>L15-AVERAGE(AN$5:AN14,AN16:AN$31)</f>
        <v>6.0477777777777764</v>
      </c>
      <c r="S15" s="31">
        <f>M15-AVERAGE(AO$5:AO14,AO16:AO$31)</f>
        <v>7.0669444444444425</v>
      </c>
      <c r="T15" s="31">
        <f>N15-AVERAGE(AP$5:AP14,AP16:AP$31)</f>
        <v>7.214487179487179</v>
      </c>
      <c r="U15" s="31">
        <f>O15-AVERAGE(AQ$5:AQ14,AQ16:AQ$31)</f>
        <v>9.3167307692307677</v>
      </c>
      <c r="V15" s="31">
        <f>P15-AVERAGE(AR$5:AR14,AR16:AR$31)</f>
        <v>8.1085897435897429</v>
      </c>
      <c r="W15" s="13">
        <f t="shared" ca="1" si="2"/>
        <v>6.7421360224596274</v>
      </c>
      <c r="X15" s="6">
        <f t="shared" ca="1" si="3"/>
        <v>6.3150769290568611</v>
      </c>
      <c r="Y15" s="6">
        <f t="shared" ca="1" si="4"/>
        <v>6.8305103443445816</v>
      </c>
      <c r="Z15" s="6">
        <f t="shared" ca="1" si="5"/>
        <v>6.8366019165884691</v>
      </c>
      <c r="AA15" s="6">
        <f t="shared" ca="1" si="6"/>
        <v>7.9787685408743165</v>
      </c>
      <c r="AB15" s="2">
        <f t="shared" ca="1" si="7"/>
        <v>7.4618470806625821</v>
      </c>
      <c r="AC15" s="2">
        <f>'Historical Trends'!D30</f>
        <v>7.4000000000000057</v>
      </c>
      <c r="AE15" s="13">
        <f t="shared" ca="1" si="14"/>
        <v>0.2703720930232123</v>
      </c>
      <c r="AF15">
        <f t="shared" ca="1" si="15"/>
        <v>-0.82999999999999829</v>
      </c>
      <c r="AG15">
        <f t="shared" ca="1" si="16"/>
        <v>-1.1900000000000048</v>
      </c>
      <c r="AH15">
        <f t="shared" ca="1" si="17"/>
        <v>0.40666666666666185</v>
      </c>
      <c r="AI15">
        <f t="shared" ca="1" si="18"/>
        <v>-0.73750000000000426</v>
      </c>
      <c r="AJ15">
        <f t="shared" ca="1" si="19"/>
        <v>-1.2700000000000049</v>
      </c>
      <c r="AK15">
        <f t="shared" ca="1" si="20"/>
        <v>-1.2700000000000031</v>
      </c>
      <c r="AL15">
        <f t="shared" ca="1" si="21"/>
        <v>-1.6042857142857185</v>
      </c>
      <c r="AM15" s="13">
        <f t="shared" si="28"/>
        <v>2.2666666666666604</v>
      </c>
      <c r="AN15">
        <f t="shared" si="28"/>
        <v>0.59999999999999432</v>
      </c>
      <c r="AO15">
        <f t="shared" si="28"/>
        <v>1.2666666666666604</v>
      </c>
      <c r="AP15">
        <f t="shared" si="22"/>
        <v>1.5999999999999943</v>
      </c>
      <c r="AQ15">
        <f t="shared" si="23"/>
        <v>2.9333333333333282</v>
      </c>
      <c r="AR15">
        <f t="shared" si="24"/>
        <v>1.4333333333333282</v>
      </c>
      <c r="AS15" s="30">
        <f t="shared" si="29"/>
        <v>-0.49253968253969127</v>
      </c>
      <c r="AT15">
        <f t="shared" si="29"/>
        <v>-1.3522222222222293</v>
      </c>
      <c r="AU15">
        <f t="shared" si="29"/>
        <v>-0.33305555555556321</v>
      </c>
      <c r="AV15">
        <f t="shared" si="29"/>
        <v>-0.18551282051282669</v>
      </c>
      <c r="AW15">
        <f t="shared" si="29"/>
        <v>1.916730769230762</v>
      </c>
      <c r="AX15">
        <f t="shared" si="29"/>
        <v>0.70858974358973725</v>
      </c>
      <c r="AY15" s="13">
        <f t="shared" ca="1" si="29"/>
        <v>-0.65786397754037829</v>
      </c>
      <c r="AZ15" s="6">
        <f t="shared" ca="1" si="29"/>
        <v>-1.0849230709431446</v>
      </c>
      <c r="BA15" s="6">
        <f t="shared" ca="1" si="29"/>
        <v>-0.56948965565542409</v>
      </c>
      <c r="BB15" s="6">
        <f t="shared" ca="1" si="25"/>
        <v>-0.56339808341153663</v>
      </c>
      <c r="BC15" s="6">
        <f t="shared" ca="1" si="26"/>
        <v>0.57876854087431084</v>
      </c>
      <c r="BD15" s="2">
        <f t="shared" ca="1" si="27"/>
        <v>6.1847080662576381E-2</v>
      </c>
      <c r="BE15" t="s">
        <v>187</v>
      </c>
    </row>
    <row r="16" spans="1:75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xOTH'!D$4,1))</f>
        <v>5.8499999999999943</v>
      </c>
      <c r="E16">
        <f ca="1">AVERAGE(OFFSET('Historical Trends'!$D$28,$B9,0,'Polling Correlations - xOTH'!E$4,1))</f>
        <v>8.4249999999999972</v>
      </c>
      <c r="F16">
        <f ca="1">AVERAGE(OFFSET('Historical Trends'!$D$28,$B9,0,'Polling Correlations - xOTH'!F$4,1))</f>
        <v>6.6933333333333325</v>
      </c>
      <c r="G16">
        <f ca="1">AVERAGE(OFFSET('Historical Trends'!$D$28,$B9,0,'Polling Correlations - xOTH'!G$4,1))</f>
        <v>6.02</v>
      </c>
      <c r="H16">
        <f ca="1">AVERAGE(OFFSET('Historical Trends'!$D$28,$B9,0,'Polling Correlations - xOTH'!H$4,1))</f>
        <v>6.0420000000000016</v>
      </c>
      <c r="I16">
        <f ca="1">AVERAGE(OFFSET('Historical Trends'!$D$28,$B9,0,'Polling Correlations - xOTH'!I$4,1))</f>
        <v>5.666666666666667</v>
      </c>
      <c r="J16">
        <f ca="1">AVERAGE(OFFSET('Historical Trends'!$D$28,$B9,0,'Polling Correlations - xOTH'!J$4,1))</f>
        <v>5.13</v>
      </c>
      <c r="L16">
        <f>(13+15+13)/3</f>
        <v>13.666666666666666</v>
      </c>
      <c r="M16">
        <f>(14+14+13)/3</f>
        <v>13.666666666666666</v>
      </c>
      <c r="N16">
        <f>(16+14+14)/3</f>
        <v>14.666666666666666</v>
      </c>
      <c r="O16">
        <f>(15+17+14)/3</f>
        <v>15.333333333333334</v>
      </c>
      <c r="P16">
        <f>(10+10+15)/3</f>
        <v>11.666666666666666</v>
      </c>
      <c r="Q16" s="30"/>
      <c r="R16" s="31">
        <f>L16-AVERAGE(AN$5:AN15,AN17:AN$31)</f>
        <v>11.985138888888887</v>
      </c>
      <c r="S16" s="31">
        <f>M16-AVERAGE(AO$5:AO15,AO17:AO$31)</f>
        <v>12.309861111111109</v>
      </c>
      <c r="T16" s="31">
        <f>N16-AVERAGE(AP$5:AP15,AP17:AP$31)</f>
        <v>13.131025641025641</v>
      </c>
      <c r="U16" s="31">
        <f>O16-AVERAGE(AQ$5:AQ15,AQ17:AQ$31)</f>
        <v>14.540961538461538</v>
      </c>
      <c r="V16" s="31">
        <f>P16-AVERAGE(AR$5:AR15,AR17:AR$31)</f>
        <v>11.082820512820511</v>
      </c>
      <c r="W16" s="13">
        <f t="shared" ca="1" si="2"/>
        <v>2.8659580866653256</v>
      </c>
      <c r="X16" s="6">
        <f t="shared" ca="1" si="3"/>
        <v>8.844871492758358</v>
      </c>
      <c r="Y16" s="6">
        <f t="shared" ca="1" si="4"/>
        <v>9.2364160496955492</v>
      </c>
      <c r="Z16" s="6">
        <f t="shared" ca="1" si="5"/>
        <v>8.8619069120533389</v>
      </c>
      <c r="AA16" s="6">
        <f t="shared" ca="1" si="6"/>
        <v>10.307500291796741</v>
      </c>
      <c r="AB16" s="2">
        <f t="shared" ca="1" si="7"/>
        <v>8.8832164356573475</v>
      </c>
      <c r="AC16" s="2">
        <f>'Historical Trends'!D31</f>
        <v>6.5700000000000074</v>
      </c>
      <c r="AE16" s="13">
        <f t="shared" ca="1" si="14"/>
        <v>1.2807619047618886</v>
      </c>
      <c r="AF16">
        <f t="shared" ca="1" si="15"/>
        <v>-0.72000000000001307</v>
      </c>
      <c r="AG16">
        <f t="shared" ca="1" si="16"/>
        <v>1.8549999999999898</v>
      </c>
      <c r="AH16">
        <f t="shared" ca="1" si="17"/>
        <v>0.12333333333332508</v>
      </c>
      <c r="AI16">
        <f t="shared" ca="1" si="18"/>
        <v>-0.55000000000000782</v>
      </c>
      <c r="AJ16">
        <f t="shared" ca="1" si="19"/>
        <v>-0.5280000000000058</v>
      </c>
      <c r="AK16">
        <f t="shared" ca="1" si="20"/>
        <v>-0.90333333333334043</v>
      </c>
      <c r="AL16">
        <f t="shared" ca="1" si="21"/>
        <v>-1.4400000000000075</v>
      </c>
      <c r="AN16">
        <f t="shared" ref="AN16:AN30" si="32">L16-$AC16</f>
        <v>7.0966666666666587</v>
      </c>
      <c r="AO16">
        <f t="shared" ref="AO16:AO30" si="33">M16-$AC16</f>
        <v>7.0966666666666587</v>
      </c>
      <c r="AP16">
        <f t="shared" si="22"/>
        <v>8.0966666666666587</v>
      </c>
      <c r="AQ16">
        <f t="shared" si="23"/>
        <v>8.7633333333333265</v>
      </c>
      <c r="AR16">
        <f t="shared" si="24"/>
        <v>5.0966666666666587</v>
      </c>
      <c r="AS16" s="30"/>
      <c r="AT16">
        <f t="shared" ref="AT16:AT30" si="34">R16-$AC16</f>
        <v>5.4151388888888796</v>
      </c>
      <c r="AU16">
        <f t="shared" ref="AU16:AU30" si="35">S16-$AC16</f>
        <v>5.739861111111102</v>
      </c>
      <c r="AV16">
        <f t="shared" ref="AV16:AV30" si="36">T16-$AC16</f>
        <v>6.5610256410256333</v>
      </c>
      <c r="AW16">
        <f t="shared" ref="AW16:AW30" si="37">U16-$AC16</f>
        <v>7.9709615384615304</v>
      </c>
      <c r="AX16">
        <f t="shared" ref="AX16:AX30" si="38">V16-$AC16</f>
        <v>4.5128205128205039</v>
      </c>
      <c r="AZ16" s="6">
        <f t="shared" ref="AZ16:AZ30" ca="1" si="39">X16-$AC16</f>
        <v>2.2748714927583507</v>
      </c>
      <c r="BA16" s="6">
        <f t="shared" ref="BA16:BA30" ca="1" si="40">Y16-$AC16</f>
        <v>2.6664160496955418</v>
      </c>
      <c r="BB16" s="6">
        <f t="shared" ca="1" si="25"/>
        <v>2.2919069120533315</v>
      </c>
      <c r="BC16" s="6">
        <f t="shared" ca="1" si="26"/>
        <v>3.7375002917967333</v>
      </c>
      <c r="BD16" s="2">
        <f t="shared" ca="1" si="27"/>
        <v>2.3132164356573401</v>
      </c>
      <c r="BE16" t="s">
        <v>188</v>
      </c>
      <c r="BG16">
        <v>0.56666811205917311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xOTH'!D$4,1))</f>
        <v>10</v>
      </c>
      <c r="E17">
        <f ca="1">AVERAGE(OFFSET('Historical Trends'!$D$48,$B5,0,'Polling Correlations - xOTH'!E$4,1))</f>
        <v>11.515000000000001</v>
      </c>
      <c r="F17">
        <f ca="1">AVERAGE(OFFSET('Historical Trends'!$D$48,$B5,0,'Polling Correlations - xOTH'!F$4,1))</f>
        <v>12.523333333333332</v>
      </c>
      <c r="G17">
        <f ca="1">AVERAGE(OFFSET('Historical Trends'!$D$48,$B5,0,'Polling Correlations - xOTH'!G$4,1))</f>
        <v>12.752499999999998</v>
      </c>
      <c r="H17">
        <f ca="1">AVERAGE(OFFSET('Historical Trends'!$D$48,$B5,0,'Polling Correlations - xOTH'!H$4,1))</f>
        <v>12.053999999999998</v>
      </c>
      <c r="I17">
        <f ca="1">AVERAGE(OFFSET('Historical Trends'!$D$48,$B5,0,'Polling Correlations - xOTH'!I$4,1))</f>
        <v>11.66666666666667</v>
      </c>
      <c r="J17">
        <f ca="1">AVERAGE(OFFSET('Historical Trends'!$D$48,$B5,0,'Polling Correlations - xOTH'!J$4,1))</f>
        <v>11.481428571428575</v>
      </c>
      <c r="K17" s="13">
        <f>(16+12+10.9)/3</f>
        <v>12.966666666666667</v>
      </c>
      <c r="L17">
        <f>(10.6+17+11)/3</f>
        <v>12.866666666666667</v>
      </c>
      <c r="M17">
        <f>(18.4+10.6+17)/3</f>
        <v>15.333333333333334</v>
      </c>
      <c r="N17">
        <f>(9.4+7+13.9)/3</f>
        <v>10.1</v>
      </c>
      <c r="O17">
        <f>(8+9+9.4)/3</f>
        <v>8.7999999999999989</v>
      </c>
      <c r="P17">
        <f>(8+5.9+6)/3</f>
        <v>6.6333333333333329</v>
      </c>
      <c r="Q17" s="30">
        <f>K17-AVERAGE(AM$5:AM16,AM18:AM$31)</f>
        <v>10.194126984126981</v>
      </c>
      <c r="R17" s="31">
        <f>L17-AVERAGE(AN$5:AN16,AN18:AN$31)</f>
        <v>10.968055555555555</v>
      </c>
      <c r="S17" s="31">
        <f>M17-AVERAGE(AO$5:AO16,AO18:AO$31)</f>
        <v>13.862222222222222</v>
      </c>
      <c r="T17" s="31">
        <f>N17-AVERAGE(AP$5:AP16,AP18:AP$31)</f>
        <v>8.2191025641025632</v>
      </c>
      <c r="U17" s="31">
        <f>O17-AVERAGE(AQ$5:AQ16,AQ18:AQ$31)</f>
        <v>7.5867307692307664</v>
      </c>
      <c r="V17" s="31">
        <f>P17-AVERAGE(AR$5:AR16,AR18:AR$31)</f>
        <v>5.6862820512820491</v>
      </c>
      <c r="W17" s="13">
        <f t="shared" ca="1" si="2"/>
        <v>10.099022744810968</v>
      </c>
      <c r="X17" s="6">
        <f t="shared" ca="1" si="3"/>
        <v>10.472556862891942</v>
      </c>
      <c r="Y17" s="6">
        <f t="shared" ca="1" si="4"/>
        <v>12.024670669517619</v>
      </c>
      <c r="Z17" s="6">
        <f t="shared" ca="1" si="5"/>
        <v>9.2633047099004617</v>
      </c>
      <c r="AA17" s="6">
        <f t="shared" ca="1" si="6"/>
        <v>8.7622602800929918</v>
      </c>
      <c r="AB17" s="2">
        <f t="shared" ca="1" si="7"/>
        <v>7.4995434777890306</v>
      </c>
      <c r="AC17" s="2">
        <f>'Historical Trends'!D47</f>
        <v>10.980000000000004</v>
      </c>
      <c r="AE17" s="13">
        <f t="shared" ca="1" si="14"/>
        <v>0.57199999999999562</v>
      </c>
      <c r="AF17">
        <f t="shared" ca="1" si="15"/>
        <v>-0.98000000000000398</v>
      </c>
      <c r="AG17">
        <f t="shared" ca="1" si="16"/>
        <v>0.53499999999999659</v>
      </c>
      <c r="AH17">
        <f t="shared" ca="1" si="17"/>
        <v>1.5433333333333277</v>
      </c>
      <c r="AI17">
        <f t="shared" ca="1" si="18"/>
        <v>1.7724999999999937</v>
      </c>
      <c r="AJ17">
        <f t="shared" ca="1" si="19"/>
        <v>1.0739999999999945</v>
      </c>
      <c r="AK17">
        <f t="shared" ca="1" si="20"/>
        <v>0.68666666666666565</v>
      </c>
      <c r="AL17">
        <f t="shared" ca="1" si="21"/>
        <v>0.50142857142857089</v>
      </c>
      <c r="AM17" s="13">
        <f>K17-$AC17</f>
        <v>1.9866666666666628</v>
      </c>
      <c r="AN17">
        <f t="shared" si="32"/>
        <v>1.8866666666666632</v>
      </c>
      <c r="AO17">
        <f t="shared" si="33"/>
        <v>4.3533333333333299</v>
      </c>
      <c r="AP17">
        <f t="shared" si="22"/>
        <v>-0.88000000000000433</v>
      </c>
      <c r="AQ17">
        <f t="shared" si="23"/>
        <v>-2.180000000000005</v>
      </c>
      <c r="AR17">
        <f t="shared" si="24"/>
        <v>-4.3466666666666711</v>
      </c>
      <c r="AS17" s="30">
        <f>Q17-$AC17</f>
        <v>-0.7858730158730225</v>
      </c>
      <c r="AT17">
        <f t="shared" si="34"/>
        <v>-1.1944444444448976E-2</v>
      </c>
      <c r="AU17">
        <f t="shared" si="35"/>
        <v>2.882222222222218</v>
      </c>
      <c r="AV17">
        <f t="shared" si="36"/>
        <v>-2.7608974358974407</v>
      </c>
      <c r="AW17">
        <f t="shared" si="37"/>
        <v>-3.3932692307692376</v>
      </c>
      <c r="AX17">
        <f t="shared" si="38"/>
        <v>-5.2937179487179549</v>
      </c>
      <c r="AY17" s="13">
        <f ca="1">W17-$AC17</f>
        <v>-0.8809772551890358</v>
      </c>
      <c r="AZ17" s="6">
        <f t="shared" ca="1" si="39"/>
        <v>-0.5074431371080621</v>
      </c>
      <c r="BA17" s="6">
        <f t="shared" ca="1" si="40"/>
        <v>1.0446706695176147</v>
      </c>
      <c r="BB17" s="6">
        <f t="shared" ca="1" si="25"/>
        <v>-1.7166952900995422</v>
      </c>
      <c r="BC17" s="6">
        <f t="shared" ca="1" si="26"/>
        <v>-2.2177397199070121</v>
      </c>
      <c r="BD17" s="2">
        <f t="shared" ca="1" si="27"/>
        <v>-3.4804565222109733</v>
      </c>
      <c r="BE17" t="s">
        <v>189</v>
      </c>
      <c r="BG17">
        <v>3967.3941310679484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xOTH'!D$4,1))</f>
        <v>13.030000000000001</v>
      </c>
      <c r="E18">
        <f ca="1">AVERAGE(OFFSET('Historical Trends'!$D$48,$B6,0,'Polling Correlations - xOTH'!E$4,1))</f>
        <v>13.784999999999997</v>
      </c>
      <c r="F18">
        <f ca="1">AVERAGE(OFFSET('Historical Trends'!$D$48,$B6,0,'Polling Correlations - xOTH'!F$4,1))</f>
        <v>13.669999999999996</v>
      </c>
      <c r="G18">
        <f ca="1">AVERAGE(OFFSET('Historical Trends'!$D$48,$B6,0,'Polling Correlations - xOTH'!G$4,1))</f>
        <v>12.567499999999999</v>
      </c>
      <c r="H18">
        <f ca="1">AVERAGE(OFFSET('Historical Trends'!$D$48,$B6,0,'Polling Correlations - xOTH'!H$4,1))</f>
        <v>12.000000000000004</v>
      </c>
      <c r="I18">
        <f ca="1">AVERAGE(OFFSET('Historical Trends'!$D$48,$B6,0,'Polling Correlations - xOTH'!I$4,1))</f>
        <v>11.728333333333337</v>
      </c>
      <c r="J18">
        <f ca="1">AVERAGE(OFFSET('Historical Trends'!$D$48,$B6,0,'Polling Correlations - xOTH'!J$4,1))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11.742380952380952</v>
      </c>
      <c r="R18" s="31">
        <f>L18-AVERAGE(AN$5:AN17,AN19:AN$31)</f>
        <v>11.147777777777776</v>
      </c>
      <c r="S18" s="31">
        <f>M18-AVERAGE(AO$5:AO17,AO19:AO$31)</f>
        <v>9.1808333333333323</v>
      </c>
      <c r="T18" s="31">
        <f>N18-AVERAGE(AP$5:AP17,AP19:AP$31)</f>
        <v>8.5683333333333334</v>
      </c>
      <c r="U18" s="31">
        <f>O18-AVERAGE(AQ$5:AQ17,AQ19:AQ$31)</f>
        <v>8.5382692307692292</v>
      </c>
      <c r="V18" s="31">
        <f>P18-AVERAGE(AR$5:AR17,AR19:AR$31)</f>
        <v>8.8670512820512819</v>
      </c>
      <c r="W18" s="13">
        <f t="shared" ca="1" si="2"/>
        <v>12.373195007435331</v>
      </c>
      <c r="X18" s="6">
        <f t="shared" ca="1" si="3"/>
        <v>12.111192165579396</v>
      </c>
      <c r="Y18" s="6">
        <f t="shared" ca="1" si="4"/>
        <v>11.012173369713345</v>
      </c>
      <c r="Z18" s="6">
        <f t="shared" ca="1" si="5"/>
        <v>11.184363775771793</v>
      </c>
      <c r="AA18" s="6">
        <f t="shared" ca="1" si="6"/>
        <v>10.726239808919599</v>
      </c>
      <c r="AB18" s="2">
        <f t="shared" ca="1" si="7"/>
        <v>10.616937208883041</v>
      </c>
      <c r="AC18" s="2">
        <f>'Historical Trends'!D48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1.7423809523809517</v>
      </c>
      <c r="AT18">
        <f t="shared" si="34"/>
        <v>1.147777777777776</v>
      </c>
      <c r="AU18">
        <f t="shared" si="35"/>
        <v>-0.81916666666666771</v>
      </c>
      <c r="AV18">
        <f t="shared" si="36"/>
        <v>-1.4316666666666666</v>
      </c>
      <c r="AW18">
        <f t="shared" si="37"/>
        <v>-1.4617307692307708</v>
      </c>
      <c r="AX18">
        <f t="shared" si="38"/>
        <v>-1.1329487179487181</v>
      </c>
      <c r="AY18" s="13">
        <f ca="1">W18-$AC18</f>
        <v>2.3731950074353314</v>
      </c>
      <c r="AZ18" s="6">
        <f t="shared" ca="1" si="39"/>
        <v>2.1111921655793964</v>
      </c>
      <c r="BA18" s="6">
        <f t="shared" ca="1" si="40"/>
        <v>1.012173369713345</v>
      </c>
      <c r="BB18" s="6">
        <f t="shared" ca="1" si="25"/>
        <v>1.1843637757717929</v>
      </c>
      <c r="BC18" s="6">
        <f t="shared" ca="1" si="26"/>
        <v>0.72623980891959938</v>
      </c>
      <c r="BD18" s="2">
        <f t="shared" ca="1" si="27"/>
        <v>0.61693720888304071</v>
      </c>
      <c r="BE18" t="s">
        <v>190</v>
      </c>
      <c r="BG18">
        <v>4.5944460312447377E-6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xOTH'!D$4,1))</f>
        <v>14.539999999999992</v>
      </c>
      <c r="E19">
        <f ca="1">AVERAGE(OFFSET('Historical Trends'!$D$48,$B7,0,'Polling Correlations - xOTH'!E$4,1))</f>
        <v>13.989999999999995</v>
      </c>
      <c r="F19">
        <f ca="1">AVERAGE(OFFSET('Historical Trends'!$D$48,$B7,0,'Polling Correlations - xOTH'!F$4,1))</f>
        <v>12.413333333333332</v>
      </c>
      <c r="G19">
        <f ca="1">AVERAGE(OFFSET('Historical Trends'!$D$48,$B7,0,'Polling Correlations - xOTH'!G$4,1))</f>
        <v>11.742500000000003</v>
      </c>
      <c r="H19">
        <f ca="1">AVERAGE(OFFSET('Historical Trends'!$D$48,$B7,0,'Polling Correlations - xOTH'!H$4,1))</f>
        <v>11.468000000000004</v>
      </c>
      <c r="I19">
        <f ca="1">AVERAGE(OFFSET('Historical Trends'!$D$48,$B7,0,'Polling Correlations - xOTH'!I$4,1))</f>
        <v>11.25166666666667</v>
      </c>
      <c r="J19">
        <f ca="1">AVERAGE(OFFSET('Historical Trends'!$D$48,$B7,0,'Polling Correlations - xOTH'!J$4,1))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(16+14+15+13+13)/5</f>
        <v>14.2</v>
      </c>
      <c r="O19">
        <f>(12+10+14+11+14)/5</f>
        <v>12.2</v>
      </c>
      <c r="P19">
        <f>(15+15+15+11+13)/5</f>
        <v>13.8</v>
      </c>
      <c r="Q19" s="30">
        <f>K19-AVERAGE(AM$5:AM18,AM20:AM$31)</f>
        <v>12.436190476190474</v>
      </c>
      <c r="R19" s="31">
        <f>L19-AVERAGE(AN$5:AN18,AN20:AN$31)</f>
        <v>11.021527777777777</v>
      </c>
      <c r="S19" s="31">
        <f>M19-AVERAGE(AO$5:AO18,AO20:AO$31)</f>
        <v>11.971249999999998</v>
      </c>
      <c r="T19" s="31">
        <f>N19-AVERAGE(AP$5:AP18,AP20:AP$31)</f>
        <v>12.397948717948717</v>
      </c>
      <c r="U19" s="31">
        <f>O19-AVERAGE(AQ$5:AQ18,AQ20:AQ$31)</f>
        <v>11.038653846153844</v>
      </c>
      <c r="V19" s="31">
        <f>P19-AVERAGE(AR$5:AR18,AR20:AR$31)</f>
        <v>13.04974358974359</v>
      </c>
      <c r="W19" s="13">
        <f t="shared" ca="1" si="2"/>
        <v>13.466862256970888</v>
      </c>
      <c r="X19" s="6">
        <f t="shared" ca="1" si="3"/>
        <v>12.822455809520573</v>
      </c>
      <c r="Y19" s="6">
        <f t="shared" ca="1" si="4"/>
        <v>13.193398876843769</v>
      </c>
      <c r="Z19" s="6">
        <f t="shared" ca="1" si="5"/>
        <v>13.653907932691443</v>
      </c>
      <c r="AA19" s="6">
        <f t="shared" ca="1" si="6"/>
        <v>12.744197379843261</v>
      </c>
      <c r="AB19" s="2">
        <f t="shared" ca="1" si="7"/>
        <v>13.676169447077587</v>
      </c>
      <c r="AC19" s="2">
        <f>'Historical Trends'!D49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1.1699999999999982</v>
      </c>
      <c r="AQ19">
        <f t="shared" si="23"/>
        <v>-0.83000000000000185</v>
      </c>
      <c r="AR19">
        <f t="shared" si="24"/>
        <v>0.76999999999999957</v>
      </c>
      <c r="AS19" s="30">
        <f>Q19-$AC19</f>
        <v>-0.59380952380952756</v>
      </c>
      <c r="AT19">
        <f t="shared" si="34"/>
        <v>-2.008472222222224</v>
      </c>
      <c r="AU19">
        <f t="shared" si="35"/>
        <v>-1.0587500000000034</v>
      </c>
      <c r="AV19">
        <f t="shared" si="36"/>
        <v>-0.63205128205128425</v>
      </c>
      <c r="AW19">
        <f t="shared" si="37"/>
        <v>-1.9913461538461572</v>
      </c>
      <c r="AX19">
        <f t="shared" si="38"/>
        <v>1.9743589743589141E-2</v>
      </c>
      <c r="AY19" s="13">
        <f ca="1">W19-$AC19</f>
        <v>0.43686225697088688</v>
      </c>
      <c r="AZ19" s="6">
        <f t="shared" ca="1" si="39"/>
        <v>-0.20754419047942818</v>
      </c>
      <c r="BA19" s="6">
        <f t="shared" ca="1" si="40"/>
        <v>0.16339887684376819</v>
      </c>
      <c r="BB19" s="6">
        <f t="shared" ca="1" si="25"/>
        <v>0.6239079326914414</v>
      </c>
      <c r="BC19" s="6">
        <f t="shared" ca="1" si="26"/>
        <v>-0.28580262015674052</v>
      </c>
      <c r="BD19" s="2">
        <f t="shared" ca="1" si="27"/>
        <v>0.64616944707758606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xOTH'!D$4,1))</f>
        <v>13.439999999999998</v>
      </c>
      <c r="E20">
        <f ca="1">AVERAGE(OFFSET('Historical Trends'!$D$48,$B8,0,'Polling Correlations - xOTH'!E$4,1))</f>
        <v>11.350000000000001</v>
      </c>
      <c r="F20">
        <f ca="1">AVERAGE(OFFSET('Historical Trends'!$D$48,$B8,0,'Polling Correlations - xOTH'!F$4,1))</f>
        <v>10.810000000000008</v>
      </c>
      <c r="G20">
        <f ca="1">AVERAGE(OFFSET('Historical Trends'!$D$48,$B8,0,'Polling Correlations - xOTH'!G$4,1))</f>
        <v>10.700000000000006</v>
      </c>
      <c r="H20">
        <f ca="1">AVERAGE(OFFSET('Historical Trends'!$D$48,$B8,0,'Polling Correlations - xOTH'!H$4,1))</f>
        <v>10.594000000000005</v>
      </c>
      <c r="I20">
        <f ca="1">AVERAGE(OFFSET('Historical Trends'!$D$48,$B8,0,'Polling Correlations - xOTH'!I$4,1))</f>
        <v>9.7250000000000032</v>
      </c>
      <c r="J20">
        <f ca="1">AVERAGE(OFFSET('Historical Trends'!$D$48,$B8,0,'Polling Correlations - xOTH'!J$4,1))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>
        <f>K20-AVERAGE(AM$5:AM19,AM21:AM$31)</f>
        <v>-2.7368181818181836</v>
      </c>
      <c r="R20" s="31">
        <f>L20-AVERAGE(AN$5:AN19,AN21:AN$31)</f>
        <v>14.430833333333331</v>
      </c>
      <c r="S20" s="31">
        <f>M20-AVERAGE(AO$5:AO19,AO21:AO$31)</f>
        <v>14.06111111111111</v>
      </c>
      <c r="T20" s="31">
        <f>N20-AVERAGE(AP$5:AP19,AP21:AP$31)</f>
        <v>14.555256410256408</v>
      </c>
      <c r="U20" s="31">
        <f>O20-AVERAGE(AQ$5:AQ19,AQ21:AQ$31)</f>
        <v>14.580576923076922</v>
      </c>
      <c r="V20" s="31">
        <f>P20-AVERAGE(AR$5:AR19,AR21:AR$31)</f>
        <v>13.891666666666666</v>
      </c>
      <c r="W20" s="13">
        <f t="shared" ca="1" si="2"/>
        <v>5.1883241916342149</v>
      </c>
      <c r="X20" s="6">
        <f t="shared" ca="1" si="3"/>
        <v>13.923675847901162</v>
      </c>
      <c r="Y20" s="6">
        <f t="shared" ca="1" si="4"/>
        <v>13.765601525966726</v>
      </c>
      <c r="Z20" s="6">
        <f t="shared" ca="1" si="5"/>
        <v>13.9013427635574</v>
      </c>
      <c r="AA20" s="6">
        <f t="shared" ca="1" si="6"/>
        <v>14.024989583135582</v>
      </c>
      <c r="AB20" s="2">
        <f t="shared" ca="1" si="7"/>
        <v>13.70180962129608</v>
      </c>
      <c r="AC20" s="2">
        <f>'Historical Trends'!D50</f>
        <v>14.539999999999992</v>
      </c>
      <c r="AE20" s="13">
        <f t="shared" ca="1" si="14"/>
        <v>-0.1010095846645811</v>
      </c>
      <c r="AF20">
        <f t="shared" ca="1" si="15"/>
        <v>-1.0999999999999943</v>
      </c>
      <c r="AG20">
        <f t="shared" ca="1" si="16"/>
        <v>-3.1899999999999906</v>
      </c>
      <c r="AH20">
        <f t="shared" ca="1" si="17"/>
        <v>-3.7299999999999844</v>
      </c>
      <c r="AI20">
        <f t="shared" ca="1" si="18"/>
        <v>-3.8399999999999856</v>
      </c>
      <c r="AJ20">
        <f t="shared" ca="1" si="19"/>
        <v>-3.9459999999999873</v>
      </c>
      <c r="AK20">
        <f t="shared" ca="1" si="20"/>
        <v>-4.8149999999999888</v>
      </c>
      <c r="AL20">
        <f t="shared" ca="1" si="21"/>
        <v>-5.7742857142857051</v>
      </c>
      <c r="AN20">
        <f t="shared" si="32"/>
        <v>1.7933333333333401</v>
      </c>
      <c r="AO20">
        <f t="shared" si="33"/>
        <v>1.126666666666674</v>
      </c>
      <c r="AP20">
        <f t="shared" si="22"/>
        <v>1.7933333333333401</v>
      </c>
      <c r="AQ20">
        <f t="shared" si="23"/>
        <v>1.126666666666674</v>
      </c>
      <c r="AR20">
        <f t="shared" si="24"/>
        <v>0.12666666666667403</v>
      </c>
      <c r="AS20" s="30"/>
      <c r="AT20">
        <f t="shared" si="34"/>
        <v>-0.10916666666666153</v>
      </c>
      <c r="AU20">
        <f t="shared" si="35"/>
        <v>-0.47888888888888204</v>
      </c>
      <c r="AV20">
        <f t="shared" si="36"/>
        <v>1.5256410256416331E-2</v>
      </c>
      <c r="AW20">
        <f t="shared" si="37"/>
        <v>4.0576923076930171E-2</v>
      </c>
      <c r="AX20">
        <f t="shared" si="38"/>
        <v>-0.64833333333332632</v>
      </c>
      <c r="AZ20" s="6">
        <f t="shared" ca="1" si="39"/>
        <v>-0.61632415209883007</v>
      </c>
      <c r="BA20" s="6">
        <f t="shared" ca="1" si="40"/>
        <v>-0.77439847403326567</v>
      </c>
      <c r="BB20" s="6">
        <f t="shared" ca="1" si="25"/>
        <v>-0.63865723644259198</v>
      </c>
      <c r="BC20" s="6">
        <f t="shared" ca="1" si="26"/>
        <v>-0.51501041686440985</v>
      </c>
      <c r="BD20" s="2">
        <f t="shared" ca="1" si="27"/>
        <v>-0.83819037870391178</v>
      </c>
      <c r="BE20" t="s">
        <v>193</v>
      </c>
      <c r="BG20">
        <f ca="1">SLOPE(BG8:BM8,BG6:BM6)</f>
        <v>9.2989540995560227E-2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xOTH'!D$4,1))</f>
        <v>8.3400000000000034</v>
      </c>
      <c r="E21">
        <f ca="1">AVERAGE(OFFSET('Historical Trends'!$D$66,$B5,0,'Polling Correlations - xOTH'!E$4,1))</f>
        <v>7.6049999999999969</v>
      </c>
      <c r="F21">
        <f ca="1">AVERAGE(OFFSET('Historical Trends'!$D$66,$B5,0,'Polling Correlations - xOTH'!F$4,1))</f>
        <v>7.5033333333333347</v>
      </c>
      <c r="G21">
        <f ca="1">AVERAGE(OFFSET('Historical Trends'!$D$66,$B5,0,'Polling Correlations - xOTH'!G$4,1))</f>
        <v>6.6449999999999996</v>
      </c>
      <c r="H21">
        <f ca="1">AVERAGE(OFFSET('Historical Trends'!$D$66,$B5,0,'Polling Correlations - xOTH'!H$4,1))</f>
        <v>6.4099999999999966</v>
      </c>
      <c r="I21">
        <f ca="1">AVERAGE(OFFSET('Historical Trends'!$D$66,$B5,0,'Polling Correlations - xOTH'!I$4,1))</f>
        <v>6.3733333333333304</v>
      </c>
      <c r="J21">
        <f ca="1">AVERAGE(OFFSET('Historical Trends'!$D$66,$B5,0,'Polling Correlations - xOTH'!J$4,1))</f>
        <v>6.8071428571428543</v>
      </c>
      <c r="K21" s="13">
        <f>(10+8.5+8)/3</f>
        <v>8.8333333333333339</v>
      </c>
      <c r="L21">
        <f>(9+6+14.6)/3</f>
        <v>9.8666666666666671</v>
      </c>
      <c r="M21">
        <f>(5+7+7)/3</f>
        <v>6.333333333333333</v>
      </c>
      <c r="N21">
        <f>(5+7.9+5+7+7)/5</f>
        <v>6.38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5.8844444444444424</v>
      </c>
      <c r="R21" s="31">
        <f>L21-AVERAGE(AN$5:AN20,AN22:AN$31)</f>
        <v>7.8609722222222214</v>
      </c>
      <c r="S21" s="31">
        <f>M21-AVERAGE(AO$5:AO20,AO22:AO$31)</f>
        <v>4.5051388888888866</v>
      </c>
      <c r="T21" s="31">
        <f>N21-AVERAGE(AP$5:AP20,AP22:AP$31)</f>
        <v>4.3725641025641018</v>
      </c>
      <c r="U21" s="31">
        <f>O21-AVERAGE(AQ$5:AQ20,AQ22:AQ$31)</f>
        <v>9.1401923076923062</v>
      </c>
      <c r="V21" s="31">
        <f>P21-AVERAGE(AR$5:AR20,AR22:AR$31)</f>
        <v>8.970512820512818</v>
      </c>
      <c r="W21" s="13">
        <f t="shared" ca="1" si="2"/>
        <v>7.0874391968718671</v>
      </c>
      <c r="X21" s="6">
        <f t="shared" ca="1" si="3"/>
        <v>8.1061623213609337</v>
      </c>
      <c r="Y21" s="6">
        <f t="shared" ca="1" si="4"/>
        <v>6.3296726892962116</v>
      </c>
      <c r="Z21" s="6">
        <f t="shared" ca="1" si="5"/>
        <v>6.6988098446893467</v>
      </c>
      <c r="AA21" s="6">
        <f t="shared" ca="1" si="6"/>
        <v>8.7504099907987154</v>
      </c>
      <c r="AB21" s="2">
        <f t="shared" ca="1" si="7"/>
        <v>8.7054782053744333</v>
      </c>
      <c r="AC21" s="2">
        <f>'Historical Trends'!D65</f>
        <v>10.550000000000011</v>
      </c>
      <c r="AE21" s="13">
        <f t="shared" ca="1" si="14"/>
        <v>-2.130381569474423</v>
      </c>
      <c r="AF21">
        <f t="shared" ca="1" si="15"/>
        <v>-2.210000000000008</v>
      </c>
      <c r="AG21">
        <f t="shared" ca="1" si="16"/>
        <v>-2.9450000000000145</v>
      </c>
      <c r="AH21">
        <f t="shared" ca="1" si="17"/>
        <v>-3.0466666666666766</v>
      </c>
      <c r="AI21">
        <f t="shared" ca="1" si="18"/>
        <v>-3.9050000000000118</v>
      </c>
      <c r="AJ21">
        <f t="shared" ca="1" si="19"/>
        <v>-4.1400000000000148</v>
      </c>
      <c r="AK21">
        <f t="shared" ca="1" si="20"/>
        <v>-4.176666666666681</v>
      </c>
      <c r="AL21">
        <f t="shared" ca="1" si="21"/>
        <v>-3.7428571428571571</v>
      </c>
      <c r="AM21" s="13">
        <f>K21-$AC21</f>
        <v>-1.7166666666666774</v>
      </c>
      <c r="AN21">
        <f t="shared" si="32"/>
        <v>-0.68333333333334423</v>
      </c>
      <c r="AO21">
        <f t="shared" si="33"/>
        <v>-4.2166666666666783</v>
      </c>
      <c r="AP21">
        <f t="shared" si="22"/>
        <v>-4.1700000000000115</v>
      </c>
      <c r="AQ21">
        <f t="shared" si="23"/>
        <v>-0.27000000000001201</v>
      </c>
      <c r="AR21">
        <f t="shared" si="24"/>
        <v>-0.77000000000001201</v>
      </c>
      <c r="AS21" s="30">
        <f>Q21-$AC21</f>
        <v>-4.665555555555569</v>
      </c>
      <c r="AT21">
        <f t="shared" si="34"/>
        <v>-2.68902777777779</v>
      </c>
      <c r="AU21">
        <f t="shared" si="35"/>
        <v>-6.0448611111111248</v>
      </c>
      <c r="AV21">
        <f t="shared" si="36"/>
        <v>-6.1774358974359096</v>
      </c>
      <c r="AW21">
        <f t="shared" si="37"/>
        <v>-1.4098076923077052</v>
      </c>
      <c r="AX21">
        <f t="shared" si="38"/>
        <v>-1.5794871794871934</v>
      </c>
      <c r="AY21" s="13">
        <f ca="1">W21-$AC21</f>
        <v>-3.4625608031281443</v>
      </c>
      <c r="AZ21" s="6">
        <f t="shared" ca="1" si="39"/>
        <v>-2.4438376786390776</v>
      </c>
      <c r="BA21" s="6">
        <f t="shared" ca="1" si="40"/>
        <v>-4.2203273107037997</v>
      </c>
      <c r="BB21" s="6">
        <f t="shared" ca="1" si="25"/>
        <v>-3.8511901553106647</v>
      </c>
      <c r="BC21" s="6">
        <f t="shared" ca="1" si="26"/>
        <v>-1.799590009201296</v>
      </c>
      <c r="BD21" s="2">
        <f t="shared" ca="1" si="27"/>
        <v>-1.8445217946255781</v>
      </c>
      <c r="BE21" t="s">
        <v>194</v>
      </c>
      <c r="BG21">
        <f ca="1">INTERCEPT(BG8:BM8,BG6:BM6)</f>
        <v>1.4476969341674508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xOTH'!D$4,1))</f>
        <v>6.8699999999999903</v>
      </c>
      <c r="E22">
        <f ca="1">AVERAGE(OFFSET('Historical Trends'!$D$66,$B6,0,'Polling Correlations - xOTH'!E$4,1))</f>
        <v>7.0850000000000009</v>
      </c>
      <c r="F22">
        <f ca="1">AVERAGE(OFFSET('Historical Trends'!$D$66,$B6,0,'Polling Correlations - xOTH'!F$4,1))</f>
        <v>6.0799999999999983</v>
      </c>
      <c r="G22">
        <f ca="1">AVERAGE(OFFSET('Historical Trends'!$D$66,$B6,0,'Polling Correlations - xOTH'!G$4,1))</f>
        <v>5.9274999999999949</v>
      </c>
      <c r="H22">
        <f ca="1">AVERAGE(OFFSET('Historical Trends'!$D$66,$B6,0,'Polling Correlations - xOTH'!H$4,1))</f>
        <v>5.9799999999999951</v>
      </c>
      <c r="I22">
        <f ca="1">AVERAGE(OFFSET('Historical Trends'!$D$66,$B6,0,'Polling Correlations - xOTH'!I$4,1))</f>
        <v>6.5516666666666623</v>
      </c>
      <c r="J22">
        <f ca="1">AVERAGE(OFFSET('Historical Trends'!$D$66,$B6,0,'Polling Correlations - xOTH'!J$4,1))</f>
        <v>6.1699999999999973</v>
      </c>
      <c r="K22" s="13">
        <f>(7+9+11+9+6.5)/5</f>
        <v>8.5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(8.5+8+9+8+8)/5</f>
        <v>8.3000000000000007</v>
      </c>
      <c r="Q22" s="30">
        <f>K22-AVERAGE(AM$5:AM21,AM23:AM$31)</f>
        <v>5.6404761904761882</v>
      </c>
      <c r="R22" s="31">
        <f>L22-AVERAGE(AN$5:AN21,AN23:AN$31)</f>
        <v>6.8211111111111089</v>
      </c>
      <c r="S22" s="31">
        <f>M22-AVERAGE(AO$5:AO21,AO23:AO$31)</f>
        <v>7.3541666666666652</v>
      </c>
      <c r="T22" s="31">
        <f>N22-AVERAGE(AP$5:AP21,AP23:AP$31)</f>
        <v>7.3860256410256397</v>
      </c>
      <c r="U22" s="31">
        <f>O22-AVERAGE(AQ$5:AQ21,AQ23:AQ$31)</f>
        <v>9.2667307692307688</v>
      </c>
      <c r="V22" s="31">
        <f>P22-AVERAGE(AR$5:AR21,AR23:AR$31)</f>
        <v>7.5185897435897431</v>
      </c>
      <c r="W22" s="13">
        <f t="shared" ca="1" si="2"/>
        <v>6.2428289605022229</v>
      </c>
      <c r="X22" s="6">
        <f t="shared" ca="1" si="3"/>
        <v>6.8461348614436144</v>
      </c>
      <c r="Y22" s="6">
        <f t="shared" ca="1" si="4"/>
        <v>7.1238119229695869</v>
      </c>
      <c r="Z22" s="6">
        <f t="shared" ca="1" si="5"/>
        <v>7.0834618488698116</v>
      </c>
      <c r="AA22" s="6">
        <f t="shared" ca="1" si="6"/>
        <v>8.0992573216352657</v>
      </c>
      <c r="AB22" s="2">
        <f t="shared" ca="1" si="7"/>
        <v>7.2459565353780473</v>
      </c>
      <c r="AC22" s="2">
        <f>'Historical Trends'!D66</f>
        <v>8.3400000000000034</v>
      </c>
      <c r="AE22" s="13">
        <f t="shared" ca="1" si="14"/>
        <v>-2.8587701767870612</v>
      </c>
      <c r="AF22">
        <f t="shared" ca="1" si="15"/>
        <v>-1.4700000000000131</v>
      </c>
      <c r="AG22">
        <f t="shared" ca="1" si="16"/>
        <v>-1.2550000000000026</v>
      </c>
      <c r="AH22">
        <f t="shared" ca="1" si="17"/>
        <v>-2.2600000000000051</v>
      </c>
      <c r="AI22">
        <f t="shared" ca="1" si="18"/>
        <v>-2.4125000000000085</v>
      </c>
      <c r="AJ22">
        <f t="shared" ca="1" si="19"/>
        <v>-2.3600000000000083</v>
      </c>
      <c r="AK22">
        <f t="shared" ca="1" si="20"/>
        <v>-1.7883333333333411</v>
      </c>
      <c r="AL22">
        <f t="shared" ca="1" si="21"/>
        <v>-2.1700000000000061</v>
      </c>
      <c r="AM22" s="13">
        <f>K22-$AC22</f>
        <v>0.15999999999999659</v>
      </c>
      <c r="AN22">
        <f t="shared" si="32"/>
        <v>0.43999999999999595</v>
      </c>
      <c r="AO22">
        <f t="shared" si="33"/>
        <v>0.63999999999999702</v>
      </c>
      <c r="AP22">
        <f t="shared" si="22"/>
        <v>0.85999999999999588</v>
      </c>
      <c r="AQ22">
        <f t="shared" si="23"/>
        <v>1.9799999999999969</v>
      </c>
      <c r="AR22">
        <f t="shared" si="24"/>
        <v>-4.00000000000027E-2</v>
      </c>
      <c r="AS22" s="30">
        <f>Q22-$AC22</f>
        <v>-2.6995238095238152</v>
      </c>
      <c r="AT22">
        <f t="shared" si="34"/>
        <v>-1.5188888888888945</v>
      </c>
      <c r="AU22">
        <f t="shared" si="35"/>
        <v>-0.98583333333333822</v>
      </c>
      <c r="AV22">
        <f t="shared" si="36"/>
        <v>-0.95397435897436367</v>
      </c>
      <c r="AW22">
        <f t="shared" si="37"/>
        <v>0.92673076923076536</v>
      </c>
      <c r="AX22">
        <f t="shared" si="38"/>
        <v>-0.82141025641026033</v>
      </c>
      <c r="AY22" s="13">
        <f ca="1">W22-$AC22</f>
        <v>-2.0971710394977805</v>
      </c>
      <c r="AZ22" s="6">
        <f t="shared" ca="1" si="39"/>
        <v>-1.493865138556389</v>
      </c>
      <c r="BA22" s="6">
        <f t="shared" ca="1" si="40"/>
        <v>-1.2161880770304165</v>
      </c>
      <c r="BB22" s="6">
        <f t="shared" ca="1" si="25"/>
        <v>-1.2565381511301918</v>
      </c>
      <c r="BC22" s="6">
        <f t="shared" ca="1" si="26"/>
        <v>-0.24074267836473773</v>
      </c>
      <c r="BD22" s="2">
        <f t="shared" ca="1" si="27"/>
        <v>-1.0940434646219561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0.56666811205917611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xOTH'!D$4,1))</f>
        <v>7.3000000000000114</v>
      </c>
      <c r="E23">
        <f ca="1">AVERAGE(OFFSET('Historical Trends'!$D$66,$B7,0,'Polling Correlations - xOTH'!E$4,1))</f>
        <v>5.6850000000000023</v>
      </c>
      <c r="F23">
        <f ca="1">AVERAGE(OFFSET('Historical Trends'!$D$66,$B7,0,'Polling Correlations - xOTH'!F$4,1))</f>
        <v>5.6133333333333297</v>
      </c>
      <c r="G23">
        <f ca="1">AVERAGE(OFFSET('Historical Trends'!$D$66,$B7,0,'Polling Correlations - xOTH'!G$4,1))</f>
        <v>5.7574999999999967</v>
      </c>
      <c r="H23">
        <f ca="1">AVERAGE(OFFSET('Historical Trends'!$D$66,$B7,0,'Polling Correlations - xOTH'!H$4,1))</f>
        <v>6.4879999999999969</v>
      </c>
      <c r="I23">
        <f ca="1">AVERAGE(OFFSET('Historical Trends'!$D$66,$B7,0,'Polling Correlations - xOTH'!I$4,1))</f>
        <v>6.0533333333333319</v>
      </c>
      <c r="J23">
        <f ca="1">AVERAGE(OFFSET('Historical Trends'!$D$66,$B7,0,'Polling Correlations - xOTH'!J$4,1))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(8+6+5+10+9)/5</f>
        <v>7.6</v>
      </c>
      <c r="P23">
        <f>(7+7+6+5+6)/5</f>
        <v>6.2</v>
      </c>
      <c r="Q23" s="30">
        <f>K23-AVERAGE(AM$5:AM22,AM24:AM$31)</f>
        <v>4.5580952380952366</v>
      </c>
      <c r="R23" s="31">
        <f>L23-AVERAGE(AN$5:AN22,AN24:AN$31)</f>
        <v>5.0281944444444431</v>
      </c>
      <c r="S23" s="31">
        <f>M23-AVERAGE(AO$5:AO22,AO24:AO$31)</f>
        <v>6.3945833333333324</v>
      </c>
      <c r="T23" s="31">
        <f>N23-AVERAGE(AP$5:AP22,AP24:AP$31)</f>
        <v>7.0271794871794881</v>
      </c>
      <c r="U23" s="31">
        <f>O23-AVERAGE(AQ$5:AQ22,AQ24:AQ$31)</f>
        <v>6.4986538461538448</v>
      </c>
      <c r="V23" s="31">
        <f>P23-AVERAGE(AR$5:AR22,AR24:AR$31)</f>
        <v>5.3943589743589744</v>
      </c>
      <c r="W23" s="13">
        <f t="shared" ca="1" si="2"/>
        <v>5.9013745757443239</v>
      </c>
      <c r="X23" s="6">
        <f t="shared" ca="1" si="3"/>
        <v>6.1910168427082546</v>
      </c>
      <c r="Y23" s="6">
        <f t="shared" ca="1" si="4"/>
        <v>6.8253585984398297</v>
      </c>
      <c r="Z23" s="6">
        <f t="shared" ca="1" si="5"/>
        <v>7.1871436485975293</v>
      </c>
      <c r="AA23" s="6">
        <f t="shared" ca="1" si="6"/>
        <v>6.8889982139730312</v>
      </c>
      <c r="AB23" s="2">
        <f t="shared" ca="1" si="7"/>
        <v>6.1953908001859403</v>
      </c>
      <c r="AC23" s="2">
        <f>'Historical Trends'!D67</f>
        <v>6.8699999999999903</v>
      </c>
      <c r="AE23" s="13">
        <f t="shared" ca="1" si="14"/>
        <v>-0.65232897770944831</v>
      </c>
      <c r="AF23">
        <f t="shared" ca="1" si="15"/>
        <v>0.43000000000002103</v>
      </c>
      <c r="AG23">
        <f t="shared" ca="1" si="16"/>
        <v>-1.1849999999999881</v>
      </c>
      <c r="AH23">
        <f t="shared" ca="1" si="17"/>
        <v>-1.2566666666666606</v>
      </c>
      <c r="AI23">
        <f t="shared" ca="1" si="18"/>
        <v>-1.1124999999999936</v>
      </c>
      <c r="AJ23">
        <f t="shared" ca="1" si="19"/>
        <v>-0.38199999999999346</v>
      </c>
      <c r="AK23">
        <f t="shared" ca="1" si="20"/>
        <v>-0.81666666666665844</v>
      </c>
      <c r="AL23">
        <f t="shared" ca="1" si="21"/>
        <v>-1.5614285714285625</v>
      </c>
      <c r="AM23" s="13">
        <f>K23-$AC23</f>
        <v>0.53000000000001002</v>
      </c>
      <c r="AN23">
        <f t="shared" si="32"/>
        <v>0.13000000000000966</v>
      </c>
      <c r="AO23">
        <f t="shared" si="33"/>
        <v>1.1300000000000097</v>
      </c>
      <c r="AP23">
        <f t="shared" si="22"/>
        <v>1.9300000000000104</v>
      </c>
      <c r="AQ23">
        <f t="shared" si="23"/>
        <v>0.73000000000000931</v>
      </c>
      <c r="AR23">
        <f t="shared" si="24"/>
        <v>-0.66999999999999016</v>
      </c>
      <c r="AS23" s="30">
        <f>Q23-$AC23</f>
        <v>-2.3119047619047537</v>
      </c>
      <c r="AT23">
        <f t="shared" si="34"/>
        <v>-1.8418055555555473</v>
      </c>
      <c r="AU23">
        <f t="shared" si="35"/>
        <v>-0.47541666666665794</v>
      </c>
      <c r="AV23">
        <f t="shared" si="36"/>
        <v>0.15717948717949781</v>
      </c>
      <c r="AW23">
        <f t="shared" si="37"/>
        <v>-0.37134615384614555</v>
      </c>
      <c r="AX23">
        <f t="shared" si="38"/>
        <v>-1.475641025641016</v>
      </c>
      <c r="AY23" s="13">
        <f ca="1">W23-$AC23</f>
        <v>-0.96862542425566645</v>
      </c>
      <c r="AZ23" s="6">
        <f t="shared" ca="1" si="39"/>
        <v>-0.67898315729173575</v>
      </c>
      <c r="BA23" s="6">
        <f t="shared" ca="1" si="40"/>
        <v>-4.464140156016061E-2</v>
      </c>
      <c r="BB23" s="6">
        <f t="shared" ca="1" si="25"/>
        <v>0.31714364859753896</v>
      </c>
      <c r="BC23" s="6">
        <f t="shared" ca="1" si="26"/>
        <v>1.8998213973040912E-2</v>
      </c>
      <c r="BD23" s="2">
        <f t="shared" ca="1" si="27"/>
        <v>-0.67460919981404999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0.56528528745182882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xOTH'!D$4,1))</f>
        <v>4.0699999999999932</v>
      </c>
      <c r="E24">
        <f ca="1">AVERAGE(OFFSET('Historical Trends'!$D$66,$B8,0,'Polling Correlations - xOTH'!E$4,1))</f>
        <v>4.7699999999999889</v>
      </c>
      <c r="F24">
        <f ca="1">AVERAGE(OFFSET('Historical Trends'!$D$66,$B8,0,'Polling Correlations - xOTH'!F$4,1))</f>
        <v>5.2433333333333252</v>
      </c>
      <c r="G24">
        <f ca="1">AVERAGE(OFFSET('Historical Trends'!$D$66,$B8,0,'Polling Correlations - xOTH'!G$4,1))</f>
        <v>6.284999999999993</v>
      </c>
      <c r="H24">
        <f ca="1">AVERAGE(OFFSET('Historical Trends'!$D$66,$B8,0,'Polling Correlations - xOTH'!H$4,1))</f>
        <v>5.8039999999999967</v>
      </c>
      <c r="I24">
        <f ca="1">AVERAGE(OFFSET('Historical Trends'!$D$66,$B8,0,'Polling Correlations - xOTH'!I$4,1))</f>
        <v>4.9766666666666639</v>
      </c>
      <c r="J24">
        <f ca="1">AVERAGE(OFFSET('Historical Trends'!$D$66,$B8,0,'Polling Correlations - xOTH'!J$4,1))</f>
        <v>4.4157142857142828</v>
      </c>
      <c r="L24">
        <f>(7+11+11)/3</f>
        <v>9.6666666666666661</v>
      </c>
      <c r="M24">
        <f>(7+11+11)/3</f>
        <v>9.6666666666666661</v>
      </c>
      <c r="N24">
        <f>(5+8+14)/3</f>
        <v>9</v>
      </c>
      <c r="O24">
        <f>(5+11+5)/3</f>
        <v>7</v>
      </c>
      <c r="P24">
        <f>(9+7+7)/3</f>
        <v>7.666666666666667</v>
      </c>
      <c r="Q24" s="30"/>
      <c r="R24" s="31">
        <f>L24-AVERAGE(AN$5:AN23,AN25:AN$31)</f>
        <v>7.7880555555555526</v>
      </c>
      <c r="S24" s="31">
        <f>M24-AVERAGE(AO$5:AO23,AO25:AO$31)</f>
        <v>8.1127777777777759</v>
      </c>
      <c r="T24" s="31">
        <f>N24-AVERAGE(AP$5:AP23,AP25:AP$31)</f>
        <v>7.2183333333333319</v>
      </c>
      <c r="U24" s="31">
        <f>O24-AVERAGE(AQ$5:AQ23,AQ25:AQ$31)</f>
        <v>5.8590384615384599</v>
      </c>
      <c r="V24" s="31">
        <f>P24-AVERAGE(AR$5:AR23,AR25:AR$31)</f>
        <v>6.9008974358974351</v>
      </c>
      <c r="W24" s="13">
        <f t="shared" ca="1" si="2"/>
        <v>1.993922976534678</v>
      </c>
      <c r="X24" s="6">
        <f t="shared" ca="1" si="3"/>
        <v>5.8849709066882738</v>
      </c>
      <c r="Y24" s="6">
        <f t="shared" ca="1" si="4"/>
        <v>6.1893222759032911</v>
      </c>
      <c r="Z24" s="6">
        <f t="shared" ca="1" si="5"/>
        <v>5.3723559311046216</v>
      </c>
      <c r="AA24" s="6">
        <f t="shared" ca="1" si="6"/>
        <v>4.9875785014180281</v>
      </c>
      <c r="AB24" s="2">
        <f t="shared" ca="1" si="7"/>
        <v>5.7109362043255052</v>
      </c>
      <c r="AC24" s="2">
        <f>'Historical Trends'!D68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2.3666666666666547</v>
      </c>
      <c r="AO24">
        <f t="shared" si="33"/>
        <v>2.3666666666666547</v>
      </c>
      <c r="AP24">
        <f t="shared" si="22"/>
        <v>1.6999999999999886</v>
      </c>
      <c r="AQ24">
        <f t="shared" si="23"/>
        <v>-0.30000000000001137</v>
      </c>
      <c r="AR24">
        <f t="shared" si="24"/>
        <v>0.36666666666665559</v>
      </c>
      <c r="AS24" s="30"/>
      <c r="AT24">
        <f t="shared" si="34"/>
        <v>0.48805555555554125</v>
      </c>
      <c r="AU24">
        <f t="shared" si="35"/>
        <v>0.8127777777777645</v>
      </c>
      <c r="AV24">
        <f t="shared" si="36"/>
        <v>-8.1666666666679433E-2</v>
      </c>
      <c r="AW24">
        <f t="shared" si="37"/>
        <v>-1.4409615384615515</v>
      </c>
      <c r="AX24">
        <f t="shared" si="38"/>
        <v>-0.39910256410257627</v>
      </c>
      <c r="AZ24" s="6">
        <f t="shared" ca="1" si="39"/>
        <v>-1.4150290933117375</v>
      </c>
      <c r="BA24" s="6">
        <f t="shared" ca="1" si="40"/>
        <v>-1.1106777240967203</v>
      </c>
      <c r="BB24" s="6">
        <f t="shared" ca="1" si="25"/>
        <v>-1.9276440688953898</v>
      </c>
      <c r="BC24" s="6">
        <f t="shared" ca="1" si="26"/>
        <v>-2.3124214985819833</v>
      </c>
      <c r="BD24" s="2">
        <f t="shared" ca="1" si="27"/>
        <v>-1.5890637956745062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0.56390239313149948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xOTH'!D$4,1))</f>
        <v>5.3299999999999983</v>
      </c>
      <c r="E25">
        <f ca="1">AVERAGE(OFFSET('Historical Trends'!$D$84,$B5,0,'Polling Correlations - xOTH'!E$4,1))</f>
        <v>7.1049999999999969</v>
      </c>
      <c r="F25">
        <f ca="1">AVERAGE(OFFSET('Historical Trends'!$D$84,$B5,0,'Polling Correlations - xOTH'!F$4,1))</f>
        <v>7.9299999999999971</v>
      </c>
      <c r="G25">
        <f ca="1">AVERAGE(OFFSET('Historical Trends'!$D$84,$B5,0,'Polling Correlations - xOTH'!G$4,1))</f>
        <v>8.16</v>
      </c>
      <c r="H25">
        <f ca="1">AVERAGE(OFFSET('Historical Trends'!$D$84,$B5,0,'Polling Correlations - xOTH'!H$4,1))</f>
        <v>8.2640000000000011</v>
      </c>
      <c r="I25">
        <f ca="1">AVERAGE(OFFSET('Historical Trends'!$D$84,$B5,0,'Polling Correlations - xOTH'!I$4,1))</f>
        <v>8.0250000000000039</v>
      </c>
      <c r="J25">
        <f ca="1">AVERAGE(OFFSET('Historical Trends'!$D$84,$B5,0,'Polling Correlations - xOTH'!J$4,1))</f>
        <v>8.0485714285714316</v>
      </c>
      <c r="K25" s="13">
        <f>(11+10+13+16+10)/5</f>
        <v>12</v>
      </c>
      <c r="L25">
        <f>(10+10+9.5+12.5+6)/5</f>
        <v>9.6</v>
      </c>
      <c r="M25">
        <f>(12.2+12+9+7+7)/5</f>
        <v>9.4400000000000013</v>
      </c>
      <c r="N25">
        <f>(13+13.6+12.2+12+9)/5</f>
        <v>11.959999999999999</v>
      </c>
      <c r="O25">
        <f>(5+4.5+6+6)/4</f>
        <v>5.375</v>
      </c>
      <c r="P25">
        <f>(4.9+7+7+4.2+3.4)/5</f>
        <v>5.2999999999999989</v>
      </c>
      <c r="Q25" s="30">
        <f>K25-AVERAGE(AM$5:AM24,AM26:AM$31)</f>
        <v>9.3552380952380929</v>
      </c>
      <c r="R25" s="31">
        <f>L25-AVERAGE(AN$5:AN24,AN26:AN$31)</f>
        <v>7.71736111111111</v>
      </c>
      <c r="S25" s="31">
        <f>M25-AVERAGE(AO$5:AO24,AO26:AO$31)</f>
        <v>7.8754166666666672</v>
      </c>
      <c r="T25" s="31">
        <f>N25-AVERAGE(AP$5:AP24,AP26:AP$31)</f>
        <v>10.291025641025641</v>
      </c>
      <c r="U25" s="31">
        <f>O25-AVERAGE(AQ$5:AQ24,AQ26:AQ$31)</f>
        <v>4.1703846153846147</v>
      </c>
      <c r="V25" s="31">
        <f>P25-AVERAGE(AR$5:AR24,AR26:AR$31)</f>
        <v>4.4420512820512803</v>
      </c>
      <c r="W25" s="13">
        <f t="shared" ca="1" si="2"/>
        <v>7.3832443055285273</v>
      </c>
      <c r="X25" s="6">
        <f t="shared" ca="1" si="3"/>
        <v>6.4953916666068281</v>
      </c>
      <c r="Y25" s="6">
        <f t="shared" ca="1" si="4"/>
        <v>6.6643692232540772</v>
      </c>
      <c r="Z25" s="6">
        <f t="shared" ca="1" si="5"/>
        <v>7.3822036531345265</v>
      </c>
      <c r="AA25" s="6">
        <f t="shared" ca="1" si="6"/>
        <v>4.7352457955981144</v>
      </c>
      <c r="AB25" s="2">
        <f t="shared" ca="1" si="7"/>
        <v>4.8152984850704907</v>
      </c>
      <c r="AC25" s="2">
        <f>'Historical Trends'!D83</f>
        <v>7.3299999999999841</v>
      </c>
      <c r="AE25" s="13">
        <f t="shared" ca="1" si="14"/>
        <v>-1.0627962085294484E-2</v>
      </c>
      <c r="AF25">
        <f t="shared" ca="1" si="15"/>
        <v>-1.9999999999999858</v>
      </c>
      <c r="AG25">
        <f t="shared" ca="1" si="16"/>
        <v>-0.22499999999998721</v>
      </c>
      <c r="AH25">
        <f t="shared" ca="1" si="17"/>
        <v>0.60000000000001297</v>
      </c>
      <c r="AI25">
        <f t="shared" ca="1" si="18"/>
        <v>0.83000000000001606</v>
      </c>
      <c r="AJ25">
        <f t="shared" ca="1" si="19"/>
        <v>0.93400000000001704</v>
      </c>
      <c r="AK25">
        <f t="shared" ca="1" si="20"/>
        <v>0.69500000000001982</v>
      </c>
      <c r="AL25">
        <f t="shared" ca="1" si="21"/>
        <v>0.71857142857144751</v>
      </c>
      <c r="AM25" s="13">
        <f t="shared" ref="AM25:AM30" si="47">K25-$AC25</f>
        <v>4.6700000000000159</v>
      </c>
      <c r="AN25">
        <f t="shared" si="32"/>
        <v>2.2700000000000156</v>
      </c>
      <c r="AO25">
        <f t="shared" si="33"/>
        <v>2.1100000000000172</v>
      </c>
      <c r="AP25">
        <f t="shared" si="22"/>
        <v>4.630000000000015</v>
      </c>
      <c r="AQ25">
        <f t="shared" si="23"/>
        <v>-1.9549999999999841</v>
      </c>
      <c r="AR25">
        <f t="shared" si="24"/>
        <v>-2.0299999999999851</v>
      </c>
      <c r="AS25" s="30">
        <f t="shared" ref="AS25:AS30" si="48">Q25-$AC25</f>
        <v>2.0252380952381088</v>
      </c>
      <c r="AT25">
        <f t="shared" si="34"/>
        <v>0.38736111111112592</v>
      </c>
      <c r="AU25">
        <f t="shared" si="35"/>
        <v>0.54541666666668309</v>
      </c>
      <c r="AV25">
        <f t="shared" si="36"/>
        <v>2.9610256410256568</v>
      </c>
      <c r="AW25">
        <f t="shared" si="37"/>
        <v>-3.1596153846153694</v>
      </c>
      <c r="AX25">
        <f t="shared" si="38"/>
        <v>-2.8879487179487038</v>
      </c>
      <c r="AY25" s="13">
        <f t="shared" ref="AY25:AY30" ca="1" si="49">W25-$AC25</f>
        <v>5.3244305528543201E-2</v>
      </c>
      <c r="AZ25" s="6">
        <f t="shared" ca="1" si="39"/>
        <v>-0.83460833339315599</v>
      </c>
      <c r="BA25" s="6">
        <f t="shared" ca="1" si="40"/>
        <v>-0.66563077674590687</v>
      </c>
      <c r="BB25" s="6">
        <f t="shared" ca="1" si="25"/>
        <v>5.2203653134542449E-2</v>
      </c>
      <c r="BC25" s="6">
        <f t="shared" ca="1" si="26"/>
        <v>-2.5947542044018697</v>
      </c>
      <c r="BD25" s="2">
        <f t="shared" ca="1" si="27"/>
        <v>-2.5147015149294933</v>
      </c>
      <c r="BP25">
        <f t="shared" si="45"/>
        <v>4</v>
      </c>
      <c r="BQ25">
        <f t="shared" si="41"/>
        <v>1.3862943611198906</v>
      </c>
      <c r="BR25">
        <f>MAX(0,(0.94+1/(8.3*0.97))-1/((8.3-MIN(8.2,BQ25)) * 0.97))</f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0.56251942909290875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xOTH'!D$4,1))</f>
        <v>8.8799999999999955</v>
      </c>
      <c r="E26">
        <f ca="1">AVERAGE(OFFSET('Historical Trends'!$D$84,$B6,0,'Polling Correlations - xOTH'!E$4,1))</f>
        <v>9.2299999999999969</v>
      </c>
      <c r="F26">
        <f ca="1">AVERAGE(OFFSET('Historical Trends'!$D$84,$B6,0,'Polling Correlations - xOTH'!F$4,1))</f>
        <v>9.1033333333333335</v>
      </c>
      <c r="G26">
        <f ca="1">AVERAGE(OFFSET('Historical Trends'!$D$84,$B6,0,'Polling Correlations - xOTH'!G$4,1))</f>
        <v>8.9975000000000023</v>
      </c>
      <c r="H26">
        <f ca="1">AVERAGE(OFFSET('Historical Trends'!$D$84,$B6,0,'Polling Correlations - xOTH'!H$4,1))</f>
        <v>8.5640000000000036</v>
      </c>
      <c r="I26">
        <f ca="1">AVERAGE(OFFSET('Historical Trends'!$D$84,$B6,0,'Polling Correlations - xOTH'!I$4,1))</f>
        <v>8.5016666666666705</v>
      </c>
      <c r="J26">
        <f ca="1">AVERAGE(OFFSET('Historical Trends'!$D$84,$B6,0,'Polling Correlations - xOTH'!J$4,1))</f>
        <v>7.4742857142857178</v>
      </c>
      <c r="K26" s="13">
        <f>(9+9+9+8+7)/5</f>
        <v>8.4</v>
      </c>
      <c r="L26">
        <f>(9+6+9+10+9)/5</f>
        <v>8.6</v>
      </c>
      <c r="M26">
        <f>(10+8+9+6+9)/5</f>
        <v>8.4</v>
      </c>
      <c r="N26">
        <f>(9+10+8+9+6)/5</f>
        <v>8.4</v>
      </c>
      <c r="O26">
        <f>(6+5+9+10+8)/5</f>
        <v>7.6</v>
      </c>
      <c r="P26">
        <f>(6+6+6+5+8)/5</f>
        <v>6.2</v>
      </c>
      <c r="Q26" s="30">
        <f>K26-AVERAGE(AM$5:AM25,AM27:AM$31)</f>
        <v>5.6790476190476173</v>
      </c>
      <c r="R26" s="31">
        <f>L26-AVERAGE(AN$5:AN25,AN27:AN$31)</f>
        <v>6.7590277777777761</v>
      </c>
      <c r="S26" s="31">
        <f>M26-AVERAGE(AO$5:AO25,AO27:AO$31)</f>
        <v>6.8754166666666654</v>
      </c>
      <c r="T26" s="31">
        <f>N26-AVERAGE(AP$5:AP25,AP27:AP$31)</f>
        <v>6.6710256410256408</v>
      </c>
      <c r="U26" s="31">
        <f>O26-AVERAGE(AQ$5:AQ25,AQ27:AQ$31)</f>
        <v>6.557884615384614</v>
      </c>
      <c r="V26" s="31">
        <f>P26-AVERAGE(AR$5:AR25,AR27:AR$31)</f>
        <v>5.4535897435897427</v>
      </c>
      <c r="W26" s="13">
        <f t="shared" ca="1" si="2"/>
        <v>7.2472177662649004</v>
      </c>
      <c r="X26" s="6">
        <f t="shared" ca="1" si="3"/>
        <v>7.8446462190498032</v>
      </c>
      <c r="Y26" s="6">
        <f t="shared" ca="1" si="4"/>
        <v>7.8291487423350166</v>
      </c>
      <c r="Z26" s="6">
        <f t="shared" ca="1" si="5"/>
        <v>7.9662241848380182</v>
      </c>
      <c r="AA26" s="6">
        <f t="shared" ca="1" si="6"/>
        <v>7.6890121031255774</v>
      </c>
      <c r="AB26" s="2">
        <f t="shared" ca="1" si="7"/>
        <v>6.8938734207325947</v>
      </c>
      <c r="AC26" s="2">
        <f>'Historical Trends'!D84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3.0700000000000021</v>
      </c>
      <c r="AN26">
        <f t="shared" si="32"/>
        <v>3.2700000000000014</v>
      </c>
      <c r="AO26">
        <f t="shared" si="33"/>
        <v>3.0700000000000021</v>
      </c>
      <c r="AP26">
        <f t="shared" si="22"/>
        <v>3.0700000000000021</v>
      </c>
      <c r="AQ26">
        <f t="shared" si="23"/>
        <v>2.2700000000000014</v>
      </c>
      <c r="AR26">
        <f t="shared" si="24"/>
        <v>0.87000000000000188</v>
      </c>
      <c r="AS26" s="30">
        <f t="shared" si="48"/>
        <v>0.34904761904761905</v>
      </c>
      <c r="AT26">
        <f t="shared" si="34"/>
        <v>1.4290277777777778</v>
      </c>
      <c r="AU26">
        <f t="shared" si="35"/>
        <v>1.5454166666666671</v>
      </c>
      <c r="AV26">
        <f t="shared" si="36"/>
        <v>1.3410256410256425</v>
      </c>
      <c r="AW26">
        <f t="shared" si="37"/>
        <v>1.2278846153846157</v>
      </c>
      <c r="AX26">
        <f t="shared" si="38"/>
        <v>0.12358974358974439</v>
      </c>
      <c r="AY26" s="13">
        <f t="shared" ca="1" si="49"/>
        <v>1.9172177662649021</v>
      </c>
      <c r="AZ26" s="6">
        <f t="shared" ca="1" si="39"/>
        <v>2.5146462190498049</v>
      </c>
      <c r="BA26" s="6">
        <f t="shared" ca="1" si="40"/>
        <v>2.4991487423350183</v>
      </c>
      <c r="BB26" s="6">
        <f t="shared" ca="1" si="25"/>
        <v>2.6362241848380199</v>
      </c>
      <c r="BC26" s="6">
        <f t="shared" ca="1" si="26"/>
        <v>2.3590121031255791</v>
      </c>
      <c r="BD26" s="2">
        <f t="shared" ca="1" si="27"/>
        <v>1.5638734207325964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0.56113639533079152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xOTH'!D$4,1))</f>
        <v>9.5799999999999983</v>
      </c>
      <c r="E27">
        <f ca="1">AVERAGE(OFFSET('Historical Trends'!$D$84,$B7,0,'Polling Correlations - xOTH'!E$4,1))</f>
        <v>9.2150000000000034</v>
      </c>
      <c r="F27">
        <f ca="1">AVERAGE(OFFSET('Historical Trends'!$D$84,$B7,0,'Polling Correlations - xOTH'!F$4,1))</f>
        <v>9.0366666666666706</v>
      </c>
      <c r="G27">
        <f ca="1">AVERAGE(OFFSET('Historical Trends'!$D$84,$B7,0,'Polling Correlations - xOTH'!G$4,1))</f>
        <v>8.4850000000000065</v>
      </c>
      <c r="H27">
        <f ca="1">AVERAGE(OFFSET('Historical Trends'!$D$84,$B7,0,'Polling Correlations - xOTH'!H$4,1))</f>
        <v>8.4260000000000055</v>
      </c>
      <c r="I27">
        <f ca="1">AVERAGE(OFFSET('Historical Trends'!$D$84,$B7,0,'Polling Correlations - xOTH'!I$4,1))</f>
        <v>7.2400000000000047</v>
      </c>
      <c r="J27">
        <f ca="1">AVERAGE(OFFSET('Historical Trends'!$D$84,$B7,0,'Polling Correlations - xOTH'!J$4,1))</f>
        <v>6.358571428571433</v>
      </c>
      <c r="K27" s="13">
        <f>(12+14+11)/3</f>
        <v>12.333333333333334</v>
      </c>
      <c r="L27">
        <f>(8+7+7)/3</f>
        <v>7.333333333333333</v>
      </c>
      <c r="M27">
        <f>(8+8+7)/3</f>
        <v>7.666666666666667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9.6306349206349182</v>
      </c>
      <c r="R27" s="31">
        <f>L27-AVERAGE(AN$5:AN26,AN28:AN$31)</f>
        <v>5.2916666666666652</v>
      </c>
      <c r="S27" s="31">
        <f>M27-AVERAGE(AO$5:AO26,AO28:AO$31)</f>
        <v>5.9636111111111099</v>
      </c>
      <c r="T27" s="31">
        <f>N27-AVERAGE(AP$5:AP26,AP28:AP$31)</f>
        <v>5.7729487179487178</v>
      </c>
      <c r="U27" s="31">
        <f>O27-AVERAGE(AQ$5:AQ26,AQ28:AQ$31)</f>
        <v>6.4905769230769224</v>
      </c>
      <c r="V27" s="31">
        <f>P27-AVERAGE(AR$5:AR26,AR28:AR$31)</f>
        <v>6.4939743589743575</v>
      </c>
      <c r="W27" s="13">
        <f t="shared" ca="1" si="2"/>
        <v>9.6058285000774291</v>
      </c>
      <c r="X27" s="6">
        <f t="shared" ca="1" si="3"/>
        <v>7.4866476759466831</v>
      </c>
      <c r="Y27" s="6">
        <f t="shared" ca="1" si="4"/>
        <v>7.6842011330228779</v>
      </c>
      <c r="Z27" s="6">
        <f t="shared" ca="1" si="5"/>
        <v>8.005155378338074</v>
      </c>
      <c r="AA27" s="6">
        <f t="shared" ca="1" si="6"/>
        <v>7.9954682763322928</v>
      </c>
      <c r="AB27" s="2">
        <f t="shared" ca="1" si="7"/>
        <v>7.7911781452688125</v>
      </c>
      <c r="AC27" s="2">
        <f>'Historical Trends'!D85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-1.5466666666666624</v>
      </c>
      <c r="AO27">
        <f t="shared" si="33"/>
        <v>-1.2133333333333285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0.75063492063492276</v>
      </c>
      <c r="AT27">
        <f t="shared" si="34"/>
        <v>-3.5883333333333303</v>
      </c>
      <c r="AU27">
        <f t="shared" si="35"/>
        <v>-2.9163888888888856</v>
      </c>
      <c r="AV27">
        <f t="shared" si="36"/>
        <v>-3.1070512820512777</v>
      </c>
      <c r="AW27">
        <f t="shared" si="37"/>
        <v>-2.3894230769230731</v>
      </c>
      <c r="AX27">
        <f t="shared" si="38"/>
        <v>-2.386025641025638</v>
      </c>
      <c r="AY27" s="13">
        <f t="shared" ca="1" si="49"/>
        <v>0.7258285000774336</v>
      </c>
      <c r="AZ27" s="6">
        <f t="shared" ca="1" si="39"/>
        <v>-1.3933523240533123</v>
      </c>
      <c r="BA27" s="6">
        <f t="shared" ca="1" si="40"/>
        <v>-1.1957988669771176</v>
      </c>
      <c r="BB27" s="6">
        <f t="shared" ca="1" si="25"/>
        <v>-0.87484462166192145</v>
      </c>
      <c r="BC27" s="6">
        <f t="shared" ca="1" si="26"/>
        <v>-0.88453172366770261</v>
      </c>
      <c r="BD27" s="2">
        <f t="shared" ca="1" si="27"/>
        <v>-1.088821854731183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0.55975329183988976</v>
      </c>
    </row>
    <row r="28" spans="1:74" x14ac:dyDescent="0.25">
      <c r="A28" t="s">
        <v>123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xOTH'!D$4,1))</f>
        <v>10.590000000000003</v>
      </c>
      <c r="E28">
        <f ca="1">AVERAGE(OFFSET('Historical Trends'!$D$101,$B5,0,'Polling Correlations - xOTH'!E$4,1))</f>
        <v>11.155000000000001</v>
      </c>
      <c r="F28">
        <f ca="1">AVERAGE(OFFSET('Historical Trends'!$D$101,$B5,0,'Polling Correlations - xOTH'!F$4,1))</f>
        <v>9.5533333333333363</v>
      </c>
      <c r="G28">
        <f ca="1">AVERAGE(OFFSET('Historical Trends'!$D$101,$B5,0,'Polling Correlations - xOTH'!G$4,1))</f>
        <v>9.0000000000000036</v>
      </c>
      <c r="H28">
        <f ca="1">AVERAGE(OFFSET('Historical Trends'!$D$101,$B5,0,'Polling Correlations - xOTH'!H$4,1))</f>
        <v>8.4500000000000028</v>
      </c>
      <c r="I28">
        <f ca="1">AVERAGE(OFFSET('Historical Trends'!$D$101,$B5,0,'Polling Correlations - xOTH'!I$4,1))</f>
        <v>8.1466666666666683</v>
      </c>
      <c r="J28">
        <f ca="1">AVERAGE(OFFSET('Historical Trends'!$D$101,$B5,0,'Polling Correlations - xOTH'!J$4,1))</f>
        <v>7.5900000000000016</v>
      </c>
      <c r="K28" s="13">
        <f>(10+8+19+21+21)/5</f>
        <v>15.8</v>
      </c>
      <c r="L28">
        <f>(12+8+4+9+9)/5</f>
        <v>8.4</v>
      </c>
      <c r="M28">
        <f>(10+11+8+12+8)/5</f>
        <v>9.8000000000000007</v>
      </c>
      <c r="N28">
        <f>(6+6+10+11+8)/5</f>
        <v>8.1999999999999993</v>
      </c>
      <c r="O28">
        <f>(9.1+6+6+10+11)/5</f>
        <v>8.42</v>
      </c>
      <c r="P28">
        <f>(11+10+10+9.1+6)/5</f>
        <v>9.2200000000000006</v>
      </c>
      <c r="Q28" s="30">
        <f>K28-AVERAGE(AM$5:AM27,AM29:AM$31)</f>
        <v>13.29</v>
      </c>
      <c r="R28" s="31">
        <f>L28-AVERAGE(AN$5:AN27,AN29:AN$31)</f>
        <v>6.4269444444444437</v>
      </c>
      <c r="S28" s="31">
        <f>M28-AVERAGE(AO$5:AO27,AO29:AO$31)</f>
        <v>8.2099999999999991</v>
      </c>
      <c r="T28" s="31">
        <f>N28-AVERAGE(AP$5:AP27,AP29:AP$31)</f>
        <v>6.3491025641025622</v>
      </c>
      <c r="U28" s="31">
        <f>O28-AVERAGE(AQ$5:AQ27,AQ29:AQ$31)</f>
        <v>7.2951923076923064</v>
      </c>
      <c r="V28" s="31">
        <f>P28-AVERAGE(AR$5:AR27,AR29:AR$31)</f>
        <v>8.4755128205128205</v>
      </c>
      <c r="W28" s="13">
        <f t="shared" ca="1" si="2"/>
        <v>11.967250113846774</v>
      </c>
      <c r="X28" s="6">
        <f t="shared" ca="1" si="3"/>
        <v>8.5578020934974077</v>
      </c>
      <c r="Y28" s="6">
        <f t="shared" ca="1" si="4"/>
        <v>9.3423462099807999</v>
      </c>
      <c r="Z28" s="6">
        <f t="shared" ca="1" si="5"/>
        <v>8.8356883232882719</v>
      </c>
      <c r="AA28" s="6">
        <f t="shared" ca="1" si="6"/>
        <v>8.9001287257019097</v>
      </c>
      <c r="AB28" s="2">
        <f t="shared" ca="1" si="7"/>
        <v>9.3643326471654103</v>
      </c>
      <c r="AC28" s="2">
        <f>'Historical Trends'!D100</f>
        <v>8.2999999999999972</v>
      </c>
      <c r="AE28" s="13">
        <f t="shared" ca="1" si="14"/>
        <v>3.225063829787203</v>
      </c>
      <c r="AF28">
        <f t="shared" ca="1" si="15"/>
        <v>2.2900000000000063</v>
      </c>
      <c r="AG28">
        <f t="shared" ca="1" si="16"/>
        <v>2.855000000000004</v>
      </c>
      <c r="AH28">
        <f t="shared" ca="1" si="17"/>
        <v>1.2533333333333392</v>
      </c>
      <c r="AI28">
        <f t="shared" ca="1" si="18"/>
        <v>0.70000000000000639</v>
      </c>
      <c r="AJ28">
        <f t="shared" ca="1" si="19"/>
        <v>0.15000000000000568</v>
      </c>
      <c r="AK28">
        <f t="shared" ca="1" si="20"/>
        <v>-0.15333333333332888</v>
      </c>
      <c r="AL28">
        <f t="shared" ca="1" si="21"/>
        <v>-0.70999999999999552</v>
      </c>
      <c r="AM28" s="13">
        <f t="shared" si="47"/>
        <v>7.5000000000000036</v>
      </c>
      <c r="AN28">
        <f t="shared" si="32"/>
        <v>0.1000000000000032</v>
      </c>
      <c r="AO28">
        <f t="shared" si="33"/>
        <v>1.5000000000000036</v>
      </c>
      <c r="AP28">
        <f t="shared" si="22"/>
        <v>-9.9999999999997868E-2</v>
      </c>
      <c r="AQ28">
        <f t="shared" si="23"/>
        <v>0.12000000000000277</v>
      </c>
      <c r="AR28">
        <f t="shared" si="24"/>
        <v>0.92000000000000348</v>
      </c>
      <c r="AS28" s="30">
        <f t="shared" si="48"/>
        <v>4.990000000000002</v>
      </c>
      <c r="AT28">
        <f t="shared" si="34"/>
        <v>-1.8730555555555535</v>
      </c>
      <c r="AU28">
        <f t="shared" si="35"/>
        <v>-8.9999999999998082E-2</v>
      </c>
      <c r="AV28">
        <f t="shared" si="36"/>
        <v>-1.9508974358974349</v>
      </c>
      <c r="AW28">
        <f t="shared" si="37"/>
        <v>-1.0048076923076907</v>
      </c>
      <c r="AX28">
        <f t="shared" si="38"/>
        <v>0.17551282051282335</v>
      </c>
      <c r="AY28" s="13">
        <f t="shared" ca="1" si="49"/>
        <v>3.6672501138467766</v>
      </c>
      <c r="AZ28" s="6">
        <f t="shared" ca="1" si="39"/>
        <v>0.25780209349741057</v>
      </c>
      <c r="BA28" s="6">
        <f t="shared" ca="1" si="40"/>
        <v>1.0423462099808027</v>
      </c>
      <c r="BB28" s="6">
        <f t="shared" ca="1" si="25"/>
        <v>0.53568832328827476</v>
      </c>
      <c r="BC28" s="6">
        <f t="shared" ca="1" si="26"/>
        <v>0.60012872570191256</v>
      </c>
      <c r="BD28" s="2">
        <f t="shared" ca="1" si="27"/>
        <v>1.0643326471654131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0.55837011861492414</v>
      </c>
    </row>
    <row r="29" spans="1:74" x14ac:dyDescent="0.25">
      <c r="A29" t="s">
        <v>124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xOTH'!D$4,1))</f>
        <v>11.719999999999999</v>
      </c>
      <c r="E29">
        <f ca="1">AVERAGE(OFFSET('Historical Trends'!$D$101,$B6,0,'Polling Correlations - xOTH'!E$4,1))</f>
        <v>9.0350000000000019</v>
      </c>
      <c r="F29">
        <f ca="1">AVERAGE(OFFSET('Historical Trends'!$D$101,$B6,0,'Polling Correlations - xOTH'!F$4,1))</f>
        <v>8.4700000000000024</v>
      </c>
      <c r="G29">
        <f ca="1">AVERAGE(OFFSET('Historical Trends'!$D$101,$B6,0,'Polling Correlations - xOTH'!G$4,1))</f>
        <v>7.9150000000000018</v>
      </c>
      <c r="H29">
        <f ca="1">AVERAGE(OFFSET('Historical Trends'!$D$101,$B6,0,'Polling Correlations - xOTH'!H$4,1))</f>
        <v>7.6580000000000013</v>
      </c>
      <c r="I29">
        <f ca="1">AVERAGE(OFFSET('Historical Trends'!$D$101,$B6,0,'Polling Correlations - xOTH'!I$4,1))</f>
        <v>7.0900000000000007</v>
      </c>
      <c r="J29">
        <f ca="1">AVERAGE(OFFSET('Historical Trends'!$D$101,$B6,0,'Polling Correlations - xOTH'!J$4,1))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13.390476190476189</v>
      </c>
      <c r="R29" s="31">
        <f>L29-AVERAGE(AN$5:AN28,AN30:AN$31)</f>
        <v>11.53986111111111</v>
      </c>
      <c r="S29" s="31">
        <f>M29-AVERAGE(AO$5:AO28,AO30:AO$31)</f>
        <v>11.447916666666666</v>
      </c>
      <c r="T29" s="31">
        <f>N29-AVERAGE(AP$5:AP28,AP30:AP$31)</f>
        <v>10.622564102564102</v>
      </c>
      <c r="U29" s="31">
        <f>O29-AVERAGE(AQ$5:AQ28,AQ30:AQ$31)</f>
        <v>11.755576923076923</v>
      </c>
      <c r="V29" s="31">
        <f>P29-AVERAGE(AR$5:AR28,AR30:AR$31)</f>
        <v>13.766666666666666</v>
      </c>
      <c r="W29" s="13">
        <f t="shared" ca="1" si="2"/>
        <v>12.572097601300612</v>
      </c>
      <c r="X29" s="6">
        <f t="shared" ca="1" si="3"/>
        <v>11.63206510026243</v>
      </c>
      <c r="Y29" s="6">
        <f t="shared" ca="1" si="4"/>
        <v>11.577367310069583</v>
      </c>
      <c r="Z29" s="6">
        <f t="shared" ca="1" si="5"/>
        <v>11.266028962403565</v>
      </c>
      <c r="AA29" s="6">
        <f t="shared" ca="1" si="6"/>
        <v>11.738247019538035</v>
      </c>
      <c r="AB29" s="2">
        <f t="shared" ca="1" si="7"/>
        <v>12.906355036721724</v>
      </c>
      <c r="AC29" s="2">
        <f>'Historical Trends'!D101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2.8004761904761857</v>
      </c>
      <c r="AT29">
        <f t="shared" si="34"/>
        <v>0.94986111111110638</v>
      </c>
      <c r="AU29">
        <f t="shared" si="35"/>
        <v>0.85791666666666266</v>
      </c>
      <c r="AV29">
        <f t="shared" si="36"/>
        <v>3.2564102564098363E-2</v>
      </c>
      <c r="AW29">
        <f t="shared" si="37"/>
        <v>1.1655769230769195</v>
      </c>
      <c r="AX29">
        <f t="shared" si="38"/>
        <v>3.1766666666666623</v>
      </c>
      <c r="AY29" s="13">
        <f t="shared" ca="1" si="49"/>
        <v>1.9820976013006089</v>
      </c>
      <c r="AZ29" s="6">
        <f t="shared" ca="1" si="39"/>
        <v>1.0420651002624268</v>
      </c>
      <c r="BA29" s="6">
        <f t="shared" ca="1" si="40"/>
        <v>0.98736731006957967</v>
      </c>
      <c r="BB29" s="6">
        <f t="shared" ca="1" si="25"/>
        <v>0.67602896240356181</v>
      </c>
      <c r="BC29" s="6">
        <f t="shared" ca="1" si="26"/>
        <v>1.1482470195380312</v>
      </c>
      <c r="BD29" s="2">
        <f t="shared" ca="1" si="27"/>
        <v>2.3163550367217205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0.55698687565060112</v>
      </c>
    </row>
    <row r="30" spans="1:74" x14ac:dyDescent="0.25">
      <c r="A30" t="s">
        <v>126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xOTH'!D$4,1))</f>
        <v>6.3500000000000041</v>
      </c>
      <c r="E30">
        <f ca="1">AVERAGE(OFFSET('Historical Trends'!$D$101,$B7,0,'Polling Correlations - xOTH'!E$4,1))</f>
        <v>6.8450000000000042</v>
      </c>
      <c r="F30">
        <f ca="1">AVERAGE(OFFSET('Historical Trends'!$D$101,$B7,0,'Polling Correlations - xOTH'!F$4,1))</f>
        <v>6.6466666666666692</v>
      </c>
      <c r="G30">
        <f ca="1">AVERAGE(OFFSET('Historical Trends'!$D$101,$B7,0,'Polling Correlations - xOTH'!G$4,1))</f>
        <v>6.642500000000001</v>
      </c>
      <c r="H30">
        <f ca="1">AVERAGE(OFFSET('Historical Trends'!$D$101,$B7,0,'Polling Correlations - xOTH'!H$4,1))</f>
        <v>6.1640000000000006</v>
      </c>
      <c r="I30">
        <f ca="1">AVERAGE(OFFSET('Historical Trends'!$D$101,$B7,0,'Polling Correlations - xOTH'!I$4,1))</f>
        <v>5.7516666666666678</v>
      </c>
      <c r="J30">
        <f ca="1">AVERAGE(OFFSET('Historical Trends'!$D$101,$B7,0,'Polling Correlations - xOTH'!J$4,1))</f>
        <v>5.1599999999999984</v>
      </c>
      <c r="K30" s="13">
        <f>(12+14+12)/3</f>
        <v>12.666666666666666</v>
      </c>
      <c r="L30">
        <f>(14+12+13)/3</f>
        <v>13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9.8446031746031721</v>
      </c>
      <c r="R30" s="31">
        <f>L30-AVERAGE(AN$5:AN29,AN31:AN$31)</f>
        <v>11.076111111111111</v>
      </c>
      <c r="S30" s="31">
        <f>M30-AVERAGE(AO$5:AO29,AO31:AO$31)</f>
        <v>11.400833333333333</v>
      </c>
      <c r="T30" s="31">
        <f>N30-AVERAGE(AP$5:AP29,AP31:AP$31)</f>
        <v>10.509871794871795</v>
      </c>
      <c r="U30" s="31">
        <f>O30-AVERAGE(AQ$5:AQ29,AQ31:AQ$31)</f>
        <v>12.612115384615382</v>
      </c>
      <c r="V30" s="31">
        <f>P30-AVERAGE(AR$5:AR29,AR31:AR$31)</f>
        <v>11.680897435897434</v>
      </c>
      <c r="W30" s="13">
        <f t="shared" ca="1" si="2"/>
        <v>8.1325713407672282</v>
      </c>
      <c r="X30" s="6">
        <f t="shared" ca="1" si="3"/>
        <v>8.6570537920354429</v>
      </c>
      <c r="Y30" s="6">
        <f t="shared" ca="1" si="4"/>
        <v>8.9977694752473312</v>
      </c>
      <c r="Z30" s="6">
        <f t="shared" ca="1" si="5"/>
        <v>8.0707941888891916</v>
      </c>
      <c r="AA30" s="6">
        <f t="shared" ca="1" si="6"/>
        <v>9.5617713363082188</v>
      </c>
      <c r="AB30" s="2">
        <f t="shared" ca="1" si="7"/>
        <v>9.4400669495067682</v>
      </c>
      <c r="AC30" s="2">
        <f>'Historical Trends'!D102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1.2800000000000011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-1.8753968253968267</v>
      </c>
      <c r="AT30">
        <f t="shared" si="34"/>
        <v>-0.64388888888888829</v>
      </c>
      <c r="AU30">
        <f t="shared" si="35"/>
        <v>-0.31916666666666593</v>
      </c>
      <c r="AV30">
        <f t="shared" si="36"/>
        <v>-1.2101282051282034</v>
      </c>
      <c r="AW30">
        <f t="shared" si="37"/>
        <v>0.89211538461538353</v>
      </c>
      <c r="AX30">
        <f t="shared" si="38"/>
        <v>-3.9102564102565296E-2</v>
      </c>
      <c r="AY30" s="13">
        <f t="shared" ca="1" si="49"/>
        <v>-3.5874286592327707</v>
      </c>
      <c r="AZ30" s="6">
        <f t="shared" ca="1" si="39"/>
        <v>-3.062946207964556</v>
      </c>
      <c r="BA30" s="6">
        <f t="shared" ca="1" si="40"/>
        <v>-2.7222305247526677</v>
      </c>
      <c r="BB30" s="6">
        <f t="shared" ca="1" si="25"/>
        <v>-3.6492058111108072</v>
      </c>
      <c r="BC30" s="6">
        <f t="shared" ca="1" si="26"/>
        <v>-2.15822866369178</v>
      </c>
      <c r="BD30" s="2">
        <f t="shared" ca="1" si="27"/>
        <v>-2.2799330504932307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0.55560356294165558</v>
      </c>
    </row>
    <row r="31" spans="1:74" x14ac:dyDescent="0.25">
      <c r="A31" t="s">
        <v>127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xOTH'!D$4,1))</f>
        <v>7.3400000000000034</v>
      </c>
      <c r="E31">
        <f ca="1">AVERAGE(OFFSET('Historical Trends'!$D$101,$B8,0,'Polling Correlations - xOTH'!E$4,1))</f>
        <v>6.7950000000000017</v>
      </c>
      <c r="F31">
        <f ca="1">AVERAGE(OFFSET('Historical Trends'!$D$101,$B8,0,'Polling Correlations - xOTH'!F$4,1))</f>
        <v>6.7399999999999993</v>
      </c>
      <c r="G31">
        <f ca="1">AVERAGE(OFFSET('Historical Trends'!$D$101,$B8,0,'Polling Correlations - xOTH'!G$4,1))</f>
        <v>6.1174999999999997</v>
      </c>
      <c r="H31">
        <f ca="1">AVERAGE(OFFSET('Historical Trends'!$D$101,$B8,0,'Polling Correlations - xOTH'!H$4,1))</f>
        <v>5.6319999999999997</v>
      </c>
      <c r="I31">
        <f ca="1">AVERAGE(OFFSET('Historical Trends'!$D$101,$B8,0,'Polling Correlations - xOTH'!I$4,1))</f>
        <v>4.9616666666666633</v>
      </c>
      <c r="J31">
        <f ca="1">AVERAGE(OFFSET('Historical Trends'!$D$101,$B8,0,'Polling Correlations - xOTH'!J$4,1))</f>
        <v>4.3942857142857106</v>
      </c>
      <c r="N31">
        <f>(11+11)/2</f>
        <v>11</v>
      </c>
      <c r="O31">
        <f>(12+11+11)/3</f>
        <v>11.333333333333334</v>
      </c>
      <c r="P31">
        <f>(12.5+12+11)/3</f>
        <v>11.833333333333334</v>
      </c>
      <c r="Q31" s="30"/>
      <c r="R31" s="31"/>
      <c r="S31" s="31"/>
      <c r="T31" s="31">
        <f>N31-AVERAGE(AP$5:AP30)</f>
        <v>9.3317948717948713</v>
      </c>
      <c r="U31" s="31">
        <f>O31-AVERAGE(AQ$5:AQ30)</f>
        <v>10.395576923076922</v>
      </c>
      <c r="V31" s="31">
        <f>P31-AVERAGE(AR$5:AR30)</f>
        <v>11.264358974358974</v>
      </c>
      <c r="W31" s="13">
        <f t="shared" ca="1" si="2"/>
        <v>3.5959200608758151</v>
      </c>
      <c r="X31" s="6">
        <f t="shared" ca="1" si="3"/>
        <v>3.7569748794672364</v>
      </c>
      <c r="Y31" s="6">
        <f t="shared" ca="1" si="4"/>
        <v>3.4921937736382676</v>
      </c>
      <c r="Z31" s="6">
        <f t="shared" ca="1" si="5"/>
        <v>8.1639362196376393</v>
      </c>
      <c r="AA31" s="6">
        <f t="shared" ca="1" si="6"/>
        <v>8.9071723969720651</v>
      </c>
      <c r="AB31" s="2">
        <f t="shared" ca="1" si="7"/>
        <v>9.6147636979486357</v>
      </c>
      <c r="AC31" s="2">
        <f>'Historical Trends'!D103</f>
        <v>6.3500000000000041</v>
      </c>
      <c r="AE31" s="13">
        <f t="shared" ca="1" si="14"/>
        <v>2.5970379146920282</v>
      </c>
      <c r="AF31">
        <f t="shared" ca="1" si="15"/>
        <v>0.98999999999999932</v>
      </c>
      <c r="AG31">
        <f t="shared" ca="1" si="16"/>
        <v>0.44499999999999762</v>
      </c>
      <c r="AH31">
        <f t="shared" ca="1" si="17"/>
        <v>0.38999999999999524</v>
      </c>
      <c r="AI31">
        <f t="shared" ca="1" si="18"/>
        <v>-0.23250000000000437</v>
      </c>
      <c r="AJ31">
        <f t="shared" ca="1" si="19"/>
        <v>-0.71800000000000441</v>
      </c>
      <c r="AK31">
        <f t="shared" ca="1" si="20"/>
        <v>-1.3883333333333407</v>
      </c>
      <c r="AL31">
        <f t="shared" ca="1" si="21"/>
        <v>-1.9557142857142935</v>
      </c>
      <c r="AP31">
        <f t="shared" si="22"/>
        <v>4.6499999999999959</v>
      </c>
      <c r="AQ31">
        <f t="shared" si="23"/>
        <v>4.9833333333333298</v>
      </c>
      <c r="AR31">
        <f t="shared" si="24"/>
        <v>5.4833333333333298</v>
      </c>
      <c r="AS31" s="30"/>
      <c r="AV31">
        <f>T31-$AC31</f>
        <v>2.9817948717948672</v>
      </c>
      <c r="AW31">
        <f>U31-$AC31</f>
        <v>4.0455769230769176</v>
      </c>
      <c r="AX31">
        <f>V31-$AC31</f>
        <v>4.9143589743589695</v>
      </c>
      <c r="BB31" s="6">
        <f t="shared" ca="1" si="25"/>
        <v>1.8139362196376352</v>
      </c>
      <c r="BC31" s="6">
        <f t="shared" ca="1" si="26"/>
        <v>2.557172396972061</v>
      </c>
      <c r="BD31" s="2">
        <f t="shared" ca="1" si="27"/>
        <v>3.2647636979486316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0.55422018048283661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0.55283672826884356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0.5514532062944042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0.55006961455423209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0.54868595304306922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0.54730222175563625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0.54591842068664675</v>
      </c>
    </row>
    <row r="38" spans="57:74" x14ac:dyDescent="0.25">
      <c r="BE38" t="s">
        <v>216</v>
      </c>
      <c r="BG38">
        <f>Q4</f>
        <v>2.7368181818181836</v>
      </c>
      <c r="BH38">
        <f>R4</f>
        <v>1.8981333333333348</v>
      </c>
      <c r="BI38">
        <f>S4</f>
        <v>1.5864000000000009</v>
      </c>
      <c r="BJ38">
        <f>T4</f>
        <v>1.7786419753086424</v>
      </c>
      <c r="BK38">
        <f>U4</f>
        <v>1.0875925925925938</v>
      </c>
      <c r="BL38">
        <f>AVERAGE(BK38,BM38)</f>
        <v>0.91929012345679118</v>
      </c>
      <c r="BM38">
        <f>V4</f>
        <v>0.75098765432098846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0.54453454983081429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0.54315060918288083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0.54176659873753863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0.54038251848954388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0.53899836843358173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0.53761414856438705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0.53622985887668762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0.53484549936516856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0.53346107002458609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0.53207657084961824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0.53069200183501408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0.52930736297548009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0.5279226542657085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0.5265378757004342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0.52515302727437785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0.52376810898224591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0.52238312081873772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0.52099806277857397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0.51961293485647531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0.5182277370471553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0.5168424693453062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0.51545713174564156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0.51407172424286784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0.51268624683171993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0.51130069950689006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0.50991508226307047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0.50852939509499606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0.50714363799734485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0.50575781096485173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0.50437191399220183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0.50298594707411581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0.50159991020529304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0.50021380338041865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0.49882762659422752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0.49744137984139769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0.49605506311665692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0.49466867641468326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0.49328221973018316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0.49189569305786307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0.49050909639242946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0.48912242972857456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0.48773569306099063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0.48634888638438412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0.48496200969346148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0.48357506298290787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0.48218804624742262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0.4808009594817122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0.47941380268045464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0.4780265758383635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0.47663927895013103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0.47525191201043526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0.47386447501398976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0.47247696795547256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0.47108939082959012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0.46970174363102046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0.46831402635447716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0.46692623899463825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0.46553838154618887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0.46415045400382837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0.46290125928101133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BB10" workbookViewId="0">
      <selection activeCell="BH20" sqref="BH19:BH20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22" t="s">
        <v>140</v>
      </c>
      <c r="X2" s="23"/>
      <c r="Y2" s="23"/>
      <c r="Z2" s="23"/>
      <c r="AA2" s="23"/>
      <c r="AB2" s="20"/>
      <c r="AC2" s="20"/>
      <c r="AE2" s="21"/>
      <c r="AF2" s="35" t="s">
        <v>87</v>
      </c>
      <c r="AG2" s="35"/>
      <c r="AH2" s="35"/>
      <c r="AI2" s="35"/>
      <c r="AJ2" s="35"/>
      <c r="AK2" s="35"/>
      <c r="AL2" s="19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1.0390909090909111</v>
      </c>
      <c r="R4" s="10">
        <f t="shared" si="0"/>
        <v>0.99640000000000095</v>
      </c>
      <c r="S4" s="10">
        <f t="shared" si="0"/>
        <v>1.0502666666666678</v>
      </c>
      <c r="T4" s="10">
        <f t="shared" si="0"/>
        <v>1.4095061728395075</v>
      </c>
      <c r="U4" s="10">
        <f t="shared" si="0"/>
        <v>1.0087654320987665</v>
      </c>
      <c r="V4" s="10">
        <f t="shared" si="0"/>
        <v>0.61604938271605014</v>
      </c>
      <c r="W4" s="14">
        <v>0.80347648389806914</v>
      </c>
      <c r="X4" s="10">
        <v>0.84261765827487667</v>
      </c>
      <c r="Y4" s="10">
        <v>0.76724399109090891</v>
      </c>
      <c r="Z4" s="10">
        <v>0.80219261699542377</v>
      </c>
      <c r="AA4" s="10">
        <v>0.78228795857899802</v>
      </c>
      <c r="AB4" s="15">
        <v>0.84826361719705534</v>
      </c>
      <c r="AC4" s="15"/>
      <c r="AE4" s="14">
        <f ca="1">SQRT(SUMSQ(AE5:AE1001)/COUNT(AE5:AE1001))</f>
        <v>5.3058914823834362</v>
      </c>
      <c r="AF4" s="10">
        <f t="shared" ref="AF4:BD4" ca="1" si="1">SQRT(SUMSQ(AF5:AF1001)/COUNT(AF5:AF1001))</f>
        <v>5.4369085033752462</v>
      </c>
      <c r="AG4" s="10">
        <f t="shared" ca="1" si="1"/>
        <v>5.6491855361832659</v>
      </c>
      <c r="AH4" s="10">
        <f t="shared" ca="1" si="1"/>
        <v>5.7528606589519322</v>
      </c>
      <c r="AI4" s="10">
        <f t="shared" ca="1" si="1"/>
        <v>5.8096052130486004</v>
      </c>
      <c r="AJ4" s="10">
        <f t="shared" ca="1" si="1"/>
        <v>5.9860186236732469</v>
      </c>
      <c r="AK4" s="10">
        <f t="shared" ca="1" si="1"/>
        <v>6.1274161775046476</v>
      </c>
      <c r="AL4" s="10">
        <f t="shared" ca="1" si="1"/>
        <v>6.4266188333858434</v>
      </c>
      <c r="AM4" s="14">
        <f t="shared" si="1"/>
        <v>3.8793851694475112</v>
      </c>
      <c r="AN4" s="10">
        <f t="shared" si="1"/>
        <v>2.9371483524746318</v>
      </c>
      <c r="AO4" s="10">
        <f t="shared" si="1"/>
        <v>3.0613704266045438</v>
      </c>
      <c r="AP4" s="10">
        <f t="shared" si="1"/>
        <v>2.9016672516858604</v>
      </c>
      <c r="AQ4" s="10">
        <f t="shared" si="1"/>
        <v>2.8119475406190304</v>
      </c>
      <c r="AR4" s="10">
        <f t="shared" si="1"/>
        <v>2.0540482962413957</v>
      </c>
      <c r="AS4" s="14">
        <f t="shared" si="1"/>
        <v>3.9006167367165614</v>
      </c>
      <c r="AT4" s="10">
        <f t="shared" si="1"/>
        <v>2.8723145906384273</v>
      </c>
      <c r="AU4" s="10">
        <f t="shared" si="1"/>
        <v>3.0021052688503813</v>
      </c>
      <c r="AV4" s="10">
        <f t="shared" si="1"/>
        <v>2.6350154672147754</v>
      </c>
      <c r="AW4" s="10">
        <f t="shared" si="1"/>
        <v>2.7257695686030665</v>
      </c>
      <c r="AX4" s="10">
        <f t="shared" si="1"/>
        <v>2.0345253844279396</v>
      </c>
      <c r="AY4" s="14">
        <f t="shared" ca="1" si="1"/>
        <v>3.7458740291866581</v>
      </c>
      <c r="AZ4" s="10">
        <f t="shared" ca="1" si="1"/>
        <v>2.729733575895648</v>
      </c>
      <c r="BA4" s="10">
        <f t="shared" ca="1" si="1"/>
        <v>2.6172842635821811</v>
      </c>
      <c r="BB4" s="10">
        <f t="shared" ca="1" si="1"/>
        <v>2.3407496000950592</v>
      </c>
      <c r="BC4" s="10">
        <f t="shared" ca="1" si="1"/>
        <v>2.3604872063546307</v>
      </c>
      <c r="BD4" s="15">
        <f t="shared" ca="1" si="1"/>
        <v>1.8163162824018151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K5-AVERAGE(AM6:AM$31)</f>
        <v>16.229523809523808</v>
      </c>
      <c r="R5" s="31">
        <f>L5-AVERAGE(AN6:AN$31)</f>
        <v>14.598749999999999</v>
      </c>
      <c r="S5" s="31">
        <f>M5-AVERAGE(AO6:AO$31)</f>
        <v>14.959305555555554</v>
      </c>
      <c r="T5" s="31">
        <f>N5-AVERAGE(AP6:AP$31)</f>
        <v>14.793205128205127</v>
      </c>
      <c r="U5" s="31">
        <f>O5-AVERAGE(AQ6:AQ$31)</f>
        <v>14.586282051282049</v>
      </c>
      <c r="V5" s="31">
        <f>P5-AVERAGE(AR6:AR$31)</f>
        <v>14.827948717948718</v>
      </c>
      <c r="W5" s="13">
        <f t="shared" ref="W5:W31" ca="1" si="2">Q5*W$4+$D5*(1-W$4)</f>
        <v>15.341331099369794</v>
      </c>
      <c r="X5" s="6">
        <f t="shared" ref="X5:X31" ca="1" si="3">R5*X$4+$D5*(1-X$4)</f>
        <v>14.144111760341548</v>
      </c>
      <c r="Y5" s="6">
        <f t="shared" ref="Y5:Y31" ca="1" si="4">S5*Y$4+$D5*(1-Y$4)</f>
        <v>14.203010162718305</v>
      </c>
      <c r="Z5" s="6">
        <f t="shared" ref="Z5:Z31" ca="1" si="5">T5*Z$4+$D5*(1-Z$4)</f>
        <v>14.183324390528581</v>
      </c>
      <c r="AA5" s="6">
        <f t="shared" ref="AA5:AA31" ca="1" si="6">U5*AA$4+$D5*(1-AA$4)</f>
        <v>13.960080814194846</v>
      </c>
      <c r="AB5" s="2">
        <f t="shared" ref="AB5:AB31" ca="1" si="7">V5*AB$4+$D5*(1-AB$4)</f>
        <v>14.3548424577221</v>
      </c>
      <c r="AC5" s="2">
        <f>'Historical Trends'!C5</f>
        <v>14.719999999999999</v>
      </c>
      <c r="AE5" s="13">
        <f t="shared" ref="AE5:AS5" ca="1" si="8">C5-$AC5</f>
        <v>-3.9120000000000061</v>
      </c>
      <c r="AF5">
        <f t="shared" ca="1" si="8"/>
        <v>-3.0100000000000051</v>
      </c>
      <c r="AG5">
        <f t="shared" ca="1" si="8"/>
        <v>-5.4000000000000092</v>
      </c>
      <c r="AH5">
        <f t="shared" ca="1" si="8"/>
        <v>-6.3833333333333417</v>
      </c>
      <c r="AI5">
        <f t="shared" ca="1" si="8"/>
        <v>-7.0275000000000087</v>
      </c>
      <c r="AJ5">
        <f t="shared" ca="1" si="8"/>
        <v>-7.3580000000000059</v>
      </c>
      <c r="AK5">
        <f t="shared" ca="1" si="8"/>
        <v>-7.8300000000000045</v>
      </c>
      <c r="AL5">
        <f t="shared" ca="1" si="8"/>
        <v>-8.3557142857142885</v>
      </c>
      <c r="AM5" s="13">
        <f t="shared" si="8"/>
        <v>2.4800000000000004</v>
      </c>
      <c r="AN5">
        <f t="shared" si="8"/>
        <v>0.88000000000000078</v>
      </c>
      <c r="AO5">
        <f t="shared" si="8"/>
        <v>1.2800000000000011</v>
      </c>
      <c r="AP5">
        <f t="shared" si="8"/>
        <v>1.4800000000000004</v>
      </c>
      <c r="AQ5">
        <f t="shared" si="8"/>
        <v>0.88000000000000078</v>
      </c>
      <c r="AR5">
        <f t="shared" si="8"/>
        <v>0.72000000000000242</v>
      </c>
      <c r="AS5" s="30">
        <f t="shared" si="8"/>
        <v>1.5095238095238095</v>
      </c>
      <c r="AT5">
        <f t="shared" ref="AT5:AX10" si="9">R5-$AC5</f>
        <v>-0.12124999999999986</v>
      </c>
      <c r="AU5">
        <f t="shared" si="9"/>
        <v>0.23930555555555522</v>
      </c>
      <c r="AV5">
        <f t="shared" si="9"/>
        <v>7.3205128205128034E-2</v>
      </c>
      <c r="AW5">
        <f t="shared" si="9"/>
        <v>-0.1337179487179494</v>
      </c>
      <c r="AX5">
        <f t="shared" si="9"/>
        <v>0.10794871794871952</v>
      </c>
      <c r="AY5" s="13">
        <f t="shared" ref="AY5:BD9" ca="1" si="10">W5-$AC5</f>
        <v>0.62133109936979558</v>
      </c>
      <c r="AZ5" s="6">
        <f t="shared" ca="1" si="10"/>
        <v>-0.57588823965845037</v>
      </c>
      <c r="BA5" s="6">
        <f t="shared" ca="1" si="10"/>
        <v>-0.51698983728169345</v>
      </c>
      <c r="BB5" s="6">
        <f t="shared" ca="1" si="10"/>
        <v>-0.53667560947141801</v>
      </c>
      <c r="BC5" s="6">
        <f t="shared" ca="1" si="10"/>
        <v>-0.75991918580515261</v>
      </c>
      <c r="BD5" s="2">
        <f t="shared" ca="1" si="10"/>
        <v>-0.36515754227789898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K6-AVERAGE(AM5:AM$5,AM7:AM$31)</f>
        <v>12.854285714285712</v>
      </c>
      <c r="R6" s="31">
        <f>L6-AVERAGE(AN5:AN$5,AN7:AN$31)</f>
        <v>8.6287500000000001</v>
      </c>
      <c r="S6" s="31">
        <f>M6-AVERAGE(AO5:AO$5,AO7:AO$31)</f>
        <v>8.7601388888888891</v>
      </c>
      <c r="T6" s="31">
        <f>N6-AVERAGE(AP5:AP$5,AP7:AP$31)</f>
        <v>8.4416666666666647</v>
      </c>
      <c r="U6" s="31">
        <f>O6-AVERAGE(AQ5:AQ$5,AQ7:AQ$31)</f>
        <v>11.26705128205128</v>
      </c>
      <c r="V6" s="31">
        <f>P6-AVERAGE(AR5:AR$5,AR7:AR$31)</f>
        <v>12.048717948717947</v>
      </c>
      <c r="W6" s="13">
        <f t="shared" ca="1" si="2"/>
        <v>11.690024255321841</v>
      </c>
      <c r="X6" s="6">
        <f t="shared" ca="1" si="3"/>
        <v>8.3613967469944441</v>
      </c>
      <c r="Y6" s="6">
        <f t="shared" ca="1" si="4"/>
        <v>8.3341630653617891</v>
      </c>
      <c r="Z6" s="6">
        <f t="shared" ca="1" si="5"/>
        <v>8.1426478393580783</v>
      </c>
      <c r="AA6" s="6">
        <f t="shared" ca="1" si="6"/>
        <v>10.32282299368832</v>
      </c>
      <c r="AB6" s="2">
        <f t="shared" ca="1" si="7"/>
        <v>11.272022202590975</v>
      </c>
      <c r="AC6" s="2">
        <f>'Historical Trends'!C6</f>
        <v>13</v>
      </c>
      <c r="AE6" s="13">
        <f t="shared" ref="AE6:AR9" ca="1" si="11">C6-$AC6</f>
        <v>-5.1426666666666279</v>
      </c>
      <c r="AF6">
        <f t="shared" ca="1" si="11"/>
        <v>-6.0700000000000127</v>
      </c>
      <c r="AG6">
        <f t="shared" ca="1" si="11"/>
        <v>-6.3500000000000112</v>
      </c>
      <c r="AH6">
        <f t="shared" ca="1" si="11"/>
        <v>-6.646666666666678</v>
      </c>
      <c r="AI6">
        <f t="shared" ca="1" si="11"/>
        <v>-6.7250000000000068</v>
      </c>
      <c r="AJ6">
        <f t="shared" ca="1" si="11"/>
        <v>-7.0740000000000052</v>
      </c>
      <c r="AK6">
        <f t="shared" ca="1" si="11"/>
        <v>-7.5266666666666699</v>
      </c>
      <c r="AL6">
        <f t="shared" ca="1" si="11"/>
        <v>-7.6914285714285748</v>
      </c>
      <c r="AM6" s="13">
        <f t="shared" si="11"/>
        <v>0.90000000000000036</v>
      </c>
      <c r="AN6">
        <f t="shared" si="11"/>
        <v>-3.1999999999999993</v>
      </c>
      <c r="AO6">
        <f t="shared" si="11"/>
        <v>-3.0199999999999996</v>
      </c>
      <c r="AP6">
        <f t="shared" si="11"/>
        <v>-2.9800000000000004</v>
      </c>
      <c r="AQ6">
        <f t="shared" si="11"/>
        <v>-0.66000000000000014</v>
      </c>
      <c r="AR6">
        <f t="shared" si="11"/>
        <v>-0.30000000000000071</v>
      </c>
      <c r="AS6" s="30">
        <f>Q6-$AC6</f>
        <v>-0.14571428571428768</v>
      </c>
      <c r="AT6">
        <f t="shared" si="9"/>
        <v>-4.3712499999999999</v>
      </c>
      <c r="AU6">
        <f t="shared" si="9"/>
        <v>-4.2398611111111109</v>
      </c>
      <c r="AV6">
        <f t="shared" si="9"/>
        <v>-4.5583333333333353</v>
      </c>
      <c r="AW6">
        <f t="shared" si="9"/>
        <v>-1.7329487179487195</v>
      </c>
      <c r="AX6">
        <f t="shared" si="9"/>
        <v>-0.95128205128205323</v>
      </c>
      <c r="AY6" s="13">
        <f t="shared" ca="1" si="10"/>
        <v>-1.3099757446781588</v>
      </c>
      <c r="AZ6" s="6">
        <f t="shared" ca="1" si="10"/>
        <v>-4.6386032530055559</v>
      </c>
      <c r="BA6" s="6">
        <f t="shared" ca="1" si="10"/>
        <v>-4.6658369346382109</v>
      </c>
      <c r="BB6" s="6">
        <f t="shared" ca="1" si="10"/>
        <v>-4.8573521606419217</v>
      </c>
      <c r="BC6" s="6">
        <f t="shared" ca="1" si="10"/>
        <v>-2.6771770063116804</v>
      </c>
      <c r="BD6" s="2">
        <f t="shared" ca="1" si="10"/>
        <v>-1.7279777974090251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K7-AVERAGE(AM$5:AM6,AM8:AM$31)</f>
        <v>9.2152380952380941</v>
      </c>
      <c r="R7" s="31">
        <f>L7-AVERAGE(AN$5:AN6,AN8:AN$31)</f>
        <v>10.944583333333332</v>
      </c>
      <c r="S7" s="31">
        <f>M7-AVERAGE(AO$5:AO6,AO8:AO$31)</f>
        <v>8.8051388888888873</v>
      </c>
      <c r="T7" s="31">
        <f>N7-AVERAGE(AP$5:AP6,AP8:AP$31)</f>
        <v>10.727820512820511</v>
      </c>
      <c r="U7" s="31">
        <f>O7-AVERAGE(AQ$5:AQ6,AQ8:AQ$31)</f>
        <v>6.9070512820512828</v>
      </c>
      <c r="V7" s="31">
        <f>P7-AVERAGE(AR$5:AR6,AR8:AR$31)</f>
        <v>13.524871794871794</v>
      </c>
      <c r="W7" s="13">
        <f t="shared" ca="1" si="2"/>
        <v>8.6560819006147423</v>
      </c>
      <c r="X7" s="6">
        <f t="shared" ca="1" si="3"/>
        <v>10.22462469591661</v>
      </c>
      <c r="Y7" s="6">
        <f t="shared" ca="1" si="4"/>
        <v>8.238345679971788</v>
      </c>
      <c r="Z7" s="6">
        <f t="shared" ca="1" si="5"/>
        <v>9.865811441575822</v>
      </c>
      <c r="AA7" s="6">
        <f t="shared" ca="1" si="6"/>
        <v>6.7901287510881296</v>
      </c>
      <c r="AB7" s="2">
        <f t="shared" ca="1" si="7"/>
        <v>12.439217429299134</v>
      </c>
      <c r="AC7" s="2">
        <f>'Historical Trends'!C7</f>
        <v>12.419999999999987</v>
      </c>
      <c r="AE7" s="13">
        <f t="shared" ca="1" si="11"/>
        <v>-5.3344651162790626</v>
      </c>
      <c r="AF7">
        <f t="shared" ca="1" si="11"/>
        <v>-6.0499999999999972</v>
      </c>
      <c r="AG7">
        <f t="shared" ca="1" si="11"/>
        <v>-6.3549999999999969</v>
      </c>
      <c r="AH7">
        <f t="shared" ca="1" si="11"/>
        <v>-6.3633333333333253</v>
      </c>
      <c r="AI7">
        <f t="shared" ca="1" si="11"/>
        <v>-6.7449999999999903</v>
      </c>
      <c r="AJ7">
        <f t="shared" ca="1" si="11"/>
        <v>-7.237999999999988</v>
      </c>
      <c r="AK7">
        <f t="shared" ca="1" si="11"/>
        <v>-7.3816666666666562</v>
      </c>
      <c r="AL7">
        <f t="shared" ca="1" si="11"/>
        <v>-7.3542857142857025</v>
      </c>
      <c r="AM7" s="13">
        <f t="shared" si="11"/>
        <v>-2.0199999999999871</v>
      </c>
      <c r="AN7">
        <f t="shared" si="11"/>
        <v>-0.41999999999998749</v>
      </c>
      <c r="AO7">
        <f t="shared" si="11"/>
        <v>-2.4199999999999875</v>
      </c>
      <c r="AP7">
        <f t="shared" si="11"/>
        <v>-0.2199999999999882</v>
      </c>
      <c r="AQ7">
        <f t="shared" si="11"/>
        <v>-4.2999999999999865</v>
      </c>
      <c r="AR7">
        <f t="shared" si="11"/>
        <v>1.6800000000000122</v>
      </c>
      <c r="AS7" s="30">
        <f>Q7-$AC7</f>
        <v>-3.2047619047618934</v>
      </c>
      <c r="AT7">
        <f t="shared" si="9"/>
        <v>-1.4754166666666553</v>
      </c>
      <c r="AU7">
        <f t="shared" si="9"/>
        <v>-3.6148611111111002</v>
      </c>
      <c r="AV7">
        <f t="shared" si="9"/>
        <v>-1.6921794871794766</v>
      </c>
      <c r="AW7">
        <f t="shared" si="9"/>
        <v>-5.5129487179487047</v>
      </c>
      <c r="AX7">
        <f t="shared" si="9"/>
        <v>1.1048717948718068</v>
      </c>
      <c r="AY7" s="13">
        <f t="shared" ca="1" si="10"/>
        <v>-3.7639180993852452</v>
      </c>
      <c r="AZ7" s="6">
        <f t="shared" ca="1" si="10"/>
        <v>-2.1953753040833774</v>
      </c>
      <c r="BA7" s="6">
        <f t="shared" ca="1" si="10"/>
        <v>-4.1816543200281995</v>
      </c>
      <c r="BB7" s="6">
        <f t="shared" ca="1" si="10"/>
        <v>-2.5541885584241655</v>
      </c>
      <c r="BC7" s="6">
        <f t="shared" ca="1" si="10"/>
        <v>-5.6298712489118579</v>
      </c>
      <c r="BD7" s="2">
        <f t="shared" ca="1" si="10"/>
        <v>1.9217429299146715E-2</v>
      </c>
      <c r="BE7" t="s">
        <v>179</v>
      </c>
      <c r="BG7">
        <f>AM4</f>
        <v>3.8793851694475112</v>
      </c>
      <c r="BH7">
        <f>AN4</f>
        <v>2.9371483524746318</v>
      </c>
      <c r="BI7">
        <f>AO4</f>
        <v>3.0613704266045438</v>
      </c>
      <c r="BJ7">
        <f>AP4</f>
        <v>2.9016672516858604</v>
      </c>
      <c r="BK7">
        <f>AQ4</f>
        <v>2.8119475406190304</v>
      </c>
      <c r="BL7">
        <f t="shared" si="12"/>
        <v>2.4329979184302131</v>
      </c>
      <c r="BM7">
        <f>AR4</f>
        <v>2.0540482962413957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6.1404761904761891</v>
      </c>
      <c r="R8" s="31">
        <f>L8-AVERAGE(AN$5:AN7,AN9:AN$31)</f>
        <v>6.8124999999999991</v>
      </c>
      <c r="S8" s="31">
        <f>M8-AVERAGE(AO$5:AO7,AO9:AO$31)</f>
        <v>7.3813888888888881</v>
      </c>
      <c r="T8" s="31">
        <f>N8-AVERAGE(AP$5:AP7,AP9:AP$31)</f>
        <v>8.2520512820512799</v>
      </c>
      <c r="U8" s="31">
        <f>O8-AVERAGE(AQ$5:AQ7,AQ9:AQ$31)</f>
        <v>5.1374358974358971</v>
      </c>
      <c r="V8" s="31">
        <f>P8-AVERAGE(AR$5:AR7,AR9:AR$31)</f>
        <v>6.1891025641025639</v>
      </c>
      <c r="W8" s="13">
        <f t="shared" ca="1" si="2"/>
        <v>6.0657036717307378</v>
      </c>
      <c r="X8" s="6">
        <f t="shared" ca="1" si="3"/>
        <v>6.6468550853343054</v>
      </c>
      <c r="Y8" s="6">
        <f t="shared" ca="1" si="4"/>
        <v>7.0040008822215629</v>
      </c>
      <c r="Z8" s="6">
        <f t="shared" ca="1" si="5"/>
        <v>7.7591051396355155</v>
      </c>
      <c r="AA8" s="6">
        <f t="shared" ca="1" si="6"/>
        <v>5.27297559912056</v>
      </c>
      <c r="AB8" s="2">
        <f t="shared" ca="1" si="7"/>
        <v>6.1239920931741709</v>
      </c>
      <c r="AC8" s="2">
        <f>'Historical Trends'!C8</f>
        <v>6.5899999999999892</v>
      </c>
      <c r="AE8" s="13">
        <f t="shared" ca="1" si="11"/>
        <v>-0.72009888751544793</v>
      </c>
      <c r="AF8">
        <f t="shared" ca="1" si="11"/>
        <v>-0.82999999999999829</v>
      </c>
      <c r="AG8">
        <f t="shared" ca="1" si="11"/>
        <v>-0.68999999999999062</v>
      </c>
      <c r="AH8">
        <f t="shared" ca="1" si="11"/>
        <v>-1.1466666666666567</v>
      </c>
      <c r="AI8">
        <f t="shared" ca="1" si="11"/>
        <v>-1.7049999999999876</v>
      </c>
      <c r="AJ8">
        <f t="shared" ca="1" si="11"/>
        <v>-1.817999999999989</v>
      </c>
      <c r="AK8">
        <f t="shared" ca="1" si="11"/>
        <v>-1.7416666666666556</v>
      </c>
      <c r="AL8">
        <f t="shared" ca="1" si="11"/>
        <v>-1.7957142857142765</v>
      </c>
      <c r="AM8" s="13">
        <f t="shared" si="11"/>
        <v>0.61000000000001098</v>
      </c>
      <c r="AN8">
        <f t="shared" si="11"/>
        <v>1.2100000000000106</v>
      </c>
      <c r="AO8">
        <f t="shared" si="11"/>
        <v>1.8100000000000112</v>
      </c>
      <c r="AP8">
        <f t="shared" si="11"/>
        <v>3.0100000000000104</v>
      </c>
      <c r="AQ8">
        <f t="shared" si="11"/>
        <v>-0.38999999999998902</v>
      </c>
      <c r="AR8">
        <f t="shared" si="11"/>
        <v>0.23000000000001108</v>
      </c>
      <c r="AS8" s="30">
        <f>Q8-$AC8</f>
        <v>-0.44952380952380011</v>
      </c>
      <c r="AT8">
        <f t="shared" si="9"/>
        <v>0.22250000000000991</v>
      </c>
      <c r="AU8">
        <f t="shared" si="9"/>
        <v>0.79138888888889891</v>
      </c>
      <c r="AV8">
        <f t="shared" si="9"/>
        <v>1.6620512820512907</v>
      </c>
      <c r="AW8">
        <f t="shared" si="9"/>
        <v>-1.4525641025640921</v>
      </c>
      <c r="AX8">
        <f t="shared" si="9"/>
        <v>-0.40089743589742532</v>
      </c>
      <c r="AY8" s="13">
        <f t="shared" ca="1" si="10"/>
        <v>-0.52429632826925143</v>
      </c>
      <c r="AZ8" s="6">
        <f t="shared" ca="1" si="10"/>
        <v>5.6855085334316158E-2</v>
      </c>
      <c r="BA8" s="6">
        <f t="shared" ca="1" si="10"/>
        <v>0.41400088222157372</v>
      </c>
      <c r="BB8" s="6">
        <f t="shared" ca="1" si="10"/>
        <v>1.1691051396355263</v>
      </c>
      <c r="BC8" s="6">
        <f t="shared" ca="1" si="10"/>
        <v>-1.3170244008794292</v>
      </c>
      <c r="BD8" s="2">
        <f t="shared" ca="1" si="10"/>
        <v>-0.46600790682581827</v>
      </c>
      <c r="BE8" t="s">
        <v>183</v>
      </c>
      <c r="BG8">
        <f ca="1">AY4</f>
        <v>3.7458740291866581</v>
      </c>
      <c r="BH8">
        <f ca="1">AZ4</f>
        <v>2.729733575895648</v>
      </c>
      <c r="BI8">
        <f ca="1">BA4</f>
        <v>2.6172842635821811</v>
      </c>
      <c r="BJ8">
        <f ca="1">BB4</f>
        <v>2.3407496000950592</v>
      </c>
      <c r="BK8">
        <f ca="1">BC4</f>
        <v>2.3604872063546307</v>
      </c>
      <c r="BL8">
        <f t="shared" ca="1" si="12"/>
        <v>2.0884017443782228</v>
      </c>
      <c r="BM8">
        <f ca="1">BD4</f>
        <v>1.8163162824018151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12.209523809523807</v>
      </c>
      <c r="R9" s="31">
        <f>L9-AVERAGE(AN$5:AN8,AN10:AN$31)</f>
        <v>11.181249999999999</v>
      </c>
      <c r="S9" s="31">
        <f>M9-AVERAGE(AO$5:AO8,AO10:AO$31)</f>
        <v>7.1668055555555537</v>
      </c>
      <c r="T9" s="31">
        <f>N9-AVERAGE(AP$5:AP8,AP10:AP$31)</f>
        <v>7.0001282051282043</v>
      </c>
      <c r="U9" s="31">
        <f>O9-AVERAGE(AQ$5:AQ8,AQ10:AQ$31)</f>
        <v>5.3393589743589738</v>
      </c>
      <c r="V9" s="31">
        <f>P9-AVERAGE(AR$5:AR8,AR10:AR$31)</f>
        <v>4.9164102564102556</v>
      </c>
      <c r="W9" s="13">
        <f t="shared" ca="1" si="2"/>
        <v>10.99706729780161</v>
      </c>
      <c r="X9" s="6">
        <f t="shared" ca="1" si="3"/>
        <v>10.372108035605709</v>
      </c>
      <c r="Y9" s="6">
        <f t="shared" ca="1" si="4"/>
        <v>6.9045347916278539</v>
      </c>
      <c r="Z9" s="6">
        <f t="shared" ca="1" si="5"/>
        <v>6.8102077575229139</v>
      </c>
      <c r="AA9" s="6">
        <f t="shared" ca="1" si="6"/>
        <v>5.4918969623545877</v>
      </c>
      <c r="AB9" s="2">
        <f t="shared" ca="1" si="7"/>
        <v>5.086899699857053</v>
      </c>
      <c r="AC9" s="2">
        <f>'Historical Trends'!C9</f>
        <v>6.7399999999999949</v>
      </c>
      <c r="AE9" s="13">
        <f t="shared" ca="1" si="11"/>
        <v>-1.5703030303030232</v>
      </c>
      <c r="AF9">
        <f t="shared" ca="1" si="11"/>
        <v>-0.69999999999998863</v>
      </c>
      <c r="AG9">
        <f t="shared" ca="1" si="11"/>
        <v>-1.4549999999999912</v>
      </c>
      <c r="AH9">
        <f t="shared" ca="1" si="11"/>
        <v>-2.1466666666666567</v>
      </c>
      <c r="AI9">
        <f t="shared" ca="1" si="11"/>
        <v>-2.2149999999999928</v>
      </c>
      <c r="AJ9">
        <f t="shared" ca="1" si="11"/>
        <v>-2.0739999999999927</v>
      </c>
      <c r="AK9">
        <f t="shared" ca="1" si="11"/>
        <v>-2.106666666666662</v>
      </c>
      <c r="AL9">
        <f t="shared" ca="1" si="11"/>
        <v>-2.4542857142857093</v>
      </c>
      <c r="AM9" s="13">
        <f t="shared" si="11"/>
        <v>6.2600000000000051</v>
      </c>
      <c r="AN9">
        <f t="shared" si="11"/>
        <v>5.2600000000000051</v>
      </c>
      <c r="AO9">
        <f t="shared" si="11"/>
        <v>1.4600000000000044</v>
      </c>
      <c r="AP9">
        <f t="shared" si="11"/>
        <v>1.6600000000000055</v>
      </c>
      <c r="AQ9">
        <f t="shared" si="11"/>
        <v>-0.33999999999999453</v>
      </c>
      <c r="AR9">
        <f t="shared" si="11"/>
        <v>-1.1399999999999952</v>
      </c>
      <c r="AS9" s="30">
        <f>Q9-$AC9</f>
        <v>5.4695238095238121</v>
      </c>
      <c r="AT9">
        <f t="shared" si="9"/>
        <v>4.4412500000000037</v>
      </c>
      <c r="AU9">
        <f t="shared" si="9"/>
        <v>0.42680555555555877</v>
      </c>
      <c r="AV9">
        <f t="shared" si="9"/>
        <v>0.26012820512820944</v>
      </c>
      <c r="AW9">
        <f t="shared" si="9"/>
        <v>-1.4006410256410211</v>
      </c>
      <c r="AX9">
        <f t="shared" si="9"/>
        <v>-1.8235897435897392</v>
      </c>
      <c r="AY9" s="13">
        <f t="shared" ca="1" si="10"/>
        <v>4.2570672978016155</v>
      </c>
      <c r="AZ9" s="6">
        <f t="shared" ca="1" si="10"/>
        <v>3.6321080356057145</v>
      </c>
      <c r="BA9" s="6">
        <f t="shared" ca="1" si="10"/>
        <v>0.164534791627859</v>
      </c>
      <c r="BB9" s="6">
        <f t="shared" ca="1" si="10"/>
        <v>7.0207757522918968E-2</v>
      </c>
      <c r="BC9" s="6">
        <f t="shared" ca="1" si="10"/>
        <v>-1.2481030376454072</v>
      </c>
      <c r="BD9" s="2">
        <f t="shared" ca="1" si="10"/>
        <v>-1.6531003001429418</v>
      </c>
      <c r="BE9" t="s">
        <v>184</v>
      </c>
      <c r="BG9">
        <f t="shared" ref="BG9:BM9" ca="1" si="13">$AK$4</f>
        <v>6.1274161775046476</v>
      </c>
      <c r="BH9">
        <f t="shared" ca="1" si="13"/>
        <v>6.1274161775046476</v>
      </c>
      <c r="BI9">
        <f t="shared" ca="1" si="13"/>
        <v>6.1274161775046476</v>
      </c>
      <c r="BJ9">
        <f t="shared" ca="1" si="13"/>
        <v>6.1274161775046476</v>
      </c>
      <c r="BK9">
        <f t="shared" ca="1" si="13"/>
        <v>6.1274161775046476</v>
      </c>
      <c r="BL9">
        <f t="shared" ca="1" si="12"/>
        <v>6.1274161775046476</v>
      </c>
      <c r="BM9">
        <f t="shared" ca="1" si="13"/>
        <v>6.1274161775046476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-0.91638888888889014</v>
      </c>
      <c r="T10" s="31">
        <f>N10-AVERAGE(AP$5:AP9,AP12:AP$31)</f>
        <v>9.0161333333333324</v>
      </c>
      <c r="U10" s="31">
        <f>O10-AVERAGE(AQ$5:AQ9,AQ12:AQ$31)</f>
        <v>8.3155999999999999</v>
      </c>
      <c r="V10" s="31">
        <f>P10-AVERAGE(AR$5:AR9,AR12:AR$31)</f>
        <v>8.3530666666666651</v>
      </c>
      <c r="W10" s="13">
        <f t="shared" ca="1" si="2"/>
        <v>0.890251527941747</v>
      </c>
      <c r="X10" s="6">
        <f t="shared" ca="1" si="3"/>
        <v>0.71294200801480889</v>
      </c>
      <c r="Y10" s="6">
        <f t="shared" ca="1" si="4"/>
        <v>0.3512908518557073</v>
      </c>
      <c r="Z10" s="6">
        <f t="shared" ca="1" si="5"/>
        <v>8.1287430388570705</v>
      </c>
      <c r="AA10" s="6">
        <f t="shared" ca="1" si="6"/>
        <v>7.4914292959966549</v>
      </c>
      <c r="AB10" s="2">
        <f t="shared" ca="1" si="7"/>
        <v>7.7729683594521548</v>
      </c>
      <c r="AC10" s="2">
        <f>'Historical Trends'!C10</f>
        <v>8.4699999999999989</v>
      </c>
      <c r="AE10" s="13">
        <f t="shared" ref="AE10:AE31" ca="1" si="14">C10-$AC10</f>
        <v>-3.6972929542645261</v>
      </c>
      <c r="AF10">
        <f t="shared" ref="AF10:AF31" ca="1" si="15">D10-$AC10</f>
        <v>-3.9399999999999977</v>
      </c>
      <c r="AG10">
        <f t="shared" ref="AG10:AG31" ca="1" si="16">E10-$AC10</f>
        <v>-4.5999999999999943</v>
      </c>
      <c r="AH10">
        <f t="shared" ref="AH10:AH31" ca="1" si="17">F10-$AC10</f>
        <v>-4.4499999999999984</v>
      </c>
      <c r="AI10">
        <f t="shared" ref="AI10:AI31" ca="1" si="18">G10-$AC10</f>
        <v>-4.1474999999999973</v>
      </c>
      <c r="AJ10">
        <f t="shared" ref="AJ10:AJ31" ca="1" si="19">H10-$AC10</f>
        <v>-4.1180000000000003</v>
      </c>
      <c r="AK10">
        <f t="shared" ref="AK10:AK31" ca="1" si="20">I10-$AC10</f>
        <v>-4.4766666666666666</v>
      </c>
      <c r="AL10">
        <f t="shared" ref="AL10:AL31" ca="1" si="21">J10-$AC10</f>
        <v>-4.7628571428571433</v>
      </c>
      <c r="AP10">
        <f t="shared" ref="AP10:AP31" si="22">N10-$AC10</f>
        <v>1.8633333333333351</v>
      </c>
      <c r="AQ10">
        <f t="shared" ref="AQ10:AQ31" si="23">O10-$AC10</f>
        <v>0.86333333333333506</v>
      </c>
      <c r="AR10">
        <f t="shared" ref="AR10:AR31" si="24">P10-$AC10</f>
        <v>0.53000000000000114</v>
      </c>
      <c r="AS10" s="30"/>
      <c r="AV10">
        <f t="shared" si="9"/>
        <v>0.54613333333333358</v>
      </c>
      <c r="AW10">
        <f t="shared" si="9"/>
        <v>-0.15439999999999898</v>
      </c>
      <c r="AX10">
        <f t="shared" si="9"/>
        <v>-0.11693333333333378</v>
      </c>
      <c r="BB10" s="6">
        <f t="shared" ref="BB10:BB31" ca="1" si="25">Z10-$AC10</f>
        <v>-0.34125696114292836</v>
      </c>
      <c r="BC10" s="6">
        <f t="shared" ref="BC10:BC31" ca="1" si="26">AA10-$AC10</f>
        <v>-0.97857070400334401</v>
      </c>
      <c r="BD10" s="2">
        <f t="shared" ref="BD10:BD31" ca="1" si="27">AB10-$AC10</f>
        <v>-0.69703164054784406</v>
      </c>
      <c r="BE10" t="s">
        <v>152</v>
      </c>
      <c r="BG10">
        <f>W4</f>
        <v>0.80347648389806914</v>
      </c>
      <c r="BH10">
        <f>X4</f>
        <v>0.84261765827487667</v>
      </c>
      <c r="BI10">
        <f>Y4</f>
        <v>0.76724399109090891</v>
      </c>
      <c r="BJ10">
        <f>Z4</f>
        <v>0.80219261699542377</v>
      </c>
      <c r="BK10">
        <f>AA4</f>
        <v>0.78228795857899802</v>
      </c>
      <c r="BL10">
        <f t="shared" si="12"/>
        <v>0.81527578788802668</v>
      </c>
      <c r="BM10">
        <f>AB4</f>
        <v>0.84826361719705534</v>
      </c>
    </row>
    <row r="11" spans="1:66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OTH'!D$4,1))</f>
        <v>7.6700000000000017</v>
      </c>
      <c r="E11">
        <f ca="1">AVERAGE(OFFSET('Historical Trends'!$D$28,$B4,0,'Polling Correlations - OTH'!E$4,1))</f>
        <v>6.1450000000000031</v>
      </c>
      <c r="F11">
        <f ca="1">AVERAGE(OFFSET('Historical Trends'!$D$28,$B4,0,'Polling Correlations - OTH'!F$4,1))</f>
        <v>6.563333333333337</v>
      </c>
      <c r="G11">
        <f ca="1">AVERAGE(OFFSET('Historical Trends'!$D$28,$B4,0,'Polling Correlations - OTH'!G$4,1))</f>
        <v>6.5650000000000048</v>
      </c>
      <c r="H11">
        <f ca="1">AVERAGE(OFFSET('Historical Trends'!$D$28,$B4,0,'Polling Correlations - OTH'!H$4,1))</f>
        <v>6.4220000000000024</v>
      </c>
      <c r="I11">
        <f ca="1">AVERAGE(OFFSET('Historical Trends'!$D$28,$B4,0,'Polling Correlations - OTH'!I$4,1))</f>
        <v>7.1850000000000023</v>
      </c>
      <c r="J11">
        <f ca="1">AVERAGE(OFFSET('Historical Trends'!$D$28,$B4,0,'Polling Correlations - OTH'!J$4,1))</f>
        <v>6.6200000000000028</v>
      </c>
      <c r="K11" s="13">
        <f>(23+17+17)/3</f>
        <v>19</v>
      </c>
      <c r="L11">
        <f>(18+19+23)/3</f>
        <v>20</v>
      </c>
      <c r="M11">
        <f>(21+18+19)/3</f>
        <v>19.333333333333332</v>
      </c>
      <c r="N11">
        <f>(16+18+21)/3</f>
        <v>18.333333333333332</v>
      </c>
      <c r="O11">
        <f>(14+16+18)/3</f>
        <v>16</v>
      </c>
      <c r="P11">
        <f>(16+15+14)/3</f>
        <v>15</v>
      </c>
      <c r="Q11" s="30">
        <f>K11-AVERAGE(AM$5:AM9,AM12:AM$31)</f>
        <v>18.098571428571425</v>
      </c>
      <c r="R11" s="31">
        <f>L11-AVERAGE(AN$5:AN9,AN12:AN$31)</f>
        <v>19.1675</v>
      </c>
      <c r="S11" s="31">
        <f>M11-AVERAGE(AO$5:AO9,AO12:AO$31)</f>
        <v>18.416944444444443</v>
      </c>
      <c r="T11" s="31">
        <f>N11-AVERAGE(AP$5:AP9,AP12:AP$31)</f>
        <v>17.016133333333329</v>
      </c>
      <c r="U11" s="31">
        <f>O11-AVERAGE(AQ$5:AQ9,AQ12:AQ$31)</f>
        <v>14.982266666666666</v>
      </c>
      <c r="V11" s="31">
        <f>P11-AVERAGE(AR$5:AR9,AR12:AR$31)</f>
        <v>14.353066666666665</v>
      </c>
      <c r="W11" s="13">
        <f t="shared" ca="1" si="2"/>
        <v>16.049111903508432</v>
      </c>
      <c r="X11" s="6">
        <f t="shared" ca="1" si="3"/>
        <v>17.357996526015395</v>
      </c>
      <c r="Y11" s="6">
        <f t="shared" ca="1" si="4"/>
        <v>15.915528547587826</v>
      </c>
      <c r="Z11" s="6">
        <f t="shared" ca="1" si="5"/>
        <v>15.167399157454827</v>
      </c>
      <c r="AA11" s="6">
        <f t="shared" ca="1" si="6"/>
        <v>13.390298163251922</v>
      </c>
      <c r="AB11" s="2">
        <f t="shared" ca="1" si="7"/>
        <v>13.339002304635734</v>
      </c>
      <c r="AC11" s="2">
        <f>'Historical Trends'!C26</f>
        <v>15.07</v>
      </c>
      <c r="AE11" s="13">
        <f t="shared" ca="1" si="14"/>
        <v>-9.342483912483921</v>
      </c>
      <c r="AF11">
        <f t="shared" ca="1" si="15"/>
        <v>-7.3999999999999986</v>
      </c>
      <c r="AG11">
        <f t="shared" ca="1" si="16"/>
        <v>-8.9249999999999972</v>
      </c>
      <c r="AH11">
        <f t="shared" ca="1" si="17"/>
        <v>-8.5066666666666642</v>
      </c>
      <c r="AI11">
        <f t="shared" ca="1" si="18"/>
        <v>-8.5049999999999955</v>
      </c>
      <c r="AJ11">
        <f t="shared" ca="1" si="19"/>
        <v>-8.6479999999999979</v>
      </c>
      <c r="AK11">
        <f t="shared" ca="1" si="20"/>
        <v>-7.884999999999998</v>
      </c>
      <c r="AL11">
        <f t="shared" ca="1" si="21"/>
        <v>-8.4499999999999975</v>
      </c>
      <c r="AM11" s="13">
        <f t="shared" ref="AM11:AO15" si="28">K11-$AC11</f>
        <v>3.9299999999999997</v>
      </c>
      <c r="AN11">
        <f t="shared" si="28"/>
        <v>4.93</v>
      </c>
      <c r="AO11">
        <f t="shared" si="28"/>
        <v>4.2633333333333319</v>
      </c>
      <c r="AP11">
        <f t="shared" si="22"/>
        <v>3.2633333333333319</v>
      </c>
      <c r="AQ11">
        <f t="shared" si="23"/>
        <v>0.92999999999999972</v>
      </c>
      <c r="AR11">
        <f t="shared" si="24"/>
        <v>-7.0000000000000284E-2</v>
      </c>
      <c r="AS11" s="30">
        <f t="shared" ref="AS11:BA15" si="29">Q11-$AC11</f>
        <v>3.0285714285714249</v>
      </c>
      <c r="AT11">
        <f t="shared" si="29"/>
        <v>4.0975000000000001</v>
      </c>
      <c r="AU11">
        <f t="shared" si="29"/>
        <v>3.3469444444444427</v>
      </c>
      <c r="AV11">
        <f t="shared" si="29"/>
        <v>1.9461333333333286</v>
      </c>
      <c r="AW11">
        <f t="shared" si="29"/>
        <v>-8.7733333333334329E-2</v>
      </c>
      <c r="AX11">
        <f t="shared" si="29"/>
        <v>-0.7169333333333352</v>
      </c>
      <c r="AY11" s="13">
        <f t="shared" ca="1" si="29"/>
        <v>0.97911190350843214</v>
      </c>
      <c r="AZ11" s="6">
        <f t="shared" ca="1" si="29"/>
        <v>2.2879965260153945</v>
      </c>
      <c r="BA11" s="6">
        <f t="shared" ca="1" si="29"/>
        <v>0.84552854758782559</v>
      </c>
      <c r="BB11" s="6">
        <f t="shared" ca="1" si="25"/>
        <v>9.739915745482719E-2</v>
      </c>
      <c r="BC11" s="6">
        <f t="shared" ca="1" si="26"/>
        <v>-1.6797018367480785</v>
      </c>
      <c r="BD11" s="2">
        <f t="shared" ca="1" si="27"/>
        <v>-1.7309976953642661</v>
      </c>
      <c r="BE11" t="s">
        <v>185</v>
      </c>
      <c r="BG11">
        <f>BG10</f>
        <v>0.80347648389806914</v>
      </c>
      <c r="BH11">
        <f>AVERAGE(BG10:BI10)</f>
        <v>0.80444604442128487</v>
      </c>
      <c r="BI11">
        <f>AVERAGE(BH10:BJ10)</f>
        <v>0.80401808878706982</v>
      </c>
      <c r="BJ11">
        <f>AVERAGE(BI10:BK10)</f>
        <v>0.78390818888844349</v>
      </c>
      <c r="BK11">
        <f>AVERAGE(BJ10:BM10)</f>
        <v>0.81200499516487601</v>
      </c>
      <c r="BL11">
        <f t="shared" si="12"/>
        <v>0.83013430618096562</v>
      </c>
      <c r="BM11">
        <f>BM10</f>
        <v>0.84826361719705534</v>
      </c>
    </row>
    <row r="12" spans="1:66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OTH'!D$4,1))</f>
        <v>7.6700000000000017</v>
      </c>
      <c r="E12">
        <f ca="1">AVERAGE(OFFSET('Historical Trends'!$D$28,$B5,0,'Polling Correlations - OTH'!E$4,1))</f>
        <v>6.1450000000000031</v>
      </c>
      <c r="F12">
        <f ca="1">AVERAGE(OFFSET('Historical Trends'!$D$28,$B5,0,'Polling Correlations - OTH'!F$4,1))</f>
        <v>6.563333333333337</v>
      </c>
      <c r="G12">
        <f ca="1">AVERAGE(OFFSET('Historical Trends'!$D$28,$B5,0,'Polling Correlations - OTH'!G$4,1))</f>
        <v>6.5650000000000048</v>
      </c>
      <c r="H12">
        <f ca="1">AVERAGE(OFFSET('Historical Trends'!$D$28,$B5,0,'Polling Correlations - OTH'!H$4,1))</f>
        <v>6.4220000000000024</v>
      </c>
      <c r="I12">
        <f ca="1">AVERAGE(OFFSET('Historical Trends'!$D$28,$B5,0,'Polling Correlations - OTH'!I$4,1))</f>
        <v>7.1850000000000023</v>
      </c>
      <c r="J12">
        <f ca="1">AVERAGE(OFFSET('Historical Trends'!$D$28,$B5,0,'Polling Correlations - OTH'!J$4,1))</f>
        <v>6.6200000000000028</v>
      </c>
      <c r="K12" s="13">
        <f>(12+11+12+11+12)/5</f>
        <v>11.6</v>
      </c>
      <c r="L12">
        <f>(21+20+20+20+16)/5</f>
        <v>19.399999999999999</v>
      </c>
      <c r="M12">
        <f>(22+23+24+28.9+28)/5</f>
        <v>25.18</v>
      </c>
      <c r="N12">
        <f>(23+21+23+21+23.4)/5</f>
        <v>22.28</v>
      </c>
      <c r="O12">
        <f>(19+21+23.9+20+23)/5</f>
        <v>21.380000000000003</v>
      </c>
      <c r="P12">
        <f>(19+20+29+22+22)/5</f>
        <v>22.4</v>
      </c>
      <c r="Q12" s="30">
        <f>K12-AVERAGE(AM$5:AM10,AM13:AM$31)</f>
        <v>10.189499999999997</v>
      </c>
      <c r="R12" s="31">
        <f>L12-AVERAGE(AN$5:AN10,AN13:AN$31)</f>
        <v>18.466956521739128</v>
      </c>
      <c r="S12" s="31">
        <f>M12-AVERAGE(AO$5:AO10,AO13:AO$31)</f>
        <v>24.41072463768116</v>
      </c>
      <c r="T12" s="31">
        <f>N12-AVERAGE(AP$5:AP10,AP13:AP$31)</f>
        <v>20.944266666666667</v>
      </c>
      <c r="U12" s="31">
        <f>O12-AVERAGE(AQ$5:AQ10,AQ13:AQ$31)</f>
        <v>20.347733333333334</v>
      </c>
      <c r="V12" s="31">
        <f>P12-AVERAGE(AR$5:AR10,AR13:AR$31)</f>
        <v>21.792666666666666</v>
      </c>
      <c r="W12" s="13">
        <f t="shared" ca="1" si="2"/>
        <v>9.6943590011811835</v>
      </c>
      <c r="X12" s="6">
        <f t="shared" ca="1" si="3"/>
        <v>16.767706220843483</v>
      </c>
      <c r="Y12" s="6">
        <f t="shared" ca="1" si="4"/>
        <v>20.514220384768404</v>
      </c>
      <c r="Z12" s="6">
        <f t="shared" ca="1" si="5"/>
        <v>18.318518716028453</v>
      </c>
      <c r="AA12" s="6">
        <f t="shared" ca="1" si="6"/>
        <v>17.587638128742249</v>
      </c>
      <c r="AB12" s="2">
        <f t="shared" ca="1" si="7"/>
        <v>19.649744311134945</v>
      </c>
      <c r="AC12" s="2">
        <f>'Historical Trends'!C27</f>
        <v>20.879999999999995</v>
      </c>
      <c r="AE12" s="13">
        <f t="shared" ca="1" si="14"/>
        <v>-15.515982694684851</v>
      </c>
      <c r="AF12">
        <f t="shared" ca="1" si="15"/>
        <v>-13.209999999999994</v>
      </c>
      <c r="AG12">
        <f t="shared" ca="1" si="16"/>
        <v>-14.734999999999992</v>
      </c>
      <c r="AH12">
        <f t="shared" ca="1" si="17"/>
        <v>-14.316666666666659</v>
      </c>
      <c r="AI12">
        <f t="shared" ca="1" si="18"/>
        <v>-14.314999999999991</v>
      </c>
      <c r="AJ12">
        <f t="shared" ca="1" si="19"/>
        <v>-14.457999999999993</v>
      </c>
      <c r="AK12">
        <f t="shared" ca="1" si="20"/>
        <v>-13.694999999999993</v>
      </c>
      <c r="AL12">
        <f t="shared" ca="1" si="21"/>
        <v>-14.259999999999993</v>
      </c>
      <c r="AM12" s="13">
        <f t="shared" si="28"/>
        <v>-9.2799999999999958</v>
      </c>
      <c r="AN12">
        <f t="shared" si="28"/>
        <v>-1.4799999999999969</v>
      </c>
      <c r="AO12">
        <f t="shared" si="28"/>
        <v>4.3000000000000043</v>
      </c>
      <c r="AP12">
        <f t="shared" si="22"/>
        <v>1.4000000000000057</v>
      </c>
      <c r="AQ12">
        <f t="shared" si="23"/>
        <v>0.50000000000000711</v>
      </c>
      <c r="AR12">
        <f t="shared" si="24"/>
        <v>1.5200000000000031</v>
      </c>
      <c r="AS12" s="30">
        <f t="shared" si="29"/>
        <v>-10.690499999999998</v>
      </c>
      <c r="AT12">
        <f t="shared" si="29"/>
        <v>-2.4130434782608674</v>
      </c>
      <c r="AU12">
        <f t="shared" si="29"/>
        <v>3.5307246376811641</v>
      </c>
      <c r="AV12">
        <f t="shared" si="29"/>
        <v>6.4266666666672023E-2</v>
      </c>
      <c r="AW12">
        <f t="shared" si="29"/>
        <v>-0.53226666666666134</v>
      </c>
      <c r="AX12">
        <f t="shared" si="29"/>
        <v>0.91266666666667007</v>
      </c>
      <c r="AY12" s="13">
        <f t="shared" ca="1" si="29"/>
        <v>-11.185640998818812</v>
      </c>
      <c r="AZ12" s="6">
        <f t="shared" ca="1" si="29"/>
        <v>-4.1122937791565128</v>
      </c>
      <c r="BA12" s="6">
        <f t="shared" ca="1" si="29"/>
        <v>-0.36577961523159175</v>
      </c>
      <c r="BB12" s="6">
        <f t="shared" ca="1" si="25"/>
        <v>-2.561481283971542</v>
      </c>
      <c r="BC12" s="6">
        <f t="shared" ca="1" si="26"/>
        <v>-3.2923618712577465</v>
      </c>
      <c r="BD12" s="2">
        <f t="shared" ca="1" si="27"/>
        <v>-1.23025568886505</v>
      </c>
      <c r="BE12" t="s">
        <v>192</v>
      </c>
      <c r="BG12">
        <f>MAX(0,($BG$16+1/($BG$17*$BG$18))-1/(($BG$17-BG6) * $BG$18))</f>
        <v>0.80876544467622102</v>
      </c>
      <c r="BH12">
        <f t="shared" ref="BH12:BM12" si="30">MAX(0,($BG$16+1/($BG$17*$BG$18))-1/(($BG$17-BH6) * $BG$18))</f>
        <v>0.80876544467650235</v>
      </c>
      <c r="BI12">
        <f t="shared" si="30"/>
        <v>0.80876544467678479</v>
      </c>
      <c r="BJ12">
        <f t="shared" si="30"/>
        <v>0.80876544467707034</v>
      </c>
      <c r="BK12">
        <f t="shared" si="30"/>
        <v>0.80876544467751565</v>
      </c>
      <c r="BL12">
        <f t="shared" si="30"/>
        <v>0.80876544467806399</v>
      </c>
      <c r="BM12">
        <f t="shared" si="30"/>
        <v>0.80876544467861189</v>
      </c>
    </row>
    <row r="13" spans="1:66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OTH'!D$4,1))</f>
        <v>4.6200000000000045</v>
      </c>
      <c r="E13">
        <f ca="1">AVERAGE(OFFSET('Historical Trends'!$D$28,$B6,0,'Polling Correlations - OTH'!E$4,1))</f>
        <v>6.0100000000000051</v>
      </c>
      <c r="F13">
        <f ca="1">AVERAGE(OFFSET('Historical Trends'!$D$28,$B6,0,'Polling Correlations - OTH'!F$4,1))</f>
        <v>6.1966666666666725</v>
      </c>
      <c r="G13">
        <f ca="1">AVERAGE(OFFSET('Historical Trends'!$D$28,$B6,0,'Polling Correlations - OTH'!G$4,1))</f>
        <v>6.110000000000003</v>
      </c>
      <c r="H13">
        <f ca="1">AVERAGE(OFFSET('Historical Trends'!$D$28,$B6,0,'Polling Correlations - OTH'!H$4,1))</f>
        <v>7.0880000000000027</v>
      </c>
      <c r="I13">
        <f ca="1">AVERAGE(OFFSET('Historical Trends'!$D$28,$B6,0,'Polling Correlations - OTH'!I$4,1))</f>
        <v>6.4450000000000029</v>
      </c>
      <c r="J13">
        <f ca="1">AVERAGE(OFFSET('Historical Trends'!$D$28,$B6,0,'Polling Correlations - OTH'!J$4,1))</f>
        <v>6.0957142857142879</v>
      </c>
      <c r="K13" s="13">
        <f>(14.2+17.8+16+14.3+19)/5</f>
        <v>16.259999999999998</v>
      </c>
      <c r="L13">
        <f>(16+18+15+20+14)/5</f>
        <v>16.600000000000001</v>
      </c>
      <c r="M13">
        <f>(21.7+20.8+19.9+15+19)/5</f>
        <v>19.28</v>
      </c>
      <c r="N13">
        <f>(16.5+16.8+18+18+18)/5</f>
        <v>17.46</v>
      </c>
      <c r="O13">
        <f>(15+15.6+16+17+16.5)/5</f>
        <v>16.02</v>
      </c>
      <c r="P13">
        <f>(13.8+14+16+12.9+16)/5</f>
        <v>14.539999999999997</v>
      </c>
      <c r="Q13" s="30">
        <f>K13-AVERAGE(AM$5:AM12,AM14:AM$31)</f>
        <v>15.337142857142853</v>
      </c>
      <c r="R13" s="31">
        <f>L13-AVERAGE(AN$5:AN12,AN14:AN$31)</f>
        <v>15.721250000000001</v>
      </c>
      <c r="S13" s="31">
        <f>M13-AVERAGE(AO$5:AO12,AO14:AO$31)</f>
        <v>18.456805555555555</v>
      </c>
      <c r="T13" s="31">
        <f>N13-AVERAGE(AP$5:AP12,AP14:AP$31)</f>
        <v>16.176282051282051</v>
      </c>
      <c r="U13" s="31">
        <f>O13-AVERAGE(AQ$5:AQ12,AQ14:AQ$31)</f>
        <v>15.097051282051281</v>
      </c>
      <c r="V13" s="31">
        <f>P13-AVERAGE(AR$5:AR12,AR14:AR$31)</f>
        <v>13.967948717948714</v>
      </c>
      <c r="W13" s="13">
        <f t="shared" ca="1" si="2"/>
        <v>13.230972260290446</v>
      </c>
      <c r="X13" s="6">
        <f t="shared" ca="1" si="3"/>
        <v>13.974109278923976</v>
      </c>
      <c r="Y13" s="6">
        <f t="shared" ca="1" si="4"/>
        <v>15.236205918393306</v>
      </c>
      <c r="Z13" s="6">
        <f t="shared" ca="1" si="5"/>
        <v>13.890364141455194</v>
      </c>
      <c r="AA13" s="6">
        <f t="shared" ca="1" si="6"/>
        <v>12.81607105936337</v>
      </c>
      <c r="AB13" s="2">
        <f t="shared" ca="1" si="7"/>
        <v>12.549524792859753</v>
      </c>
      <c r="AC13" s="2">
        <f>'Historical Trends'!C28</f>
        <v>12.780000000000001</v>
      </c>
      <c r="AE13" s="13">
        <f t="shared" ca="1" si="14"/>
        <v>-6.6342424242424229</v>
      </c>
      <c r="AF13">
        <f t="shared" ca="1" si="15"/>
        <v>-8.1599999999999966</v>
      </c>
      <c r="AG13">
        <f t="shared" ca="1" si="16"/>
        <v>-6.769999999999996</v>
      </c>
      <c r="AH13">
        <f t="shared" ca="1" si="17"/>
        <v>-6.5833333333333286</v>
      </c>
      <c r="AI13" s="6">
        <f t="shared" ca="1" si="18"/>
        <v>-6.6699999999999982</v>
      </c>
      <c r="AJ13">
        <f t="shared" ca="1" si="19"/>
        <v>-5.6919999999999984</v>
      </c>
      <c r="AK13">
        <f t="shared" ca="1" si="20"/>
        <v>-6.3349999999999982</v>
      </c>
      <c r="AL13">
        <f t="shared" ca="1" si="21"/>
        <v>-6.6842857142857133</v>
      </c>
      <c r="AM13" s="13">
        <f t="shared" si="28"/>
        <v>3.4799999999999969</v>
      </c>
      <c r="AN13">
        <f t="shared" si="28"/>
        <v>3.8200000000000003</v>
      </c>
      <c r="AO13">
        <f t="shared" si="28"/>
        <v>6.5</v>
      </c>
      <c r="AP13">
        <f t="shared" si="22"/>
        <v>4.68</v>
      </c>
      <c r="AQ13">
        <f t="shared" si="23"/>
        <v>3.2399999999999984</v>
      </c>
      <c r="AR13">
        <f t="shared" si="24"/>
        <v>1.7599999999999962</v>
      </c>
      <c r="AS13" s="30">
        <f t="shared" si="29"/>
        <v>2.5571428571428516</v>
      </c>
      <c r="AT13">
        <f t="shared" si="29"/>
        <v>2.9412500000000001</v>
      </c>
      <c r="AU13">
        <f t="shared" si="29"/>
        <v>5.6768055555555534</v>
      </c>
      <c r="AV13">
        <f t="shared" si="29"/>
        <v>3.39628205128205</v>
      </c>
      <c r="AW13">
        <f t="shared" si="29"/>
        <v>2.3170512820512794</v>
      </c>
      <c r="AX13">
        <f t="shared" si="29"/>
        <v>1.1879487179487125</v>
      </c>
      <c r="AY13" s="13">
        <f t="shared" ca="1" si="29"/>
        <v>0.45097226029044535</v>
      </c>
      <c r="AZ13" s="6">
        <f t="shared" ca="1" si="29"/>
        <v>1.1941092789239747</v>
      </c>
      <c r="BA13" s="6">
        <f t="shared" ca="1" si="29"/>
        <v>2.4562059183933052</v>
      </c>
      <c r="BB13" s="6">
        <f t="shared" ca="1" si="25"/>
        <v>1.110364141455193</v>
      </c>
      <c r="BC13" s="6">
        <f t="shared" ca="1" si="26"/>
        <v>3.6071059363369073E-2</v>
      </c>
      <c r="BD13" s="2">
        <f t="shared" ca="1" si="27"/>
        <v>-0.23047520714024827</v>
      </c>
      <c r="BE13" t="s">
        <v>191</v>
      </c>
      <c r="BG13">
        <f>(BG12-BG10)^2</f>
        <v>2.7973106112828998E-5</v>
      </c>
      <c r="BH13">
        <f t="shared" ref="BH13:BM13" si="31">(BH12-BH10)^2</f>
        <v>1.1459723655099588E-3</v>
      </c>
      <c r="BI13">
        <f t="shared" si="31"/>
        <v>1.7240311078840457E-3</v>
      </c>
      <c r="BJ13">
        <f t="shared" si="31"/>
        <v>4.3202063732619501E-5</v>
      </c>
      <c r="BK13">
        <f t="shared" si="31"/>
        <v>7.0105727009719455E-4</v>
      </c>
      <c r="BL13">
        <f t="shared" si="31"/>
        <v>4.2384568711507276E-5</v>
      </c>
      <c r="BM13">
        <f t="shared" si="31"/>
        <v>1.5601056322967217E-3</v>
      </c>
      <c r="BN13">
        <f>SQRT(SUM(BG13:BM13))</f>
        <v>7.242048131809728E-2</v>
      </c>
    </row>
    <row r="14" spans="1:66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OTH'!D$4,1))</f>
        <v>7.4000000000000057</v>
      </c>
      <c r="E14">
        <f ca="1">AVERAGE(OFFSET('Historical Trends'!$D$28,$B7,0,'Polling Correlations - OTH'!E$4,1))</f>
        <v>6.9850000000000065</v>
      </c>
      <c r="F14">
        <f ca="1">AVERAGE(OFFSET('Historical Trends'!$D$28,$B7,0,'Polling Correlations - OTH'!F$4,1))</f>
        <v>6.6066666666666691</v>
      </c>
      <c r="G14">
        <f ca="1">AVERAGE(OFFSET('Historical Trends'!$D$28,$B7,0,'Polling Correlations - OTH'!G$4,1))</f>
        <v>7.7050000000000018</v>
      </c>
      <c r="H14">
        <f ca="1">AVERAGE(OFFSET('Historical Trends'!$D$28,$B7,0,'Polling Correlations - OTH'!H$4,1))</f>
        <v>6.8100000000000023</v>
      </c>
      <c r="I14">
        <f ca="1">AVERAGE(OFFSET('Historical Trends'!$D$28,$B7,0,'Polling Correlations - OTH'!I$4,1))</f>
        <v>6.3416666666666686</v>
      </c>
      <c r="J14">
        <f ca="1">AVERAGE(OFFSET('Historical Trends'!$D$28,$B7,0,'Polling Correlations - OTH'!J$4,1))</f>
        <v>6.3114285714285741</v>
      </c>
      <c r="K14" s="13">
        <f>(8+10+8.6)/3</f>
        <v>8.8666666666666671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(10+14+9+12+15)/5</f>
        <v>12</v>
      </c>
      <c r="P14">
        <f>(16+14+10+14+9)/5</f>
        <v>12.6</v>
      </c>
      <c r="Q14" s="30">
        <f>K14-AVERAGE(AM$5:AM13,AM15:AM$31)</f>
        <v>7.4312698412698399</v>
      </c>
      <c r="R14" s="31">
        <f>L14-AVERAGE(AN$5:AN13,AN15:AN$31)</f>
        <v>10.372499999999999</v>
      </c>
      <c r="S14" s="31">
        <f>M14-AVERAGE(AO$5:AO13,AO15:AO$31)</f>
        <v>9.6913888888888877</v>
      </c>
      <c r="T14" s="31">
        <f>N14-AVERAGE(AP$5:AP13,AP15:AP$31)</f>
        <v>10.376666666666665</v>
      </c>
      <c r="U14" s="31">
        <f>O14-AVERAGE(AQ$5:AQ13,AQ15:AQ$31)</f>
        <v>10.792820512820512</v>
      </c>
      <c r="V14" s="31">
        <f>P14-AVERAGE(AR$5:AR13,AR15:AR$31)</f>
        <v>11.823717948717947</v>
      </c>
      <c r="W14" s="13">
        <f t="shared" ca="1" si="2"/>
        <v>7.4251245821155427</v>
      </c>
      <c r="X14" s="6">
        <f t="shared" ca="1" si="3"/>
        <v>9.9046809892220704</v>
      </c>
      <c r="Y14" s="6">
        <f t="shared" ca="1" si="4"/>
        <v>9.1580543562524745</v>
      </c>
      <c r="Z14" s="6">
        <f t="shared" ca="1" si="5"/>
        <v>9.7878600232563784</v>
      </c>
      <c r="AA14" s="6">
        <f t="shared" ca="1" si="6"/>
        <v>10.054162632799308</v>
      </c>
      <c r="AB14" s="2">
        <f t="shared" ca="1" si="7"/>
        <v>11.152478988639023</v>
      </c>
      <c r="AC14" s="2">
        <f>'Historical Trends'!C29</f>
        <v>16.150000000000006</v>
      </c>
      <c r="AE14" s="13">
        <f t="shared" ca="1" si="14"/>
        <v>-7.5097156983930802</v>
      </c>
      <c r="AF14">
        <f t="shared" ca="1" si="15"/>
        <v>-8.75</v>
      </c>
      <c r="AG14">
        <f t="shared" ca="1" si="16"/>
        <v>-9.1649999999999991</v>
      </c>
      <c r="AH14">
        <f t="shared" ca="1" si="17"/>
        <v>-9.5433333333333366</v>
      </c>
      <c r="AI14">
        <f t="shared" ca="1" si="18"/>
        <v>-8.4450000000000038</v>
      </c>
      <c r="AJ14">
        <f t="shared" ca="1" si="19"/>
        <v>-9.3400000000000034</v>
      </c>
      <c r="AK14">
        <f t="shared" ca="1" si="20"/>
        <v>-9.8083333333333371</v>
      </c>
      <c r="AL14">
        <f t="shared" ca="1" si="21"/>
        <v>-9.8385714285714307</v>
      </c>
      <c r="AM14" s="13">
        <f t="shared" si="28"/>
        <v>-7.2833333333333385</v>
      </c>
      <c r="AN14">
        <f t="shared" si="28"/>
        <v>-4.550000000000006</v>
      </c>
      <c r="AO14">
        <f t="shared" si="28"/>
        <v>-5.1500000000000057</v>
      </c>
      <c r="AP14">
        <f t="shared" si="22"/>
        <v>-4.1500000000000057</v>
      </c>
      <c r="AQ14">
        <f t="shared" si="23"/>
        <v>-4.1500000000000057</v>
      </c>
      <c r="AR14">
        <f t="shared" si="24"/>
        <v>-3.550000000000006</v>
      </c>
      <c r="AS14" s="30">
        <f t="shared" si="29"/>
        <v>-8.7187301587301658</v>
      </c>
      <c r="AT14">
        <f t="shared" si="29"/>
        <v>-5.777500000000007</v>
      </c>
      <c r="AU14">
        <f t="shared" si="29"/>
        <v>-6.458611111111118</v>
      </c>
      <c r="AV14">
        <f t="shared" si="29"/>
        <v>-5.7733333333333405</v>
      </c>
      <c r="AW14">
        <f t="shared" si="29"/>
        <v>-5.3571794871794935</v>
      </c>
      <c r="AX14">
        <f t="shared" si="29"/>
        <v>-4.3262820512820586</v>
      </c>
      <c r="AY14" s="13">
        <f t="shared" ca="1" si="29"/>
        <v>-8.7248754178844621</v>
      </c>
      <c r="AZ14" s="6">
        <f t="shared" ca="1" si="29"/>
        <v>-6.2453190107779353</v>
      </c>
      <c r="BA14" s="6">
        <f t="shared" ca="1" si="29"/>
        <v>-6.9919456437475311</v>
      </c>
      <c r="BB14" s="6">
        <f t="shared" ca="1" si="25"/>
        <v>-6.3621399767436273</v>
      </c>
      <c r="BC14" s="6">
        <f t="shared" ca="1" si="26"/>
        <v>-6.0958373672006978</v>
      </c>
      <c r="BD14" s="2">
        <f t="shared" ca="1" si="27"/>
        <v>-4.9975210113609823</v>
      </c>
    </row>
    <row r="15" spans="1:66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OTH'!D$4,1))</f>
        <v>6.5700000000000074</v>
      </c>
      <c r="E15">
        <f ca="1">AVERAGE(OFFSET('Historical Trends'!$D$28,$B8,0,'Polling Correlations - OTH'!E$4,1))</f>
        <v>6.2100000000000009</v>
      </c>
      <c r="F15">
        <f ca="1">AVERAGE(OFFSET('Historical Trends'!$D$28,$B8,0,'Polling Correlations - OTH'!F$4,1))</f>
        <v>7.8066666666666675</v>
      </c>
      <c r="G15">
        <f ca="1">AVERAGE(OFFSET('Historical Trends'!$D$28,$B8,0,'Polling Correlations - OTH'!G$4,1))</f>
        <v>6.6625000000000014</v>
      </c>
      <c r="H15">
        <f ca="1">AVERAGE(OFFSET('Historical Trends'!$D$28,$B8,0,'Polling Correlations - OTH'!H$4,1))</f>
        <v>6.1300000000000008</v>
      </c>
      <c r="I15">
        <f ca="1">AVERAGE(OFFSET('Historical Trends'!$D$28,$B8,0,'Polling Correlations - OTH'!I$4,1))</f>
        <v>6.1300000000000026</v>
      </c>
      <c r="J15">
        <f ca="1">AVERAGE(OFFSET('Historical Trends'!$D$28,$B8,0,'Polling Correlations - OTH'!J$4,1))</f>
        <v>5.7957142857142872</v>
      </c>
      <c r="K15" s="13">
        <f>(11+10+10)/3</f>
        <v>10.333333333333334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9.366349206349204</v>
      </c>
      <c r="R15" s="31">
        <f>L15-AVERAGE(AN$5:AN14,AN16:AN$31)</f>
        <v>6.9712499999999986</v>
      </c>
      <c r="S15" s="31">
        <f>M15-AVERAGE(AO$5:AO14,AO16:AO$31)</f>
        <v>7.6095833333333314</v>
      </c>
      <c r="T15" s="31">
        <f>N15-AVERAGE(AP$5:AP14,AP16:AP$31)</f>
        <v>7.5832051282051269</v>
      </c>
      <c r="U15" s="31">
        <f>O15-AVERAGE(AQ$5:AQ14,AQ16:AQ$31)</f>
        <v>9.3839743589743581</v>
      </c>
      <c r="V15" s="31">
        <f>P15-AVERAGE(AR$5:AR14,AR16:AR$31)</f>
        <v>8.2341025641025638</v>
      </c>
      <c r="W15" s="13">
        <f t="shared" ca="1" si="2"/>
        <v>8.8168008280686152</v>
      </c>
      <c r="X15" s="6">
        <f t="shared" ca="1" si="3"/>
        <v>6.9081003353827946</v>
      </c>
      <c r="Y15" s="6">
        <f t="shared" ca="1" si="4"/>
        <v>7.3676140657382572</v>
      </c>
      <c r="Z15" s="6">
        <f t="shared" ca="1" si="5"/>
        <v>7.3827856733480566</v>
      </c>
      <c r="AA15" s="6">
        <f t="shared" ca="1" si="6"/>
        <v>8.7713382567756959</v>
      </c>
      <c r="AB15" s="2">
        <f t="shared" ca="1" si="7"/>
        <v>7.981597660412536</v>
      </c>
      <c r="AC15" s="2">
        <f>'Historical Trends'!C30</f>
        <v>7.7800000000000011</v>
      </c>
      <c r="AE15" s="13">
        <f t="shared" ca="1" si="14"/>
        <v>-0.10962790697678315</v>
      </c>
      <c r="AF15">
        <f t="shared" ca="1" si="15"/>
        <v>-1.2099999999999937</v>
      </c>
      <c r="AG15">
        <f t="shared" ca="1" si="16"/>
        <v>-1.5700000000000003</v>
      </c>
      <c r="AH15">
        <f t="shared" ca="1" si="17"/>
        <v>2.6666666666666394E-2</v>
      </c>
      <c r="AI15">
        <f t="shared" ca="1" si="18"/>
        <v>-1.1174999999999997</v>
      </c>
      <c r="AJ15">
        <f t="shared" ca="1" si="19"/>
        <v>-1.6500000000000004</v>
      </c>
      <c r="AK15">
        <f t="shared" ca="1" si="20"/>
        <v>-1.6499999999999986</v>
      </c>
      <c r="AL15">
        <f t="shared" ca="1" si="21"/>
        <v>-1.984285714285714</v>
      </c>
      <c r="AM15" s="13">
        <f t="shared" si="28"/>
        <v>2.5533333333333328</v>
      </c>
      <c r="AN15">
        <f t="shared" si="28"/>
        <v>0.21999999999999886</v>
      </c>
      <c r="AO15">
        <f t="shared" si="28"/>
        <v>0.88666666666666494</v>
      </c>
      <c r="AP15">
        <f t="shared" si="22"/>
        <v>1.2199999999999989</v>
      </c>
      <c r="AQ15">
        <f t="shared" si="23"/>
        <v>2.5533333333333328</v>
      </c>
      <c r="AR15">
        <f t="shared" si="24"/>
        <v>1.0533333333333328</v>
      </c>
      <c r="AS15" s="30">
        <f t="shared" si="29"/>
        <v>1.5863492063492028</v>
      </c>
      <c r="AT15">
        <f t="shared" si="29"/>
        <v>-0.80875000000000252</v>
      </c>
      <c r="AU15">
        <f t="shared" si="29"/>
        <v>-0.17041666666666977</v>
      </c>
      <c r="AV15">
        <f t="shared" si="29"/>
        <v>-0.1967948717948742</v>
      </c>
      <c r="AW15">
        <f t="shared" si="29"/>
        <v>1.6039743589743569</v>
      </c>
      <c r="AX15">
        <f t="shared" si="29"/>
        <v>0.45410256410256267</v>
      </c>
      <c r="AY15" s="13">
        <f t="shared" ca="1" si="29"/>
        <v>1.0368008280686141</v>
      </c>
      <c r="AZ15" s="6">
        <f t="shared" ca="1" si="29"/>
        <v>-0.87189966461720658</v>
      </c>
      <c r="BA15" s="6">
        <f t="shared" ca="1" si="29"/>
        <v>-0.41238593426174397</v>
      </c>
      <c r="BB15" s="6">
        <f t="shared" ca="1" si="25"/>
        <v>-0.39721432665194456</v>
      </c>
      <c r="BC15" s="6">
        <f t="shared" ca="1" si="26"/>
        <v>0.99133825677569476</v>
      </c>
      <c r="BD15" s="2">
        <f t="shared" ca="1" si="27"/>
        <v>0.20159766041253491</v>
      </c>
      <c r="BE15" t="s">
        <v>187</v>
      </c>
    </row>
    <row r="16" spans="1:66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OTH'!D$4,1))</f>
        <v>5.8499999999999943</v>
      </c>
      <c r="E16">
        <f ca="1">AVERAGE(OFFSET('Historical Trends'!$D$28,$B9,0,'Polling Correlations - OTH'!E$4,1))</f>
        <v>8.4249999999999972</v>
      </c>
      <c r="F16">
        <f ca="1">AVERAGE(OFFSET('Historical Trends'!$D$28,$B9,0,'Polling Correlations - OTH'!F$4,1))</f>
        <v>6.6933333333333325</v>
      </c>
      <c r="G16">
        <f ca="1">AVERAGE(OFFSET('Historical Trends'!$D$28,$B9,0,'Polling Correlations - OTH'!G$4,1))</f>
        <v>6.02</v>
      </c>
      <c r="H16">
        <f ca="1">AVERAGE(OFFSET('Historical Trends'!$D$28,$B9,0,'Polling Correlations - OTH'!H$4,1))</f>
        <v>6.0420000000000016</v>
      </c>
      <c r="I16">
        <f ca="1">AVERAGE(OFFSET('Historical Trends'!$D$28,$B9,0,'Polling Correlations - OTH'!I$4,1))</f>
        <v>5.666666666666667</v>
      </c>
      <c r="J16">
        <f ca="1">AVERAGE(OFFSET('Historical Trends'!$D$28,$B9,0,'Polling Correlations - OTH'!J$4,1))</f>
        <v>5.13</v>
      </c>
      <c r="L16">
        <f>(15+15+13)/3</f>
        <v>14.333333333333334</v>
      </c>
      <c r="M16">
        <f>(14+14+13)/3</f>
        <v>13.666666666666666</v>
      </c>
      <c r="N16">
        <f>(16+14+14)/3</f>
        <v>14.666666666666666</v>
      </c>
      <c r="O16">
        <f>(15+16+14)/3</f>
        <v>15</v>
      </c>
      <c r="P16">
        <f>(10+10+15)/3</f>
        <v>11.666666666666666</v>
      </c>
      <c r="Q16" s="30"/>
      <c r="R16" s="31">
        <f>L16-AVERAGE(AN$5:AN15,AN17:AN$31)</f>
        <v>13.593888888888888</v>
      </c>
      <c r="S16" s="31">
        <f>M16-AVERAGE(AO$5:AO15,AO17:AO$31)</f>
        <v>12.843333333333332</v>
      </c>
      <c r="T16" s="31">
        <f>N16-AVERAGE(AP$5:AP15,AP17:AP$31)</f>
        <v>13.491282051282049</v>
      </c>
      <c r="U16" s="31">
        <f>O16-AVERAGE(AQ$5:AQ15,AQ17:AQ$31)</f>
        <v>14.253589743589743</v>
      </c>
      <c r="V16" s="31">
        <f>P16-AVERAGE(AR$5:AR15,AR17:AR$31)</f>
        <v>11.199871794871793</v>
      </c>
      <c r="W16" s="13">
        <f t="shared" ca="1" si="2"/>
        <v>1.1496625691962945</v>
      </c>
      <c r="X16" s="6">
        <f t="shared" ca="1" si="3"/>
        <v>12.37513752149639</v>
      </c>
      <c r="Y16" s="6">
        <f t="shared" ca="1" si="4"/>
        <v>11.215592977695755</v>
      </c>
      <c r="Z16" s="6">
        <f t="shared" ca="1" si="5"/>
        <v>11.979780045918107</v>
      </c>
      <c r="AA16" s="6">
        <f t="shared" ca="1" si="6"/>
        <v>12.424027065248223</v>
      </c>
      <c r="AB16" s="2">
        <f t="shared" ca="1" si="7"/>
        <v>10.388101600258448</v>
      </c>
      <c r="AC16" s="2">
        <f>'Historical Trends'!C31</f>
        <v>7.1700000000000017</v>
      </c>
      <c r="AE16" s="13">
        <f t="shared" ca="1" si="14"/>
        <v>0.68076190476189424</v>
      </c>
      <c r="AF16">
        <f t="shared" ca="1" si="15"/>
        <v>-1.3200000000000074</v>
      </c>
      <c r="AG16">
        <f t="shared" ca="1" si="16"/>
        <v>1.2549999999999955</v>
      </c>
      <c r="AH16">
        <f t="shared" ca="1" si="17"/>
        <v>-0.47666666666666924</v>
      </c>
      <c r="AI16">
        <f t="shared" ca="1" si="18"/>
        <v>-1.1500000000000021</v>
      </c>
      <c r="AJ16">
        <f t="shared" ca="1" si="19"/>
        <v>-1.1280000000000001</v>
      </c>
      <c r="AK16">
        <f t="shared" ca="1" si="20"/>
        <v>-1.5033333333333347</v>
      </c>
      <c r="AL16">
        <f t="shared" ca="1" si="21"/>
        <v>-2.0400000000000018</v>
      </c>
      <c r="AN16">
        <f t="shared" ref="AN16:AN30" si="32">L16-$AC16</f>
        <v>7.1633333333333322</v>
      </c>
      <c r="AO16">
        <f t="shared" ref="AO16:AO30" si="33">M16-$AC16</f>
        <v>6.4966666666666644</v>
      </c>
      <c r="AP16">
        <f t="shared" si="22"/>
        <v>7.4966666666666644</v>
      </c>
      <c r="AQ16">
        <f t="shared" si="23"/>
        <v>7.8299999999999983</v>
      </c>
      <c r="AR16">
        <f t="shared" si="24"/>
        <v>4.4966666666666644</v>
      </c>
      <c r="AS16" s="30"/>
      <c r="AT16">
        <f t="shared" ref="AT16:AT30" si="34">R16-$AC16</f>
        <v>6.4238888888888859</v>
      </c>
      <c r="AU16">
        <f t="shared" ref="AU16:AU30" si="35">S16-$AC16</f>
        <v>5.6733333333333302</v>
      </c>
      <c r="AV16">
        <f t="shared" ref="AV16:AV30" si="36">T16-$AC16</f>
        <v>6.3212820512820471</v>
      </c>
      <c r="AW16">
        <f t="shared" ref="AW16:AW30" si="37">U16-$AC16</f>
        <v>7.0835897435897408</v>
      </c>
      <c r="AX16">
        <f t="shared" ref="AX16:AX30" si="38">V16-$AC16</f>
        <v>4.0298717948717915</v>
      </c>
      <c r="AZ16" s="6">
        <f t="shared" ref="AZ16:AZ30" ca="1" si="39">X16-$AC16</f>
        <v>5.205137521496388</v>
      </c>
      <c r="BA16" s="6">
        <f t="shared" ref="BA16:BA30" ca="1" si="40">Y16-$AC16</f>
        <v>4.0455929776957529</v>
      </c>
      <c r="BB16" s="6">
        <f t="shared" ca="1" si="25"/>
        <v>4.8097800459181048</v>
      </c>
      <c r="BC16" s="6">
        <f t="shared" ca="1" si="26"/>
        <v>5.2540270652482217</v>
      </c>
      <c r="BD16" s="2">
        <f t="shared" ca="1" si="27"/>
        <v>3.2181016002584464</v>
      </c>
      <c r="BE16" t="s">
        <v>188</v>
      </c>
      <c r="BG16">
        <v>0.80876544467889211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OTH'!D$4,1))</f>
        <v>10</v>
      </c>
      <c r="E17">
        <f ca="1">AVERAGE(OFFSET('Historical Trends'!$D$48,$B5,0,'Polling Correlations - OTH'!E$4,1))</f>
        <v>11.515000000000001</v>
      </c>
      <c r="F17">
        <f ca="1">AVERAGE(OFFSET('Historical Trends'!$D$48,$B5,0,'Polling Correlations - OTH'!F$4,1))</f>
        <v>12.523333333333332</v>
      </c>
      <c r="G17">
        <f ca="1">AVERAGE(OFFSET('Historical Trends'!$D$48,$B5,0,'Polling Correlations - OTH'!G$4,1))</f>
        <v>12.752499999999998</v>
      </c>
      <c r="H17">
        <f ca="1">AVERAGE(OFFSET('Historical Trends'!$D$48,$B5,0,'Polling Correlations - OTH'!H$4,1))</f>
        <v>12.053999999999998</v>
      </c>
      <c r="I17">
        <f ca="1">AVERAGE(OFFSET('Historical Trends'!$D$48,$B5,0,'Polling Correlations - OTH'!I$4,1))</f>
        <v>11.66666666666667</v>
      </c>
      <c r="J17">
        <f ca="1">AVERAGE(OFFSET('Historical Trends'!$D$48,$B5,0,'Polling Correlations - OTH'!J$4,1))</f>
        <v>11.481428571428575</v>
      </c>
      <c r="K17" s="13">
        <f>(16+12+20.9+12.5+12)/5</f>
        <v>14.680000000000001</v>
      </c>
      <c r="L17">
        <f>(10.5+17+11+14.7+10)/5</f>
        <v>12.64</v>
      </c>
      <c r="M17">
        <f>(18.4+10.5+17+11+14.7)/5</f>
        <v>14.319999999999999</v>
      </c>
      <c r="N17">
        <f>(17.2+15+18.4+10.6+17)/5</f>
        <v>15.64</v>
      </c>
      <c r="O17">
        <f>(16+15+17.2+15+18.4)/5</f>
        <v>16.32</v>
      </c>
      <c r="P17">
        <f>(14+12+10+16.6+16)/5</f>
        <v>13.719999999999999</v>
      </c>
      <c r="Q17" s="30">
        <f>K17-AVERAGE(AM$5:AM16,AM18:AM$31)</f>
        <v>13.550476190476191</v>
      </c>
      <c r="R17" s="31">
        <f>L17-AVERAGE(AN$5:AN16,AN18:AN$31)</f>
        <v>11.481249999999999</v>
      </c>
      <c r="S17" s="31">
        <f>M17-AVERAGE(AO$5:AO16,AO18:AO$31)</f>
        <v>13.175138888888887</v>
      </c>
      <c r="T17" s="31">
        <f>N17-AVERAGE(AP$5:AP16,AP18:AP$31)</f>
        <v>14.180128205128204</v>
      </c>
      <c r="U17" s="31">
        <f>O17-AVERAGE(AQ$5:AQ16,AQ18:AQ$31)</f>
        <v>15.302435897435897</v>
      </c>
      <c r="V17" s="31">
        <f>P17-AVERAGE(AR$5:AR16,AR18:AR$31)</f>
        <v>13.010256410256408</v>
      </c>
      <c r="W17" s="13">
        <f t="shared" ca="1" si="2"/>
        <v>12.852724125687621</v>
      </c>
      <c r="X17" s="6">
        <f t="shared" ca="1" si="3"/>
        <v>11.248127406319661</v>
      </c>
      <c r="Y17" s="6">
        <f t="shared" ca="1" si="4"/>
        <v>12.436106233379062</v>
      </c>
      <c r="Z17" s="6">
        <f t="shared" ca="1" si="5"/>
        <v>13.353267984248177</v>
      </c>
      <c r="AA17" s="6">
        <f t="shared" ca="1" si="6"/>
        <v>14.148031753701126</v>
      </c>
      <c r="AB17" s="2">
        <f t="shared" ca="1" si="7"/>
        <v>12.553490991254725</v>
      </c>
      <c r="AC17" s="2">
        <f>'Historical Trends'!C47</f>
        <v>15.539999999999992</v>
      </c>
      <c r="AE17" s="13">
        <f t="shared" ca="1" si="14"/>
        <v>-3.9879999999999924</v>
      </c>
      <c r="AF17">
        <f t="shared" ca="1" si="15"/>
        <v>-5.539999999999992</v>
      </c>
      <c r="AG17">
        <f t="shared" ca="1" si="16"/>
        <v>-4.0249999999999915</v>
      </c>
      <c r="AH17">
        <f t="shared" ca="1" si="17"/>
        <v>-3.0166666666666604</v>
      </c>
      <c r="AI17">
        <f t="shared" ca="1" si="18"/>
        <v>-2.7874999999999943</v>
      </c>
      <c r="AJ17">
        <f t="shared" ca="1" si="19"/>
        <v>-3.4859999999999935</v>
      </c>
      <c r="AK17">
        <f t="shared" ca="1" si="20"/>
        <v>-3.8733333333333224</v>
      </c>
      <c r="AL17">
        <f t="shared" ca="1" si="21"/>
        <v>-4.0585714285714172</v>
      </c>
      <c r="AM17" s="13">
        <f>K17-$AC17</f>
        <v>-0.85999999999999055</v>
      </c>
      <c r="AN17">
        <f t="shared" si="32"/>
        <v>-2.8999999999999915</v>
      </c>
      <c r="AO17">
        <f t="shared" si="33"/>
        <v>-1.2199999999999935</v>
      </c>
      <c r="AP17">
        <f t="shared" si="22"/>
        <v>0.10000000000000853</v>
      </c>
      <c r="AQ17">
        <f t="shared" si="23"/>
        <v>0.78000000000000824</v>
      </c>
      <c r="AR17">
        <f t="shared" si="24"/>
        <v>-1.8199999999999932</v>
      </c>
      <c r="AS17" s="30">
        <f>Q17-$AC17</f>
        <v>-1.989523809523801</v>
      </c>
      <c r="AT17">
        <f t="shared" si="34"/>
        <v>-4.0587499999999928</v>
      </c>
      <c r="AU17">
        <f t="shared" si="35"/>
        <v>-2.3648611111111055</v>
      </c>
      <c r="AV17">
        <f t="shared" si="36"/>
        <v>-1.359871794871788</v>
      </c>
      <c r="AW17">
        <f t="shared" si="37"/>
        <v>-0.23756410256409488</v>
      </c>
      <c r="AX17">
        <f t="shared" si="38"/>
        <v>-2.5297435897435836</v>
      </c>
      <c r="AY17" s="13">
        <f ca="1">W17-$AC17</f>
        <v>-2.6872758743123715</v>
      </c>
      <c r="AZ17" s="6">
        <f t="shared" ca="1" si="39"/>
        <v>-4.2918725936803312</v>
      </c>
      <c r="BA17" s="6">
        <f t="shared" ca="1" si="40"/>
        <v>-3.1038937666209296</v>
      </c>
      <c r="BB17" s="6">
        <f t="shared" ca="1" si="25"/>
        <v>-2.1867320157518151</v>
      </c>
      <c r="BC17" s="6">
        <f t="shared" ca="1" si="26"/>
        <v>-1.3919682462988661</v>
      </c>
      <c r="BD17" s="2">
        <f t="shared" ca="1" si="27"/>
        <v>-2.9865090087452675</v>
      </c>
      <c r="BE17" t="s">
        <v>189</v>
      </c>
      <c r="BG17">
        <v>2918.8300170574498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OTH'!D$4,1))</f>
        <v>13.030000000000001</v>
      </c>
      <c r="E18">
        <f ca="1">AVERAGE(OFFSET('Historical Trends'!$D$48,$B6,0,'Polling Correlations - OTH'!E$4,1))</f>
        <v>13.784999999999997</v>
      </c>
      <c r="F18">
        <f ca="1">AVERAGE(OFFSET('Historical Trends'!$D$48,$B6,0,'Polling Correlations - OTH'!F$4,1))</f>
        <v>13.669999999999996</v>
      </c>
      <c r="G18">
        <f ca="1">AVERAGE(OFFSET('Historical Trends'!$D$48,$B6,0,'Polling Correlations - OTH'!G$4,1))</f>
        <v>12.567499999999999</v>
      </c>
      <c r="H18">
        <f ca="1">AVERAGE(OFFSET('Historical Trends'!$D$48,$B6,0,'Polling Correlations - OTH'!H$4,1))</f>
        <v>12.000000000000004</v>
      </c>
      <c r="I18">
        <f ca="1">AVERAGE(OFFSET('Historical Trends'!$D$48,$B6,0,'Polling Correlations - OTH'!I$4,1))</f>
        <v>11.728333333333337</v>
      </c>
      <c r="J18">
        <f ca="1">AVERAGE(OFFSET('Historical Trends'!$D$48,$B6,0,'Polling Correlations - 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13.52095238095238</v>
      </c>
      <c r="R18" s="31">
        <f>L18-AVERAGE(AN$5:AN17,AN19:AN$31)</f>
        <v>12.087083333333332</v>
      </c>
      <c r="S18" s="31">
        <f>M18-AVERAGE(AO$5:AO17,AO19:AO$31)</f>
        <v>9.7393055555555552</v>
      </c>
      <c r="T18" s="31">
        <f>N18-AVERAGE(AP$5:AP17,AP19:AP$31)</f>
        <v>8.9516666666666662</v>
      </c>
      <c r="U18" s="31">
        <f>O18-AVERAGE(AQ$5:AQ17,AQ19:AQ$31)</f>
        <v>8.6201282051282035</v>
      </c>
      <c r="V18" s="31">
        <f>P18-AVERAGE(AR$5:AR17,AR19:AR$31)</f>
        <v>9.0071794871794868</v>
      </c>
      <c r="W18" s="13">
        <f t="shared" ca="1" si="2"/>
        <v>13.424468692809004</v>
      </c>
      <c r="X18" s="6">
        <f t="shared" ca="1" si="3"/>
        <v>12.235481766384979</v>
      </c>
      <c r="Y18" s="6">
        <f t="shared" ca="1" si="4"/>
        <v>10.505234460983763</v>
      </c>
      <c r="Z18" s="6">
        <f t="shared" ca="1" si="5"/>
        <v>9.7583911103536636</v>
      </c>
      <c r="AA18" s="6">
        <f t="shared" ca="1" si="6"/>
        <v>9.5802103959946407</v>
      </c>
      <c r="AB18" s="2">
        <f t="shared" ca="1" si="7"/>
        <v>9.6175877204603584</v>
      </c>
      <c r="AC18" s="2">
        <f>'Historical Trends'!C48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3.5209523809523802</v>
      </c>
      <c r="AT18">
        <f t="shared" si="34"/>
        <v>2.0870833333333323</v>
      </c>
      <c r="AU18">
        <f t="shared" si="35"/>
        <v>-0.26069444444444478</v>
      </c>
      <c r="AV18">
        <f t="shared" si="36"/>
        <v>-1.0483333333333338</v>
      </c>
      <c r="AW18">
        <f t="shared" si="37"/>
        <v>-1.3798717948717965</v>
      </c>
      <c r="AX18">
        <f t="shared" si="38"/>
        <v>-0.9928205128205132</v>
      </c>
      <c r="AY18" s="13">
        <f ca="1">W18-$AC18</f>
        <v>3.424468692809004</v>
      </c>
      <c r="AZ18" s="6">
        <f t="shared" ca="1" si="39"/>
        <v>2.2354817663849786</v>
      </c>
      <c r="BA18" s="6">
        <f t="shared" ca="1" si="40"/>
        <v>0.5052344609837629</v>
      </c>
      <c r="BB18" s="6">
        <f t="shared" ca="1" si="25"/>
        <v>-0.24160888964633642</v>
      </c>
      <c r="BC18" s="6">
        <f t="shared" ca="1" si="26"/>
        <v>-0.41978960400535925</v>
      </c>
      <c r="BD18" s="2">
        <f t="shared" ca="1" si="27"/>
        <v>-0.38241227953964163</v>
      </c>
      <c r="BE18" t="s">
        <v>190</v>
      </c>
      <c r="BG18">
        <v>290378.67507133109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OTH'!D$4,1))</f>
        <v>14.539999999999992</v>
      </c>
      <c r="E19">
        <f ca="1">AVERAGE(OFFSET('Historical Trends'!$D$48,$B7,0,'Polling Correlations - OTH'!E$4,1))</f>
        <v>13.989999999999995</v>
      </c>
      <c r="F19">
        <f ca="1">AVERAGE(OFFSET('Historical Trends'!$D$48,$B7,0,'Polling Correlations - OTH'!F$4,1))</f>
        <v>12.413333333333332</v>
      </c>
      <c r="G19">
        <f ca="1">AVERAGE(OFFSET('Historical Trends'!$D$48,$B7,0,'Polling Correlations - OTH'!G$4,1))</f>
        <v>11.742500000000003</v>
      </c>
      <c r="H19">
        <f ca="1">AVERAGE(OFFSET('Historical Trends'!$D$48,$B7,0,'Polling Correlations - OTH'!H$4,1))</f>
        <v>11.468000000000004</v>
      </c>
      <c r="I19">
        <f ca="1">AVERAGE(OFFSET('Historical Trends'!$D$48,$B7,0,'Polling Correlations - OTH'!I$4,1))</f>
        <v>11.25166666666667</v>
      </c>
      <c r="J19">
        <f ca="1">AVERAGE(OFFSET('Historical Trends'!$D$48,$B7,0,'Polling Correlations - 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(16+11.5+14+15+13)/5</f>
        <v>13.9</v>
      </c>
      <c r="O19">
        <f>(12+10+14+11+14)/5</f>
        <v>12.2</v>
      </c>
      <c r="P19">
        <f>(15+15+15+11+13)/5</f>
        <v>13.8</v>
      </c>
      <c r="Q19" s="30">
        <f>K19-AVERAGE(AM$5:AM18,AM20:AM$31)</f>
        <v>14.214761904761902</v>
      </c>
      <c r="R19" s="31">
        <f>L19-AVERAGE(AN$5:AN18,AN20:AN$31)</f>
        <v>11.960833333333332</v>
      </c>
      <c r="S19" s="31">
        <f>M19-AVERAGE(AO$5:AO18,AO20:AO$31)</f>
        <v>12.529722222222221</v>
      </c>
      <c r="T19" s="31">
        <f>N19-AVERAGE(AP$5:AP18,AP20:AP$31)</f>
        <v>12.469743589743588</v>
      </c>
      <c r="U19" s="31">
        <f>O19-AVERAGE(AQ$5:AQ18,AQ20:AQ$31)</f>
        <v>11.120512820512818</v>
      </c>
      <c r="V19" s="31">
        <f>P19-AVERAGE(AR$5:AR18,AR20:AR$31)</f>
        <v>13.189871794871795</v>
      </c>
      <c r="W19" s="13">
        <f t="shared" ca="1" si="2"/>
        <v>14.278678838808386</v>
      </c>
      <c r="X19" s="6">
        <f t="shared" ca="1" si="3"/>
        <v>12.366748623032711</v>
      </c>
      <c r="Y19" s="6">
        <f t="shared" ca="1" si="4"/>
        <v>12.997626454576411</v>
      </c>
      <c r="Z19" s="6">
        <f t="shared" ca="1" si="5"/>
        <v>12.879255592404856</v>
      </c>
      <c r="AA19" s="6">
        <f t="shared" ca="1" si="6"/>
        <v>11.864976354971915</v>
      </c>
      <c r="AB19" s="2">
        <f t="shared" ca="1" si="7"/>
        <v>13.39473536503818</v>
      </c>
      <c r="AC19" s="2">
        <f>'Historical Trends'!C49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0.86999999999999922</v>
      </c>
      <c r="AQ19">
        <f t="shared" si="23"/>
        <v>-0.83000000000000185</v>
      </c>
      <c r="AR19">
        <f t="shared" si="24"/>
        <v>0.76999999999999957</v>
      </c>
      <c r="AS19" s="30">
        <f>Q19-$AC19</f>
        <v>1.1847619047619009</v>
      </c>
      <c r="AT19">
        <f t="shared" si="34"/>
        <v>-1.0691666666666695</v>
      </c>
      <c r="AU19">
        <f t="shared" si="35"/>
        <v>-0.50027777777778049</v>
      </c>
      <c r="AV19">
        <f t="shared" si="36"/>
        <v>-0.56025641025641271</v>
      </c>
      <c r="AW19">
        <f t="shared" si="37"/>
        <v>-1.9094871794871828</v>
      </c>
      <c r="AX19">
        <f t="shared" si="38"/>
        <v>0.15987179487179404</v>
      </c>
      <c r="AY19" s="13">
        <f ca="1">W19-$AC19</f>
        <v>1.2486788388083845</v>
      </c>
      <c r="AZ19" s="6">
        <f t="shared" ca="1" si="39"/>
        <v>-0.66325137696729008</v>
      </c>
      <c r="BA19" s="6">
        <f t="shared" ca="1" si="40"/>
        <v>-3.23735454235905E-2</v>
      </c>
      <c r="BB19" s="6">
        <f t="shared" ca="1" si="25"/>
        <v>-0.15074440759514474</v>
      </c>
      <c r="BC19" s="6">
        <f t="shared" ca="1" si="26"/>
        <v>-1.1650236450280858</v>
      </c>
      <c r="BD19" s="2">
        <f t="shared" ca="1" si="27"/>
        <v>0.36473536503817883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OTH'!D$4,1))</f>
        <v>13.439999999999998</v>
      </c>
      <c r="E20">
        <f ca="1">AVERAGE(OFFSET('Historical Trends'!$D$48,$B8,0,'Polling Correlations - OTH'!E$4,1))</f>
        <v>11.350000000000001</v>
      </c>
      <c r="F20">
        <f ca="1">AVERAGE(OFFSET('Historical Trends'!$D$48,$B8,0,'Polling Correlations - OTH'!F$4,1))</f>
        <v>10.810000000000008</v>
      </c>
      <c r="G20">
        <f ca="1">AVERAGE(OFFSET('Historical Trends'!$D$48,$B8,0,'Polling Correlations - OTH'!G$4,1))</f>
        <v>10.700000000000006</v>
      </c>
      <c r="H20">
        <f ca="1">AVERAGE(OFFSET('Historical Trends'!$D$48,$B8,0,'Polling Correlations - OTH'!H$4,1))</f>
        <v>10.594000000000005</v>
      </c>
      <c r="I20">
        <f ca="1">AVERAGE(OFFSET('Historical Trends'!$D$48,$B8,0,'Polling Correlations - OTH'!I$4,1))</f>
        <v>9.7250000000000032</v>
      </c>
      <c r="J20">
        <f ca="1">AVERAGE(OFFSET('Historical Trends'!$D$48,$B8,0,'Polling Correlations - 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/>
      <c r="R20" s="31">
        <f>L20-AVERAGE(AN$5:AN19,AN21:AN$31)</f>
        <v>15.347638888888886</v>
      </c>
      <c r="S20" s="31">
        <f>M20-AVERAGE(AO$5:AO19,AO21:AO$31)</f>
        <v>14.597083333333332</v>
      </c>
      <c r="T20" s="31">
        <f>N20-AVERAGE(AP$5:AP19,AP21:AP$31)</f>
        <v>14.91782051282051</v>
      </c>
      <c r="U20" s="31">
        <f>O20-AVERAGE(AQ$5:AQ19,AQ21:AQ$31)</f>
        <v>14.641666666666666</v>
      </c>
      <c r="V20" s="31">
        <f>P20-AVERAGE(AR$5:AR19,AR21:AR$31)</f>
        <v>14.01102564102564</v>
      </c>
      <c r="W20" s="13">
        <f t="shared" ca="1" si="2"/>
        <v>2.6412760564099504</v>
      </c>
      <c r="X20" s="6">
        <f t="shared" ca="1" si="3"/>
        <v>15.047410213389639</v>
      </c>
      <c r="Y20" s="6">
        <f t="shared" ca="1" si="4"/>
        <v>14.327765234691437</v>
      </c>
      <c r="Z20" s="6">
        <f t="shared" ca="1" si="5"/>
        <v>14.625496704629004</v>
      </c>
      <c r="AA20" s="6">
        <f t="shared" ca="1" si="6"/>
        <v>14.380049363559095</v>
      </c>
      <c r="AB20" s="2">
        <f t="shared" ca="1" si="7"/>
        <v>13.924380275768677</v>
      </c>
      <c r="AC20" s="2">
        <f>'Historical Trends'!C50</f>
        <v>15.079999999999998</v>
      </c>
      <c r="AE20" s="13">
        <f t="shared" ca="1" si="14"/>
        <v>-0.64100958466458735</v>
      </c>
      <c r="AF20">
        <f t="shared" ca="1" si="15"/>
        <v>-1.6400000000000006</v>
      </c>
      <c r="AG20">
        <f t="shared" ca="1" si="16"/>
        <v>-3.7299999999999969</v>
      </c>
      <c r="AH20">
        <f t="shared" ca="1" si="17"/>
        <v>-4.2699999999999907</v>
      </c>
      <c r="AI20">
        <f t="shared" ca="1" si="18"/>
        <v>-4.3799999999999919</v>
      </c>
      <c r="AJ20">
        <f t="shared" ca="1" si="19"/>
        <v>-4.4859999999999935</v>
      </c>
      <c r="AK20">
        <f t="shared" ca="1" si="20"/>
        <v>-5.3549999999999951</v>
      </c>
      <c r="AL20">
        <f t="shared" ca="1" si="21"/>
        <v>-6.3142857142857114</v>
      </c>
      <c r="AN20">
        <f t="shared" si="32"/>
        <v>1.2533333333333339</v>
      </c>
      <c r="AO20">
        <f t="shared" si="33"/>
        <v>0.58666666666666778</v>
      </c>
      <c r="AP20">
        <f t="shared" si="22"/>
        <v>1.2533333333333339</v>
      </c>
      <c r="AQ20">
        <f t="shared" si="23"/>
        <v>0.58666666666666778</v>
      </c>
      <c r="AR20">
        <f t="shared" si="24"/>
        <v>-0.41333333333333222</v>
      </c>
      <c r="AS20" s="30"/>
      <c r="AT20">
        <f t="shared" si="34"/>
        <v>0.26763888888888765</v>
      </c>
      <c r="AU20">
        <f t="shared" si="35"/>
        <v>-0.48291666666666622</v>
      </c>
      <c r="AV20">
        <f t="shared" si="36"/>
        <v>-0.16217948717948794</v>
      </c>
      <c r="AW20">
        <f t="shared" si="37"/>
        <v>-0.43833333333333258</v>
      </c>
      <c r="AX20">
        <f t="shared" si="38"/>
        <v>-1.0689743589743586</v>
      </c>
      <c r="AZ20" s="6">
        <f t="shared" ca="1" si="39"/>
        <v>-3.2589786610358829E-2</v>
      </c>
      <c r="BA20" s="6">
        <f t="shared" ca="1" si="40"/>
        <v>-0.75223476530856104</v>
      </c>
      <c r="BB20" s="6">
        <f t="shared" ca="1" si="25"/>
        <v>-0.45450329537099421</v>
      </c>
      <c r="BC20" s="6">
        <f t="shared" ca="1" si="26"/>
        <v>-0.69995063644090294</v>
      </c>
      <c r="BD20" s="2">
        <f t="shared" ca="1" si="27"/>
        <v>-1.1556197242313218</v>
      </c>
      <c r="BE20" t="s">
        <v>193</v>
      </c>
      <c r="BG20">
        <f ca="1">SLOPE(BG8:BM8,BG6:BM6)</f>
        <v>0.25318007636511691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OTH'!D$4,1))</f>
        <v>8.3400000000000034</v>
      </c>
      <c r="E21">
        <f ca="1">AVERAGE(OFFSET('Historical Trends'!$D$66,$B5,0,'Polling Correlations - OTH'!E$4,1))</f>
        <v>7.6049999999999969</v>
      </c>
      <c r="F21">
        <f ca="1">AVERAGE(OFFSET('Historical Trends'!$D$66,$B5,0,'Polling Correlations - OTH'!F$4,1))</f>
        <v>7.5033333333333347</v>
      </c>
      <c r="G21">
        <f ca="1">AVERAGE(OFFSET('Historical Trends'!$D$66,$B5,0,'Polling Correlations - OTH'!G$4,1))</f>
        <v>6.6449999999999996</v>
      </c>
      <c r="H21">
        <f ca="1">AVERAGE(OFFSET('Historical Trends'!$D$66,$B5,0,'Polling Correlations - OTH'!H$4,1))</f>
        <v>6.4099999999999966</v>
      </c>
      <c r="I21">
        <f ca="1">AVERAGE(OFFSET('Historical Trends'!$D$66,$B5,0,'Polling Correlations - OTH'!I$4,1))</f>
        <v>6.3733333333333304</v>
      </c>
      <c r="J21">
        <f ca="1">AVERAGE(OFFSET('Historical Trends'!$D$66,$B5,0,'Polling Correlations - OTH'!J$4,1))</f>
        <v>6.8071428571428543</v>
      </c>
      <c r="K21" s="13">
        <f>(9+6+14.6+9+6)/5</f>
        <v>8.92</v>
      </c>
      <c r="L21">
        <f>(9+9+14+15.7+4)/5</f>
        <v>10.34</v>
      </c>
      <c r="M21">
        <f>(10+13+13+9+9)/5</f>
        <v>10.8</v>
      </c>
      <c r="N21">
        <f>(10+11.4+10+13+13)/5</f>
        <v>11.48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7.7209523809523777</v>
      </c>
      <c r="R21" s="31">
        <f>L21-AVERAGE(AN$5:AN20,AN22:AN$31)</f>
        <v>9.2645833333333325</v>
      </c>
      <c r="S21" s="31">
        <f>M21-AVERAGE(AO$5:AO20,AO22:AO$31)</f>
        <v>9.6876388888888876</v>
      </c>
      <c r="T21" s="31">
        <f>N21-AVERAGE(AP$5:AP20,AP22:AP$31)</f>
        <v>10.025512820512819</v>
      </c>
      <c r="U21" s="31">
        <f>O21-AVERAGE(AQ$5:AQ20,AQ22:AQ$31)</f>
        <v>9.1955128205128176</v>
      </c>
      <c r="V21" s="31">
        <f>P21-AVERAGE(AR$5:AR20,AR22:AR$31)</f>
        <v>9.0841025641025617</v>
      </c>
      <c r="W21" s="13">
        <f t="shared" ca="1" si="2"/>
        <v>7.8426097956821454</v>
      </c>
      <c r="X21" s="6">
        <f t="shared" ca="1" si="3"/>
        <v>9.1190702432133133</v>
      </c>
      <c r="Y21" s="6">
        <f t="shared" ca="1" si="4"/>
        <v>9.3739678396604287</v>
      </c>
      <c r="Z21" s="6">
        <f t="shared" ca="1" si="5"/>
        <v>9.6921059404665169</v>
      </c>
      <c r="AA21" s="6">
        <f t="shared" ca="1" si="6"/>
        <v>9.0092573778971339</v>
      </c>
      <c r="AB21" s="2">
        <f t="shared" ca="1" si="7"/>
        <v>8.9711951325912445</v>
      </c>
      <c r="AC21" s="2">
        <f>'Historical Trends'!C65</f>
        <v>11.240000000000009</v>
      </c>
      <c r="AE21" s="13">
        <f t="shared" ca="1" si="14"/>
        <v>-2.8203815694744208</v>
      </c>
      <c r="AF21">
        <f t="shared" ca="1" si="15"/>
        <v>-2.9000000000000057</v>
      </c>
      <c r="AG21">
        <f t="shared" ca="1" si="16"/>
        <v>-3.6350000000000122</v>
      </c>
      <c r="AH21">
        <f t="shared" ca="1" si="17"/>
        <v>-3.7366666666666744</v>
      </c>
      <c r="AI21">
        <f t="shared" ca="1" si="18"/>
        <v>-4.5950000000000095</v>
      </c>
      <c r="AJ21">
        <f t="shared" ca="1" si="19"/>
        <v>-4.8300000000000125</v>
      </c>
      <c r="AK21">
        <f t="shared" ca="1" si="20"/>
        <v>-4.8666666666666787</v>
      </c>
      <c r="AL21">
        <f t="shared" ca="1" si="21"/>
        <v>-4.4328571428571548</v>
      </c>
      <c r="AM21" s="13">
        <f>K21-$AC21</f>
        <v>-2.3200000000000092</v>
      </c>
      <c r="AN21">
        <f t="shared" si="32"/>
        <v>-0.90000000000000924</v>
      </c>
      <c r="AO21">
        <f t="shared" si="33"/>
        <v>-0.44000000000000838</v>
      </c>
      <c r="AP21">
        <f t="shared" si="22"/>
        <v>0.23999999999999133</v>
      </c>
      <c r="AQ21">
        <f t="shared" si="23"/>
        <v>-0.96000000000000973</v>
      </c>
      <c r="AR21">
        <f t="shared" si="24"/>
        <v>-1.4600000000000097</v>
      </c>
      <c r="AS21" s="30">
        <f>Q21-$AC21</f>
        <v>-3.5190476190476314</v>
      </c>
      <c r="AT21">
        <f t="shared" si="34"/>
        <v>-1.9754166666666766</v>
      </c>
      <c r="AU21">
        <f t="shared" si="35"/>
        <v>-1.5523611111111215</v>
      </c>
      <c r="AV21">
        <f t="shared" si="36"/>
        <v>-1.2144871794871896</v>
      </c>
      <c r="AW21">
        <f t="shared" si="37"/>
        <v>-2.0444871794871915</v>
      </c>
      <c r="AX21">
        <f t="shared" si="38"/>
        <v>-2.1558974358974474</v>
      </c>
      <c r="AY21" s="13">
        <f ca="1">W21-$AC21</f>
        <v>-3.3973902043178636</v>
      </c>
      <c r="AZ21" s="6">
        <f t="shared" ca="1" si="39"/>
        <v>-2.1209297567866958</v>
      </c>
      <c r="BA21" s="6">
        <f t="shared" ca="1" si="40"/>
        <v>-1.8660321603395804</v>
      </c>
      <c r="BB21" s="6">
        <f t="shared" ca="1" si="25"/>
        <v>-1.5478940595334922</v>
      </c>
      <c r="BC21" s="6">
        <f t="shared" ca="1" si="26"/>
        <v>-2.2307426221028752</v>
      </c>
      <c r="BD21" s="2">
        <f t="shared" ca="1" si="27"/>
        <v>-2.2688048674087646</v>
      </c>
      <c r="BE21" t="s">
        <v>194</v>
      </c>
      <c r="BG21">
        <f ca="1">INTERCEPT(BG8:BM8,BG6:BM6)</f>
        <v>1.503451435848703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OTH'!D$4,1))</f>
        <v>6.8699999999999903</v>
      </c>
      <c r="E22">
        <f ca="1">AVERAGE(OFFSET('Historical Trends'!$D$66,$B6,0,'Polling Correlations - OTH'!E$4,1))</f>
        <v>7.0850000000000009</v>
      </c>
      <c r="F22">
        <f ca="1">AVERAGE(OFFSET('Historical Trends'!$D$66,$B6,0,'Polling Correlations - OTH'!F$4,1))</f>
        <v>6.0799999999999983</v>
      </c>
      <c r="G22">
        <f ca="1">AVERAGE(OFFSET('Historical Trends'!$D$66,$B6,0,'Polling Correlations - OTH'!G$4,1))</f>
        <v>5.9274999999999949</v>
      </c>
      <c r="H22">
        <f ca="1">AVERAGE(OFFSET('Historical Trends'!$D$66,$B6,0,'Polling Correlations - OTH'!H$4,1))</f>
        <v>5.9799999999999951</v>
      </c>
      <c r="I22">
        <f ca="1">AVERAGE(OFFSET('Historical Trends'!$D$66,$B6,0,'Polling Correlations - OTH'!I$4,1))</f>
        <v>6.5516666666666623</v>
      </c>
      <c r="J22">
        <f ca="1">AVERAGE(OFFSET('Historical Trends'!$D$66,$B6,0,'Polling Correlations - OTH'!J$4,1))</f>
        <v>6.1699999999999973</v>
      </c>
      <c r="K22" s="13">
        <f>(7+9+11+9+8)/5</f>
        <v>8.8000000000000007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(9.5+8+9+8+9)/5</f>
        <v>8.6999999999999993</v>
      </c>
      <c r="Q22" s="30">
        <f>K22-AVERAGE(AM$5:AM21,AM23:AM$31)</f>
        <v>7.7295238095238084</v>
      </c>
      <c r="R22" s="31">
        <f>L22-AVERAGE(AN$5:AN21,AN23:AN$31)</f>
        <v>7.7570833333333313</v>
      </c>
      <c r="S22" s="31">
        <f>M22-AVERAGE(AO$5:AO21,AO23:AO$31)</f>
        <v>7.9093055555555551</v>
      </c>
      <c r="T22" s="31">
        <f>N22-AVERAGE(AP$5:AP21,AP23:AP$31)</f>
        <v>7.7662820512820492</v>
      </c>
      <c r="U22" s="31">
        <f>O22-AVERAGE(AQ$5:AQ21,AQ23:AQ$31)</f>
        <v>9.3455128205128197</v>
      </c>
      <c r="V22" s="31">
        <f>P22-AVERAGE(AR$5:AR21,AR23:AR$31)</f>
        <v>8.0710256410256402</v>
      </c>
      <c r="W22" s="13">
        <f t="shared" ca="1" si="2"/>
        <v>7.5606071683028615</v>
      </c>
      <c r="X22" s="6">
        <f t="shared" ca="1" si="3"/>
        <v>7.6174720810280014</v>
      </c>
      <c r="Y22" s="6">
        <f t="shared" ca="1" si="4"/>
        <v>7.6674009424073963</v>
      </c>
      <c r="Z22" s="6">
        <f t="shared" ca="1" si="5"/>
        <v>7.5889908442839715</v>
      </c>
      <c r="AA22" s="6">
        <f t="shared" ca="1" si="6"/>
        <v>8.8065638707951095</v>
      </c>
      <c r="AB22" s="2">
        <f t="shared" ca="1" si="7"/>
        <v>7.8887863546028205</v>
      </c>
      <c r="AC22" s="2">
        <f>'Historical Trends'!C66</f>
        <v>8.4200000000000017</v>
      </c>
      <c r="AE22" s="13">
        <f t="shared" ca="1" si="14"/>
        <v>-2.9387701767870595</v>
      </c>
      <c r="AF22">
        <f t="shared" ca="1" si="15"/>
        <v>-1.5500000000000114</v>
      </c>
      <c r="AG22">
        <f t="shared" ca="1" si="16"/>
        <v>-1.3350000000000009</v>
      </c>
      <c r="AH22">
        <f t="shared" ca="1" si="17"/>
        <v>-2.3400000000000034</v>
      </c>
      <c r="AI22">
        <f t="shared" ca="1" si="18"/>
        <v>-2.4925000000000068</v>
      </c>
      <c r="AJ22">
        <f t="shared" ca="1" si="19"/>
        <v>-2.4400000000000066</v>
      </c>
      <c r="AK22">
        <f t="shared" ca="1" si="20"/>
        <v>-1.8683333333333394</v>
      </c>
      <c r="AL22">
        <f t="shared" ca="1" si="21"/>
        <v>-2.2500000000000044</v>
      </c>
      <c r="AM22" s="13">
        <f>K22-$AC22</f>
        <v>0.37999999999999901</v>
      </c>
      <c r="AN22">
        <f t="shared" si="32"/>
        <v>0.35999999999999766</v>
      </c>
      <c r="AO22">
        <f t="shared" si="33"/>
        <v>0.55999999999999872</v>
      </c>
      <c r="AP22">
        <f t="shared" si="22"/>
        <v>0.77999999999999758</v>
      </c>
      <c r="AQ22">
        <f t="shared" si="23"/>
        <v>1.8999999999999986</v>
      </c>
      <c r="AR22">
        <f t="shared" si="24"/>
        <v>0.27999999999999758</v>
      </c>
      <c r="AS22" s="30">
        <f>Q22-$AC22</f>
        <v>-0.69047619047619335</v>
      </c>
      <c r="AT22">
        <f t="shared" si="34"/>
        <v>-0.66291666666667037</v>
      </c>
      <c r="AU22">
        <f t="shared" si="35"/>
        <v>-0.51069444444444656</v>
      </c>
      <c r="AV22">
        <f t="shared" si="36"/>
        <v>-0.65371794871795252</v>
      </c>
      <c r="AW22">
        <f t="shared" si="37"/>
        <v>0.92551282051281802</v>
      </c>
      <c r="AX22">
        <f t="shared" si="38"/>
        <v>-0.34897435897436146</v>
      </c>
      <c r="AY22" s="13">
        <f ca="1">W22-$AC22</f>
        <v>-0.8593928316971402</v>
      </c>
      <c r="AZ22" s="6">
        <f t="shared" ca="1" si="39"/>
        <v>-0.80252791897200026</v>
      </c>
      <c r="BA22" s="6">
        <f t="shared" ca="1" si="40"/>
        <v>-0.75259905759260537</v>
      </c>
      <c r="BB22" s="6">
        <f t="shared" ca="1" si="25"/>
        <v>-0.83100915571603018</v>
      </c>
      <c r="BC22" s="6">
        <f t="shared" ca="1" si="26"/>
        <v>0.38656387079510779</v>
      </c>
      <c r="BD22" s="2">
        <f t="shared" ca="1" si="27"/>
        <v>-0.53121364539718119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0.80876544467889211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OTH'!D$4,1))</f>
        <v>7.3000000000000114</v>
      </c>
      <c r="E23">
        <f ca="1">AVERAGE(OFFSET('Historical Trends'!$D$66,$B7,0,'Polling Correlations - OTH'!E$4,1))</f>
        <v>5.6850000000000023</v>
      </c>
      <c r="F23">
        <f ca="1">AVERAGE(OFFSET('Historical Trends'!$D$66,$B7,0,'Polling Correlations - OTH'!F$4,1))</f>
        <v>5.6133333333333297</v>
      </c>
      <c r="G23">
        <f ca="1">AVERAGE(OFFSET('Historical Trends'!$D$66,$B7,0,'Polling Correlations - OTH'!G$4,1))</f>
        <v>5.7574999999999967</v>
      </c>
      <c r="H23">
        <f ca="1">AVERAGE(OFFSET('Historical Trends'!$D$66,$B7,0,'Polling Correlations - OTH'!H$4,1))</f>
        <v>6.4879999999999969</v>
      </c>
      <c r="I23">
        <f ca="1">AVERAGE(OFFSET('Historical Trends'!$D$66,$B7,0,'Polling Correlations - OTH'!I$4,1))</f>
        <v>6.0533333333333319</v>
      </c>
      <c r="J23">
        <f ca="1">AVERAGE(OFFSET('Historical Trends'!$D$66,$B7,0,'Polling Correlations - 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(6+5+10+9+12)/5</f>
        <v>8.4</v>
      </c>
      <c r="P23">
        <f>(7+7+6+5+6)/5</f>
        <v>6.2</v>
      </c>
      <c r="Q23" s="30">
        <f>K23-AVERAGE(AM$5:AM22,AM24:AM$31)</f>
        <v>6.2942857142857127</v>
      </c>
      <c r="R23" s="31">
        <f>L23-AVERAGE(AN$5:AN22,AN24:AN$31)</f>
        <v>5.930416666666666</v>
      </c>
      <c r="S23" s="31">
        <f>M23-AVERAGE(AO$5:AO22,AO24:AO$31)</f>
        <v>6.9159722222222211</v>
      </c>
      <c r="T23" s="31">
        <f>N23-AVERAGE(AP$5:AP22,AP24:AP$31)</f>
        <v>7.3762820512820513</v>
      </c>
      <c r="U23" s="31">
        <f>O23-AVERAGE(AQ$5:AQ22,AQ24:AQ$31)</f>
        <v>7.3770512820512817</v>
      </c>
      <c r="V23" s="31">
        <f>P23-AVERAGE(AR$5:AR22,AR24:AR$31)</f>
        <v>5.5002564102564104</v>
      </c>
      <c r="W23" s="13">
        <f t="shared" ca="1" si="2"/>
        <v>6.4919322219082281</v>
      </c>
      <c r="X23" s="6">
        <f t="shared" ca="1" si="3"/>
        <v>6.145964898854368</v>
      </c>
      <c r="Y23" s="6">
        <f t="shared" ca="1" si="4"/>
        <v>7.0053569950880066</v>
      </c>
      <c r="Z23" s="6">
        <f t="shared" ca="1" si="5"/>
        <v>7.3611928983477295</v>
      </c>
      <c r="AA23" s="6">
        <f t="shared" ca="1" si="6"/>
        <v>7.360276290141794</v>
      </c>
      <c r="AB23" s="2">
        <f t="shared" ca="1" si="7"/>
        <v>5.7733429925368913</v>
      </c>
      <c r="AC23" s="2">
        <f>'Historical Trends'!C67</f>
        <v>7.7599999999999909</v>
      </c>
      <c r="AE23" s="13">
        <f t="shared" ca="1" si="14"/>
        <v>-1.5423289777094489</v>
      </c>
      <c r="AF23">
        <f t="shared" ca="1" si="15"/>
        <v>-0.45999999999997954</v>
      </c>
      <c r="AG23">
        <f t="shared" ca="1" si="16"/>
        <v>-2.0749999999999886</v>
      </c>
      <c r="AH23">
        <f t="shared" ca="1" si="17"/>
        <v>-2.1466666666666612</v>
      </c>
      <c r="AI23">
        <f t="shared" ca="1" si="18"/>
        <v>-2.0024999999999942</v>
      </c>
      <c r="AJ23">
        <f t="shared" ca="1" si="19"/>
        <v>-1.271999999999994</v>
      </c>
      <c r="AK23">
        <f t="shared" ca="1" si="20"/>
        <v>-1.706666666666659</v>
      </c>
      <c r="AL23">
        <f t="shared" ca="1" si="21"/>
        <v>-2.4514285714285631</v>
      </c>
      <c r="AM23" s="13">
        <f>K23-$AC23</f>
        <v>-0.35999999999999055</v>
      </c>
      <c r="AN23">
        <f t="shared" si="32"/>
        <v>-0.75999999999999091</v>
      </c>
      <c r="AO23">
        <f t="shared" si="33"/>
        <v>0.24000000000000909</v>
      </c>
      <c r="AP23">
        <f t="shared" si="22"/>
        <v>1.0400000000000098</v>
      </c>
      <c r="AQ23">
        <f t="shared" si="23"/>
        <v>0.64000000000000945</v>
      </c>
      <c r="AR23">
        <f t="shared" si="24"/>
        <v>-1.5599999999999907</v>
      </c>
      <c r="AS23" s="30">
        <f>Q23-$AC23</f>
        <v>-1.4657142857142782</v>
      </c>
      <c r="AT23">
        <f t="shared" si="34"/>
        <v>-1.8295833333333249</v>
      </c>
      <c r="AU23">
        <f t="shared" si="35"/>
        <v>-0.84402777777776983</v>
      </c>
      <c r="AV23">
        <f t="shared" si="36"/>
        <v>-0.38371794871793963</v>
      </c>
      <c r="AW23">
        <f t="shared" si="37"/>
        <v>-0.38294871794870922</v>
      </c>
      <c r="AX23">
        <f t="shared" si="38"/>
        <v>-2.2597435897435805</v>
      </c>
      <c r="AY23" s="13">
        <f ca="1">W23-$AC23</f>
        <v>-1.2680677780917629</v>
      </c>
      <c r="AZ23" s="6">
        <f t="shared" ca="1" si="39"/>
        <v>-1.6140351011456229</v>
      </c>
      <c r="BA23" s="6">
        <f t="shared" ca="1" si="40"/>
        <v>-0.75464300491198433</v>
      </c>
      <c r="BB23" s="6">
        <f t="shared" ca="1" si="25"/>
        <v>-0.39880710165226141</v>
      </c>
      <c r="BC23" s="6">
        <f t="shared" ca="1" si="26"/>
        <v>-0.39972370985819694</v>
      </c>
      <c r="BD23" s="2">
        <f t="shared" ca="1" si="27"/>
        <v>-1.9866570074630996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0.8087654446788517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OTH'!D$4,1))</f>
        <v>4.0699999999999932</v>
      </c>
      <c r="E24">
        <f ca="1">AVERAGE(OFFSET('Historical Trends'!$D$66,$B8,0,'Polling Correlations - OTH'!E$4,1))</f>
        <v>4.7699999999999889</v>
      </c>
      <c r="F24">
        <f ca="1">AVERAGE(OFFSET('Historical Trends'!$D$66,$B8,0,'Polling Correlations - OTH'!F$4,1))</f>
        <v>5.2433333333333252</v>
      </c>
      <c r="G24">
        <f ca="1">AVERAGE(OFFSET('Historical Trends'!$D$66,$B8,0,'Polling Correlations - OTH'!G$4,1))</f>
        <v>6.284999999999993</v>
      </c>
      <c r="H24">
        <f ca="1">AVERAGE(OFFSET('Historical Trends'!$D$66,$B8,0,'Polling Correlations - OTH'!H$4,1))</f>
        <v>5.8039999999999967</v>
      </c>
      <c r="I24">
        <f ca="1">AVERAGE(OFFSET('Historical Trends'!$D$66,$B8,0,'Polling Correlations - OTH'!I$4,1))</f>
        <v>4.9766666666666639</v>
      </c>
      <c r="J24">
        <f ca="1">AVERAGE(OFFSET('Historical Trends'!$D$66,$B8,0,'Polling Correlations - OTH'!J$4,1))</f>
        <v>4.4157142857142828</v>
      </c>
      <c r="L24">
        <f>(7+11+11+9)/4</f>
        <v>9.5</v>
      </c>
      <c r="M24">
        <f>(7+11+11+12+7)/5</f>
        <v>9.6</v>
      </c>
      <c r="N24">
        <f>(5+8+14+7+11)/5</f>
        <v>9</v>
      </c>
      <c r="O24">
        <f>(5+11+5+8+14)/5</f>
        <v>8.6</v>
      </c>
      <c r="P24">
        <f>(9+7+7+8+5)/5</f>
        <v>7.2</v>
      </c>
      <c r="Q24" s="30"/>
      <c r="R24" s="31">
        <f>L24-AVERAGE(AN$5:AN23,AN25:AN$31)</f>
        <v>8.5537499999999991</v>
      </c>
      <c r="S24" s="31">
        <f>M24-AVERAGE(AO$5:AO23,AO25:AO$31)</f>
        <v>8.6018055555555542</v>
      </c>
      <c r="T24" s="31">
        <f>N24-AVERAGE(AP$5:AP23,AP25:AP$31)</f>
        <v>7.6016666666666648</v>
      </c>
      <c r="U24" s="31">
        <f>O24-AVERAGE(AQ$5:AQ23,AQ25:AQ$31)</f>
        <v>7.6024358974358952</v>
      </c>
      <c r="V24" s="31">
        <f>P24-AVERAGE(AR$5:AR23,AR25:AR$31)</f>
        <v>6.5564102564102553</v>
      </c>
      <c r="W24" s="13">
        <f t="shared" ca="1" si="2"/>
        <v>0.79985071053485723</v>
      </c>
      <c r="X24" s="6">
        <f t="shared" ca="1" si="3"/>
        <v>7.8480869252899765</v>
      </c>
      <c r="Y24" s="6">
        <f t="shared" ca="1" si="4"/>
        <v>7.5470005812923953</v>
      </c>
      <c r="Z24" s="6">
        <f t="shared" ca="1" si="5"/>
        <v>6.9030769256888362</v>
      </c>
      <c r="AA24" s="6">
        <f t="shared" ca="1" si="6"/>
        <v>6.833382067016295</v>
      </c>
      <c r="AB24" s="2">
        <f t="shared" ca="1" si="7"/>
        <v>6.1791313579384193</v>
      </c>
      <c r="AC24" s="2">
        <f>'Historical Trends'!C68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2.1999999999999886</v>
      </c>
      <c r="AO24">
        <f t="shared" si="33"/>
        <v>2.2999999999999883</v>
      </c>
      <c r="AP24">
        <f t="shared" si="22"/>
        <v>1.6999999999999886</v>
      </c>
      <c r="AQ24">
        <f t="shared" si="23"/>
        <v>1.2999999999999883</v>
      </c>
      <c r="AR24">
        <f t="shared" si="24"/>
        <v>-0.10000000000001119</v>
      </c>
      <c r="AS24" s="30"/>
      <c r="AT24">
        <f t="shared" si="34"/>
        <v>1.2537499999999877</v>
      </c>
      <c r="AU24">
        <f t="shared" si="35"/>
        <v>1.3018055555555428</v>
      </c>
      <c r="AV24">
        <f t="shared" si="36"/>
        <v>0.30166666666665343</v>
      </c>
      <c r="AW24">
        <f t="shared" si="37"/>
        <v>0.30243589743588384</v>
      </c>
      <c r="AX24">
        <f t="shared" si="38"/>
        <v>-0.74358974358975605</v>
      </c>
      <c r="AZ24" s="6">
        <f t="shared" ca="1" si="39"/>
        <v>0.54808692528996517</v>
      </c>
      <c r="BA24" s="6">
        <f t="shared" ca="1" si="40"/>
        <v>0.24700058129238389</v>
      </c>
      <c r="BB24" s="6">
        <f t="shared" ca="1" si="25"/>
        <v>-0.39692307431117513</v>
      </c>
      <c r="BC24" s="6">
        <f t="shared" ca="1" si="26"/>
        <v>-0.46661793298371634</v>
      </c>
      <c r="BD24" s="2">
        <f t="shared" ca="1" si="27"/>
        <v>-1.1208686420615921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0.80876544467881128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OTH'!D$4,1))</f>
        <v>5.3299999999999983</v>
      </c>
      <c r="E25">
        <f ca="1">AVERAGE(OFFSET('Historical Trends'!$D$84,$B5,0,'Polling Correlations - OTH'!E$4,1))</f>
        <v>7.1049999999999969</v>
      </c>
      <c r="F25">
        <f ca="1">AVERAGE(OFFSET('Historical Trends'!$D$84,$B5,0,'Polling Correlations - OTH'!F$4,1))</f>
        <v>7.9299999999999971</v>
      </c>
      <c r="G25">
        <f ca="1">AVERAGE(OFFSET('Historical Trends'!$D$84,$B5,0,'Polling Correlations - OTH'!G$4,1))</f>
        <v>8.16</v>
      </c>
      <c r="H25">
        <f ca="1">AVERAGE(OFFSET('Historical Trends'!$D$84,$B5,0,'Polling Correlations - OTH'!H$4,1))</f>
        <v>8.2640000000000011</v>
      </c>
      <c r="I25">
        <f ca="1">AVERAGE(OFFSET('Historical Trends'!$D$84,$B5,0,'Polling Correlations - OTH'!I$4,1))</f>
        <v>8.0250000000000039</v>
      </c>
      <c r="J25">
        <f ca="1">AVERAGE(OFFSET('Historical Trends'!$D$84,$B5,0,'Polling Correlations - OTH'!J$4,1))</f>
        <v>8.0485714285714316</v>
      </c>
      <c r="K25" s="13">
        <f>(11+10+13+16+10)/5</f>
        <v>12</v>
      </c>
      <c r="L25">
        <f>(10+10+6+13+11)/5</f>
        <v>10</v>
      </c>
      <c r="M25">
        <f>(12+10+9+7+5)/5</f>
        <v>8.6</v>
      </c>
      <c r="N25">
        <f>(13+13.6+12.2+12+9)/5</f>
        <v>11.959999999999999</v>
      </c>
      <c r="O25">
        <f>(18+15.3+13+13.6+12.2)/5</f>
        <v>14.419999999999998</v>
      </c>
      <c r="P25">
        <f>(11.7+15+16+12.7+15.1)/5</f>
        <v>14.1</v>
      </c>
      <c r="Q25" s="30">
        <f>K25-AVERAGE(AM$5:AM24,AM26:AM$31)</f>
        <v>10.899047619047618</v>
      </c>
      <c r="R25" s="31">
        <f>L25-AVERAGE(AN$5:AN24,AN26:AN$31)</f>
        <v>8.867916666666666</v>
      </c>
      <c r="S25" s="31">
        <f>M25-AVERAGE(AO$5:AO24,AO26:AO$31)</f>
        <v>7.3534722222222211</v>
      </c>
      <c r="T25" s="31">
        <f>N25-AVERAGE(AP$5:AP24,AP26:AP$31)</f>
        <v>10.484743589743587</v>
      </c>
      <c r="U25" s="31">
        <f>O25-AVERAGE(AQ$5:AQ24,AQ26:AQ$31)</f>
        <v>13.455512820512817</v>
      </c>
      <c r="V25" s="31">
        <f>P25-AVERAGE(AR$5:AR24,AR26:AR$31)</f>
        <v>13.531025641025639</v>
      </c>
      <c r="W25" s="13">
        <f t="shared" ca="1" si="2"/>
        <v>9.8045987996132933</v>
      </c>
      <c r="X25" s="6">
        <f t="shared" ca="1" si="3"/>
        <v>8.3111110568383229</v>
      </c>
      <c r="Y25" s="6">
        <f t="shared" ca="1" si="4"/>
        <v>6.8824969036393675</v>
      </c>
      <c r="Z25" s="6">
        <f t="shared" ca="1" si="5"/>
        <v>9.4650972501967932</v>
      </c>
      <c r="AA25" s="6">
        <f t="shared" ca="1" si="6"/>
        <v>11.686490836766449</v>
      </c>
      <c r="AB25" s="2">
        <f t="shared" ca="1" si="7"/>
        <v>12.286631674982209</v>
      </c>
      <c r="AC25" s="2">
        <f>'Historical Trends'!C83</f>
        <v>12.259999999999991</v>
      </c>
      <c r="AE25" s="13">
        <f t="shared" ca="1" si="14"/>
        <v>-4.9406279620853013</v>
      </c>
      <c r="AF25">
        <f t="shared" ca="1" si="15"/>
        <v>-6.9299999999999926</v>
      </c>
      <c r="AG25">
        <f t="shared" ca="1" si="16"/>
        <v>-5.154999999999994</v>
      </c>
      <c r="AH25">
        <f t="shared" ca="1" si="17"/>
        <v>-4.3299999999999939</v>
      </c>
      <c r="AI25">
        <f t="shared" ca="1" si="18"/>
        <v>-4.0999999999999908</v>
      </c>
      <c r="AJ25">
        <f t="shared" ca="1" si="19"/>
        <v>-3.9959999999999898</v>
      </c>
      <c r="AK25">
        <f t="shared" ca="1" si="20"/>
        <v>-4.234999999999987</v>
      </c>
      <c r="AL25">
        <f t="shared" ca="1" si="21"/>
        <v>-4.2114285714285593</v>
      </c>
      <c r="AM25" s="13">
        <f t="shared" ref="AM25:AM30" si="47">K25-$AC25</f>
        <v>-0.25999999999999091</v>
      </c>
      <c r="AN25">
        <f t="shared" si="32"/>
        <v>-2.2599999999999909</v>
      </c>
      <c r="AO25">
        <f t="shared" si="33"/>
        <v>-3.6599999999999913</v>
      </c>
      <c r="AP25">
        <f t="shared" si="22"/>
        <v>-0.29999999999999183</v>
      </c>
      <c r="AQ25">
        <f t="shared" si="23"/>
        <v>2.1600000000000072</v>
      </c>
      <c r="AR25">
        <f t="shared" si="24"/>
        <v>1.8400000000000087</v>
      </c>
      <c r="AS25" s="30">
        <f t="shared" ref="AS25:AS30" si="48">Q25-$AC25</f>
        <v>-1.3609523809523729</v>
      </c>
      <c r="AT25">
        <f t="shared" si="34"/>
        <v>-3.3920833333333249</v>
      </c>
      <c r="AU25">
        <f t="shared" si="35"/>
        <v>-4.9065277777777698</v>
      </c>
      <c r="AV25">
        <f t="shared" si="36"/>
        <v>-1.7752564102564037</v>
      </c>
      <c r="AW25">
        <f t="shared" si="37"/>
        <v>1.1955128205128265</v>
      </c>
      <c r="AX25">
        <f t="shared" si="38"/>
        <v>1.2710256410256484</v>
      </c>
      <c r="AY25" s="13">
        <f t="shared" ref="AY25:AY30" ca="1" si="49">W25-$AC25</f>
        <v>-2.4554012003866976</v>
      </c>
      <c r="AZ25" s="6">
        <f t="shared" ca="1" si="39"/>
        <v>-3.9488889431616681</v>
      </c>
      <c r="BA25" s="6">
        <f t="shared" ca="1" si="40"/>
        <v>-5.3775030963606234</v>
      </c>
      <c r="BB25" s="6">
        <f t="shared" ca="1" si="25"/>
        <v>-2.7949027498031978</v>
      </c>
      <c r="BC25" s="6">
        <f t="shared" ca="1" si="26"/>
        <v>-0.57350916323354184</v>
      </c>
      <c r="BD25" s="2">
        <f t="shared" ca="1" si="27"/>
        <v>2.6631674982217746E-2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0.80876544467877076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OTH'!D$4,1))</f>
        <v>8.8799999999999955</v>
      </c>
      <c r="E26">
        <f ca="1">AVERAGE(OFFSET('Historical Trends'!$D$84,$B6,0,'Polling Correlations - OTH'!E$4,1))</f>
        <v>9.2299999999999969</v>
      </c>
      <c r="F26">
        <f ca="1">AVERAGE(OFFSET('Historical Trends'!$D$84,$B6,0,'Polling Correlations - OTH'!F$4,1))</f>
        <v>9.1033333333333335</v>
      </c>
      <c r="G26">
        <f ca="1">AVERAGE(OFFSET('Historical Trends'!$D$84,$B6,0,'Polling Correlations - OTH'!G$4,1))</f>
        <v>8.9975000000000023</v>
      </c>
      <c r="H26">
        <f ca="1">AVERAGE(OFFSET('Historical Trends'!$D$84,$B6,0,'Polling Correlations - OTH'!H$4,1))</f>
        <v>8.5640000000000036</v>
      </c>
      <c r="I26">
        <f ca="1">AVERAGE(OFFSET('Historical Trends'!$D$84,$B6,0,'Polling Correlations - OTH'!I$4,1))</f>
        <v>8.5016666666666705</v>
      </c>
      <c r="J26">
        <f ca="1">AVERAGE(OFFSET('Historical Trends'!$D$84,$B6,0,'Polling Correlations - OTH'!J$4,1))</f>
        <v>7.4742857142857178</v>
      </c>
      <c r="K26" s="13">
        <f>AVERAGE(9+9+9)/3</f>
        <v>9</v>
      </c>
      <c r="L26">
        <f>(9+6+9)/3</f>
        <v>8</v>
      </c>
      <c r="M26">
        <f>(10+8+9)/3</f>
        <v>9</v>
      </c>
      <c r="N26">
        <f>(10+8+9)/3</f>
        <v>9</v>
      </c>
      <c r="O26">
        <f>(6+5+9+10+8)/5</f>
        <v>7.6</v>
      </c>
      <c r="P26">
        <f>(6+6+6+5+9)/5</f>
        <v>6.4</v>
      </c>
      <c r="Q26" s="30">
        <f>K26-AVERAGE(AM$5:AM25,AM27:AM$31)</f>
        <v>8.0861904761904739</v>
      </c>
      <c r="R26" s="31">
        <f>L26-AVERAGE(AN$5:AN25,AN27:AN$31)</f>
        <v>7.0733333333333324</v>
      </c>
      <c r="S26" s="31">
        <f>M26-AVERAGE(AO$5:AO25,AO27:AO$31)</f>
        <v>8.0588888888888874</v>
      </c>
      <c r="T26" s="31">
        <f>N26-AVERAGE(AP$5:AP25,AP27:AP$31)</f>
        <v>7.6774358974358963</v>
      </c>
      <c r="U26" s="31">
        <f>O26-AVERAGE(AQ$5:AQ25,AQ27:AQ$31)</f>
        <v>6.6397435897435884</v>
      </c>
      <c r="V26" s="31">
        <f>P26-AVERAGE(AR$5:AR25,AR27:AR$31)</f>
        <v>5.8014102564102563</v>
      </c>
      <c r="W26" s="13">
        <f t="shared" ca="1" si="2"/>
        <v>8.2421927149247196</v>
      </c>
      <c r="X26" s="6">
        <f t="shared" ca="1" si="3"/>
        <v>7.3576707640500549</v>
      </c>
      <c r="Y26" s="6">
        <f t="shared" ca="1" si="4"/>
        <v>8.2500074339820184</v>
      </c>
      <c r="Z26" s="6">
        <f t="shared" ca="1" si="5"/>
        <v>7.9153119554593472</v>
      </c>
      <c r="AA26" s="6">
        <f t="shared" ca="1" si="6"/>
        <v>7.1274743861269965</v>
      </c>
      <c r="AB26" s="2">
        <f t="shared" ca="1" si="7"/>
        <v>6.2685443282368087</v>
      </c>
      <c r="AC26" s="2">
        <f>'Historical Trends'!C84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3.6700000000000017</v>
      </c>
      <c r="AN26">
        <f t="shared" si="32"/>
        <v>2.6700000000000017</v>
      </c>
      <c r="AO26">
        <f t="shared" si="33"/>
        <v>3.6700000000000017</v>
      </c>
      <c r="AP26">
        <f t="shared" si="22"/>
        <v>3.6700000000000017</v>
      </c>
      <c r="AQ26">
        <f t="shared" si="23"/>
        <v>2.2700000000000014</v>
      </c>
      <c r="AR26">
        <f t="shared" si="24"/>
        <v>1.0700000000000021</v>
      </c>
      <c r="AS26" s="30">
        <f t="shared" si="48"/>
        <v>2.7561904761904756</v>
      </c>
      <c r="AT26">
        <f t="shared" si="34"/>
        <v>1.7433333333333341</v>
      </c>
      <c r="AU26">
        <f t="shared" si="35"/>
        <v>2.7288888888888891</v>
      </c>
      <c r="AV26">
        <f t="shared" si="36"/>
        <v>2.347435897435898</v>
      </c>
      <c r="AW26">
        <f t="shared" si="37"/>
        <v>1.3097435897435901</v>
      </c>
      <c r="AX26">
        <f t="shared" si="38"/>
        <v>0.47141025641025802</v>
      </c>
      <c r="AY26" s="13">
        <f t="shared" ca="1" si="49"/>
        <v>2.9121927149247213</v>
      </c>
      <c r="AZ26" s="6">
        <f t="shared" ca="1" si="39"/>
        <v>2.0276707640500566</v>
      </c>
      <c r="BA26" s="6">
        <f t="shared" ca="1" si="40"/>
        <v>2.9200074339820201</v>
      </c>
      <c r="BB26" s="6">
        <f t="shared" ca="1" si="25"/>
        <v>2.5853119554593489</v>
      </c>
      <c r="BC26" s="6">
        <f t="shared" ca="1" si="26"/>
        <v>1.7974743861269982</v>
      </c>
      <c r="BD26" s="2">
        <f t="shared" ca="1" si="27"/>
        <v>0.93854432823681044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0.80876544467873035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OTH'!D$4,1))</f>
        <v>9.5799999999999983</v>
      </c>
      <c r="E27">
        <f ca="1">AVERAGE(OFFSET('Historical Trends'!$D$84,$B7,0,'Polling Correlations - OTH'!E$4,1))</f>
        <v>9.2150000000000034</v>
      </c>
      <c r="F27">
        <f ca="1">AVERAGE(OFFSET('Historical Trends'!$D$84,$B7,0,'Polling Correlations - OTH'!F$4,1))</f>
        <v>9.0366666666666706</v>
      </c>
      <c r="G27">
        <f ca="1">AVERAGE(OFFSET('Historical Trends'!$D$84,$B7,0,'Polling Correlations - OTH'!G$4,1))</f>
        <v>8.4850000000000065</v>
      </c>
      <c r="H27">
        <f ca="1">AVERAGE(OFFSET('Historical Trends'!$D$84,$B7,0,'Polling Correlations - OTH'!H$4,1))</f>
        <v>8.4260000000000055</v>
      </c>
      <c r="I27">
        <f ca="1">AVERAGE(OFFSET('Historical Trends'!$D$84,$B7,0,'Polling Correlations - OTH'!I$4,1))</f>
        <v>7.2400000000000047</v>
      </c>
      <c r="J27">
        <f ca="1">AVERAGE(OFFSET('Historical Trends'!$D$84,$B7,0,'Polling Correlations - OTH'!J$4,1))</f>
        <v>6.358571428571433</v>
      </c>
      <c r="K27" s="13">
        <f>(12+14+11)/3</f>
        <v>12.333333333333334</v>
      </c>
      <c r="L27">
        <f>(7+10+12)/3</f>
        <v>9.6666666666666661</v>
      </c>
      <c r="M27">
        <f>(8+7+7)/3</f>
        <v>7.333333333333333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11.409206349206348</v>
      </c>
      <c r="R27" s="31">
        <f>L27-AVERAGE(AN$5:AN26,AN28:AN$31)</f>
        <v>8.6615277777777759</v>
      </c>
      <c r="S27" s="31">
        <f>M27-AVERAGE(AO$5:AO26,AO28:AO$31)</f>
        <v>6.1748611111111096</v>
      </c>
      <c r="T27" s="31">
        <f>N27-AVERAGE(AP$5:AP26,AP28:AP$31)</f>
        <v>6.1562820512820506</v>
      </c>
      <c r="U27" s="31">
        <f>O27-AVERAGE(AQ$5:AQ26,AQ28:AQ$31)</f>
        <v>6.5724358974358967</v>
      </c>
      <c r="V27" s="31">
        <f>P27-AVERAGE(AR$5:AR26,AR28:AR$31)</f>
        <v>6.6341025641025633</v>
      </c>
      <c r="W27" s="13">
        <f t="shared" ca="1" si="2"/>
        <v>11.04972428578434</v>
      </c>
      <c r="X27" s="6">
        <f t="shared" ca="1" si="3"/>
        <v>8.8060790869205867</v>
      </c>
      <c r="Y27" s="6">
        <f t="shared" ca="1" si="4"/>
        <v>6.9674276486700242</v>
      </c>
      <c r="Z27" s="6">
        <f t="shared" ca="1" si="5"/>
        <v>6.8335187388637442</v>
      </c>
      <c r="AA27" s="6">
        <f t="shared" ca="1" si="6"/>
        <v>7.2272188179096508</v>
      </c>
      <c r="AB27" s="2">
        <f t="shared" ca="1" si="7"/>
        <v>7.0811023851341099</v>
      </c>
      <c r="AC27" s="2">
        <f>'Historical Trends'!C85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0.78666666666667062</v>
      </c>
      <c r="AO27">
        <f t="shared" si="33"/>
        <v>-1.5466666666666624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2.529206349206353</v>
      </c>
      <c r="AT27">
        <f t="shared" si="34"/>
        <v>-0.21847222222221951</v>
      </c>
      <c r="AU27">
        <f t="shared" si="35"/>
        <v>-2.7051388888888859</v>
      </c>
      <c r="AV27">
        <f t="shared" si="36"/>
        <v>-2.7237179487179448</v>
      </c>
      <c r="AW27">
        <f t="shared" si="37"/>
        <v>-2.3075641025640987</v>
      </c>
      <c r="AX27">
        <f t="shared" si="38"/>
        <v>-2.2458974358974322</v>
      </c>
      <c r="AY27" s="13">
        <f t="shared" ca="1" si="49"/>
        <v>2.1697242857843442</v>
      </c>
      <c r="AZ27" s="6">
        <f t="shared" ca="1" si="39"/>
        <v>-7.3920913079408734E-2</v>
      </c>
      <c r="BA27" s="6">
        <f t="shared" ca="1" si="40"/>
        <v>-1.9125723513299713</v>
      </c>
      <c r="BB27" s="6">
        <f t="shared" ca="1" si="25"/>
        <v>-2.0464812611362513</v>
      </c>
      <c r="BC27" s="6">
        <f t="shared" ca="1" si="26"/>
        <v>-1.6527811820903446</v>
      </c>
      <c r="BD27" s="2">
        <f t="shared" ca="1" si="27"/>
        <v>-1.7988976148658855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0.80876544467868994</v>
      </c>
    </row>
    <row r="28" spans="1:74" x14ac:dyDescent="0.25">
      <c r="A28" t="s">
        <v>123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OTH'!D$4,1))</f>
        <v>10.590000000000003</v>
      </c>
      <c r="E28">
        <f ca="1">AVERAGE(OFFSET('Historical Trends'!$D$101,$B5,0,'Polling Correlations - OTH'!E$4,1))</f>
        <v>11.155000000000001</v>
      </c>
      <c r="F28">
        <f ca="1">AVERAGE(OFFSET('Historical Trends'!$D$101,$B5,0,'Polling Correlations - OTH'!F$4,1))</f>
        <v>9.5533333333333363</v>
      </c>
      <c r="G28">
        <f ca="1">AVERAGE(OFFSET('Historical Trends'!$D$101,$B5,0,'Polling Correlations - OTH'!G$4,1))</f>
        <v>9.0000000000000036</v>
      </c>
      <c r="H28">
        <f ca="1">AVERAGE(OFFSET('Historical Trends'!$D$101,$B5,0,'Polling Correlations - OTH'!H$4,1))</f>
        <v>8.4500000000000028</v>
      </c>
      <c r="I28">
        <f ca="1">AVERAGE(OFFSET('Historical Trends'!$D$101,$B5,0,'Polling Correlations - OTH'!I$4,1))</f>
        <v>8.1466666666666683</v>
      </c>
      <c r="J28">
        <f ca="1">AVERAGE(OFFSET('Historical Trends'!$D$101,$B5,0,'Polling Correlations - OTH'!J$4,1))</f>
        <v>7.5900000000000016</v>
      </c>
      <c r="K28" s="13">
        <f>(25+32+28+31.5+19)/5</f>
        <v>27.1</v>
      </c>
      <c r="L28">
        <f>(30+17+25+31+29)/5</f>
        <v>26.4</v>
      </c>
      <c r="M28">
        <f>(28+32+27+30+17)/5</f>
        <v>26.8</v>
      </c>
      <c r="N28">
        <f>(28+38+28+32+27)/5</f>
        <v>30.6</v>
      </c>
      <c r="O28">
        <f>(26.7+28+38+28+32)/5</f>
        <v>30.54</v>
      </c>
      <c r="P28">
        <f>(27+27+31+26.7+28)/5</f>
        <v>27.939999999999998</v>
      </c>
      <c r="Q28" s="30">
        <f>K28-AVERAGE(AM$5:AM27,AM29:AM$31)</f>
        <v>26.230476190476189</v>
      </c>
      <c r="R28" s="31">
        <f>L28-AVERAGE(AN$5:AN27,AN29:AN$31)</f>
        <v>25.524583333333332</v>
      </c>
      <c r="S28" s="31">
        <f>M28-AVERAGE(AO$5:AO27,AO29:AO$31)</f>
        <v>25.885138888888889</v>
      </c>
      <c r="T28" s="31">
        <f>N28-AVERAGE(AP$5:AP27,AP29:AP$31)</f>
        <v>29.447820512820513</v>
      </c>
      <c r="U28" s="31">
        <f>O28-AVERAGE(AQ$5:AQ27,AQ29:AQ$31)</f>
        <v>29.801666666666666</v>
      </c>
      <c r="V28" s="31">
        <f>P28-AVERAGE(AR$5:AR27,AR29:AR$31)</f>
        <v>27.509487179487177</v>
      </c>
      <c r="W28" s="13">
        <f t="shared" ca="1" si="2"/>
        <v>23.156754816015276</v>
      </c>
      <c r="X28" s="6">
        <f t="shared" ca="1" si="3"/>
        <v>23.174143635644334</v>
      </c>
      <c r="Y28" s="6">
        <f t="shared" ca="1" si="4"/>
        <v>22.325103405400881</v>
      </c>
      <c r="Z28" s="6">
        <f t="shared" ca="1" si="5"/>
        <v>25.71760438800947</v>
      </c>
      <c r="AA28" s="6">
        <f t="shared" ca="1" si="6"/>
        <v>25.619055497566851</v>
      </c>
      <c r="AB28" s="2">
        <f t="shared" ca="1" si="7"/>
        <v>24.942185395990997</v>
      </c>
      <c r="AC28" s="2">
        <f>'Historical Trends'!C100</f>
        <v>22.5</v>
      </c>
      <c r="AE28" s="13">
        <f t="shared" ca="1" si="14"/>
        <v>-10.9749361702128</v>
      </c>
      <c r="AF28">
        <f t="shared" ca="1" si="15"/>
        <v>-11.909999999999997</v>
      </c>
      <c r="AG28">
        <f t="shared" ca="1" si="16"/>
        <v>-11.344999999999999</v>
      </c>
      <c r="AH28">
        <f t="shared" ca="1" si="17"/>
        <v>-12.946666666666664</v>
      </c>
      <c r="AI28">
        <f t="shared" ca="1" si="18"/>
        <v>-13.499999999999996</v>
      </c>
      <c r="AJ28">
        <f t="shared" ca="1" si="19"/>
        <v>-14.049999999999997</v>
      </c>
      <c r="AK28">
        <f t="shared" ca="1" si="20"/>
        <v>-14.353333333333332</v>
      </c>
      <c r="AL28">
        <f t="shared" ca="1" si="21"/>
        <v>-14.909999999999998</v>
      </c>
      <c r="AM28" s="13">
        <f t="shared" si="47"/>
        <v>4.6000000000000014</v>
      </c>
      <c r="AN28">
        <f t="shared" si="32"/>
        <v>3.8999999999999986</v>
      </c>
      <c r="AO28">
        <f t="shared" si="33"/>
        <v>4.3000000000000007</v>
      </c>
      <c r="AP28">
        <f t="shared" si="22"/>
        <v>8.1000000000000014</v>
      </c>
      <c r="AQ28">
        <f t="shared" si="23"/>
        <v>8.0399999999999991</v>
      </c>
      <c r="AR28">
        <f t="shared" si="24"/>
        <v>5.4399999999999977</v>
      </c>
      <c r="AS28" s="30">
        <f t="shared" si="48"/>
        <v>3.7304761904761889</v>
      </c>
      <c r="AT28">
        <f t="shared" si="34"/>
        <v>3.0245833333333323</v>
      </c>
      <c r="AU28">
        <f t="shared" si="35"/>
        <v>3.3851388888888891</v>
      </c>
      <c r="AV28">
        <f t="shared" si="36"/>
        <v>6.9478205128205133</v>
      </c>
      <c r="AW28">
        <f t="shared" si="37"/>
        <v>7.3016666666666659</v>
      </c>
      <c r="AX28">
        <f t="shared" si="38"/>
        <v>5.0094871794871771</v>
      </c>
      <c r="AY28" s="13">
        <f t="shared" ca="1" si="49"/>
        <v>0.65675481601527608</v>
      </c>
      <c r="AZ28" s="6">
        <f t="shared" ca="1" si="39"/>
        <v>0.67414363564433444</v>
      </c>
      <c r="BA28" s="6">
        <f t="shared" ca="1" si="40"/>
        <v>-0.17489659459911877</v>
      </c>
      <c r="BB28" s="6">
        <f t="shared" ca="1" si="25"/>
        <v>3.2176043880094696</v>
      </c>
      <c r="BC28" s="6">
        <f t="shared" ca="1" si="26"/>
        <v>3.1190554975668512</v>
      </c>
      <c r="BD28" s="2">
        <f t="shared" ca="1" si="27"/>
        <v>2.4421853959909967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0.80876544467864953</v>
      </c>
    </row>
    <row r="29" spans="1:74" x14ac:dyDescent="0.25">
      <c r="A29" t="s">
        <v>124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OTH'!D$4,1))</f>
        <v>11.719999999999999</v>
      </c>
      <c r="E29">
        <f ca="1">AVERAGE(OFFSET('Historical Trends'!$D$101,$B6,0,'Polling Correlations - OTH'!E$4,1))</f>
        <v>9.0350000000000019</v>
      </c>
      <c r="F29">
        <f ca="1">AVERAGE(OFFSET('Historical Trends'!$D$101,$B6,0,'Polling Correlations - OTH'!F$4,1))</f>
        <v>8.4700000000000024</v>
      </c>
      <c r="G29">
        <f ca="1">AVERAGE(OFFSET('Historical Trends'!$D$101,$B6,0,'Polling Correlations - OTH'!G$4,1))</f>
        <v>7.9150000000000018</v>
      </c>
      <c r="H29">
        <f ca="1">AVERAGE(OFFSET('Historical Trends'!$D$101,$B6,0,'Polling Correlations - OTH'!H$4,1))</f>
        <v>7.6580000000000013</v>
      </c>
      <c r="I29">
        <f ca="1">AVERAGE(OFFSET('Historical Trends'!$D$101,$B6,0,'Polling Correlations - OTH'!I$4,1))</f>
        <v>7.0900000000000007</v>
      </c>
      <c r="J29">
        <f ca="1">AVERAGE(OFFSET('Historical Trends'!$D$101,$B6,0,'Polling Correlations - 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15.169047619047618</v>
      </c>
      <c r="R29" s="31">
        <f>L29-AVERAGE(AN$5:AN28,AN30:AN$31)</f>
        <v>12.479166666666666</v>
      </c>
      <c r="S29" s="31">
        <f>M29-AVERAGE(AO$5:AO28,AO30:AO$31)</f>
        <v>12.006388888888887</v>
      </c>
      <c r="T29" s="31">
        <f>N29-AVERAGE(AP$5:AP28,AP30:AP$31)</f>
        <v>11.005897435897435</v>
      </c>
      <c r="U29" s="31">
        <f>O29-AVERAGE(AQ$5:AQ28,AQ30:AQ$31)</f>
        <v>11.837435897435897</v>
      </c>
      <c r="V29" s="31">
        <f>P29-AVERAGE(AR$5:AR28,AR30:AR$31)</f>
        <v>13.906794871794871</v>
      </c>
      <c r="W29" s="13">
        <f t="shared" ca="1" si="2"/>
        <v>14.491228653749387</v>
      </c>
      <c r="X29" s="6">
        <f t="shared" ca="1" si="3"/>
        <v>12.359687238907011</v>
      </c>
      <c r="Y29" s="6">
        <f t="shared" ca="1" si="4"/>
        <v>11.939730154115201</v>
      </c>
      <c r="Z29" s="6">
        <f t="shared" ca="1" si="5"/>
        <v>11.147152195299421</v>
      </c>
      <c r="AA29" s="6">
        <f t="shared" ca="1" si="6"/>
        <v>11.811868688469019</v>
      </c>
      <c r="AB29" s="2">
        <f t="shared" ca="1" si="7"/>
        <v>13.574978528016686</v>
      </c>
      <c r="AC29" s="2">
        <f>'Historical Trends'!C101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4.5790476190476141</v>
      </c>
      <c r="AT29">
        <f t="shared" si="34"/>
        <v>1.8891666666666627</v>
      </c>
      <c r="AU29">
        <f t="shared" si="35"/>
        <v>1.4163888888888838</v>
      </c>
      <c r="AV29">
        <f t="shared" si="36"/>
        <v>0.41589743589743122</v>
      </c>
      <c r="AW29">
        <f t="shared" si="37"/>
        <v>1.2474358974358939</v>
      </c>
      <c r="AX29">
        <f t="shared" si="38"/>
        <v>3.3167948717948672</v>
      </c>
      <c r="AY29" s="13">
        <f t="shared" ca="1" si="49"/>
        <v>3.9012286537493832</v>
      </c>
      <c r="AZ29" s="6">
        <f t="shared" ca="1" si="39"/>
        <v>1.7696872389070073</v>
      </c>
      <c r="BA29" s="6">
        <f t="shared" ca="1" si="40"/>
        <v>1.349730154115198</v>
      </c>
      <c r="BB29" s="6">
        <f t="shared" ca="1" si="25"/>
        <v>0.55715219529941784</v>
      </c>
      <c r="BC29" s="6">
        <f t="shared" ca="1" si="26"/>
        <v>1.2218686884690158</v>
      </c>
      <c r="BD29" s="2">
        <f t="shared" ca="1" si="27"/>
        <v>2.9849785280166827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0.80876544467860911</v>
      </c>
    </row>
    <row r="30" spans="1:74" x14ac:dyDescent="0.25">
      <c r="A30" t="s">
        <v>126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OTH'!D$4,1))</f>
        <v>6.3500000000000041</v>
      </c>
      <c r="E30">
        <f ca="1">AVERAGE(OFFSET('Historical Trends'!$D$101,$B7,0,'Polling Correlations - OTH'!E$4,1))</f>
        <v>6.8450000000000042</v>
      </c>
      <c r="F30">
        <f ca="1">AVERAGE(OFFSET('Historical Trends'!$D$101,$B7,0,'Polling Correlations - OTH'!F$4,1))</f>
        <v>6.6466666666666692</v>
      </c>
      <c r="G30">
        <f ca="1">AVERAGE(OFFSET('Historical Trends'!$D$101,$B7,0,'Polling Correlations - OTH'!G$4,1))</f>
        <v>6.642500000000001</v>
      </c>
      <c r="H30">
        <f ca="1">AVERAGE(OFFSET('Historical Trends'!$D$101,$B7,0,'Polling Correlations - OTH'!H$4,1))</f>
        <v>6.1640000000000006</v>
      </c>
      <c r="I30">
        <f ca="1">AVERAGE(OFFSET('Historical Trends'!$D$101,$B7,0,'Polling Correlations - OTH'!I$4,1))</f>
        <v>5.7516666666666678</v>
      </c>
      <c r="J30">
        <f ca="1">AVERAGE(OFFSET('Historical Trends'!$D$101,$B7,0,'Polling Correlations - OTH'!J$4,1))</f>
        <v>5.1599999999999984</v>
      </c>
      <c r="K30" s="13">
        <f>(12+14+12)/3</f>
        <v>12.666666666666666</v>
      </c>
      <c r="L30">
        <f>(13+12+13)/3</f>
        <v>12.666666666666666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11.623174603174601</v>
      </c>
      <c r="R30" s="31">
        <f>L30-AVERAGE(AN$5:AN29,AN31:AN$31)</f>
        <v>11.668194444444442</v>
      </c>
      <c r="S30" s="31">
        <f>M30-AVERAGE(AO$5:AO29,AO31:AO$31)</f>
        <v>11.959305555555554</v>
      </c>
      <c r="T30" s="31">
        <f>N30-AVERAGE(AP$5:AP29,AP31:AP$31)</f>
        <v>10.893205128205128</v>
      </c>
      <c r="U30" s="31">
        <f>O30-AVERAGE(AQ$5:AQ29,AQ31:AQ$31)</f>
        <v>12.693974358974357</v>
      </c>
      <c r="V30" s="31">
        <f>P30-AVERAGE(AR$5:AR29,AR31:AR$31)</f>
        <v>11.821025641025638</v>
      </c>
      <c r="W30" s="13">
        <f t="shared" ca="1" si="2"/>
        <v>10.586871789139325</v>
      </c>
      <c r="X30" s="6">
        <f t="shared" ca="1" si="3"/>
        <v>10.831204549028236</v>
      </c>
      <c r="Y30" s="6">
        <f t="shared" ca="1" si="4"/>
        <v>10.653705981692854</v>
      </c>
      <c r="Z30" s="6">
        <f t="shared" ca="1" si="5"/>
        <v>9.9945256113419028</v>
      </c>
      <c r="AA30" s="6">
        <f t="shared" ca="1" si="6"/>
        <v>11.312814750559557</v>
      </c>
      <c r="AB30" s="2">
        <f t="shared" ca="1" si="7"/>
        <v>10.990872000034246</v>
      </c>
      <c r="AC30" s="2">
        <f>'Historical Trends'!C102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0.94666666666666721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-9.6825396825398258E-2</v>
      </c>
      <c r="AT30">
        <f t="shared" si="34"/>
        <v>-5.1805555555556992E-2</v>
      </c>
      <c r="AU30">
        <f t="shared" si="35"/>
        <v>0.23930555555555522</v>
      </c>
      <c r="AV30">
        <f t="shared" si="36"/>
        <v>-0.82679487179487055</v>
      </c>
      <c r="AW30">
        <f t="shared" si="37"/>
        <v>0.97397435897435791</v>
      </c>
      <c r="AX30">
        <f t="shared" si="38"/>
        <v>0.1010256410256396</v>
      </c>
      <c r="AY30" s="13">
        <f t="shared" ca="1" si="49"/>
        <v>-1.1331282108606739</v>
      </c>
      <c r="AZ30" s="6">
        <f t="shared" ca="1" si="39"/>
        <v>-0.88879545097176305</v>
      </c>
      <c r="BA30" s="6">
        <f t="shared" ca="1" si="40"/>
        <v>-1.0662940183071452</v>
      </c>
      <c r="BB30" s="6">
        <f t="shared" ca="1" si="25"/>
        <v>-1.7254743886580961</v>
      </c>
      <c r="BC30" s="6">
        <f t="shared" ca="1" si="26"/>
        <v>-0.40718524944044177</v>
      </c>
      <c r="BD30" s="2">
        <f t="shared" ca="1" si="27"/>
        <v>-0.72912799996575295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0.80876544467856859</v>
      </c>
    </row>
    <row r="31" spans="1:74" x14ac:dyDescent="0.25">
      <c r="A31" t="s">
        <v>127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OTH'!D$4,1))</f>
        <v>7.3400000000000034</v>
      </c>
      <c r="E31">
        <f ca="1">AVERAGE(OFFSET('Historical Trends'!$D$101,$B8,0,'Polling Correlations - OTH'!E$4,1))</f>
        <v>6.7950000000000017</v>
      </c>
      <c r="F31">
        <f ca="1">AVERAGE(OFFSET('Historical Trends'!$D$101,$B8,0,'Polling Correlations - OTH'!F$4,1))</f>
        <v>6.7399999999999993</v>
      </c>
      <c r="G31">
        <f ca="1">AVERAGE(OFFSET('Historical Trends'!$D$101,$B8,0,'Polling Correlations - OTH'!G$4,1))</f>
        <v>6.1174999999999997</v>
      </c>
      <c r="H31">
        <f ca="1">AVERAGE(OFFSET('Historical Trends'!$D$101,$B8,0,'Polling Correlations - OTH'!H$4,1))</f>
        <v>5.6319999999999997</v>
      </c>
      <c r="I31">
        <f ca="1">AVERAGE(OFFSET('Historical Trends'!$D$101,$B8,0,'Polling Correlations - OTH'!I$4,1))</f>
        <v>4.9616666666666633</v>
      </c>
      <c r="J31">
        <f ca="1">AVERAGE(OFFSET('Historical Trends'!$D$101,$B8,0,'Polling Correlations - OTH'!J$4,1))</f>
        <v>4.3942857142857106</v>
      </c>
      <c r="N31">
        <f>(13+12)/2</f>
        <v>12.5</v>
      </c>
      <c r="O31">
        <f>(15+13)/2</f>
        <v>14</v>
      </c>
      <c r="P31">
        <f>(15.5+15)/2</f>
        <v>15.25</v>
      </c>
      <c r="Q31" s="30"/>
      <c r="R31" s="31"/>
      <c r="S31" s="31"/>
      <c r="T31" s="31">
        <f>N31-AVERAGE(AP$5:AP30)</f>
        <v>11.046666666666665</v>
      </c>
      <c r="U31" s="31">
        <f>O31-AVERAGE(AQ$5:AQ30)</f>
        <v>13.020512820512819</v>
      </c>
      <c r="V31" s="31">
        <f>P31-AVERAGE(AR$5:AR30)</f>
        <v>14.726410256410256</v>
      </c>
      <c r="W31" s="13">
        <f t="shared" ca="1" si="2"/>
        <v>1.4424826081881732</v>
      </c>
      <c r="X31" s="6">
        <f t="shared" ca="1" si="3"/>
        <v>1.1551863882624058</v>
      </c>
      <c r="Y31" s="6">
        <f t="shared" ca="1" si="4"/>
        <v>1.7084291053927294</v>
      </c>
      <c r="Z31" s="6">
        <f t="shared" ca="1" si="5"/>
        <v>10.313460633663036</v>
      </c>
      <c r="AA31" s="6">
        <f t="shared" ca="1" si="6"/>
        <v>11.7837967780408</v>
      </c>
      <c r="AB31" s="2">
        <f t="shared" ca="1" si="7"/>
        <v>13.605623082203994</v>
      </c>
      <c r="AC31" s="2">
        <f>'Historical Trends'!C103</f>
        <v>12.230000000000004</v>
      </c>
      <c r="AE31" s="13">
        <f t="shared" ca="1" si="14"/>
        <v>-3.2829620853079717</v>
      </c>
      <c r="AF31">
        <f t="shared" ca="1" si="15"/>
        <v>-4.8900000000000006</v>
      </c>
      <c r="AG31">
        <f t="shared" ca="1" si="16"/>
        <v>-5.4350000000000023</v>
      </c>
      <c r="AH31">
        <f t="shared" ca="1" si="17"/>
        <v>-5.4900000000000047</v>
      </c>
      <c r="AI31">
        <f t="shared" ca="1" si="18"/>
        <v>-6.1125000000000043</v>
      </c>
      <c r="AJ31">
        <f t="shared" ca="1" si="19"/>
        <v>-6.5980000000000043</v>
      </c>
      <c r="AK31">
        <f t="shared" ca="1" si="20"/>
        <v>-7.2683333333333406</v>
      </c>
      <c r="AL31">
        <f t="shared" ca="1" si="21"/>
        <v>-7.8357142857142934</v>
      </c>
      <c r="AP31">
        <f t="shared" si="22"/>
        <v>0.26999999999999602</v>
      </c>
      <c r="AQ31">
        <f t="shared" si="23"/>
        <v>1.769999999999996</v>
      </c>
      <c r="AR31">
        <f t="shared" si="24"/>
        <v>3.019999999999996</v>
      </c>
      <c r="AS31" s="30"/>
      <c r="AV31">
        <f>T31-$AC31</f>
        <v>-1.1833333333333389</v>
      </c>
      <c r="AW31">
        <f>U31-$AC31</f>
        <v>0.79051282051281468</v>
      </c>
      <c r="AX31">
        <f>V31-$AC31</f>
        <v>2.4964102564102522</v>
      </c>
      <c r="BB31" s="6">
        <f t="shared" ca="1" si="25"/>
        <v>-1.9165393663369681</v>
      </c>
      <c r="BC31" s="6">
        <f t="shared" ca="1" si="26"/>
        <v>-0.44620322195920359</v>
      </c>
      <c r="BD31" s="2">
        <f t="shared" ca="1" si="27"/>
        <v>1.3756230822039903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0.80876544467852818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0.80876544467848777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0.80876544467844724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0.80876544467840683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0.80876544467836642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0.8087654446783259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0.80876544467828548</v>
      </c>
    </row>
    <row r="38" spans="57:74" x14ac:dyDescent="0.25">
      <c r="BE38" t="s">
        <v>216</v>
      </c>
      <c r="BG38">
        <f>Q4</f>
        <v>1.0390909090909111</v>
      </c>
      <c r="BH38">
        <f>R4</f>
        <v>0.99640000000000095</v>
      </c>
      <c r="BI38">
        <f>S4</f>
        <v>1.0502666666666678</v>
      </c>
      <c r="BJ38">
        <f>T4</f>
        <v>1.4095061728395075</v>
      </c>
      <c r="BK38">
        <f>U4</f>
        <v>1.0087654320987665</v>
      </c>
      <c r="BL38">
        <f>AVERAGE(BK38,BM38)</f>
        <v>0.81240740740740836</v>
      </c>
      <c r="BM38">
        <f>V4</f>
        <v>0.61604938271605014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0.80876544467824496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0.80876544467820455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0.80876544467816402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0.80876544467812361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0.80876544467808309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0.80876544467804257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0.80876544467800215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0.80876544467796163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0.80876544467792111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0.8087654446778807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0.80876544467784017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0.80876544467779965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0.80876544467775924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0.80876544467771871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0.80876544467767819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0.80876544467763767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0.80876544467759715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0.80876544467755662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0.8087654446775161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0.80876544467747558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0.80876544467743505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0.80876544467739453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0.80876544467735401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0.80876544467731348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0.80876544467727296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0.80876544467723244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0.80876544467719191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0.80876544467715139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0.80876544467711087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0.80876544467707023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0.80876544467702971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0.80876544467698919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0.80876544467694866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0.80876544467690803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0.80876544467686751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0.80876544467682698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0.80876544467678635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0.80876544467674583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0.8087654446767053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0.80876544467666467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0.80876544467662415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0.80876544467658351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0.80876544467654299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0.80876544467650235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0.80876544467646172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0.8087654446764212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0.80876544467638056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0.80876544467634004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0.80876544467629941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0.80876544467625877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0.80876544467621814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0.80876544467617761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0.80876544467613698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0.80876544467609635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0.80876544467605571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0.80876544467601508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0.80876544467597455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0.80876544467593392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0.80876544467589329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0.80876544467585665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opLeftCell="BB1" workbookViewId="0">
      <selection activeCell="BQ29" sqref="BQ29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40" t="s">
        <v>47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1" t="s">
        <v>87</v>
      </c>
      <c r="D2" s="35"/>
      <c r="E2" s="35"/>
      <c r="F2" s="35"/>
      <c r="G2" s="35"/>
      <c r="H2" s="35"/>
      <c r="I2" s="35"/>
      <c r="J2" s="36"/>
      <c r="K2" s="41" t="s">
        <v>182</v>
      </c>
      <c r="L2" s="42"/>
      <c r="M2" s="42"/>
      <c r="N2" s="42"/>
      <c r="O2" s="42"/>
      <c r="P2" s="36"/>
      <c r="Q2" s="41" t="s">
        <v>181</v>
      </c>
      <c r="R2" s="42"/>
      <c r="S2" s="42"/>
      <c r="T2" s="42"/>
      <c r="U2" s="42"/>
      <c r="V2" s="36"/>
      <c r="W2" s="28" t="s">
        <v>140</v>
      </c>
      <c r="X2" s="29"/>
      <c r="Y2" s="29"/>
      <c r="Z2" s="29"/>
      <c r="AA2" s="29"/>
      <c r="AB2" s="25"/>
      <c r="AC2" s="25"/>
      <c r="AE2" s="26"/>
      <c r="AF2" s="35" t="s">
        <v>87</v>
      </c>
      <c r="AG2" s="35"/>
      <c r="AH2" s="35"/>
      <c r="AI2" s="35"/>
      <c r="AJ2" s="35"/>
      <c r="AK2" s="35"/>
      <c r="AL2" s="24"/>
      <c r="AM2" s="43" t="s">
        <v>179</v>
      </c>
      <c r="AN2" s="38"/>
      <c r="AO2" s="38"/>
      <c r="AP2" s="38"/>
      <c r="AQ2" s="38"/>
      <c r="AR2" s="39"/>
      <c r="AS2" s="43" t="s">
        <v>180</v>
      </c>
      <c r="AT2" s="38"/>
      <c r="AU2" s="38"/>
      <c r="AV2" s="38"/>
      <c r="AW2" s="38"/>
      <c r="AX2" s="39"/>
      <c r="AY2" s="41" t="s">
        <v>140</v>
      </c>
      <c r="AZ2" s="42"/>
      <c r="BA2" s="42"/>
      <c r="BB2" s="42"/>
      <c r="BC2" s="42"/>
      <c r="BD2" s="36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173</v>
      </c>
      <c r="X3" s="6" t="s">
        <v>174</v>
      </c>
      <c r="Y3" s="6" t="s">
        <v>145</v>
      </c>
      <c r="Z3" s="6" t="s">
        <v>175</v>
      </c>
      <c r="AA3" s="6" t="s">
        <v>176</v>
      </c>
      <c r="AB3" s="2" t="s">
        <v>177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173</v>
      </c>
      <c r="AZ3" s="3" t="s">
        <v>178</v>
      </c>
      <c r="BA3" s="6" t="s">
        <v>145</v>
      </c>
      <c r="BB3" s="6" t="s">
        <v>175</v>
      </c>
      <c r="BC3" s="6" t="s">
        <v>176</v>
      </c>
      <c r="BD3" s="2" t="s">
        <v>177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AVERAGE(AM5:AM30)</f>
        <v>5.1639999999999997</v>
      </c>
      <c r="R4" s="10">
        <f t="shared" si="0"/>
        <v>3.0127083333333333</v>
      </c>
      <c r="S4" s="10">
        <f t="shared" si="0"/>
        <v>3.4203333333333341</v>
      </c>
      <c r="T4" s="10">
        <f t="shared" si="0"/>
        <v>3.1503030303030304</v>
      </c>
      <c r="U4" s="10">
        <f t="shared" si="0"/>
        <v>1.5084615384615381</v>
      </c>
      <c r="V4" s="10">
        <f t="shared" si="0"/>
        <v>0.84904761904761905</v>
      </c>
      <c r="W4" s="14">
        <v>0.93566502851241296</v>
      </c>
      <c r="X4" s="10">
        <v>0.8151622370279632</v>
      </c>
      <c r="Y4" s="10">
        <v>0.75298003789755641</v>
      </c>
      <c r="Z4" s="10">
        <v>0.73277250500021029</v>
      </c>
      <c r="AA4" s="10">
        <v>0.73262873745720014</v>
      </c>
      <c r="AB4" s="15">
        <v>0.83553524576981819</v>
      </c>
      <c r="AC4" s="15"/>
      <c r="AE4" s="14">
        <f ca="1">SQRT(SUMSQ(AE5:AE1001)/COUNT(AE5:AE1001))</f>
        <v>7.1019237345115078</v>
      </c>
      <c r="AF4" s="10">
        <f t="shared" ref="AF4:BD4" ca="1" si="1">SQRT(SUMSQ(AF5:AF1001)/COUNT(AF5:AF1001))</f>
        <v>7.0620437905750766</v>
      </c>
      <c r="AG4" s="10">
        <f t="shared" ca="1" si="1"/>
        <v>6.6953010574581331</v>
      </c>
      <c r="AH4" s="10">
        <f t="shared" ca="1" si="1"/>
        <v>6.5635167995349697</v>
      </c>
      <c r="AI4" s="10">
        <f t="shared" ca="1" si="1"/>
        <v>6.4915599049843182</v>
      </c>
      <c r="AJ4" s="10">
        <f t="shared" ca="1" si="1"/>
        <v>6.3192618041983355</v>
      </c>
      <c r="AK4" s="10">
        <f t="shared" ca="1" si="1"/>
        <v>6.1366477825392947</v>
      </c>
      <c r="AL4" s="10">
        <f t="shared" ca="1" si="1"/>
        <v>5.8077203192063633</v>
      </c>
      <c r="AM4" s="14">
        <f t="shared" si="1"/>
        <v>5.203360452630589</v>
      </c>
      <c r="AN4" s="10">
        <f t="shared" si="1"/>
        <v>4.0163681164980662</v>
      </c>
      <c r="AO4" s="10">
        <f t="shared" si="1"/>
        <v>3.7863343457462624</v>
      </c>
      <c r="AP4" s="10">
        <f t="shared" si="1"/>
        <v>3.9353092109589793</v>
      </c>
      <c r="AQ4" s="10">
        <f t="shared" si="1"/>
        <v>4.1249301470387003</v>
      </c>
      <c r="AR4" s="10">
        <f t="shared" si="1"/>
        <v>2.3438098140515677</v>
      </c>
      <c r="AS4" s="14">
        <f t="shared" si="1"/>
        <v>1.9707866449720022</v>
      </c>
      <c r="AT4" s="10">
        <f t="shared" si="1"/>
        <v>3.7479927810257738</v>
      </c>
      <c r="AU4" s="10">
        <f t="shared" si="1"/>
        <v>3.2249503329827829</v>
      </c>
      <c r="AV4" s="10">
        <f t="shared" si="1"/>
        <v>3.5298266704233967</v>
      </c>
      <c r="AW4" s="10">
        <f t="shared" si="1"/>
        <v>4.4010953821381857</v>
      </c>
      <c r="AX4" s="10">
        <f t="shared" si="1"/>
        <v>2.7926911991050405</v>
      </c>
      <c r="AY4" s="14">
        <f t="shared" ca="1" si="1"/>
        <v>1.8841817176463025</v>
      </c>
      <c r="AZ4" s="10">
        <f t="shared" ca="1" si="1"/>
        <v>3.3165375695441499</v>
      </c>
      <c r="BA4" s="10">
        <f t="shared" ca="1" si="1"/>
        <v>2.1747201257146807</v>
      </c>
      <c r="BB4" s="10">
        <f t="shared" ca="1" si="1"/>
        <v>2.4545000757768634</v>
      </c>
      <c r="BC4" s="10">
        <f t="shared" ca="1" si="1"/>
        <v>3.6619333648385601</v>
      </c>
      <c r="BD4" s="15">
        <f t="shared" ca="1" si="1"/>
        <v>2.4295863245359115</v>
      </c>
    </row>
    <row r="5" spans="1:87" x14ac:dyDescent="0.25">
      <c r="A5" t="s">
        <v>195</v>
      </c>
      <c r="B5">
        <v>0</v>
      </c>
      <c r="C5" s="13">
        <f ca="1">'Historical Trends'!R5</f>
        <v>0</v>
      </c>
      <c r="D5">
        <f ca="1">SUM(OFFSET('Historical Trends'!$H$6,0,0,'Polling Correlations - Misc'!D$4,1))/D$4</f>
        <v>1.29</v>
      </c>
      <c r="E5">
        <f ca="1">SUM(OFFSET('Historical Trends'!$H$6,0,0,'Polling Correlations - Misc'!E$4,1))/E$4</f>
        <v>0.73</v>
      </c>
      <c r="F5">
        <f ca="1">SUM(OFFSET('Historical Trends'!$H$6,0,0,'Polling Correlations - Misc'!F$4,1))/F$4</f>
        <v>0.55999999999999994</v>
      </c>
      <c r="G5">
        <f ca="1">SUM(OFFSET('Historical Trends'!$H$6,0,0,'Polling Correlations - Misc'!G$4,1))/G$4</f>
        <v>0.48499999999999999</v>
      </c>
      <c r="H5">
        <f ca="1">SUM(OFFSET('Historical Trends'!$H$6,0,0,'Polling Correlations - Misc'!H$4,1))/H$4</f>
        <v>0.626</v>
      </c>
      <c r="I5">
        <f ca="1">SUM(OFFSET('Historical Trends'!$H$6,0,0,'Polling Correlations - Misc'!I$4,1))/I$4</f>
        <v>1.2449999999999999</v>
      </c>
      <c r="J5">
        <f ca="1">SUM(OFFSET('Historical Trends'!$H$6,0,0,'Polling Correlations - Misc'!J$4,1))/J$4</f>
        <v>2.4142857142857141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2.5250000000000004</v>
      </c>
      <c r="R5" s="31">
        <f>L5-AVERAGE(AN6:AN$30)</f>
        <v>2.9740476190476182</v>
      </c>
      <c r="S5" s="31">
        <f>M5-AVERAGE(AO6:AO$30)</f>
        <v>2.5240740740740737</v>
      </c>
      <c r="T5" s="31">
        <f>N5-AVERAGE(AP6:AP$30)</f>
        <v>2.8266666666666667</v>
      </c>
      <c r="U5" s="31">
        <f>O5-AVERAGE(AQ6:AQ$30)</f>
        <v>4.1758333333333333</v>
      </c>
      <c r="V5" s="31">
        <f>P5-AVERAGE(AR6:AR$30)</f>
        <v>3.2856410256410262</v>
      </c>
      <c r="W5" s="13">
        <f ca="1">Q5*W$4+$D5*(1-W$4)</f>
        <v>2.4455463102128303</v>
      </c>
      <c r="X5" s="6">
        <f t="shared" ref="X5:AB19" ca="1" si="2">R5*X$4+$D5*(1-X$4)</f>
        <v>2.6627720244044712</v>
      </c>
      <c r="Y5" s="6">
        <f t="shared" ca="1" si="2"/>
        <v>2.2192331430646881</v>
      </c>
      <c r="Z5" s="6">
        <f t="shared" ca="1" si="2"/>
        <v>2.4160270826836565</v>
      </c>
      <c r="AA5" s="6">
        <f t="shared" ca="1" si="2"/>
        <v>3.4042444315119038</v>
      </c>
      <c r="AB5" s="2">
        <f t="shared" ca="1" si="2"/>
        <v>2.9574284148273069</v>
      </c>
      <c r="AC5" s="2">
        <f>'Historical Trends'!H5</f>
        <v>3.08</v>
      </c>
      <c r="AE5" s="13">
        <f t="shared" ref="AE5:AS5" ca="1" si="3">C5-$AC5</f>
        <v>-3.08</v>
      </c>
      <c r="AF5">
        <f t="shared" ca="1" si="3"/>
        <v>-1.79</v>
      </c>
      <c r="AG5">
        <f t="shared" ca="1" si="3"/>
        <v>-2.35</v>
      </c>
      <c r="AH5">
        <f t="shared" ca="1" si="3"/>
        <v>-2.52</v>
      </c>
      <c r="AI5">
        <f t="shared" ca="1" si="3"/>
        <v>-2.5950000000000002</v>
      </c>
      <c r="AJ5">
        <f t="shared" ca="1" si="3"/>
        <v>-2.4540000000000002</v>
      </c>
      <c r="AK5">
        <f t="shared" ca="1" si="3"/>
        <v>-1.8350000000000002</v>
      </c>
      <c r="AL5">
        <f t="shared" ca="1" si="3"/>
        <v>-0.66571428571428592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-0.55499999999999972</v>
      </c>
      <c r="AT5">
        <f t="shared" ref="AT5:AX14" si="4">R5-$AC5</f>
        <v>-0.10595238095238191</v>
      </c>
      <c r="AU5">
        <f t="shared" si="4"/>
        <v>-0.55592592592592638</v>
      </c>
      <c r="AV5">
        <f t="shared" si="4"/>
        <v>-0.25333333333333341</v>
      </c>
      <c r="AW5">
        <f t="shared" si="4"/>
        <v>1.0958333333333332</v>
      </c>
      <c r="AX5">
        <f t="shared" si="4"/>
        <v>0.20564102564102615</v>
      </c>
      <c r="AY5" s="13">
        <f t="shared" ref="AY5:BD5" ca="1" si="5">W5-$AC5</f>
        <v>-0.63445368978716976</v>
      </c>
      <c r="AZ5" s="6">
        <f t="shared" ca="1" si="5"/>
        <v>-0.41722797559552882</v>
      </c>
      <c r="BA5" s="6">
        <f t="shared" ca="1" si="5"/>
        <v>-0.86076685693531196</v>
      </c>
      <c r="BB5" s="6">
        <f t="shared" ca="1" si="5"/>
        <v>-0.66397291731634356</v>
      </c>
      <c r="BC5" s="6">
        <f t="shared" ca="1" si="5"/>
        <v>0.32424443151190374</v>
      </c>
      <c r="BD5" s="2">
        <f t="shared" ca="1" si="5"/>
        <v>-0.12257158517269318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186</v>
      </c>
      <c r="BM5" s="33" t="str">
        <f>AX3</f>
        <v>Pre-election</v>
      </c>
      <c r="BY5" s="44" t="s">
        <v>210</v>
      </c>
      <c r="BZ5" s="44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196</v>
      </c>
      <c r="B6">
        <v>0</v>
      </c>
      <c r="C6" s="13">
        <v>0</v>
      </c>
      <c r="D6">
        <f ca="1">SUM(OFFSET('Historical Trends'!$I$6,0,0,'Polling Correlations - Misc'!D$4,1))/D$4</f>
        <v>0</v>
      </c>
      <c r="E6">
        <f ca="1">SUM(OFFSET('Historical Trends'!$I$6,0,0,'Polling Correlations - Misc'!E$4,1))/E$4</f>
        <v>2.7450000000000001</v>
      </c>
      <c r="F6">
        <f ca="1">SUM(OFFSET('Historical Trends'!$I$6,0,0,'Polling Correlations - Misc'!F$4,1))/F$4</f>
        <v>1.83</v>
      </c>
      <c r="G6">
        <f ca="1">SUM(OFFSET('Historical Trends'!$I$6,0,0,'Polling Correlations - Misc'!G$4,1))/G$4</f>
        <v>1.3725000000000001</v>
      </c>
      <c r="H6">
        <f ca="1">SUM(OFFSET('Historical Trends'!$I$6,0,0,'Polling Correlations - Misc'!H$4,1))/H$4</f>
        <v>1.0980000000000001</v>
      </c>
      <c r="I6">
        <f ca="1">SUM(OFFSET('Historical Trends'!$I$6,0,0,'Polling Correlations - Misc'!I$4,1))/I$4</f>
        <v>0.91500000000000004</v>
      </c>
      <c r="J6">
        <f ca="1">SUM(OFFSET('Historical Trends'!$I$6,0,0,'Polling Correlations - Misc'!J$4,1))/J$4</f>
        <v>0.78428571428571436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2.914102564102564</v>
      </c>
      <c r="W6" s="13">
        <f t="shared" ref="W6:W19" ca="1" si="6">Q6*W$4+$D6*(1-W$4)</f>
        <v>0</v>
      </c>
      <c r="X6" s="6">
        <f t="shared" ca="1" si="2"/>
        <v>0</v>
      </c>
      <c r="Y6" s="6">
        <f t="shared" ca="1" si="2"/>
        <v>0</v>
      </c>
      <c r="Z6" s="6">
        <f t="shared" ca="1" si="2"/>
        <v>0</v>
      </c>
      <c r="AA6" s="6">
        <f t="shared" ca="1" si="2"/>
        <v>0</v>
      </c>
      <c r="AB6" s="2">
        <f t="shared" ca="1" si="2"/>
        <v>2.4348354020958931</v>
      </c>
      <c r="AC6" s="2">
        <f>'Historical Trends'!I5</f>
        <v>3.43</v>
      </c>
      <c r="AE6" s="13">
        <f t="shared" ref="AE6:AE19" si="7">C6-$AC6</f>
        <v>-3.43</v>
      </c>
      <c r="AF6">
        <f t="shared" ref="AF6:AF19" ca="1" si="8">D6-$AC6</f>
        <v>-3.43</v>
      </c>
      <c r="AG6">
        <f t="shared" ref="AG6:AG19" ca="1" si="9">E6-$AC6</f>
        <v>-0.68500000000000005</v>
      </c>
      <c r="AH6">
        <f t="shared" ref="AH6:AH19" ca="1" si="10">F6-$AC6</f>
        <v>-1.6</v>
      </c>
      <c r="AI6">
        <f t="shared" ref="AI6:AI19" ca="1" si="11">G6-$AC6</f>
        <v>-2.0575000000000001</v>
      </c>
      <c r="AJ6">
        <f t="shared" ref="AJ6:AJ19" ca="1" si="12">H6-$AC6</f>
        <v>-2.3319999999999999</v>
      </c>
      <c r="AK6">
        <f t="shared" ref="AK6:AK19" ca="1" si="13">I6-$AC6</f>
        <v>-2.5150000000000001</v>
      </c>
      <c r="AL6">
        <f t="shared" ref="AL6:AL19" ca="1" si="14">J6-$AC6</f>
        <v>-2.6457142857142859</v>
      </c>
      <c r="AR6">
        <f t="shared" ref="AR6:AR15" si="15">P6-$AC6</f>
        <v>0.36999999999999966</v>
      </c>
      <c r="AS6" s="30"/>
      <c r="AX6">
        <f t="shared" si="4"/>
        <v>-0.5158974358974362</v>
      </c>
      <c r="BD6" s="2">
        <f t="shared" ref="BD6:BD15" ca="1" si="16">AB6-$AC6</f>
        <v>-0.99516459790410705</v>
      </c>
      <c r="BE6" t="s">
        <v>149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7">AVERAGE(BK6,BM6)</f>
        <v>2.0471722811110502</v>
      </c>
      <c r="BM6">
        <f>LN(2)</f>
        <v>0.69314718055994529</v>
      </c>
      <c r="BY6" s="35" t="s">
        <v>211</v>
      </c>
      <c r="BZ6" s="35"/>
      <c r="CA6">
        <v>10</v>
      </c>
      <c r="CC6" t="s">
        <v>213</v>
      </c>
      <c r="CD6">
        <f t="shared" ref="CD6:CI6" si="18">COUNTIFS(K5:K19,"&gt;3",$AC5:$AC19,"&gt;1")/COUNTIF(K5:K19,"&gt;3")</f>
        <v>0.75</v>
      </c>
      <c r="CE6">
        <f t="shared" si="18"/>
        <v>1</v>
      </c>
      <c r="CF6">
        <f t="shared" si="18"/>
        <v>0.8571428571428571</v>
      </c>
      <c r="CG6">
        <f t="shared" si="18"/>
        <v>0.875</v>
      </c>
      <c r="CH6">
        <f t="shared" si="18"/>
        <v>1</v>
      </c>
      <c r="CI6">
        <f t="shared" si="18"/>
        <v>1</v>
      </c>
    </row>
    <row r="7" spans="1:87" x14ac:dyDescent="0.25">
      <c r="A7" t="s">
        <v>197</v>
      </c>
      <c r="B7">
        <v>0</v>
      </c>
      <c r="C7" s="13">
        <v>0</v>
      </c>
      <c r="D7" s="34">
        <f ca="1">SUM(OFFSET('Historical Trends'!$I$8,0,0,'Polling Correlations - Misc'!D$4,1))/D$4</f>
        <v>0</v>
      </c>
      <c r="E7">
        <f ca="1">SUM(OFFSET('Historical Trends'!$I$8,0,0,'Polling Correlations - Misc'!E$4,1))/E$4</f>
        <v>0</v>
      </c>
      <c r="F7">
        <f ca="1">SUM(OFFSET('Historical Trends'!$I$8,0,0,'Polling Correlations - Misc'!F$4,1))/F$4</f>
        <v>0</v>
      </c>
      <c r="G7">
        <f ca="1">SUM(OFFSET('Historical Trends'!$I$8,0,0,'Polling Correlations - Misc'!G$4,1))/G$4</f>
        <v>0</v>
      </c>
      <c r="H7">
        <f ca="1">SUM(OFFSET('Historical Trends'!$I$8,0,0,'Polling Correlations - Misc'!H$4,1))/H$4</f>
        <v>0</v>
      </c>
      <c r="I7">
        <f ca="1">SUM(OFFSET('Historical Trends'!$I$8,0,0,'Polling Correlations - Misc'!I$4,1))/I$4</f>
        <v>0</v>
      </c>
      <c r="J7">
        <f ca="1">SUM(OFFSET('Historical Trends'!$I$8,0,0,'Polling Correlations - Misc'!J$4,1))/J$4</f>
        <v>0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-0.10555555555555518</v>
      </c>
      <c r="V7" s="31">
        <f>P7-AVERAGE(AR$5:AR6,AR8:AR$30)</f>
        <v>4.026410256410256</v>
      </c>
      <c r="W7" s="13">
        <f t="shared" ca="1" si="6"/>
        <v>0</v>
      </c>
      <c r="X7" s="6">
        <f t="shared" ca="1" si="2"/>
        <v>0</v>
      </c>
      <c r="Y7" s="6">
        <f t="shared" ca="1" si="2"/>
        <v>0</v>
      </c>
      <c r="Z7" s="6">
        <f t="shared" ca="1" si="2"/>
        <v>0</v>
      </c>
      <c r="AA7" s="6">
        <f t="shared" ca="1" si="2"/>
        <v>-7.733303339825974E-2</v>
      </c>
      <c r="AB7" s="2">
        <f t="shared" ca="1" si="2"/>
        <v>3.3642076831598597</v>
      </c>
      <c r="AC7" s="2">
        <f>'Historical Trends'!I7</f>
        <v>5.49</v>
      </c>
      <c r="AE7" s="13">
        <f t="shared" si="7"/>
        <v>-5.49</v>
      </c>
      <c r="AF7">
        <f t="shared" ca="1" si="8"/>
        <v>-5.49</v>
      </c>
      <c r="AG7">
        <f t="shared" ca="1" si="9"/>
        <v>-5.49</v>
      </c>
      <c r="AH7">
        <f t="shared" ca="1" si="10"/>
        <v>-5.49</v>
      </c>
      <c r="AI7">
        <f t="shared" ca="1" si="11"/>
        <v>-5.49</v>
      </c>
      <c r="AJ7">
        <f t="shared" ca="1" si="12"/>
        <v>-5.49</v>
      </c>
      <c r="AK7">
        <f t="shared" ca="1" si="13"/>
        <v>-5.49</v>
      </c>
      <c r="AL7">
        <f t="shared" ca="1" si="14"/>
        <v>-5.49</v>
      </c>
      <c r="AQ7">
        <f t="shared" ref="AQ7:AQ15" si="19">O7-$AC7</f>
        <v>-3.6566666666666672</v>
      </c>
      <c r="AR7">
        <f t="shared" si="15"/>
        <v>-0.51000000000000068</v>
      </c>
      <c r="AS7" s="30"/>
      <c r="AW7">
        <f t="shared" si="4"/>
        <v>-5.5955555555555554</v>
      </c>
      <c r="AX7">
        <f t="shared" si="4"/>
        <v>-1.4635897435897443</v>
      </c>
      <c r="BC7" s="6">
        <f t="shared" ref="BC7:BC15" ca="1" si="20">AA7-$AC7</f>
        <v>-5.5673330333982598</v>
      </c>
      <c r="BD7" s="2">
        <f t="shared" ca="1" si="16"/>
        <v>-2.1257923168401405</v>
      </c>
      <c r="BE7" t="s">
        <v>179</v>
      </c>
      <c r="BG7">
        <f>AM4</f>
        <v>5.203360452630589</v>
      </c>
      <c r="BH7">
        <f>AN4</f>
        <v>4.0163681164980662</v>
      </c>
      <c r="BI7">
        <f>AO4</f>
        <v>3.7863343457462624</v>
      </c>
      <c r="BJ7">
        <f>AP4</f>
        <v>3.9353092109589793</v>
      </c>
      <c r="BK7">
        <f>AQ4</f>
        <v>4.1249301470387003</v>
      </c>
      <c r="BL7">
        <f t="shared" si="17"/>
        <v>3.234369980545134</v>
      </c>
      <c r="BM7">
        <f>AR4</f>
        <v>2.3438098140515677</v>
      </c>
      <c r="BY7" s="35" t="s">
        <v>212</v>
      </c>
      <c r="BZ7" s="35"/>
      <c r="CC7" t="s">
        <v>214</v>
      </c>
      <c r="CD7">
        <f t="shared" ref="CD7:CI7" si="21">(COUNTIFS(K5:K19,"",$AC5:$AC19,"&gt;3"))/($CA$5-COUNTA(K5:K19))</f>
        <v>0.31818181818181818</v>
      </c>
      <c r="CE7">
        <f t="shared" si="21"/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198</v>
      </c>
      <c r="B8">
        <v>0</v>
      </c>
      <c r="C8" s="13">
        <f ca="1">'Historical Trends'!R27</f>
        <v>0</v>
      </c>
      <c r="D8">
        <f ca="1">SUM(OFFSET('Historical Trends'!$H$28,0,0,'Polling Correlations - Misc'!D$4,1))/D$4</f>
        <v>0.92</v>
      </c>
      <c r="E8">
        <f ca="1">SUM(OFFSET('Historical Trends'!$H$28,0,0,'Polling Correlations - Misc'!E$4,1))/E$4</f>
        <v>0.51</v>
      </c>
      <c r="F8">
        <f ca="1">SUM(OFFSET('Historical Trends'!$H$28,0,0,'Polling Correlations - Misc'!F$4,1))/F$4</f>
        <v>0.46666666666666662</v>
      </c>
      <c r="G8">
        <f ca="1">SUM(OFFSET('Historical Trends'!$H$28,0,0,'Polling Correlations - Misc'!G$4,1))/G$4</f>
        <v>0.5</v>
      </c>
      <c r="H8">
        <f ca="1">SUM(OFFSET('Historical Trends'!$H$28,0,0,'Polling Correlations - Misc'!H$4,1))/H$4</f>
        <v>1.3759999999999999</v>
      </c>
      <c r="I8">
        <f ca="1">SUM(OFFSET('Historical Trends'!$H$28,0,0,'Polling Correlations - Misc'!I$4,1))/I$4</f>
        <v>2.5950000000000002</v>
      </c>
      <c r="J8">
        <f ca="1">SUM(OFFSET('Historical Trends'!$H$28,0,0,'Polling Correlations - Misc'!J$4,1))/J$4</f>
        <v>5.4642857142857144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9.2240476190476208</v>
      </c>
      <c r="S8" s="31">
        <f>M8-AVERAGE(AO$5:AO7,AO9:AO$30)</f>
        <v>14.518518518518517</v>
      </c>
      <c r="T8" s="31">
        <f>N8-AVERAGE(AP$5:AP7,AP9:AP$30)</f>
        <v>11.221666666666666</v>
      </c>
      <c r="U8" s="31">
        <f>O8-AVERAGE(AQ$5:AQ7,AQ9:AQ$30)</f>
        <v>13.601666666666667</v>
      </c>
      <c r="V8" s="31">
        <f>P8-AVERAGE(AR$5:AR7,AR9:AR$30)</f>
        <v>13.967948717948719</v>
      </c>
      <c r="W8" s="13">
        <f t="shared" ca="1" si="6"/>
        <v>5.9188173768580085E-2</v>
      </c>
      <c r="X8" s="6">
        <f t="shared" ca="1" si="2"/>
        <v>7.6891460335295898</v>
      </c>
      <c r="Y8" s="6">
        <f t="shared" ca="1" si="2"/>
        <v>11.159412989424695</v>
      </c>
      <c r="Z8" s="6">
        <f t="shared" ca="1" si="2"/>
        <v>8.4687780890104989</v>
      </c>
      <c r="AA8" s="6">
        <f t="shared" ca="1" si="2"/>
        <v>10.210953438853059</v>
      </c>
      <c r="AB8" s="2">
        <f t="shared" ca="1" si="2"/>
        <v>11.822021038843268</v>
      </c>
      <c r="AC8" s="2">
        <f>'Historical Trends'!H27</f>
        <v>13.73</v>
      </c>
      <c r="AE8" s="13">
        <f t="shared" ca="1" si="7"/>
        <v>-13.73</v>
      </c>
      <c r="AF8">
        <f t="shared" ca="1" si="8"/>
        <v>-12.81</v>
      </c>
      <c r="AG8">
        <f t="shared" ca="1" si="9"/>
        <v>-13.22</v>
      </c>
      <c r="AH8">
        <f t="shared" ca="1" si="10"/>
        <v>-13.263333333333334</v>
      </c>
      <c r="AI8">
        <f t="shared" ca="1" si="11"/>
        <v>-13.23</v>
      </c>
      <c r="AJ8">
        <f t="shared" ca="1" si="12"/>
        <v>-12.354000000000001</v>
      </c>
      <c r="AK8">
        <f t="shared" ca="1" si="13"/>
        <v>-11.135</v>
      </c>
      <c r="AL8">
        <f t="shared" ca="1" si="14"/>
        <v>-8.2657142857142851</v>
      </c>
      <c r="AN8">
        <f t="shared" ref="AN8:AP9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19"/>
        <v>1.3899999999999988</v>
      </c>
      <c r="AR8">
        <f t="shared" si="15"/>
        <v>1.0700000000000003</v>
      </c>
      <c r="AS8" s="30"/>
      <c r="AT8">
        <f t="shared" si="4"/>
        <v>-4.5059523809523796</v>
      </c>
      <c r="AU8">
        <f t="shared" si="4"/>
        <v>0.78851851851851684</v>
      </c>
      <c r="AV8">
        <f t="shared" si="4"/>
        <v>-2.5083333333333346</v>
      </c>
      <c r="AW8">
        <f t="shared" si="4"/>
        <v>-0.12833333333333385</v>
      </c>
      <c r="AX8">
        <f t="shared" si="4"/>
        <v>0.23794871794871852</v>
      </c>
      <c r="AZ8" s="6">
        <f t="shared" ref="AZ8:BB9" ca="1" si="23">X8-$AC8</f>
        <v>-6.0408539664704106</v>
      </c>
      <c r="BA8" s="6">
        <f t="shared" ca="1" si="23"/>
        <v>-2.5705870105753057</v>
      </c>
      <c r="BB8" s="6">
        <f t="shared" ca="1" si="23"/>
        <v>-5.2612219109895015</v>
      </c>
      <c r="BC8" s="6">
        <f t="shared" ca="1" si="20"/>
        <v>-3.5190465611469417</v>
      </c>
      <c r="BD8" s="2">
        <f t="shared" ca="1" si="16"/>
        <v>-1.9079789611567328</v>
      </c>
      <c r="BE8" t="s">
        <v>183</v>
      </c>
      <c r="BG8">
        <f ca="1">AY4</f>
        <v>1.8841817176463025</v>
      </c>
      <c r="BH8">
        <f ca="1">AZ4</f>
        <v>3.3165375695441499</v>
      </c>
      <c r="BI8">
        <f ca="1">BA4</f>
        <v>2.1747201257146807</v>
      </c>
      <c r="BJ8">
        <f ca="1">BB4</f>
        <v>2.4545000757768634</v>
      </c>
      <c r="BK8">
        <f ca="1">BC4</f>
        <v>3.6619333648385601</v>
      </c>
      <c r="BL8">
        <f t="shared" ca="1" si="17"/>
        <v>3.045759844687236</v>
      </c>
      <c r="BM8">
        <f ca="1">BD4</f>
        <v>2.4295863245359115</v>
      </c>
      <c r="CC8" t="s">
        <v>215</v>
      </c>
      <c r="CD8">
        <f t="shared" ref="CD8:CI8" si="24">(COUNTIFS(K5:K19,"&gt;3",$AC5:$AC19,"&lt;1"))/COUNTIF(K5:K19,"&gt;3")</f>
        <v>0.25</v>
      </c>
      <c r="CE8">
        <f t="shared" si="24"/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199</v>
      </c>
      <c r="B9">
        <v>0</v>
      </c>
      <c r="C9" s="13">
        <v>0</v>
      </c>
      <c r="D9">
        <f ca="1">SUM(OFFSET('Historical Trends'!$I$29,0,0,'Polling Correlations - Misc'!D$4,1))/D$4</f>
        <v>0</v>
      </c>
      <c r="E9">
        <f ca="1">SUM(OFFSET('Historical Trends'!$I$29,0,0,'Polling Correlations - Misc'!E$4,1))/E$4</f>
        <v>0</v>
      </c>
      <c r="F9">
        <f ca="1">SUM(OFFSET('Historical Trends'!$I$29,0,0,'Polling Correlations - Misc'!F$4,1))/F$4</f>
        <v>0</v>
      </c>
      <c r="G9">
        <f ca="1">SUM(OFFSET('Historical Trends'!$I$29,0,0,'Polling Correlations - Misc'!G$4,1))/G$4</f>
        <v>0</v>
      </c>
      <c r="H9">
        <f ca="1">SUM(OFFSET('Historical Trends'!$I$29,0,0,'Polling Correlations - Misc'!H$4,1))/H$4</f>
        <v>0</v>
      </c>
      <c r="I9">
        <f ca="1">SUM(OFFSET('Historical Trends'!$I$29,0,0,'Polling Correlations - Misc'!I$4,1))/I$4</f>
        <v>0</v>
      </c>
      <c r="J9">
        <f ca="1">SUM(OFFSET('Historical Trends'!$I$29,0,0,'Polling Correlations - Misc'!J$4,1))/J$4</f>
        <v>0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3.1126190476190465</v>
      </c>
      <c r="S9" s="31">
        <f>M9-AVERAGE(AO$5:AO8,AO10:AO$30)</f>
        <v>8.8318518518518498</v>
      </c>
      <c r="T9" s="31">
        <f>N9-AVERAGE(AP$5:AP8,AP10:AP$30)</f>
        <v>8.0576666666666661</v>
      </c>
      <c r="U9" s="31">
        <f>O9-AVERAGE(AQ$5:AQ8,AQ10:AQ$30)</f>
        <v>5.5666666666666682</v>
      </c>
      <c r="V9" s="31">
        <f>P9-AVERAGE(AR$5:AR8,AR10:AR$30)</f>
        <v>4.2064102564102566</v>
      </c>
      <c r="W9" s="13">
        <f t="shared" ca="1" si="6"/>
        <v>0</v>
      </c>
      <c r="X9" s="6">
        <f t="shared" ca="1" si="2"/>
        <v>2.5372895058729901</v>
      </c>
      <c r="Y9" s="6">
        <f t="shared" ca="1" si="2"/>
        <v>6.6502081421130095</v>
      </c>
      <c r="Z9" s="6">
        <f t="shared" ca="1" si="2"/>
        <v>5.9044365877900278</v>
      </c>
      <c r="AA9" s="6">
        <f t="shared" ca="1" si="2"/>
        <v>4.0782999718450821</v>
      </c>
      <c r="AB9" s="2">
        <f t="shared" ca="1" si="2"/>
        <v>3.5146040273984278</v>
      </c>
      <c r="AC9" s="2">
        <f>'Historical Trends'!I28</f>
        <v>5.1100000000000003</v>
      </c>
      <c r="AE9" s="13">
        <f t="shared" si="7"/>
        <v>-5.1100000000000003</v>
      </c>
      <c r="AF9">
        <f t="shared" ca="1" si="8"/>
        <v>-5.1100000000000003</v>
      </c>
      <c r="AG9">
        <f t="shared" ca="1" si="9"/>
        <v>-5.1100000000000003</v>
      </c>
      <c r="AH9">
        <f t="shared" ca="1" si="10"/>
        <v>-5.1100000000000003</v>
      </c>
      <c r="AI9">
        <f t="shared" ca="1" si="11"/>
        <v>-5.1100000000000003</v>
      </c>
      <c r="AJ9">
        <f t="shared" ca="1" si="12"/>
        <v>-5.1100000000000003</v>
      </c>
      <c r="AK9">
        <f t="shared" ca="1" si="13"/>
        <v>-5.1100000000000003</v>
      </c>
      <c r="AL9">
        <f t="shared" ca="1" si="14"/>
        <v>-5.1100000000000003</v>
      </c>
      <c r="AN9">
        <f t="shared" si="22"/>
        <v>1.2649999999999997</v>
      </c>
      <c r="AO9">
        <f t="shared" si="22"/>
        <v>6.7699999999999987</v>
      </c>
      <c r="AP9">
        <f t="shared" si="22"/>
        <v>5.8299999999999992</v>
      </c>
      <c r="AQ9">
        <f t="shared" si="19"/>
        <v>1.9300000000000006</v>
      </c>
      <c r="AR9">
        <f t="shared" si="15"/>
        <v>9.9999999999997868E-3</v>
      </c>
      <c r="AS9" s="30"/>
      <c r="AT9">
        <f t="shared" si="4"/>
        <v>-1.9973809523809538</v>
      </c>
      <c r="AU9">
        <f t="shared" si="4"/>
        <v>3.7218518518518495</v>
      </c>
      <c r="AV9">
        <f t="shared" si="4"/>
        <v>2.9476666666666658</v>
      </c>
      <c r="AW9">
        <f t="shared" si="4"/>
        <v>0.45666666666666789</v>
      </c>
      <c r="AX9">
        <f t="shared" si="4"/>
        <v>-0.90358974358974375</v>
      </c>
      <c r="AZ9" s="6">
        <f t="shared" ca="1" si="23"/>
        <v>-2.5727104941270103</v>
      </c>
      <c r="BA9" s="6">
        <f t="shared" ca="1" si="23"/>
        <v>1.5402081421130092</v>
      </c>
      <c r="BB9" s="6">
        <f t="shared" ca="1" si="23"/>
        <v>0.79443658779002746</v>
      </c>
      <c r="BC9" s="6">
        <f t="shared" ca="1" si="20"/>
        <v>-1.0317000281549182</v>
      </c>
      <c r="BD9" s="2">
        <f t="shared" ca="1" si="16"/>
        <v>-1.5953959726015725</v>
      </c>
      <c r="BE9" t="s">
        <v>184</v>
      </c>
      <c r="BG9">
        <f t="shared" ref="BG9:BM9" ca="1" si="25">$AK$4</f>
        <v>6.1366477825392947</v>
      </c>
      <c r="BH9">
        <f t="shared" ca="1" si="25"/>
        <v>6.1366477825392947</v>
      </c>
      <c r="BI9">
        <f t="shared" ca="1" si="25"/>
        <v>6.1366477825392947</v>
      </c>
      <c r="BJ9">
        <f t="shared" ca="1" si="25"/>
        <v>6.1366477825392947</v>
      </c>
      <c r="BK9">
        <f t="shared" ca="1" si="25"/>
        <v>6.1366477825392947</v>
      </c>
      <c r="BL9">
        <f t="shared" ca="1" si="17"/>
        <v>6.1366477825392947</v>
      </c>
      <c r="BM9">
        <f t="shared" ca="1" si="25"/>
        <v>6.1366477825392947</v>
      </c>
    </row>
    <row r="10" spans="1:87" x14ac:dyDescent="0.25">
      <c r="A10" t="s">
        <v>200</v>
      </c>
      <c r="B10">
        <v>0</v>
      </c>
      <c r="C10" s="13">
        <v>0</v>
      </c>
      <c r="D10">
        <f ca="1">SUM(OFFSET('Historical Trends'!$K$30,0,0,'Polling Correlations - Misc'!D$4,1))/D$4</f>
        <v>0</v>
      </c>
      <c r="E10">
        <f ca="1">SUM(OFFSET('Historical Trends'!$K$30,0,0,'Polling Correlations - Misc'!E$4,1))/E$4</f>
        <v>0</v>
      </c>
      <c r="F10">
        <f ca="1">SUM(OFFSET('Historical Trends'!$K$30,0,0,'Polling Correlations - Misc'!F$4,1))/F$4</f>
        <v>0</v>
      </c>
      <c r="G10">
        <f ca="1">SUM(OFFSET('Historical Trends'!$K$30,0,0,'Polling Correlations - Misc'!G$4,1))/G$4</f>
        <v>0</v>
      </c>
      <c r="H10">
        <f ca="1">SUM(OFFSET('Historical Trends'!$K$30,0,0,'Polling Correlations - Misc'!H$4,1))/H$4</f>
        <v>0</v>
      </c>
      <c r="I10">
        <f ca="1">SUM(OFFSET('Historical Trends'!$K$30,0,0,'Polling Correlations - Misc'!I$4,1))/I$4</f>
        <v>0</v>
      </c>
      <c r="J10">
        <f ca="1">SUM(OFFSET('Historical Trends'!$K$30,0,0,'Polling Correlations - Misc'!J$4,1))/J$4</f>
        <v>0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-3.4203333333333341</v>
      </c>
      <c r="T10" s="31">
        <f>N10-AVERAGE(AP$5:AP9,AP11:AP$30)</f>
        <v>-3.1503030303030304</v>
      </c>
      <c r="U10" s="31">
        <f>O10-AVERAGE(AQ$5:AQ9,AQ11:AQ$30)</f>
        <v>2.0994444444444444</v>
      </c>
      <c r="V10" s="31">
        <f>P10-AVERAGE(AR$5:AR9,AR11:AR$30)</f>
        <v>6.0961538461538458</v>
      </c>
      <c r="W10" s="13">
        <f t="shared" ca="1" si="6"/>
        <v>0</v>
      </c>
      <c r="X10" s="6">
        <f t="shared" ca="1" si="2"/>
        <v>0</v>
      </c>
      <c r="Y10" s="6">
        <f t="shared" ca="1" si="2"/>
        <v>-2.5754427229556094</v>
      </c>
      <c r="Z10" s="6">
        <f t="shared" ca="1" si="2"/>
        <v>-2.3084554430249051</v>
      </c>
      <c r="AA10" s="6">
        <f t="shared" ca="1" si="2"/>
        <v>1.5381133326948664</v>
      </c>
      <c r="AB10" s="2">
        <f t="shared" ca="1" si="2"/>
        <v>5.093551402096776</v>
      </c>
      <c r="AC10" s="2">
        <f>'Historical Trends'!K29</f>
        <v>11.53</v>
      </c>
      <c r="AE10" s="13">
        <f t="shared" si="7"/>
        <v>-11.53</v>
      </c>
      <c r="AF10">
        <f t="shared" ca="1" si="8"/>
        <v>-11.53</v>
      </c>
      <c r="AG10">
        <f t="shared" ca="1" si="9"/>
        <v>-11.53</v>
      </c>
      <c r="AH10">
        <f t="shared" ca="1" si="10"/>
        <v>-11.53</v>
      </c>
      <c r="AI10">
        <f t="shared" ca="1" si="11"/>
        <v>-11.53</v>
      </c>
      <c r="AJ10">
        <f t="shared" ca="1" si="12"/>
        <v>-11.53</v>
      </c>
      <c r="AK10">
        <f t="shared" ca="1" si="13"/>
        <v>-11.53</v>
      </c>
      <c r="AL10">
        <f t="shared" ca="1" si="14"/>
        <v>-11.53</v>
      </c>
      <c r="AQ10">
        <f t="shared" si="19"/>
        <v>-7.1966666666666663</v>
      </c>
      <c r="AR10">
        <f t="shared" si="15"/>
        <v>-4.1966666666666663</v>
      </c>
      <c r="AS10" s="30"/>
      <c r="AW10">
        <f t="shared" si="4"/>
        <v>-9.4305555555555554</v>
      </c>
      <c r="AX10">
        <f t="shared" si="4"/>
        <v>-5.4338461538461535</v>
      </c>
      <c r="BC10" s="6">
        <f t="shared" ca="1" si="20"/>
        <v>-9.991886667305133</v>
      </c>
      <c r="BD10" s="2">
        <f t="shared" ca="1" si="16"/>
        <v>-6.4364485979032233</v>
      </c>
      <c r="BE10" t="s">
        <v>152</v>
      </c>
      <c r="BG10">
        <f>W4</f>
        <v>0.93566502851241296</v>
      </c>
      <c r="BH10">
        <f>X4</f>
        <v>0.8151622370279632</v>
      </c>
      <c r="BI10">
        <f>Y4</f>
        <v>0.75298003789755641</v>
      </c>
      <c r="BJ10">
        <f>Z4</f>
        <v>0.73277250500021029</v>
      </c>
      <c r="BK10">
        <f>AA4</f>
        <v>0.73262873745720014</v>
      </c>
      <c r="BL10">
        <f t="shared" si="17"/>
        <v>0.78408199161350911</v>
      </c>
      <c r="BM10">
        <f>AB4</f>
        <v>0.83553524576981819</v>
      </c>
    </row>
    <row r="11" spans="1:87" x14ac:dyDescent="0.25">
      <c r="A11" t="s">
        <v>207</v>
      </c>
      <c r="B11">
        <v>0</v>
      </c>
      <c r="C11" s="13">
        <v>0</v>
      </c>
      <c r="D11">
        <f ca="1">SUM(OFFSET('Historical Trends'!$K$48,0,0,'Polling Correlations - Misc'!D$4,1))/D$4</f>
        <v>0</v>
      </c>
      <c r="E11">
        <f ca="1">SUM(OFFSET('Historical Trends'!$K$48,0,0,'Polling Correlations - Misc'!E$4,1))/E$4</f>
        <v>0</v>
      </c>
      <c r="F11">
        <f ca="1">SUM(OFFSET('Historical Trends'!$K$48,0,0,'Polling Correlations - Misc'!F$4,1))/F$4</f>
        <v>0</v>
      </c>
      <c r="G11">
        <f ca="1">SUM(OFFSET('Historical Trends'!$K$48,0,0,'Polling Correlations - Misc'!G$4,1))/G$4</f>
        <v>0</v>
      </c>
      <c r="H11">
        <f ca="1">SUM(OFFSET('Historical Trends'!$K$48,0,0,'Polling Correlations - Misc'!H$4,1))/H$4</f>
        <v>0</v>
      </c>
      <c r="I11">
        <f ca="1">SUM(OFFSET('Historical Trends'!$K$48,0,0,'Polling Correlations - Misc'!I$4,1))/I$4</f>
        <v>0</v>
      </c>
      <c r="J11">
        <f ca="1">SUM(OFFSET('Historical Trends'!$K$48,0,0,'Polling Correlations - Misc'!J$4,1))/J$4</f>
        <v>0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0.75962962962962921</v>
      </c>
      <c r="T11" s="31">
        <f>N11-AVERAGE(AP$5:AP10,AP12:AP$30)</f>
        <v>1.0836666666666668</v>
      </c>
      <c r="U11" s="31">
        <f>O11-AVERAGE(AQ$5:AQ10,AQ12:AQ$30)</f>
        <v>2.5191666666666679</v>
      </c>
      <c r="V11" s="31">
        <f>P11-AVERAGE(AR$5:AR10,AR12:AR$30)</f>
        <v>2.84</v>
      </c>
      <c r="W11" s="13">
        <f t="shared" ca="1" si="6"/>
        <v>0</v>
      </c>
      <c r="X11" s="6">
        <f t="shared" ca="1" si="2"/>
        <v>0</v>
      </c>
      <c r="Y11" s="6">
        <f t="shared" ca="1" si="2"/>
        <v>0.57198594730662489</v>
      </c>
      <c r="Z11" s="6">
        <f t="shared" ca="1" si="2"/>
        <v>0.79408113791856128</v>
      </c>
      <c r="AA11" s="6">
        <f t="shared" ca="1" si="2"/>
        <v>1.8456138944442642</v>
      </c>
      <c r="AB11" s="2">
        <f t="shared" ca="1" si="2"/>
        <v>2.3729200979862837</v>
      </c>
      <c r="AC11" s="2">
        <f>'Historical Trends'!K47</f>
        <v>3.46</v>
      </c>
      <c r="AE11" s="13">
        <f t="shared" si="7"/>
        <v>-3.46</v>
      </c>
      <c r="AF11">
        <f t="shared" ca="1" si="8"/>
        <v>-3.46</v>
      </c>
      <c r="AG11">
        <f t="shared" ca="1" si="9"/>
        <v>-3.46</v>
      </c>
      <c r="AH11">
        <f t="shared" ca="1" si="10"/>
        <v>-3.46</v>
      </c>
      <c r="AI11">
        <f t="shared" ca="1" si="11"/>
        <v>-3.46</v>
      </c>
      <c r="AJ11">
        <f t="shared" ca="1" si="12"/>
        <v>-3.46</v>
      </c>
      <c r="AK11">
        <f t="shared" ca="1" si="13"/>
        <v>-3.46</v>
      </c>
      <c r="AL11">
        <f t="shared" ca="1" si="14"/>
        <v>-3.46</v>
      </c>
      <c r="AO11">
        <f>M11-$AC11</f>
        <v>0.99000000000000021</v>
      </c>
      <c r="AP11">
        <f>N11-$AC11</f>
        <v>0.99000000000000021</v>
      </c>
      <c r="AQ11">
        <f t="shared" si="19"/>
        <v>0.64000000000000057</v>
      </c>
      <c r="AR11">
        <f t="shared" si="15"/>
        <v>0.27333333333333298</v>
      </c>
      <c r="AS11" s="30"/>
      <c r="AU11">
        <f t="shared" si="4"/>
        <v>-2.7003703703703708</v>
      </c>
      <c r="AV11">
        <f t="shared" si="4"/>
        <v>-2.3763333333333332</v>
      </c>
      <c r="AW11">
        <f t="shared" si="4"/>
        <v>-0.94083333333333208</v>
      </c>
      <c r="AX11">
        <f t="shared" si="4"/>
        <v>-0.62000000000000011</v>
      </c>
      <c r="BA11" s="6">
        <f ca="1">Y11-$AC11</f>
        <v>-2.8880140526933751</v>
      </c>
      <c r="BB11" s="6">
        <f ca="1">Z11-$AC11</f>
        <v>-2.6659188620814387</v>
      </c>
      <c r="BC11" s="6">
        <f t="shared" ca="1" si="20"/>
        <v>-1.6143861055557358</v>
      </c>
      <c r="BD11" s="2">
        <f t="shared" ca="1" si="16"/>
        <v>-1.0870799020137163</v>
      </c>
      <c r="BE11" t="s">
        <v>185</v>
      </c>
      <c r="BG11">
        <f>BG10</f>
        <v>0.93566502851241296</v>
      </c>
      <c r="BH11">
        <f>AVERAGE(BG10:BI10)</f>
        <v>0.83460243447931093</v>
      </c>
      <c r="BI11">
        <f>AVERAGE(BH10:BJ10)</f>
        <v>0.76697159330857667</v>
      </c>
      <c r="BJ11">
        <f>AVERAGE(BI10:BK10)</f>
        <v>0.73946042678498891</v>
      </c>
      <c r="BK11">
        <f>AVERAGE(BJ10:BM10)</f>
        <v>0.77125461996018441</v>
      </c>
      <c r="BL11">
        <f t="shared" si="17"/>
        <v>0.8033949328650013</v>
      </c>
      <c r="BM11">
        <f>BM10</f>
        <v>0.83553524576981819</v>
      </c>
    </row>
    <row r="12" spans="1:87" x14ac:dyDescent="0.25">
      <c r="A12" t="s">
        <v>201</v>
      </c>
      <c r="B12">
        <v>0</v>
      </c>
      <c r="C12" s="13">
        <v>0</v>
      </c>
      <c r="D12">
        <f ca="1">SUM(OFFSET('Historical Trends'!$H$48,0,0,'Polling Correlations - Misc'!D$4,1))/D$4</f>
        <v>0</v>
      </c>
      <c r="E12">
        <f ca="1">SUM(OFFSET('Historical Trends'!$H$48,0,0,'Polling Correlations - Misc'!E$4,1))/E$4</f>
        <v>0</v>
      </c>
      <c r="F12">
        <f ca="1">SUM(OFFSET('Historical Trends'!$H$48,0,0,'Polling Correlations - Misc'!F$4,1))/F$4</f>
        <v>0</v>
      </c>
      <c r="G12">
        <f ca="1">SUM(OFFSET('Historical Trends'!$H$48,0,0,'Polling Correlations - Misc'!G$4,1))/G$4</f>
        <v>0.32</v>
      </c>
      <c r="H12">
        <f ca="1">SUM(OFFSET('Historical Trends'!$H$48,0,0,'Polling Correlations - Misc'!H$4,1))/H$4</f>
        <v>1.762</v>
      </c>
      <c r="I12">
        <f ca="1">SUM(OFFSET('Historical Trends'!$H$48,0,0,'Polling Correlations - Misc'!I$4,1))/I$4</f>
        <v>1.4683333333333335</v>
      </c>
      <c r="J12">
        <f ca="1">SUM(OFFSET('Historical Trends'!$H$48,0,0,'Polling Correlations - Misc'!J$4,1))/J$4</f>
        <v>1.2585714285714287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7.7902380952380952</v>
      </c>
      <c r="S12" s="31">
        <f>M12-AVERAGE(AO$5:AO11,AO13:AO$30)</f>
        <v>2.7811111111111115</v>
      </c>
      <c r="T12" s="31">
        <f>N12-AVERAGE(AP$5:AP11,AP13:AP$30)</f>
        <v>3.882666666666668</v>
      </c>
      <c r="U12" s="31">
        <f>O12-AVERAGE(AQ$5:AQ11,AQ13:AQ$30)</f>
        <v>5.7058333333333326</v>
      </c>
      <c r="V12" s="31">
        <f>P12-AVERAGE(AR$5:AR11,AR13:AR$30)</f>
        <v>4.5794871794871792</v>
      </c>
      <c r="W12" s="13">
        <f t="shared" ca="1" si="6"/>
        <v>0</v>
      </c>
      <c r="X12" s="6">
        <f t="shared" ca="1" si="2"/>
        <v>6.3503079126947446</v>
      </c>
      <c r="Y12" s="6">
        <f t="shared" ca="1" si="2"/>
        <v>2.0941211498417598</v>
      </c>
      <c r="Z12" s="6">
        <f t="shared" ca="1" si="2"/>
        <v>2.8451113794141509</v>
      </c>
      <c r="AA12" s="6">
        <f t="shared" ca="1" si="2"/>
        <v>4.180257471141207</v>
      </c>
      <c r="AB12" s="2">
        <f t="shared" ca="1" si="2"/>
        <v>3.8263229460125516</v>
      </c>
      <c r="AC12" s="2">
        <f>'Historical Trends'!H47</f>
        <v>1.1000000000000001</v>
      </c>
      <c r="AE12" s="13">
        <f t="shared" si="7"/>
        <v>-1.1000000000000001</v>
      </c>
      <c r="AF12">
        <f t="shared" ca="1" si="8"/>
        <v>-1.1000000000000001</v>
      </c>
      <c r="AG12">
        <f t="shared" ca="1" si="9"/>
        <v>-1.1000000000000001</v>
      </c>
      <c r="AH12">
        <f t="shared" ca="1" si="10"/>
        <v>-1.1000000000000001</v>
      </c>
      <c r="AI12" s="6">
        <f t="shared" ca="1" si="11"/>
        <v>-0.78</v>
      </c>
      <c r="AJ12">
        <f t="shared" ca="1" si="12"/>
        <v>0.66199999999999992</v>
      </c>
      <c r="AK12">
        <f t="shared" ca="1" si="13"/>
        <v>0.3683333333333334</v>
      </c>
      <c r="AL12">
        <f t="shared" ca="1" si="14"/>
        <v>0.15857142857142859</v>
      </c>
      <c r="AN12">
        <f>L12-$AC12</f>
        <v>8.8666666666666671</v>
      </c>
      <c r="AO12">
        <f>M12-$AC12</f>
        <v>4.9333333333333336</v>
      </c>
      <c r="AP12">
        <f>N12-$AC12</f>
        <v>5.6800000000000015</v>
      </c>
      <c r="AQ12">
        <f t="shared" si="19"/>
        <v>5.76</v>
      </c>
      <c r="AR12">
        <f t="shared" si="15"/>
        <v>4.08</v>
      </c>
      <c r="AS12" s="30"/>
      <c r="AT12">
        <f t="shared" si="4"/>
        <v>6.6902380952380955</v>
      </c>
      <c r="AU12">
        <f t="shared" si="4"/>
        <v>1.6811111111111114</v>
      </c>
      <c r="AV12">
        <f t="shared" si="4"/>
        <v>2.782666666666668</v>
      </c>
      <c r="AW12">
        <f t="shared" si="4"/>
        <v>4.605833333333333</v>
      </c>
      <c r="AX12">
        <f t="shared" si="4"/>
        <v>3.4794871794871791</v>
      </c>
      <c r="AZ12" s="6">
        <f ca="1">X12-$AC12</f>
        <v>5.2503079126947441</v>
      </c>
      <c r="BA12" s="6">
        <f ca="1">Y12-$AC12</f>
        <v>0.9941211498417597</v>
      </c>
      <c r="BB12" s="6">
        <f ca="1">Z12-$AC12</f>
        <v>1.7451113794141508</v>
      </c>
      <c r="BC12" s="6">
        <f t="shared" ca="1" si="20"/>
        <v>3.080257471141207</v>
      </c>
      <c r="BD12" s="2">
        <f t="shared" ca="1" si="16"/>
        <v>2.7263229460125515</v>
      </c>
      <c r="BE12" t="s">
        <v>192</v>
      </c>
      <c r="BG12">
        <f>MAX(0,($BG$16+1/($BG$17*$BG$18))-1/(($BG$17-BG6) * $BG$18))</f>
        <v>0.79840368296273556</v>
      </c>
      <c r="BH12">
        <f t="shared" ref="BH12:BM12" si="26">MAX(0,($BG$16+1/($BG$17*$BG$18))-1/(($BG$17-BH6) * $BG$18))</f>
        <v>0.798403682963017</v>
      </c>
      <c r="BI12">
        <f t="shared" si="26"/>
        <v>0.79840368296329933</v>
      </c>
      <c r="BJ12">
        <f t="shared" si="26"/>
        <v>0.79840368296358499</v>
      </c>
      <c r="BK12">
        <f t="shared" si="26"/>
        <v>0.7984036829640303</v>
      </c>
      <c r="BL12">
        <f t="shared" si="26"/>
        <v>0.79840368296457864</v>
      </c>
      <c r="BM12">
        <f t="shared" si="26"/>
        <v>0.79840368296512643</v>
      </c>
    </row>
    <row r="13" spans="1:87" x14ac:dyDescent="0.25">
      <c r="A13" t="s">
        <v>202</v>
      </c>
      <c r="B13">
        <v>0</v>
      </c>
      <c r="C13" s="13">
        <f ca="1">'Historical Trends'!R84</f>
        <v>0</v>
      </c>
      <c r="D13">
        <f ca="1">SUM(OFFSET('Historical Trends'!$H$84,0,0,'Polling Correlations - Misc'!D$4,1))/D$4</f>
        <v>0</v>
      </c>
      <c r="E13">
        <f ca="1">SUM(OFFSET('Historical Trends'!$H$84,0,0,'Polling Correlations - Misc'!E$4,1))/E$4</f>
        <v>0</v>
      </c>
      <c r="F13">
        <f ca="1">SUM(OFFSET('Historical Trends'!$H$84,0,0,'Polling Correlations - Misc'!F$4,1))/F$4</f>
        <v>0.54666666666666663</v>
      </c>
      <c r="G13">
        <f ca="1">SUM(OFFSET('Historical Trends'!$H$84,0,0,'Polling Correlations - Misc'!G$4,1))/G$4</f>
        <v>2.8050000000000002</v>
      </c>
      <c r="H13">
        <f ca="1">SUM(OFFSET('Historical Trends'!$H$84,0,0,'Polling Correlations - Misc'!H$4,1))/H$4</f>
        <v>2.2440000000000002</v>
      </c>
      <c r="I13">
        <f ca="1">SUM(OFFSET('Historical Trends'!$H$84,0,0,'Polling Correlations - Misc'!I$4,1))/I$4</f>
        <v>1.87</v>
      </c>
      <c r="J13">
        <f ca="1">SUM(OFFSET('Historical Trends'!$H$84,0,0,'Polling Correlations - Misc'!J$4,1))/J$4</f>
        <v>1.602857142857143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2.0916666666666663</v>
      </c>
      <c r="U13" s="31">
        <f>O13-AVERAGE(AQ$5:AQ12,AQ14:AQ$30)</f>
        <v>9.33</v>
      </c>
      <c r="V13" s="31">
        <f>P13-AVERAGE(AR$5:AR12,AR14:AR$30)</f>
        <v>8.1833333333333336</v>
      </c>
      <c r="W13" s="13">
        <f t="shared" ca="1" si="6"/>
        <v>0</v>
      </c>
      <c r="X13" s="6">
        <f t="shared" ca="1" si="2"/>
        <v>0</v>
      </c>
      <c r="Y13" s="6">
        <f t="shared" ca="1" si="2"/>
        <v>0</v>
      </c>
      <c r="Z13" s="6">
        <f t="shared" ca="1" si="2"/>
        <v>1.532715822958773</v>
      </c>
      <c r="AA13" s="6">
        <f t="shared" ca="1" si="2"/>
        <v>6.8354261204756774</v>
      </c>
      <c r="AB13" s="2">
        <f t="shared" ca="1" si="2"/>
        <v>6.8374634278830122</v>
      </c>
      <c r="AC13" s="2">
        <f>'Historical Trends'!H83</f>
        <v>4.93</v>
      </c>
      <c r="AE13" s="13">
        <f t="shared" ca="1" si="7"/>
        <v>-4.93</v>
      </c>
      <c r="AF13">
        <f t="shared" ca="1" si="8"/>
        <v>-4.93</v>
      </c>
      <c r="AG13">
        <f t="shared" ca="1" si="9"/>
        <v>-4.93</v>
      </c>
      <c r="AH13">
        <f t="shared" ca="1" si="10"/>
        <v>-4.3833333333333329</v>
      </c>
      <c r="AI13">
        <f t="shared" ca="1" si="11"/>
        <v>-2.1249999999999996</v>
      </c>
      <c r="AJ13">
        <f t="shared" ca="1" si="12"/>
        <v>-2.6859999999999995</v>
      </c>
      <c r="AK13">
        <f t="shared" ca="1" si="13"/>
        <v>-3.0599999999999996</v>
      </c>
      <c r="AL13">
        <f t="shared" ca="1" si="14"/>
        <v>-3.3271428571428565</v>
      </c>
      <c r="AP13">
        <f>N13-$AC13</f>
        <v>0.57000000000000028</v>
      </c>
      <c r="AQ13">
        <f t="shared" si="19"/>
        <v>5.57</v>
      </c>
      <c r="AR13">
        <f t="shared" si="15"/>
        <v>3.870000000000001</v>
      </c>
      <c r="AS13" s="30"/>
      <c r="AV13">
        <f t="shared" si="4"/>
        <v>-2.8383333333333334</v>
      </c>
      <c r="AW13">
        <f t="shared" si="4"/>
        <v>4.4000000000000004</v>
      </c>
      <c r="AX13">
        <f t="shared" si="4"/>
        <v>3.2533333333333339</v>
      </c>
      <c r="BB13" s="6">
        <f ca="1">Z13-$AC13</f>
        <v>-3.397284177041227</v>
      </c>
      <c r="BC13" s="6">
        <f t="shared" ca="1" si="20"/>
        <v>1.9054261204756777</v>
      </c>
      <c r="BD13" s="2">
        <f t="shared" ca="1" si="16"/>
        <v>1.9074634278830125</v>
      </c>
      <c r="BE13" t="s">
        <v>191</v>
      </c>
      <c r="BG13">
        <f>(BG12-BG10)^2</f>
        <v>1.8840676982107941E-2</v>
      </c>
      <c r="BH13">
        <f t="shared" ref="BH13:BM13" si="27">(BH12-BH10)^2</f>
        <v>2.8084913434772468E-4</v>
      </c>
      <c r="BI13">
        <f t="shared" si="27"/>
        <v>2.0633075310585915E-3</v>
      </c>
      <c r="BJ13">
        <f t="shared" si="27"/>
        <v>4.3074515208601609E-3</v>
      </c>
      <c r="BK13">
        <f t="shared" si="27"/>
        <v>4.3263434564264772E-3</v>
      </c>
      <c r="BL13">
        <f t="shared" si="27"/>
        <v>2.0511084315529983E-4</v>
      </c>
      <c r="BM13">
        <f t="shared" si="27"/>
        <v>1.378752956318769E-3</v>
      </c>
      <c r="BN13">
        <f>SQRT(SUM(BG13:BM13))</f>
        <v>0.17720748410909445</v>
      </c>
    </row>
    <row r="14" spans="1:87" x14ac:dyDescent="0.25">
      <c r="A14" t="s">
        <v>203</v>
      </c>
      <c r="B14">
        <v>0</v>
      </c>
      <c r="C14" s="13">
        <v>0</v>
      </c>
      <c r="D14">
        <f ca="1">SUM(OFFSET('Historical Trends'!$K$101,0,0,'Polling Correlations - Misc'!D$4,1))/D$4</f>
        <v>0</v>
      </c>
      <c r="E14">
        <f ca="1">SUM(OFFSET('Historical Trends'!$K$101,0,0,'Polling Correlations - Misc'!E$4,1))/E$4</f>
        <v>0</v>
      </c>
      <c r="F14">
        <f ca="1">SUM(OFFSET('Historical Trends'!$K$101,0,0,'Polling Correlations - Misc'!F$4,1))/F$4</f>
        <v>0</v>
      </c>
      <c r="G14">
        <f ca="1">SUM(OFFSET('Historical Trends'!$K$101,0,0,'Polling Correlations - Misc'!G$4,1))/G$4</f>
        <v>0</v>
      </c>
      <c r="H14">
        <f ca="1">SUM(OFFSET('Historical Trends'!$K$101,0,0,'Polling Correlations - Misc'!H$4,1))/H$4</f>
        <v>0</v>
      </c>
      <c r="I14">
        <f ca="1">SUM(OFFSET('Historical Trends'!$K$101,0,0,'Polling Correlations - Misc'!I$4,1))/I$4</f>
        <v>0</v>
      </c>
      <c r="J14">
        <f ca="1">SUM(OFFSET('Historical Trends'!$K$101,0,0,'Polling Correlations - Misc'!J$4,1))/J$4</f>
        <v>0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14.370000000000001</v>
      </c>
      <c r="R14" s="31">
        <f>L14-AVERAGE(AN$5:AN13,AN15:AN$30)</f>
        <v>15.785476190476192</v>
      </c>
      <c r="S14" s="31">
        <f>M14-AVERAGE(AO$5:AO13,AO15:AO$30)</f>
        <v>15.28851851851852</v>
      </c>
      <c r="T14" s="31">
        <f>N14-AVERAGE(AP$5:AP13,AP15:AP$30)</f>
        <v>19.754666666666665</v>
      </c>
      <c r="U14" s="31">
        <f>O14-AVERAGE(AQ$5:AQ13,AQ15:AQ$30)</f>
        <v>21.145833333333332</v>
      </c>
      <c r="V14" s="31">
        <f>P14-AVERAGE(AR$5:AR13,AR15:AR$30)</f>
        <v>18.153333333333332</v>
      </c>
      <c r="W14" s="13">
        <f t="shared" ca="1" si="6"/>
        <v>13.445506459723376</v>
      </c>
      <c r="X14" s="6">
        <f t="shared" ca="1" si="2"/>
        <v>12.867724083980223</v>
      </c>
      <c r="Y14" s="6">
        <f t="shared" ca="1" si="2"/>
        <v>11.511949253471569</v>
      </c>
      <c r="Z14" s="6">
        <f t="shared" ca="1" si="2"/>
        <v>14.475676578777486</v>
      </c>
      <c r="AA14" s="6">
        <f t="shared" ca="1" si="2"/>
        <v>15.492045177480376</v>
      </c>
      <c r="AB14" s="2">
        <f t="shared" ca="1" si="2"/>
        <v>15.167749828208098</v>
      </c>
      <c r="AC14" s="2">
        <f>'Historical Trends'!K100</f>
        <v>14.2</v>
      </c>
      <c r="AE14" s="13">
        <f t="shared" si="7"/>
        <v>-14.2</v>
      </c>
      <c r="AF14">
        <f t="shared" ca="1" si="8"/>
        <v>-14.2</v>
      </c>
      <c r="AG14">
        <f t="shared" ca="1" si="9"/>
        <v>-14.2</v>
      </c>
      <c r="AH14">
        <f t="shared" ca="1" si="10"/>
        <v>-14.2</v>
      </c>
      <c r="AI14">
        <f t="shared" ca="1" si="11"/>
        <v>-14.2</v>
      </c>
      <c r="AJ14">
        <f t="shared" ca="1" si="12"/>
        <v>-14.2</v>
      </c>
      <c r="AK14">
        <f t="shared" ca="1" si="13"/>
        <v>-14.2</v>
      </c>
      <c r="AL14">
        <f t="shared" ca="1" si="14"/>
        <v>-14.2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 t="shared" si="19"/>
        <v>7.9199999999999982</v>
      </c>
      <c r="AR14">
        <f t="shared" si="15"/>
        <v>4.5199999999999996</v>
      </c>
      <c r="AS14" s="30">
        <f>Q14-$AC14</f>
        <v>0.17000000000000171</v>
      </c>
      <c r="AT14">
        <f t="shared" si="4"/>
        <v>1.5854761904761929</v>
      </c>
      <c r="AU14">
        <f t="shared" si="4"/>
        <v>1.0885185185185211</v>
      </c>
      <c r="AV14">
        <f t="shared" si="4"/>
        <v>5.554666666666666</v>
      </c>
      <c r="AW14">
        <f t="shared" si="4"/>
        <v>6.9458333333333329</v>
      </c>
      <c r="AX14">
        <f t="shared" si="4"/>
        <v>3.9533333333333331</v>
      </c>
      <c r="AY14" s="13">
        <f ca="1">W14-$AC14</f>
        <v>-0.75449354027662352</v>
      </c>
      <c r="AZ14" s="6">
        <f ca="1">X14-$AC14</f>
        <v>-1.3322759160197766</v>
      </c>
      <c r="BA14" s="6">
        <f ca="1">Y14-$AC14</f>
        <v>-2.6880507465284307</v>
      </c>
      <c r="BB14" s="6">
        <f ca="1">Z14-$AC14</f>
        <v>0.27567657877748708</v>
      </c>
      <c r="BC14" s="6">
        <f t="shared" ca="1" si="20"/>
        <v>1.2920451774803769</v>
      </c>
      <c r="BD14" s="2">
        <f t="shared" ca="1" si="16"/>
        <v>0.96774982820809896</v>
      </c>
    </row>
    <row r="15" spans="1:87" x14ac:dyDescent="0.25">
      <c r="A15" t="s">
        <v>204</v>
      </c>
      <c r="B15">
        <v>0</v>
      </c>
      <c r="C15" s="13">
        <f ca="1">'Historical Trends'!T104</f>
        <v>15.594096472282217</v>
      </c>
      <c r="D15">
        <f ca="1">SUM(OFFSET('Historical Trends'!$J$104,0,0,'Polling Correlations - Misc'!D$4,1))/D$4</f>
        <v>7.49</v>
      </c>
      <c r="E15">
        <f ca="1">SUM(OFFSET('Historical Trends'!$J$104,0,0,'Polling Correlations - Misc'!E$4,1))/E$4</f>
        <v>11.969999999999999</v>
      </c>
      <c r="F15">
        <f ca="1">SUM(OFFSET('Historical Trends'!$J$104,0,0,'Polling Correlations - Misc'!F$4,1))/F$4</f>
        <v>11.01</v>
      </c>
      <c r="G15">
        <f ca="1">SUM(OFFSET('Historical Trends'!$J$104,0,0,'Polling Correlations - Misc'!G$4,1))/G$4</f>
        <v>10.824999999999999</v>
      </c>
      <c r="H15">
        <f ca="1">SUM(OFFSET('Historical Trends'!$J$104,0,0,'Polling Correlations - Misc'!H$4,1))/H$4</f>
        <v>9.51</v>
      </c>
      <c r="I15">
        <f ca="1">SUM(OFFSET('Historical Trends'!$J$104,0,0,'Polling Correlations - Misc'!I$4,1))/I$4</f>
        <v>9.1116666666666664</v>
      </c>
      <c r="J15">
        <f ca="1">SUM(OFFSET('Historical Trends'!$J$104,0,0,'Polling Correlations - Misc'!J$4,1))/J$4</f>
        <v>8.9957142857142856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-0.43055555555555536</v>
      </c>
      <c r="V15" s="31">
        <f>P15-AVERAGE(AR$5:AR14,AR16:AR$30)</f>
        <v>0.4787179487179487</v>
      </c>
      <c r="W15" s="13">
        <f t="shared" ca="1" si="6"/>
        <v>0.481868936442027</v>
      </c>
      <c r="X15" s="6">
        <f t="shared" ca="1" si="2"/>
        <v>1.3844348446605557</v>
      </c>
      <c r="Y15" s="6">
        <f t="shared" ca="1" si="2"/>
        <v>1.8501795161473025</v>
      </c>
      <c r="Z15" s="6">
        <f t="shared" ca="1" si="2"/>
        <v>2.0015339375484249</v>
      </c>
      <c r="AA15" s="6">
        <f t="shared" ca="1" si="2"/>
        <v>1.6871733833737208</v>
      </c>
      <c r="AB15" s="2">
        <f t="shared" ca="1" si="2"/>
        <v>1.6318267281205361</v>
      </c>
      <c r="AC15" s="2">
        <f>'Historical Trends'!J103</f>
        <v>2.89</v>
      </c>
      <c r="AE15" s="13">
        <f t="shared" ca="1" si="7"/>
        <v>12.704096472282217</v>
      </c>
      <c r="AF15">
        <f t="shared" ca="1" si="8"/>
        <v>4.5999999999999996</v>
      </c>
      <c r="AG15">
        <f t="shared" ca="1" si="9"/>
        <v>9.0799999999999983</v>
      </c>
      <c r="AH15">
        <f t="shared" ca="1" si="10"/>
        <v>8.1199999999999992</v>
      </c>
      <c r="AI15">
        <f t="shared" ca="1" si="11"/>
        <v>7.9349999999999987</v>
      </c>
      <c r="AJ15">
        <f t="shared" ca="1" si="12"/>
        <v>6.6199999999999992</v>
      </c>
      <c r="AK15">
        <f t="shared" ca="1" si="13"/>
        <v>6.2216666666666658</v>
      </c>
      <c r="AL15">
        <f t="shared" ca="1" si="14"/>
        <v>6.105714285714285</v>
      </c>
      <c r="AQ15">
        <f t="shared" si="19"/>
        <v>-1.5566666666666669</v>
      </c>
      <c r="AR15">
        <f t="shared" si="15"/>
        <v>-1.3900000000000001</v>
      </c>
      <c r="AS15" s="30"/>
      <c r="AW15">
        <f>U15-$AC15</f>
        <v>-3.3205555555555555</v>
      </c>
      <c r="AX15">
        <f>V15-$AC15</f>
        <v>-2.4112820512820514</v>
      </c>
      <c r="BC15" s="6">
        <f t="shared" ca="1" si="20"/>
        <v>-1.2028266166262793</v>
      </c>
      <c r="BD15" s="2">
        <f t="shared" ca="1" si="16"/>
        <v>-1.258173271879464</v>
      </c>
      <c r="BE15" t="s">
        <v>187</v>
      </c>
    </row>
    <row r="16" spans="1:87" x14ac:dyDescent="0.25">
      <c r="A16" t="s">
        <v>205</v>
      </c>
      <c r="B16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1.57</v>
      </c>
      <c r="V16" s="31">
        <f>P16-AVERAGE(AR$5:AR15,AR17:AR$30)</f>
        <v>1.6571794871794874</v>
      </c>
      <c r="W16" s="13">
        <f t="shared" si="6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1.1502271178078043</v>
      </c>
      <c r="AB16" s="2">
        <f t="shared" si="2"/>
        <v>1.3846318701052143</v>
      </c>
      <c r="AC16" s="2">
        <v>1.85</v>
      </c>
      <c r="AE16" s="13">
        <f t="shared" si="7"/>
        <v>-1.85</v>
      </c>
      <c r="AF16">
        <f t="shared" si="8"/>
        <v>-1.85</v>
      </c>
      <c r="AG16">
        <f t="shared" si="9"/>
        <v>-1.85</v>
      </c>
      <c r="AH16">
        <f t="shared" si="10"/>
        <v>-1.85</v>
      </c>
      <c r="AI16">
        <f t="shared" si="11"/>
        <v>-1.85</v>
      </c>
      <c r="AJ16">
        <f t="shared" si="12"/>
        <v>-1.85</v>
      </c>
      <c r="AK16">
        <f t="shared" si="13"/>
        <v>-1.85</v>
      </c>
      <c r="AL16">
        <f t="shared" si="14"/>
        <v>-1.85</v>
      </c>
      <c r="AQ16">
        <f t="shared" ref="AQ16" si="28">O16-$AC16</f>
        <v>1.25</v>
      </c>
      <c r="AR16">
        <f t="shared" ref="AR16" si="29">P16-$AC16</f>
        <v>0.66999999999999993</v>
      </c>
      <c r="AS16" s="30"/>
      <c r="AW16">
        <f>U16-$AC16</f>
        <v>-0.28000000000000003</v>
      </c>
      <c r="AX16">
        <f>V16-$AC16</f>
        <v>-0.19282051282051271</v>
      </c>
      <c r="BC16" s="6">
        <f t="shared" ref="BC16" si="30">AA16-$AC16</f>
        <v>-0.6997728821921958</v>
      </c>
      <c r="BD16" s="2">
        <f t="shared" ref="BD16" si="31">AB16-$AC16</f>
        <v>-0.46536812989478582</v>
      </c>
      <c r="BE16" t="s">
        <v>188</v>
      </c>
      <c r="BG16">
        <v>0.79840368296540665</v>
      </c>
    </row>
    <row r="17" spans="1:74" x14ac:dyDescent="0.25">
      <c r="A17" t="s">
        <v>206</v>
      </c>
      <c r="B17">
        <v>0</v>
      </c>
      <c r="C17" s="13">
        <v>0</v>
      </c>
      <c r="D17">
        <f ca="1">SUM(OFFSET('Historical Trends'!$I$7,0,0,'Polling Correlations - Misc'!D$4,1))/D$4</f>
        <v>5.49</v>
      </c>
      <c r="E17">
        <f ca="1">SUM(OFFSET('Historical Trends'!$I$7,0,0,'Polling Correlations - Misc'!E$4,1))/E$4</f>
        <v>2.7450000000000001</v>
      </c>
      <c r="F17">
        <f ca="1">SUM(OFFSET('Historical Trends'!$I$7,0,0,'Polling Correlations - Misc'!F$4,1))/F$4</f>
        <v>1.83</v>
      </c>
      <c r="G17">
        <f ca="1">SUM(OFFSET('Historical Trends'!$I$7,0,0,'Polling Correlations - Misc'!G$4,1))/G$4</f>
        <v>1.3725000000000001</v>
      </c>
      <c r="H17">
        <f ca="1">SUM(OFFSET('Historical Trends'!$I$7,0,0,'Polling Correlations - Misc'!H$4,1))/H$4</f>
        <v>1.0980000000000001</v>
      </c>
      <c r="I17">
        <f ca="1">SUM(OFFSET('Historical Trends'!$I$7,0,0,'Polling Correlations - Misc'!I$4,1))/I$4</f>
        <v>0.91500000000000004</v>
      </c>
      <c r="J17">
        <f ca="1">SUM(OFFSET('Historical Trends'!$I$7,0,0,'Polling Correlations - Misc'!J$4,1))/J$4</f>
        <v>0.78428571428571436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1.495000000000001</v>
      </c>
      <c r="R17" s="31">
        <f>L17-AVERAGE(AN$5:AN16,AN18:AN$30)</f>
        <v>-1.4545238095238107</v>
      </c>
      <c r="S17" s="31">
        <f>M17-AVERAGE(AO$5:AO16,AO18:AO$30)</f>
        <v>-2.3559259259259262</v>
      </c>
      <c r="T17" s="31">
        <f>N17-AVERAGE(AP$5:AP16,AP18:AP$30)</f>
        <v>-2.5486666666666666</v>
      </c>
      <c r="U17" s="31"/>
      <c r="V17" s="31"/>
      <c r="W17" s="13">
        <f t="shared" ca="1" si="6"/>
        <v>1.7520182110929112</v>
      </c>
      <c r="X17" s="6">
        <f t="shared" ca="1" si="2"/>
        <v>-0.17091356366538246</v>
      </c>
      <c r="Y17" s="6">
        <f t="shared" ca="1" si="2"/>
        <v>-0.41782560104512423</v>
      </c>
      <c r="Z17" s="6">
        <f t="shared" ca="1" si="2"/>
        <v>-0.40051391019502369</v>
      </c>
      <c r="AA17" s="6">
        <f t="shared" ca="1" si="2"/>
        <v>1.4678682313599714</v>
      </c>
      <c r="AB17" s="2">
        <f t="shared" ca="1" si="2"/>
        <v>0.90291150072369819</v>
      </c>
      <c r="AC17" s="2">
        <v>0</v>
      </c>
      <c r="AE17" s="13">
        <f t="shared" si="7"/>
        <v>0</v>
      </c>
      <c r="AF17">
        <f t="shared" ca="1" si="8"/>
        <v>5.49</v>
      </c>
      <c r="AG17">
        <f t="shared" ca="1" si="9"/>
        <v>2.7450000000000001</v>
      </c>
      <c r="AH17">
        <f t="shared" ca="1" si="10"/>
        <v>1.83</v>
      </c>
      <c r="AI17">
        <f t="shared" ca="1" si="11"/>
        <v>1.3725000000000001</v>
      </c>
      <c r="AJ17">
        <f t="shared" ca="1" si="12"/>
        <v>1.0980000000000001</v>
      </c>
      <c r="AK17">
        <f t="shared" ca="1" si="13"/>
        <v>0.91500000000000004</v>
      </c>
      <c r="AL17">
        <f t="shared" ca="1" si="14"/>
        <v>0.78428571428571436</v>
      </c>
      <c r="AM17" s="13">
        <f>K17-$AC17</f>
        <v>6.36</v>
      </c>
      <c r="AN17">
        <f>L17-$AC17</f>
        <v>1.7399999999999998</v>
      </c>
      <c r="AO17">
        <f>M17-$AC17</f>
        <v>1.3</v>
      </c>
      <c r="AP17">
        <f>N17-$AC17</f>
        <v>0.83333333333333337</v>
      </c>
      <c r="AS17" s="30">
        <f>Q17-$AC17</f>
        <v>1.495000000000001</v>
      </c>
      <c r="AT17">
        <f t="shared" ref="AT17:AT18" si="32">R17-$AC17</f>
        <v>-1.4545238095238107</v>
      </c>
      <c r="AU17">
        <f t="shared" ref="AU17:AU19" si="33">S17-$AC17</f>
        <v>-2.3559259259259262</v>
      </c>
      <c r="AV17">
        <f t="shared" ref="AV17:AV19" si="34">T17-$AC17</f>
        <v>-2.5486666666666666</v>
      </c>
      <c r="AY17" s="13">
        <f t="shared" ref="AY17:BB18" ca="1" si="35">W17-$AC17</f>
        <v>1.7520182110929112</v>
      </c>
      <c r="AZ17" s="6">
        <f t="shared" ca="1" si="35"/>
        <v>-0.17091356366538246</v>
      </c>
      <c r="BA17" s="6">
        <f t="shared" ca="1" si="35"/>
        <v>-0.41782560104512423</v>
      </c>
      <c r="BB17" s="6">
        <f t="shared" ca="1" si="35"/>
        <v>-0.40051391019502369</v>
      </c>
      <c r="BE17" t="s">
        <v>189</v>
      </c>
      <c r="BG17">
        <v>2918.8300170643083</v>
      </c>
    </row>
    <row r="18" spans="1:74" x14ac:dyDescent="0.25">
      <c r="A18" t="s">
        <v>208</v>
      </c>
      <c r="B18">
        <v>0</v>
      </c>
      <c r="C18" s="13">
        <v>0</v>
      </c>
      <c r="D18">
        <f ca="1">SUM(OFFSET('Historical Trends'!$K$29,0,0,'Polling Correlations - Misc'!D$4,1))/D$4</f>
        <v>11.53</v>
      </c>
      <c r="E18">
        <f ca="1">SUM(OFFSET('Historical Trends'!$K$29,0,0,'Polling Correlations - Misc'!E$4,1))/E$4</f>
        <v>5.7649999999999997</v>
      </c>
      <c r="F18">
        <f ca="1">SUM(OFFSET('Historical Trends'!$K$29,0,0,'Polling Correlations - Misc'!F$4,1))/F$4</f>
        <v>3.8433333333333333</v>
      </c>
      <c r="G18">
        <f ca="1">SUM(OFFSET('Historical Trends'!$K$29,0,0,'Polling Correlations - Misc'!G$4,1))/G$4</f>
        <v>2.8824999999999998</v>
      </c>
      <c r="H18">
        <f ca="1">SUM(OFFSET('Historical Trends'!$K$29,0,0,'Polling Correlations - Misc'!H$4,1))/H$4</f>
        <v>2.306</v>
      </c>
      <c r="I18">
        <f ca="1">SUM(OFFSET('Historical Trends'!$K$29,0,0,'Polling Correlations - Misc'!I$4,1))/I$4</f>
        <v>1.9216666666666666</v>
      </c>
      <c r="J18">
        <f ca="1">SUM(OFFSET('Historical Trends'!$K$29,0,0,'Polling Correlations - Misc'!J$4,1))/J$4</f>
        <v>1.647142857142857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>
        <f>K18-AVERAGE(AM$5:AM17,AM19:AM$30)</f>
        <v>3.2250000000000005</v>
      </c>
      <c r="R18" s="31">
        <f>L18-AVERAGE(AN$5:AN17,AN19:AN$30)</f>
        <v>0.9740476190476195</v>
      </c>
      <c r="S18" s="31">
        <f>M18-AVERAGE(AO$5:AO17,AO19:AO$30)</f>
        <v>-0.67592592592592604</v>
      </c>
      <c r="T18" s="31">
        <f>N18-AVERAGE(AP$5:AP17,AP19:AP$30)</f>
        <v>-0.37333333333333307</v>
      </c>
      <c r="U18" s="31">
        <f>O18-AVERAGE(AQ$5:AQ17,AQ19:AQ$30)</f>
        <v>1.7091666666666669</v>
      </c>
      <c r="V18" s="31">
        <f>P18-AVERAGE(AR$5:AR17,AR19:AR$30)</f>
        <v>1.4989743589743592</v>
      </c>
      <c r="W18" s="13">
        <f t="shared" ca="1" si="6"/>
        <v>3.7593019382044108</v>
      </c>
      <c r="X18" s="6">
        <f t="shared" ca="1" si="2"/>
        <v>2.9251862431822029</v>
      </c>
      <c r="Y18" s="6">
        <f t="shared" ca="1" si="2"/>
        <v>2.3391814337215298</v>
      </c>
      <c r="Z18" s="6">
        <f t="shared" ca="1" si="2"/>
        <v>2.8075646154808305</v>
      </c>
      <c r="AA18" s="6">
        <f t="shared" ca="1" si="2"/>
        <v>4.3349752742224137</v>
      </c>
      <c r="AB18" s="2">
        <f t="shared" ca="1" si="2"/>
        <v>3.1487245257022929</v>
      </c>
      <c r="AC18" s="2">
        <v>1.93</v>
      </c>
      <c r="AE18" s="13">
        <f t="shared" si="7"/>
        <v>-1.93</v>
      </c>
      <c r="AF18">
        <f t="shared" ca="1" si="8"/>
        <v>9.6</v>
      </c>
      <c r="AG18">
        <f t="shared" ca="1" si="9"/>
        <v>3.835</v>
      </c>
      <c r="AH18">
        <f t="shared" ca="1" si="10"/>
        <v>1.9133333333333333</v>
      </c>
      <c r="AI18">
        <f t="shared" ca="1" si="11"/>
        <v>0.9524999999999999</v>
      </c>
      <c r="AJ18">
        <f t="shared" ca="1" si="12"/>
        <v>0.37600000000000011</v>
      </c>
      <c r="AK18">
        <f t="shared" ca="1" si="13"/>
        <v>-8.3333333333333037E-3</v>
      </c>
      <c r="AL18">
        <f t="shared" ca="1" si="14"/>
        <v>-0.28285714285714292</v>
      </c>
      <c r="AM18" s="13">
        <v>4.72</v>
      </c>
      <c r="AN18">
        <v>2.92</v>
      </c>
      <c r="AO18">
        <v>2.92</v>
      </c>
      <c r="AP18">
        <v>2.92</v>
      </c>
      <c r="AQ18">
        <v>2.5199999999999996</v>
      </c>
      <c r="AR18">
        <v>1.04</v>
      </c>
      <c r="AS18" s="30">
        <f>Q18-$AC18</f>
        <v>1.2950000000000006</v>
      </c>
      <c r="AT18">
        <f t="shared" si="32"/>
        <v>-0.95595238095238044</v>
      </c>
      <c r="AU18">
        <f t="shared" si="33"/>
        <v>-2.6059259259259262</v>
      </c>
      <c r="AV18">
        <f t="shared" si="34"/>
        <v>-2.3033333333333328</v>
      </c>
      <c r="AW18">
        <f t="shared" ref="AW18" si="36">U18-$AC18</f>
        <v>-0.22083333333333299</v>
      </c>
      <c r="AX18">
        <f t="shared" ref="AX18" si="37">V18-$AC18</f>
        <v>-0.43102564102564078</v>
      </c>
      <c r="AY18" s="13">
        <f t="shared" ca="1" si="35"/>
        <v>1.8293019382044109</v>
      </c>
      <c r="AZ18" s="6">
        <f t="shared" ca="1" si="35"/>
        <v>0.99518624318220295</v>
      </c>
      <c r="BA18" s="6">
        <f t="shared" ca="1" si="35"/>
        <v>0.40918143372152982</v>
      </c>
      <c r="BB18" s="6">
        <f t="shared" ca="1" si="35"/>
        <v>0.87756461548083053</v>
      </c>
      <c r="BC18" s="6">
        <f t="shared" ref="BC18" ca="1" si="38">AA18-$AC18</f>
        <v>2.404975274222414</v>
      </c>
      <c r="BD18" s="2">
        <f t="shared" ref="BD18" ca="1" si="39">AB18-$AC18</f>
        <v>1.2187245257022929</v>
      </c>
      <c r="BE18" t="s">
        <v>190</v>
      </c>
      <c r="BG18">
        <v>290379.07196370664</v>
      </c>
    </row>
    <row r="19" spans="1:74" x14ac:dyDescent="0.25">
      <c r="A19" t="s">
        <v>209</v>
      </c>
      <c r="B19">
        <v>0</v>
      </c>
      <c r="C19" s="13">
        <v>0</v>
      </c>
      <c r="D19">
        <f ca="1">SUM(OFFSET('Historical Trends'!$H$66,0,0,'Polling Correlations - Misc'!D$4,1))/D$4</f>
        <v>0</v>
      </c>
      <c r="E19">
        <f ca="1">SUM(OFFSET('Historical Trends'!$H$66,0,0,'Polling Correlations - Misc'!E$4,1))/E$4</f>
        <v>0</v>
      </c>
      <c r="F19">
        <f ca="1">SUM(OFFSET('Historical Trends'!$H$66,0,0,'Polling Correlations - Misc'!F$4,1))/F$4</f>
        <v>0</v>
      </c>
      <c r="G19">
        <f ca="1">SUM(OFFSET('Historical Trends'!$H$66,0,0,'Polling Correlations - Misc'!G$4,1))/G$4</f>
        <v>0</v>
      </c>
      <c r="H19">
        <f ca="1">SUM(OFFSET('Historical Trends'!$H$66,0,0,'Polling Correlations - Misc'!H$4,1))/H$4</f>
        <v>5.7999999999999996E-2</v>
      </c>
      <c r="I19">
        <f ca="1">SUM(OFFSET('Historical Trends'!$H$66,0,0,'Polling Correlations - Misc'!I$4,1))/I$4</f>
        <v>4.8333333333333332E-2</v>
      </c>
      <c r="J19">
        <f ca="1">SUM(OFFSET('Historical Trends'!$H$66,0,0,'Polling Correlations - Misc'!J$4,1))/J$4</f>
        <v>4.1428571428571426E-2</v>
      </c>
      <c r="M19">
        <f>(5+6+6)/3</f>
        <v>5.666666666666667</v>
      </c>
      <c r="N19">
        <f>(5+3.5+5)/3</f>
        <v>4.5</v>
      </c>
      <c r="Q19" s="30"/>
      <c r="R19" s="31"/>
      <c r="S19" s="31">
        <f>M19-AVERAGE(AO$5:AO18,AO20:AO$30)</f>
        <v>2.1907407407407407</v>
      </c>
      <c r="T19" s="31">
        <f>N19-AVERAGE(AP$5:AP18,AP20:AP$30)</f>
        <v>1.3266666666666667</v>
      </c>
      <c r="U19" s="31"/>
      <c r="V19" s="31"/>
      <c r="W19" s="13">
        <f t="shared" ca="1" si="6"/>
        <v>0</v>
      </c>
      <c r="X19" s="6">
        <f t="shared" ca="1" si="2"/>
        <v>0</v>
      </c>
      <c r="Y19" s="6">
        <f t="shared" ca="1" si="2"/>
        <v>1.6495840459866837</v>
      </c>
      <c r="Z19" s="6">
        <f t="shared" ca="1" si="2"/>
        <v>0.97214485663361228</v>
      </c>
      <c r="AA19" s="6">
        <f t="shared" ca="1" si="2"/>
        <v>0</v>
      </c>
      <c r="AB19" s="2">
        <f t="shared" ca="1" si="2"/>
        <v>0</v>
      </c>
      <c r="AC19" s="2">
        <v>0</v>
      </c>
      <c r="AE19" s="13">
        <f t="shared" si="7"/>
        <v>0</v>
      </c>
      <c r="AF19">
        <f t="shared" ca="1" si="8"/>
        <v>0</v>
      </c>
      <c r="AG19">
        <f t="shared" ca="1" si="9"/>
        <v>0</v>
      </c>
      <c r="AH19">
        <f t="shared" ca="1" si="10"/>
        <v>0</v>
      </c>
      <c r="AI19">
        <f t="shared" ca="1" si="11"/>
        <v>0</v>
      </c>
      <c r="AJ19">
        <f t="shared" ca="1" si="12"/>
        <v>5.7999999999999996E-2</v>
      </c>
      <c r="AK19">
        <f t="shared" ca="1" si="13"/>
        <v>4.8333333333333332E-2</v>
      </c>
      <c r="AL19">
        <f t="shared" ca="1" si="14"/>
        <v>4.1428571428571426E-2</v>
      </c>
      <c r="AO19">
        <v>2.92</v>
      </c>
      <c r="AP19">
        <v>2.92</v>
      </c>
      <c r="AS19" s="30"/>
      <c r="AU19">
        <f t="shared" si="33"/>
        <v>2.1907407407407407</v>
      </c>
      <c r="AV19">
        <f t="shared" si="34"/>
        <v>1.3266666666666667</v>
      </c>
      <c r="BA19" s="6">
        <f ca="1">Y19-$AC19</f>
        <v>1.6495840459866837</v>
      </c>
      <c r="BB19" s="6">
        <f ca="1">Z19-$AC19</f>
        <v>0.97214485663361228</v>
      </c>
    </row>
    <row r="20" spans="1:74" x14ac:dyDescent="0.25">
      <c r="A20" t="s">
        <v>217</v>
      </c>
      <c r="B20">
        <v>0</v>
      </c>
      <c r="C20" s="13">
        <f ca="1">'Historical Trends'!R26</f>
        <v>7.7298069498068571</v>
      </c>
      <c r="D20">
        <f ca="1">SUM(OFFSET('Historical Trends'!$H$27,0,0,'Polling Correlations - Misc'!D$4,1))/D$4</f>
        <v>13.73</v>
      </c>
      <c r="E20">
        <f ca="1">SUM(OFFSET('Historical Trends'!$H$27,0,0,'Polling Correlations - Misc'!E$4,1))/E$4</f>
        <v>7.3250000000000002</v>
      </c>
      <c r="F20">
        <f ca="1">SUM(OFFSET('Historical Trends'!$H$27,0,0,'Polling Correlations - Misc'!F$4,1))/F$4</f>
        <v>4.916666666666667</v>
      </c>
      <c r="G20">
        <f ca="1">SUM(OFFSET('Historical Trends'!$H$27,0,0,'Polling Correlations - Misc'!G$4,1))/G$4</f>
        <v>3.7825000000000002</v>
      </c>
      <c r="H20">
        <f ca="1">SUM(OFFSET('Historical Trends'!$H$27,0,0,'Polling Correlations - Misc'!H$4,1))/H$4</f>
        <v>3.1459999999999999</v>
      </c>
      <c r="I20">
        <f ca="1">SUM(OFFSET('Historical Trends'!$H$27,0,0,'Polling Correlations - Misc'!I$4,1))/I$4</f>
        <v>3.4350000000000001</v>
      </c>
      <c r="J20">
        <f ca="1">SUM(OFFSET('Historical Trends'!$H$27,0,0,'Polling Correlations - Misc'!J$4,1))/J$4</f>
        <v>4.1857142857142851</v>
      </c>
      <c r="K20" s="13">
        <f>(10.5+12.1+7+8.9+4)/5</f>
        <v>8.5</v>
      </c>
      <c r="L20">
        <f>(3+3+3+5+6)/5</f>
        <v>4</v>
      </c>
      <c r="M20">
        <f>(3.4+2+3)/3</f>
        <v>2.8000000000000003</v>
      </c>
      <c r="N20">
        <f>(3+3.4+2)/3</f>
        <v>2.8000000000000003</v>
      </c>
      <c r="O20">
        <f>(3+3+3.4)/3</f>
        <v>3.1333333333333333</v>
      </c>
      <c r="P20">
        <f>(2+2+3)/3</f>
        <v>2.3333333333333335</v>
      </c>
      <c r="Q20" s="30">
        <f>K20-AVERAGE(AM$5:AM19,AM21:AM$30)</f>
        <v>3.2250000000000005</v>
      </c>
      <c r="R20" s="31">
        <f>L20-AVERAGE(AN$5:AN19,AN21:AN$30)</f>
        <v>0.9740476190476195</v>
      </c>
      <c r="S20" s="31">
        <f>M20-AVERAGE(AO$5:AO19,AO21:AO$30)</f>
        <v>-0.67592592592592604</v>
      </c>
      <c r="T20" s="31">
        <f>N20-AVERAGE(AP$5:AP19,AP21:AP$30)</f>
        <v>-0.37333333333333307</v>
      </c>
      <c r="U20" s="31">
        <f>O20-AVERAGE(AQ$5:AQ19,AQ21:AQ$30)</f>
        <v>1.7091666666666669</v>
      </c>
      <c r="V20" s="31">
        <f>P20-AVERAGE(AR$5:AR19,AR21:AR$30)</f>
        <v>1.4989743589743592</v>
      </c>
      <c r="W20" s="13">
        <f t="shared" ref="W20" ca="1" si="40">Q20*W$4+$D20*(1-W$4)</f>
        <v>3.9008388754771022</v>
      </c>
      <c r="X20" s="6">
        <f t="shared" ref="X20" ca="1" si="41">R20*X$4+$D20*(1-X$4)</f>
        <v>3.3318293217206842</v>
      </c>
      <c r="Y20" s="6">
        <f t="shared" ref="Y20" ca="1" si="42">S20*Y$4+$D20*(1-Y$4)</f>
        <v>2.8826253503469061</v>
      </c>
      <c r="Z20" s="6">
        <f t="shared" ref="Z20" ca="1" si="43">T20*Z$4+$D20*(1-Z$4)</f>
        <v>3.3954651044803681</v>
      </c>
      <c r="AA20" s="6">
        <f t="shared" ref="AA20" ca="1" si="44">U20*AA$4+$D20*(1-AA$4)</f>
        <v>4.9231920518165735</v>
      </c>
      <c r="AB20" s="2">
        <f t="shared" ref="AB20" ca="1" si="45">V20*AB$4+$D20*(1-AB$4)</f>
        <v>3.5105469850086934</v>
      </c>
      <c r="AC20" s="2">
        <f>'Historical Trends'!H26</f>
        <v>7.12</v>
      </c>
      <c r="AE20" s="13">
        <f t="shared" ref="AE20" ca="1" si="46">C20-$AC20</f>
        <v>0.60980694980685701</v>
      </c>
      <c r="AF20">
        <f t="shared" ref="AF20" ca="1" si="47">D20-$AC20</f>
        <v>6.61</v>
      </c>
      <c r="AG20">
        <f t="shared" ref="AG20" ca="1" si="48">E20-$AC20</f>
        <v>0.20500000000000007</v>
      </c>
      <c r="AH20">
        <f t="shared" ref="AH20" ca="1" si="49">F20-$AC20</f>
        <v>-2.2033333333333331</v>
      </c>
      <c r="AI20">
        <f t="shared" ref="AI20" ca="1" si="50">G20-$AC20</f>
        <v>-3.3374999999999999</v>
      </c>
      <c r="AJ20">
        <f t="shared" ref="AJ20" ca="1" si="51">H20-$AC20</f>
        <v>-3.9740000000000002</v>
      </c>
      <c r="AK20">
        <f t="shared" ref="AK20" ca="1" si="52">I20-$AC20</f>
        <v>-3.6850000000000001</v>
      </c>
      <c r="AL20">
        <f t="shared" ref="AL20" ca="1" si="53">J20-$AC20</f>
        <v>-2.9342857142857151</v>
      </c>
      <c r="AM20" s="13">
        <v>4.72</v>
      </c>
      <c r="AN20">
        <v>2.92</v>
      </c>
      <c r="AO20">
        <v>2.92</v>
      </c>
      <c r="AP20">
        <v>2.92</v>
      </c>
      <c r="AQ20">
        <v>2.5199999999999996</v>
      </c>
      <c r="AR20">
        <v>1.04</v>
      </c>
      <c r="AS20" s="30">
        <f>Q20-$AC20</f>
        <v>-3.8949999999999996</v>
      </c>
      <c r="AT20">
        <f t="shared" ref="AT20" si="54">R20-$AC20</f>
        <v>-6.1459523809523802</v>
      </c>
      <c r="AU20">
        <f t="shared" ref="AU20" si="55">S20-$AC20</f>
        <v>-7.7959259259259266</v>
      </c>
      <c r="AV20">
        <f t="shared" ref="AV20" si="56">T20-$AC20</f>
        <v>-7.4933333333333332</v>
      </c>
      <c r="AW20">
        <f t="shared" ref="AW20" si="57">U20-$AC20</f>
        <v>-5.4108333333333327</v>
      </c>
      <c r="AX20">
        <f t="shared" ref="AX20" si="58">V20-$AC20</f>
        <v>-5.621025641025641</v>
      </c>
      <c r="AY20" s="13">
        <f ca="1">W20-$AC20</f>
        <v>-3.2191611245228979</v>
      </c>
      <c r="AZ20" s="6">
        <f ca="1">X20-$AC20</f>
        <v>-3.7881706782793159</v>
      </c>
      <c r="BA20" s="6">
        <f ca="1">Y20-$AC20</f>
        <v>-4.237374649653094</v>
      </c>
      <c r="BB20" s="6">
        <f ca="1">Z20-$AC20</f>
        <v>-3.724534895519632</v>
      </c>
      <c r="BC20" s="6">
        <f t="shared" ref="BC20" ca="1" si="59">AA20-$AC20</f>
        <v>-2.1968079481834266</v>
      </c>
      <c r="BD20" s="2">
        <f t="shared" ref="BD20" ca="1" si="60">AB20-$AC20</f>
        <v>-3.6094530149913067</v>
      </c>
      <c r="BE20" t="s">
        <v>193</v>
      </c>
      <c r="BG20">
        <f ca="1">SLOPE(BH8:BM8,BH6:BM6)</f>
        <v>1.9983338934328979E-2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194</v>
      </c>
      <c r="BG21">
        <f ca="1">INTERCEPT(BH8:BM8,BH6:BM6)</f>
        <v>2.7747491654542076</v>
      </c>
      <c r="BP21" t="s">
        <v>151</v>
      </c>
      <c r="BQ21" t="s">
        <v>153</v>
      </c>
      <c r="BR21" t="s">
        <v>152</v>
      </c>
      <c r="BS21" t="s">
        <v>155</v>
      </c>
      <c r="BU21" t="s">
        <v>153</v>
      </c>
      <c r="BV21" t="s">
        <v>154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61">MAX(0,($BG$16+1/($BG$17*$BG$18))-1/((10-BU22) * $BG$18))</f>
        <v>0.79840333976781919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62">LN(BP23)</f>
        <v>0.69314718055994529</v>
      </c>
      <c r="BR23">
        <f t="shared" ref="BR23:BR86" si="63">MAX(0,(0.94+1/(8.3*0.97))-1/((8.3-MIN(8.2,BQ23)) * 0.97))</f>
        <v>0.92868197572765254</v>
      </c>
      <c r="BS23">
        <f t="shared" ref="BS23:BS86" si="64">1-(BR23/0.94)^10</f>
        <v>0.1140858660754307</v>
      </c>
      <c r="BU23">
        <f>BU22+0.1</f>
        <v>0.1</v>
      </c>
      <c r="BV23">
        <f t="shared" si="61"/>
        <v>0.79840333628925919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65">BP23+1</f>
        <v>3</v>
      </c>
      <c r="BQ24">
        <f t="shared" si="62"/>
        <v>1.0986122886681098</v>
      </c>
      <c r="BR24">
        <f t="shared" si="63"/>
        <v>0.92105134307880865</v>
      </c>
      <c r="BS24">
        <f t="shared" si="64"/>
        <v>0.18424477193938826</v>
      </c>
      <c r="BU24">
        <f t="shared" ref="BU24:BU87" si="66">BU23+0.1</f>
        <v>0.2</v>
      </c>
      <c r="BV24">
        <f t="shared" si="61"/>
        <v>0.7984033327397082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65"/>
        <v>4</v>
      </c>
      <c r="BQ25">
        <f t="shared" si="62"/>
        <v>1.3862943611198906</v>
      </c>
      <c r="BR25">
        <f t="shared" si="63"/>
        <v>0.91509452980976436</v>
      </c>
      <c r="BS25">
        <f t="shared" si="64"/>
        <v>0.23549372110487321</v>
      </c>
      <c r="BU25">
        <f t="shared" si="66"/>
        <v>0.30000000000000004</v>
      </c>
      <c r="BV25">
        <f t="shared" si="61"/>
        <v>0.79840332911697065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65"/>
        <v>5</v>
      </c>
      <c r="BQ26">
        <f t="shared" si="62"/>
        <v>1.6094379124341003</v>
      </c>
      <c r="BR26">
        <f t="shared" si="63"/>
        <v>0.91012129326662006</v>
      </c>
      <c r="BS26">
        <f t="shared" si="64"/>
        <v>0.27604059116565138</v>
      </c>
      <c r="BU26">
        <f t="shared" si="66"/>
        <v>0.4</v>
      </c>
      <c r="BV26">
        <f t="shared" si="61"/>
        <v>0.79840332541875936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65"/>
        <v>6</v>
      </c>
      <c r="BQ27">
        <f t="shared" si="62"/>
        <v>1.791759469228055</v>
      </c>
      <c r="BR27">
        <f t="shared" si="63"/>
        <v>0.90580471036790178</v>
      </c>
      <c r="BS27">
        <f t="shared" si="64"/>
        <v>0.30965336588943237</v>
      </c>
      <c r="BU27">
        <f t="shared" si="66"/>
        <v>0.5</v>
      </c>
      <c r="BV27">
        <f t="shared" si="61"/>
        <v>0.79840332164269101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65"/>
        <v>7</v>
      </c>
      <c r="BQ28">
        <f t="shared" si="62"/>
        <v>1.9459101490553132</v>
      </c>
      <c r="BR28">
        <f t="shared" si="63"/>
        <v>0.90196183089833593</v>
      </c>
      <c r="BS28">
        <f t="shared" si="64"/>
        <v>0.33838847910654657</v>
      </c>
      <c r="BU28">
        <f t="shared" si="66"/>
        <v>0.6</v>
      </c>
      <c r="BV28">
        <f t="shared" si="61"/>
        <v>0.79840331778628071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65"/>
        <v>8</v>
      </c>
      <c r="BQ29">
        <f t="shared" si="62"/>
        <v>2.0794415416798357</v>
      </c>
      <c r="BR29">
        <f t="shared" si="63"/>
        <v>0.89847902784446509</v>
      </c>
      <c r="BS29">
        <f t="shared" si="64"/>
        <v>0.36349633700567485</v>
      </c>
      <c r="BU29">
        <f t="shared" si="66"/>
        <v>0.7</v>
      </c>
      <c r="BV29">
        <f t="shared" si="61"/>
        <v>0.79840331384693697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65"/>
        <v>9</v>
      </c>
      <c r="BQ30">
        <f t="shared" si="62"/>
        <v>2.1972245773362196</v>
      </c>
      <c r="BR30">
        <f t="shared" si="63"/>
        <v>0.89528046973783304</v>
      </c>
      <c r="BS30">
        <f t="shared" si="64"/>
        <v>0.38579609965964168</v>
      </c>
      <c r="BU30">
        <f t="shared" si="66"/>
        <v>0.79999999999999993</v>
      </c>
      <c r="BV30">
        <f t="shared" si="61"/>
        <v>0.79840330982195518</v>
      </c>
    </row>
    <row r="31" spans="1:74" x14ac:dyDescent="0.25">
      <c r="BP31">
        <f t="shared" si="65"/>
        <v>10</v>
      </c>
      <c r="BQ31">
        <f t="shared" si="62"/>
        <v>2.3025850929940459</v>
      </c>
      <c r="BR31">
        <f t="shared" si="63"/>
        <v>0.89231280613779884</v>
      </c>
      <c r="BS31">
        <f t="shared" si="64"/>
        <v>0.4058546225073032</v>
      </c>
      <c r="BU31">
        <f t="shared" si="66"/>
        <v>0.89999999999999991</v>
      </c>
      <c r="BV31">
        <f t="shared" si="61"/>
        <v>0.79840330570851237</v>
      </c>
    </row>
    <row r="32" spans="1:74" x14ac:dyDescent="0.25">
      <c r="Q32" s="32"/>
      <c r="BP32">
        <f>BP31+5</f>
        <v>15</v>
      </c>
      <c r="BQ32">
        <f t="shared" si="62"/>
        <v>2.7080502011022101</v>
      </c>
      <c r="BR32">
        <f t="shared" si="63"/>
        <v>0.879848893553969</v>
      </c>
      <c r="BS32">
        <f t="shared" si="64"/>
        <v>0.4838185582782154</v>
      </c>
      <c r="BU32">
        <f t="shared" si="66"/>
        <v>0.99999999999999989</v>
      </c>
      <c r="BV32">
        <f t="shared" si="61"/>
        <v>0.79840330150365968</v>
      </c>
    </row>
    <row r="33" spans="57:74" x14ac:dyDescent="0.25">
      <c r="BP33">
        <f t="shared" ref="BP33:BP39" si="67">BP32+5</f>
        <v>20</v>
      </c>
      <c r="BQ33">
        <f t="shared" si="62"/>
        <v>2.9957322735539909</v>
      </c>
      <c r="BR33">
        <f t="shared" si="63"/>
        <v>0.86984999035138133</v>
      </c>
      <c r="BS33">
        <f t="shared" si="64"/>
        <v>0.53956842999097721</v>
      </c>
      <c r="BU33">
        <f t="shared" si="66"/>
        <v>1.0999999999999999</v>
      </c>
      <c r="BV33">
        <f t="shared" si="61"/>
        <v>0.79840329720431591</v>
      </c>
    </row>
    <row r="34" spans="57:74" x14ac:dyDescent="0.25">
      <c r="BP34">
        <f t="shared" si="67"/>
        <v>25</v>
      </c>
      <c r="BQ34">
        <f t="shared" si="62"/>
        <v>3.2188758248682006</v>
      </c>
      <c r="BR34">
        <f t="shared" si="63"/>
        <v>0.86131452190275737</v>
      </c>
      <c r="BS34">
        <f t="shared" si="64"/>
        <v>0.5828049378614828</v>
      </c>
      <c r="BU34">
        <f t="shared" si="66"/>
        <v>1.2</v>
      </c>
      <c r="BV34">
        <f t="shared" si="61"/>
        <v>0.79840329280725986</v>
      </c>
    </row>
    <row r="35" spans="57:74" x14ac:dyDescent="0.25">
      <c r="BP35">
        <f t="shared" si="67"/>
        <v>30</v>
      </c>
      <c r="BQ35">
        <f t="shared" si="62"/>
        <v>3.4011973816621555</v>
      </c>
      <c r="BR35">
        <f t="shared" si="63"/>
        <v>0.85376331210823564</v>
      </c>
      <c r="BS35">
        <f t="shared" si="64"/>
        <v>0.61797098580623311</v>
      </c>
      <c r="BU35">
        <f t="shared" si="66"/>
        <v>1.3</v>
      </c>
      <c r="BV35">
        <f t="shared" si="61"/>
        <v>0.79840328830912188</v>
      </c>
    </row>
    <row r="36" spans="57:74" x14ac:dyDescent="0.25">
      <c r="BP36">
        <f t="shared" si="67"/>
        <v>35</v>
      </c>
      <c r="BQ36">
        <f t="shared" si="62"/>
        <v>3.5553480614894135</v>
      </c>
      <c r="BR36">
        <f t="shared" si="63"/>
        <v>0.84692609437819422</v>
      </c>
      <c r="BS36">
        <f t="shared" si="64"/>
        <v>0.64748580981932835</v>
      </c>
      <c r="BU36">
        <f t="shared" si="66"/>
        <v>1.4000000000000001</v>
      </c>
      <c r="BV36">
        <f t="shared" si="61"/>
        <v>0.79840328370637625</v>
      </c>
    </row>
    <row r="37" spans="57:74" x14ac:dyDescent="0.25">
      <c r="BP37">
        <f t="shared" si="67"/>
        <v>40</v>
      </c>
      <c r="BQ37">
        <f t="shared" si="62"/>
        <v>3.6888794541139363</v>
      </c>
      <c r="BR37">
        <f t="shared" si="63"/>
        <v>0.84063391913611418</v>
      </c>
      <c r="BS37">
        <f t="shared" si="64"/>
        <v>0.67281712840632812</v>
      </c>
      <c r="BU37">
        <f t="shared" si="66"/>
        <v>1.5000000000000002</v>
      </c>
      <c r="BV37">
        <f t="shared" si="61"/>
        <v>0.79840327899533059</v>
      </c>
    </row>
    <row r="38" spans="57:74" x14ac:dyDescent="0.25">
      <c r="BE38" t="s">
        <v>216</v>
      </c>
      <c r="BG38">
        <f>Q4</f>
        <v>5.1639999999999997</v>
      </c>
      <c r="BH38">
        <f>R4</f>
        <v>3.0127083333333333</v>
      </c>
      <c r="BI38">
        <f>S4</f>
        <v>3.4203333333333341</v>
      </c>
      <c r="BJ38">
        <f>T4</f>
        <v>3.1503030303030304</v>
      </c>
      <c r="BK38">
        <f>U4</f>
        <v>1.5084615384615381</v>
      </c>
      <c r="BL38">
        <f>AVERAGE(BK38,BM38)</f>
        <v>1.1787545787545786</v>
      </c>
      <c r="BM38">
        <f>V4</f>
        <v>0.84904761904761905</v>
      </c>
      <c r="BP38">
        <f t="shared" si="67"/>
        <v>45</v>
      </c>
      <c r="BQ38">
        <f t="shared" si="62"/>
        <v>3.8066624897703196</v>
      </c>
      <c r="BR38">
        <f t="shared" si="63"/>
        <v>0.8347734080477065</v>
      </c>
      <c r="BS38">
        <f t="shared" si="64"/>
        <v>0.6949243646841885</v>
      </c>
      <c r="BU38">
        <f t="shared" si="66"/>
        <v>1.6000000000000003</v>
      </c>
      <c r="BV38">
        <f t="shared" si="61"/>
        <v>0.79840327417211721</v>
      </c>
    </row>
    <row r="39" spans="57:74" x14ac:dyDescent="0.25">
      <c r="BP39">
        <f t="shared" si="67"/>
        <v>50</v>
      </c>
      <c r="BQ39">
        <f t="shared" si="62"/>
        <v>3.912023005428146</v>
      </c>
      <c r="BR39">
        <f t="shared" si="63"/>
        <v>0.82926440807702773</v>
      </c>
      <c r="BS39">
        <f t="shared" si="64"/>
        <v>0.71447001455916515</v>
      </c>
      <c r="BU39">
        <f t="shared" si="66"/>
        <v>1.7000000000000004</v>
      </c>
      <c r="BV39">
        <f t="shared" si="61"/>
        <v>0.79840326923268179</v>
      </c>
    </row>
    <row r="40" spans="57:74" x14ac:dyDescent="0.25">
      <c r="BP40">
        <f>BP39+10</f>
        <v>60</v>
      </c>
      <c r="BQ40">
        <f t="shared" si="62"/>
        <v>4.0943445622221004</v>
      </c>
      <c r="BR40">
        <f t="shared" si="63"/>
        <v>0.81907923870333688</v>
      </c>
      <c r="BS40">
        <f t="shared" si="64"/>
        <v>0.74766316959566648</v>
      </c>
      <c r="BU40">
        <f t="shared" si="66"/>
        <v>1.8000000000000005</v>
      </c>
      <c r="BV40">
        <f t="shared" si="61"/>
        <v>0.79840326417277241</v>
      </c>
    </row>
    <row r="41" spans="57:74" x14ac:dyDescent="0.25">
      <c r="BP41">
        <f t="shared" ref="BP41:BP54" si="68">BP40+10</f>
        <v>70</v>
      </c>
      <c r="BQ41">
        <f t="shared" si="62"/>
        <v>4.2484952420493594</v>
      </c>
      <c r="BR41">
        <f t="shared" si="63"/>
        <v>0.80975263189700109</v>
      </c>
      <c r="BS41">
        <f t="shared" si="64"/>
        <v>0.77496755104351545</v>
      </c>
      <c r="BU41">
        <f t="shared" si="66"/>
        <v>1.9000000000000006</v>
      </c>
      <c r="BV41">
        <f t="shared" si="61"/>
        <v>0.79840325898792697</v>
      </c>
    </row>
    <row r="42" spans="57:74" x14ac:dyDescent="0.25">
      <c r="BP42">
        <f t="shared" si="68"/>
        <v>80</v>
      </c>
      <c r="BQ42">
        <f t="shared" si="62"/>
        <v>4.3820266346738812</v>
      </c>
      <c r="BR42">
        <f t="shared" si="63"/>
        <v>0.80108034151045548</v>
      </c>
      <c r="BS42">
        <f t="shared" si="64"/>
        <v>0.79793913541597239</v>
      </c>
      <c r="BU42">
        <f t="shared" si="66"/>
        <v>2.0000000000000004</v>
      </c>
      <c r="BV42">
        <f t="shared" si="61"/>
        <v>0.79840325367346032</v>
      </c>
    </row>
    <row r="43" spans="57:74" x14ac:dyDescent="0.25">
      <c r="BP43">
        <f t="shared" si="68"/>
        <v>90</v>
      </c>
      <c r="BQ43">
        <f t="shared" si="62"/>
        <v>4.499809670330265</v>
      </c>
      <c r="BR43">
        <f t="shared" si="63"/>
        <v>0.79292496189577877</v>
      </c>
      <c r="BS43">
        <f t="shared" si="64"/>
        <v>0.81759263741514543</v>
      </c>
      <c r="BU43">
        <f t="shared" si="66"/>
        <v>2.1000000000000005</v>
      </c>
      <c r="BV43">
        <f t="shared" si="61"/>
        <v>0.7984032482244503</v>
      </c>
    </row>
    <row r="44" spans="57:74" x14ac:dyDescent="0.25">
      <c r="BP44">
        <f t="shared" si="68"/>
        <v>100</v>
      </c>
      <c r="BQ44">
        <f t="shared" si="62"/>
        <v>4.6051701859880918</v>
      </c>
      <c r="BR44">
        <f t="shared" si="63"/>
        <v>0.78518914172563514</v>
      </c>
      <c r="BS44">
        <f t="shared" si="64"/>
        <v>0.83462711013196844</v>
      </c>
      <c r="BU44">
        <f t="shared" si="66"/>
        <v>2.2000000000000006</v>
      </c>
      <c r="BV44">
        <f t="shared" si="61"/>
        <v>0.79840324263572204</v>
      </c>
    </row>
    <row r="45" spans="57:74" x14ac:dyDescent="0.25">
      <c r="BP45">
        <f t="shared" si="68"/>
        <v>110</v>
      </c>
      <c r="BQ45">
        <f t="shared" si="62"/>
        <v>4.7004803657924166</v>
      </c>
      <c r="BR45">
        <f t="shared" si="63"/>
        <v>0.77780111311839573</v>
      </c>
      <c r="BS45">
        <f t="shared" si="64"/>
        <v>0.84954484676076014</v>
      </c>
      <c r="BU45">
        <f t="shared" si="66"/>
        <v>2.3000000000000007</v>
      </c>
      <c r="BV45">
        <f t="shared" si="61"/>
        <v>0.79840323690183201</v>
      </c>
    </row>
    <row r="46" spans="57:74" x14ac:dyDescent="0.25">
      <c r="BP46">
        <f t="shared" si="68"/>
        <v>120</v>
      </c>
      <c r="BQ46">
        <f t="shared" si="62"/>
        <v>4.7874917427820458</v>
      </c>
      <c r="BR46">
        <f t="shared" si="63"/>
        <v>0.77070627637324507</v>
      </c>
      <c r="BS46">
        <f t="shared" si="64"/>
        <v>0.86271900397276902</v>
      </c>
      <c r="BU46">
        <f t="shared" si="66"/>
        <v>2.4000000000000008</v>
      </c>
      <c r="BV46">
        <f t="shared" si="61"/>
        <v>0.79840323101705013</v>
      </c>
    </row>
    <row r="47" spans="57:74" x14ac:dyDescent="0.25">
      <c r="BP47">
        <f t="shared" si="68"/>
        <v>130</v>
      </c>
      <c r="BQ47">
        <f t="shared" si="62"/>
        <v>4.8675344504555822</v>
      </c>
      <c r="BR47">
        <f t="shared" si="63"/>
        <v>0.76386201641897999</v>
      </c>
      <c r="BS47">
        <f t="shared" si="64"/>
        <v>0.87443441809294398</v>
      </c>
      <c r="BU47">
        <f t="shared" si="66"/>
        <v>2.5000000000000009</v>
      </c>
      <c r="BV47">
        <f t="shared" si="61"/>
        <v>0.79840322497534078</v>
      </c>
    </row>
    <row r="48" spans="57:74" x14ac:dyDescent="0.25">
      <c r="BP48">
        <f t="shared" si="68"/>
        <v>140</v>
      </c>
      <c r="BQ48">
        <f t="shared" si="62"/>
        <v>4.9416424226093039</v>
      </c>
      <c r="BR48">
        <f t="shared" si="63"/>
        <v>0.7572343586762027</v>
      </c>
      <c r="BS48">
        <f t="shared" si="64"/>
        <v>0.88491344827388807</v>
      </c>
      <c r="BU48">
        <f t="shared" si="66"/>
        <v>2.600000000000001</v>
      </c>
      <c r="BV48">
        <f t="shared" si="61"/>
        <v>0.79840321877034193</v>
      </c>
    </row>
    <row r="49" spans="68:74" x14ac:dyDescent="0.25">
      <c r="BP49">
        <f t="shared" si="68"/>
        <v>150</v>
      </c>
      <c r="BQ49">
        <f t="shared" si="62"/>
        <v>5.0106352940962555</v>
      </c>
      <c r="BR49">
        <f t="shared" si="63"/>
        <v>0.75079572787420124</v>
      </c>
      <c r="BS49">
        <f t="shared" si="64"/>
        <v>0.89433299656138121</v>
      </c>
      <c r="BU49">
        <f t="shared" si="66"/>
        <v>2.7000000000000011</v>
      </c>
      <c r="BV49">
        <f t="shared" si="61"/>
        <v>0.79840321239534318</v>
      </c>
    </row>
    <row r="50" spans="68:74" x14ac:dyDescent="0.25">
      <c r="BP50">
        <f t="shared" si="68"/>
        <v>160</v>
      </c>
      <c r="BQ50">
        <f t="shared" si="62"/>
        <v>5.0751738152338266</v>
      </c>
      <c r="BR50">
        <f t="shared" si="63"/>
        <v>0.74452339735186701</v>
      </c>
      <c r="BS50">
        <f t="shared" si="64"/>
        <v>0.90283609332738779</v>
      </c>
      <c r="BU50">
        <f t="shared" si="66"/>
        <v>2.8000000000000012</v>
      </c>
      <c r="BV50">
        <f t="shared" si="61"/>
        <v>0.79840320584326108</v>
      </c>
    </row>
    <row r="51" spans="68:74" x14ac:dyDescent="0.25">
      <c r="BP51">
        <f t="shared" si="68"/>
        <v>170</v>
      </c>
      <c r="BQ51">
        <f t="shared" si="62"/>
        <v>5.1357984370502621</v>
      </c>
      <c r="BR51">
        <f t="shared" si="63"/>
        <v>0.73839838659247792</v>
      </c>
      <c r="BS51">
        <f t="shared" si="64"/>
        <v>0.91054000803782009</v>
      </c>
      <c r="BU51">
        <f t="shared" si="66"/>
        <v>2.9000000000000012</v>
      </c>
      <c r="BV51">
        <f t="shared" si="61"/>
        <v>0.79840319910661328</v>
      </c>
    </row>
    <row r="52" spans="68:74" x14ac:dyDescent="0.25">
      <c r="BP52">
        <f t="shared" si="68"/>
        <v>180</v>
      </c>
      <c r="BQ52">
        <f t="shared" si="62"/>
        <v>5.1929568508902104</v>
      </c>
      <c r="BR52">
        <f t="shared" si="63"/>
        <v>0.73240465888899264</v>
      </c>
      <c r="BS52">
        <f t="shared" si="64"/>
        <v>0.91754206657603909</v>
      </c>
      <c r="BU52">
        <f t="shared" si="66"/>
        <v>3.0000000000000013</v>
      </c>
      <c r="BV52">
        <f t="shared" si="61"/>
        <v>0.79840319217748978</v>
      </c>
    </row>
    <row r="53" spans="68:74" x14ac:dyDescent="0.25">
      <c r="BP53">
        <f t="shared" si="68"/>
        <v>190</v>
      </c>
      <c r="BQ53">
        <f t="shared" si="62"/>
        <v>5.2470240721604862</v>
      </c>
      <c r="BR53">
        <f t="shared" si="63"/>
        <v>0.72652852542636714</v>
      </c>
      <c r="BS53">
        <f t="shared" si="64"/>
        <v>0.92392391251925343</v>
      </c>
      <c r="BU53">
        <f t="shared" si="66"/>
        <v>3.1000000000000014</v>
      </c>
      <c r="BV53">
        <f t="shared" si="61"/>
        <v>0.79840318504752217</v>
      </c>
    </row>
    <row r="54" spans="68:74" x14ac:dyDescent="0.25">
      <c r="BP54">
        <f t="shared" si="68"/>
        <v>200</v>
      </c>
      <c r="BQ54">
        <f t="shared" si="62"/>
        <v>5.2983173665480363</v>
      </c>
      <c r="BR54">
        <f t="shared" si="63"/>
        <v>0.72075819468806512</v>
      </c>
      <c r="BS54">
        <f t="shared" si="64"/>
        <v>0.92975468696968566</v>
      </c>
      <c r="BU54">
        <f t="shared" si="66"/>
        <v>3.2000000000000015</v>
      </c>
      <c r="BV54">
        <f t="shared" ref="BV54:BV85" si="69">MAX(0,($BG$16+1/($BG$17*$BG$18))-1/((10-BU54) * $BG$18))</f>
        <v>0.79840317770784974</v>
      </c>
    </row>
    <row r="55" spans="68:74" x14ac:dyDescent="0.25">
      <c r="BP55">
        <f>BP54+50</f>
        <v>250</v>
      </c>
      <c r="BQ55">
        <f t="shared" si="62"/>
        <v>5.521460917862246</v>
      </c>
      <c r="BR55">
        <f t="shared" si="63"/>
        <v>0.69317584095074125</v>
      </c>
      <c r="BS55">
        <f t="shared" si="64"/>
        <v>0.95244943915188174</v>
      </c>
      <c r="BU55">
        <f t="shared" si="66"/>
        <v>3.3000000000000016</v>
      </c>
      <c r="BV55">
        <f t="shared" si="69"/>
        <v>0.79840317014908246</v>
      </c>
    </row>
    <row r="56" spans="68:74" x14ac:dyDescent="0.25">
      <c r="BP56">
        <f t="shared" ref="BP56:BP70" si="70">BP55+50</f>
        <v>300</v>
      </c>
      <c r="BQ56">
        <f t="shared" si="62"/>
        <v>5.7037824746562009</v>
      </c>
      <c r="BR56">
        <f t="shared" si="63"/>
        <v>0.66711978373630698</v>
      </c>
      <c r="BS56">
        <f t="shared" si="64"/>
        <v>0.96758398203144513</v>
      </c>
      <c r="BU56">
        <f t="shared" si="66"/>
        <v>3.4000000000000017</v>
      </c>
      <c r="BV56">
        <f t="shared" si="69"/>
        <v>0.79840316236126163</v>
      </c>
    </row>
    <row r="57" spans="68:74" x14ac:dyDescent="0.25">
      <c r="BP57">
        <f t="shared" si="70"/>
        <v>350</v>
      </c>
      <c r="BQ57">
        <f t="shared" si="62"/>
        <v>5.857933154483459</v>
      </c>
      <c r="BR57">
        <f t="shared" si="63"/>
        <v>0.64205435800763322</v>
      </c>
      <c r="BS57">
        <f t="shared" si="64"/>
        <v>0.97789759943806631</v>
      </c>
      <c r="BU57">
        <f t="shared" si="66"/>
        <v>3.5000000000000018</v>
      </c>
      <c r="BV57">
        <f t="shared" si="69"/>
        <v>0.79840315433381559</v>
      </c>
    </row>
    <row r="58" spans="68:74" x14ac:dyDescent="0.25">
      <c r="BP58">
        <f t="shared" si="70"/>
        <v>400</v>
      </c>
      <c r="BQ58">
        <f t="shared" si="62"/>
        <v>5.9914645471079817</v>
      </c>
      <c r="BR58">
        <f t="shared" si="63"/>
        <v>0.61763593864421518</v>
      </c>
      <c r="BS58">
        <f t="shared" si="64"/>
        <v>0.9850015268695701</v>
      </c>
      <c r="BU58">
        <f t="shared" si="66"/>
        <v>3.6000000000000019</v>
      </c>
      <c r="BV58">
        <f t="shared" si="69"/>
        <v>0.79840314605551188</v>
      </c>
    </row>
    <row r="59" spans="68:74" x14ac:dyDescent="0.25">
      <c r="BP59">
        <f t="shared" si="70"/>
        <v>450</v>
      </c>
      <c r="BQ59">
        <f t="shared" si="62"/>
        <v>6.1092475827643655</v>
      </c>
      <c r="BR59">
        <f t="shared" si="63"/>
        <v>0.59362654672186865</v>
      </c>
      <c r="BS59">
        <f t="shared" si="64"/>
        <v>0.9899108493790626</v>
      </c>
      <c r="BU59">
        <f t="shared" si="66"/>
        <v>3.700000000000002</v>
      </c>
      <c r="BV59">
        <f t="shared" si="69"/>
        <v>0.79840313751440484</v>
      </c>
    </row>
    <row r="60" spans="68:74" x14ac:dyDescent="0.25">
      <c r="BP60">
        <f t="shared" si="70"/>
        <v>500</v>
      </c>
      <c r="BQ60">
        <f t="shared" si="62"/>
        <v>6.2146080984221914</v>
      </c>
      <c r="BR60">
        <f t="shared" si="63"/>
        <v>0.569851292413324</v>
      </c>
      <c r="BS60">
        <f t="shared" si="64"/>
        <v>0.99329595624928546</v>
      </c>
      <c r="BU60">
        <f t="shared" si="66"/>
        <v>3.800000000000002</v>
      </c>
      <c r="BV60">
        <f t="shared" si="69"/>
        <v>0.7984031286977783</v>
      </c>
    </row>
    <row r="61" spans="68:74" x14ac:dyDescent="0.25">
      <c r="BP61">
        <f t="shared" si="70"/>
        <v>550</v>
      </c>
      <c r="BQ61">
        <f t="shared" si="62"/>
        <v>6.3099182782265162</v>
      </c>
      <c r="BR61">
        <f t="shared" si="63"/>
        <v>0.54617525808218648</v>
      </c>
      <c r="BS61">
        <f t="shared" si="64"/>
        <v>0.99561427203877517</v>
      </c>
      <c r="BU61">
        <f t="shared" si="66"/>
        <v>3.9000000000000021</v>
      </c>
      <c r="BV61">
        <f t="shared" si="69"/>
        <v>0.79840311959208199</v>
      </c>
    </row>
    <row r="62" spans="68:74" x14ac:dyDescent="0.25">
      <c r="BP62">
        <f t="shared" si="70"/>
        <v>600</v>
      </c>
      <c r="BQ62">
        <f t="shared" si="62"/>
        <v>6.3969296552161463</v>
      </c>
      <c r="BR62">
        <f t="shared" si="63"/>
        <v>0.52248997636488048</v>
      </c>
      <c r="BS62">
        <f t="shared" si="64"/>
        <v>0.99718485288033465</v>
      </c>
      <c r="BU62">
        <f t="shared" si="66"/>
        <v>4.0000000000000018</v>
      </c>
      <c r="BV62">
        <f t="shared" si="69"/>
        <v>0.79840311018286247</v>
      </c>
    </row>
    <row r="63" spans="68:74" x14ac:dyDescent="0.25">
      <c r="BP63">
        <f t="shared" si="70"/>
        <v>650</v>
      </c>
      <c r="BQ63">
        <f t="shared" si="62"/>
        <v>6.4769723628896827</v>
      </c>
      <c r="BR63">
        <f t="shared" si="63"/>
        <v>0.49870504279401651</v>
      </c>
      <c r="BS63">
        <f t="shared" si="64"/>
        <v>0.99823331524566505</v>
      </c>
      <c r="BU63">
        <f t="shared" si="66"/>
        <v>4.1000000000000014</v>
      </c>
      <c r="BV63">
        <f t="shared" si="69"/>
        <v>0.79840310045468632</v>
      </c>
    </row>
    <row r="64" spans="68:74" x14ac:dyDescent="0.25">
      <c r="BP64">
        <f t="shared" si="70"/>
        <v>700</v>
      </c>
      <c r="BQ64">
        <f t="shared" si="62"/>
        <v>6.5510803350434044</v>
      </c>
      <c r="BR64">
        <f t="shared" si="63"/>
        <v>0.4747426555796147</v>
      </c>
      <c r="BS64">
        <f t="shared" si="64"/>
        <v>0.99892029773640656</v>
      </c>
      <c r="BU64">
        <f t="shared" si="66"/>
        <v>4.2000000000000011</v>
      </c>
      <c r="BV64">
        <f t="shared" si="69"/>
        <v>0.79840309039105584</v>
      </c>
    </row>
    <row r="65" spans="68:74" x14ac:dyDescent="0.25">
      <c r="BP65">
        <f t="shared" si="70"/>
        <v>750</v>
      </c>
      <c r="BQ65">
        <f t="shared" si="62"/>
        <v>6.620073206530356</v>
      </c>
      <c r="BR65">
        <f t="shared" si="63"/>
        <v>0.45053391098406859</v>
      </c>
      <c r="BS65">
        <f t="shared" si="64"/>
        <v>0.99936027059099286</v>
      </c>
      <c r="BU65">
        <f t="shared" si="66"/>
        <v>4.3000000000000007</v>
      </c>
      <c r="BV65">
        <f t="shared" si="69"/>
        <v>0.79840307997431548</v>
      </c>
    </row>
    <row r="66" spans="68:74" x14ac:dyDescent="0.25">
      <c r="BP66">
        <f t="shared" si="70"/>
        <v>800</v>
      </c>
      <c r="BQ66">
        <f t="shared" si="62"/>
        <v>6.6846117276679271</v>
      </c>
      <c r="BR66">
        <f t="shared" si="63"/>
        <v>0.42601619595390805</v>
      </c>
      <c r="BS66">
        <f t="shared" si="64"/>
        <v>0.99963441988520285</v>
      </c>
      <c r="BU66">
        <f t="shared" si="66"/>
        <v>4.4000000000000004</v>
      </c>
      <c r="BV66">
        <f t="shared" si="69"/>
        <v>0.79840306918554871</v>
      </c>
    </row>
    <row r="67" spans="68:74" x14ac:dyDescent="0.25">
      <c r="BP67">
        <f t="shared" si="70"/>
        <v>850</v>
      </c>
      <c r="BQ67">
        <f t="shared" si="62"/>
        <v>6.7452363494843626</v>
      </c>
      <c r="BR67">
        <f t="shared" si="63"/>
        <v>0.4011312899840046</v>
      </c>
      <c r="BS67">
        <f t="shared" si="64"/>
        <v>0.99979974338743116</v>
      </c>
      <c r="BU67">
        <f t="shared" si="66"/>
        <v>4.5</v>
      </c>
      <c r="BV67">
        <f t="shared" si="69"/>
        <v>0.79840305800446321</v>
      </c>
    </row>
    <row r="68" spans="68:74" x14ac:dyDescent="0.25">
      <c r="BP68">
        <f t="shared" si="70"/>
        <v>900</v>
      </c>
      <c r="BQ68">
        <f t="shared" si="62"/>
        <v>6.8023947633243109</v>
      </c>
      <c r="BR68">
        <f t="shared" si="63"/>
        <v>0.37582393798420943</v>
      </c>
      <c r="BS68">
        <f t="shared" si="64"/>
        <v>0.99989563236245727</v>
      </c>
      <c r="BU68">
        <f t="shared" si="66"/>
        <v>4.5999999999999996</v>
      </c>
      <c r="BV68">
        <f t="shared" si="69"/>
        <v>0.7984030464092633</v>
      </c>
    </row>
    <row r="69" spans="68:74" x14ac:dyDescent="0.25">
      <c r="BP69">
        <f t="shared" si="70"/>
        <v>950</v>
      </c>
      <c r="BQ69">
        <f t="shared" si="62"/>
        <v>6.8564619845945867</v>
      </c>
      <c r="BR69">
        <f t="shared" si="63"/>
        <v>0.35004074256376294</v>
      </c>
      <c r="BS69">
        <f t="shared" si="64"/>
        <v>0.9999487247922485</v>
      </c>
      <c r="BU69">
        <f t="shared" si="66"/>
        <v>4.6999999999999993</v>
      </c>
      <c r="BV69">
        <f t="shared" si="69"/>
        <v>0.79840303437650884</v>
      </c>
    </row>
    <row r="70" spans="68:74" x14ac:dyDescent="0.25">
      <c r="BP70">
        <f t="shared" si="70"/>
        <v>1000</v>
      </c>
      <c r="BQ70">
        <f t="shared" si="62"/>
        <v>6.9077552789821368</v>
      </c>
      <c r="BR70">
        <f t="shared" si="63"/>
        <v>0.32372927612893865</v>
      </c>
      <c r="BS70">
        <f t="shared" si="64"/>
        <v>0.99997652847943408</v>
      </c>
      <c r="BU70">
        <f t="shared" si="66"/>
        <v>4.7999999999999989</v>
      </c>
      <c r="BV70">
        <f t="shared" si="69"/>
        <v>0.79840302188095602</v>
      </c>
    </row>
    <row r="71" spans="68:74" x14ac:dyDescent="0.25">
      <c r="BP71">
        <f>BP70+100</f>
        <v>1100</v>
      </c>
      <c r="BQ71">
        <f t="shared" si="62"/>
        <v>7.0030654587864616</v>
      </c>
      <c r="BR71">
        <f t="shared" si="63"/>
        <v>0.26931236104985612</v>
      </c>
      <c r="BS71">
        <f t="shared" si="64"/>
        <v>0.99999627364404764</v>
      </c>
      <c r="BU71">
        <f t="shared" si="66"/>
        <v>4.8999999999999986</v>
      </c>
      <c r="BV71">
        <f t="shared" si="69"/>
        <v>0.79840300889538152</v>
      </c>
    </row>
    <row r="72" spans="68:74" x14ac:dyDescent="0.25">
      <c r="BP72">
        <f t="shared" ref="BP72:BP121" si="71">BP71+100</f>
        <v>1200</v>
      </c>
      <c r="BQ72">
        <f t="shared" si="62"/>
        <v>7.0900768357760917</v>
      </c>
      <c r="BR72">
        <f t="shared" si="63"/>
        <v>0.21214759125512084</v>
      </c>
      <c r="BS72">
        <f t="shared" si="64"/>
        <v>0.99999965715129369</v>
      </c>
      <c r="BU72">
        <f t="shared" si="66"/>
        <v>4.9999999999999982</v>
      </c>
      <c r="BV72">
        <f t="shared" si="69"/>
        <v>0.79840299539038406</v>
      </c>
    </row>
    <row r="73" spans="68:74" x14ac:dyDescent="0.25">
      <c r="BP73">
        <f t="shared" si="71"/>
        <v>1300</v>
      </c>
      <c r="BQ73">
        <f t="shared" si="62"/>
        <v>7.1701195434496281</v>
      </c>
      <c r="BR73">
        <f t="shared" si="63"/>
        <v>0.15178612941977676</v>
      </c>
      <c r="BS73">
        <f t="shared" si="64"/>
        <v>0.99999998794846601</v>
      </c>
      <c r="BU73">
        <f t="shared" si="66"/>
        <v>5.0999999999999979</v>
      </c>
      <c r="BV73">
        <f t="shared" si="69"/>
        <v>0.79840298133416221</v>
      </c>
    </row>
    <row r="74" spans="68:74" x14ac:dyDescent="0.25">
      <c r="BP74">
        <f t="shared" si="71"/>
        <v>1400</v>
      </c>
      <c r="BQ74">
        <f t="shared" si="62"/>
        <v>7.2442275156033498</v>
      </c>
      <c r="BR74">
        <f t="shared" si="63"/>
        <v>8.7740372980924741E-2</v>
      </c>
      <c r="BS74">
        <f t="shared" si="64"/>
        <v>0.9999999999497986</v>
      </c>
      <c r="BU74">
        <f t="shared" si="66"/>
        <v>5.1999999999999975</v>
      </c>
      <c r="BV74">
        <f t="shared" si="69"/>
        <v>0.79840296669226452</v>
      </c>
    </row>
    <row r="75" spans="68:74" x14ac:dyDescent="0.25">
      <c r="BP75">
        <f t="shared" si="71"/>
        <v>1500</v>
      </c>
      <c r="BQ75">
        <f t="shared" si="62"/>
        <v>7.3132203870903014</v>
      </c>
      <c r="BR75">
        <f t="shared" si="63"/>
        <v>1.9468474626479715E-2</v>
      </c>
      <c r="BS75">
        <f t="shared" si="64"/>
        <v>1</v>
      </c>
      <c r="BU75">
        <f t="shared" si="66"/>
        <v>5.2999999999999972</v>
      </c>
      <c r="BV75">
        <f t="shared" si="69"/>
        <v>0.79840295142730722</v>
      </c>
    </row>
    <row r="76" spans="68:74" x14ac:dyDescent="0.25">
      <c r="BP76">
        <f t="shared" si="71"/>
        <v>1600</v>
      </c>
      <c r="BQ76">
        <f t="shared" si="62"/>
        <v>7.3777589082278725</v>
      </c>
      <c r="BR76">
        <f t="shared" si="63"/>
        <v>0</v>
      </c>
      <c r="BS76">
        <f t="shared" si="64"/>
        <v>1</v>
      </c>
      <c r="BU76">
        <f t="shared" si="66"/>
        <v>5.3999999999999968</v>
      </c>
      <c r="BV76">
        <f t="shared" si="69"/>
        <v>0.79840293549865626</v>
      </c>
    </row>
    <row r="77" spans="68:74" x14ac:dyDescent="0.25">
      <c r="BP77">
        <f t="shared" si="71"/>
        <v>1700</v>
      </c>
      <c r="BQ77">
        <f t="shared" si="62"/>
        <v>7.4383835300443071</v>
      </c>
      <c r="BR77">
        <f t="shared" si="63"/>
        <v>0</v>
      </c>
      <c r="BS77">
        <f t="shared" si="64"/>
        <v>1</v>
      </c>
      <c r="BU77">
        <f t="shared" si="66"/>
        <v>5.4999999999999964</v>
      </c>
      <c r="BV77">
        <f t="shared" si="69"/>
        <v>0.79840291886206516</v>
      </c>
    </row>
    <row r="78" spans="68:74" x14ac:dyDescent="0.25">
      <c r="BP78">
        <f t="shared" si="71"/>
        <v>1800</v>
      </c>
      <c r="BQ78">
        <f t="shared" si="62"/>
        <v>7.4955419438842563</v>
      </c>
      <c r="BR78">
        <f t="shared" si="63"/>
        <v>0</v>
      </c>
      <c r="BS78">
        <f t="shared" si="64"/>
        <v>1</v>
      </c>
      <c r="BU78">
        <f t="shared" si="66"/>
        <v>5.5999999999999961</v>
      </c>
      <c r="BV78">
        <f t="shared" si="69"/>
        <v>0.7984029014692654</v>
      </c>
    </row>
    <row r="79" spans="68:74" x14ac:dyDescent="0.25">
      <c r="BP79">
        <f t="shared" si="71"/>
        <v>1900</v>
      </c>
      <c r="BQ79">
        <f t="shared" si="62"/>
        <v>7.5496091651545321</v>
      </c>
      <c r="BR79">
        <f t="shared" si="63"/>
        <v>0</v>
      </c>
      <c r="BS79">
        <f t="shared" si="64"/>
        <v>1</v>
      </c>
      <c r="BU79">
        <f t="shared" si="66"/>
        <v>5.6999999999999957</v>
      </c>
      <c r="BV79">
        <f t="shared" si="69"/>
        <v>0.7984028832674982</v>
      </c>
    </row>
    <row r="80" spans="68:74" x14ac:dyDescent="0.25">
      <c r="BP80">
        <f t="shared" si="71"/>
        <v>2000</v>
      </c>
      <c r="BQ80">
        <f t="shared" si="62"/>
        <v>7.6009024595420822</v>
      </c>
      <c r="BR80">
        <f t="shared" si="63"/>
        <v>0</v>
      </c>
      <c r="BS80">
        <f t="shared" si="64"/>
        <v>1</v>
      </c>
      <c r="BU80">
        <f t="shared" si="66"/>
        <v>5.7999999999999954</v>
      </c>
      <c r="BV80">
        <f t="shared" si="69"/>
        <v>0.79840286419898021</v>
      </c>
    </row>
    <row r="81" spans="68:74" x14ac:dyDescent="0.25">
      <c r="BP81">
        <f t="shared" si="71"/>
        <v>2100</v>
      </c>
      <c r="BQ81">
        <f t="shared" si="62"/>
        <v>7.6496926237115144</v>
      </c>
      <c r="BR81">
        <f t="shared" si="63"/>
        <v>0</v>
      </c>
      <c r="BS81">
        <f t="shared" si="64"/>
        <v>1</v>
      </c>
      <c r="BU81">
        <f t="shared" si="66"/>
        <v>5.899999999999995</v>
      </c>
      <c r="BV81">
        <f t="shared" si="69"/>
        <v>0.79840284420029062</v>
      </c>
    </row>
    <row r="82" spans="68:74" x14ac:dyDescent="0.25">
      <c r="BP82">
        <f t="shared" si="71"/>
        <v>2200</v>
      </c>
      <c r="BQ82">
        <f t="shared" si="62"/>
        <v>7.696212639346407</v>
      </c>
      <c r="BR82">
        <f t="shared" si="63"/>
        <v>0</v>
      </c>
      <c r="BS82">
        <f t="shared" si="64"/>
        <v>1</v>
      </c>
      <c r="BU82">
        <f t="shared" si="66"/>
        <v>5.9999999999999947</v>
      </c>
      <c r="BV82">
        <f t="shared" si="69"/>
        <v>0.79840282320166656</v>
      </c>
    </row>
    <row r="83" spans="68:74" x14ac:dyDescent="0.25">
      <c r="BP83">
        <f t="shared" si="71"/>
        <v>2300</v>
      </c>
      <c r="BQ83">
        <f t="shared" si="62"/>
        <v>7.7406644019172415</v>
      </c>
      <c r="BR83">
        <f t="shared" si="63"/>
        <v>0</v>
      </c>
      <c r="BS83">
        <f t="shared" si="64"/>
        <v>1</v>
      </c>
      <c r="BU83">
        <f t="shared" si="66"/>
        <v>6.0999999999999943</v>
      </c>
      <c r="BV83">
        <f t="shared" si="69"/>
        <v>0.79840280112618989</v>
      </c>
    </row>
    <row r="84" spans="68:74" x14ac:dyDescent="0.25">
      <c r="BP84">
        <f t="shared" si="71"/>
        <v>2400</v>
      </c>
      <c r="BQ84">
        <f t="shared" si="62"/>
        <v>7.7832240163360371</v>
      </c>
      <c r="BR84">
        <f t="shared" si="63"/>
        <v>0</v>
      </c>
      <c r="BS84">
        <f t="shared" si="64"/>
        <v>1</v>
      </c>
      <c r="BU84">
        <f t="shared" si="66"/>
        <v>6.199999999999994</v>
      </c>
      <c r="BV84">
        <f t="shared" si="69"/>
        <v>0.79840277788884617</v>
      </c>
    </row>
    <row r="85" spans="68:74" x14ac:dyDescent="0.25">
      <c r="BP85">
        <f t="shared" si="71"/>
        <v>2500</v>
      </c>
      <c r="BQ85">
        <f t="shared" si="62"/>
        <v>7.8240460108562919</v>
      </c>
      <c r="BR85">
        <f t="shared" si="63"/>
        <v>0</v>
      </c>
      <c r="BS85">
        <f t="shared" si="64"/>
        <v>1</v>
      </c>
      <c r="BU85">
        <f t="shared" si="66"/>
        <v>6.2999999999999936</v>
      </c>
      <c r="BV85">
        <f t="shared" si="69"/>
        <v>0.79840275339542965</v>
      </c>
    </row>
    <row r="86" spans="68:74" x14ac:dyDescent="0.25">
      <c r="BP86">
        <f t="shared" si="71"/>
        <v>2600</v>
      </c>
      <c r="BQ86">
        <f t="shared" si="62"/>
        <v>7.8632667240095735</v>
      </c>
      <c r="BR86">
        <f t="shared" si="63"/>
        <v>0</v>
      </c>
      <c r="BS86">
        <f t="shared" si="64"/>
        <v>1</v>
      </c>
      <c r="BU86">
        <f t="shared" si="66"/>
        <v>6.3999999999999932</v>
      </c>
      <c r="BV86">
        <f t="shared" ref="BV86:BV97" si="72">MAX(0,($BG$16+1/($BG$17*$BG$18))-1/((10-BU86) * $BG$18))</f>
        <v>0.79840272754126795</v>
      </c>
    </row>
    <row r="87" spans="68:74" x14ac:dyDescent="0.25">
      <c r="BP87">
        <f t="shared" si="71"/>
        <v>2700</v>
      </c>
      <c r="BQ87">
        <f t="shared" ref="BQ87:BQ121" si="73">LN(BP87)</f>
        <v>7.90100705199242</v>
      </c>
      <c r="BR87">
        <f t="shared" ref="BR87:BR121" si="74">MAX(0,(0.94+1/(8.3*0.97))-1/((8.3-MIN(8.2,BQ87)) * 0.97))</f>
        <v>0</v>
      </c>
      <c r="BS87">
        <f t="shared" ref="BS87:BS121" si="75">1-(BR87/0.94)^10</f>
        <v>1</v>
      </c>
      <c r="BU87">
        <f t="shared" si="66"/>
        <v>6.4999999999999929</v>
      </c>
      <c r="BV87">
        <f t="shared" si="72"/>
        <v>0.79840270020972548</v>
      </c>
    </row>
    <row r="88" spans="68:74" x14ac:dyDescent="0.25">
      <c r="BP88">
        <f t="shared" si="71"/>
        <v>2800</v>
      </c>
      <c r="BQ88">
        <f t="shared" si="73"/>
        <v>7.9373746961632952</v>
      </c>
      <c r="BR88">
        <f t="shared" si="74"/>
        <v>0</v>
      </c>
      <c r="BS88">
        <f t="shared" si="75"/>
        <v>1</v>
      </c>
      <c r="BU88">
        <f t="shared" ref="BU88:BU96" si="76">BU87+0.1</f>
        <v>6.5999999999999925</v>
      </c>
      <c r="BV88">
        <f t="shared" si="72"/>
        <v>0.79840267127044517</v>
      </c>
    </row>
    <row r="89" spans="68:74" x14ac:dyDescent="0.25">
      <c r="BP89">
        <f t="shared" si="71"/>
        <v>2900</v>
      </c>
      <c r="BQ89">
        <f t="shared" si="73"/>
        <v>7.9724660159745655</v>
      </c>
      <c r="BR89">
        <f t="shared" si="74"/>
        <v>0</v>
      </c>
      <c r="BS89">
        <f t="shared" si="75"/>
        <v>1</v>
      </c>
      <c r="BU89">
        <f t="shared" si="76"/>
        <v>6.6999999999999922</v>
      </c>
      <c r="BV89">
        <f t="shared" si="72"/>
        <v>0.79840264057726917</v>
      </c>
    </row>
    <row r="90" spans="68:74" x14ac:dyDescent="0.25">
      <c r="BP90">
        <f t="shared" si="71"/>
        <v>3000</v>
      </c>
      <c r="BQ90">
        <f t="shared" si="73"/>
        <v>8.0063675676502459</v>
      </c>
      <c r="BR90">
        <f t="shared" si="74"/>
        <v>0</v>
      </c>
      <c r="BS90">
        <f t="shared" si="75"/>
        <v>1</v>
      </c>
      <c r="BU90">
        <f t="shared" si="76"/>
        <v>6.7999999999999918</v>
      </c>
      <c r="BV90">
        <f t="shared" si="72"/>
        <v>0.79840260796576956</v>
      </c>
    </row>
    <row r="91" spans="68:74" x14ac:dyDescent="0.25">
      <c r="BP91">
        <f t="shared" si="71"/>
        <v>3100</v>
      </c>
      <c r="BQ91">
        <f t="shared" si="73"/>
        <v>8.0391573904732372</v>
      </c>
      <c r="BR91">
        <f t="shared" si="74"/>
        <v>0</v>
      </c>
      <c r="BS91">
        <f t="shared" si="75"/>
        <v>1</v>
      </c>
      <c r="BU91">
        <f t="shared" si="76"/>
        <v>6.8999999999999915</v>
      </c>
      <c r="BV91">
        <f t="shared" si="72"/>
        <v>0.79840257325030239</v>
      </c>
    </row>
    <row r="92" spans="68:74" x14ac:dyDescent="0.25">
      <c r="BP92">
        <f t="shared" si="71"/>
        <v>3200</v>
      </c>
      <c r="BQ92">
        <f t="shared" si="73"/>
        <v>8.0709060887878188</v>
      </c>
      <c r="BR92">
        <f t="shared" si="74"/>
        <v>0</v>
      </c>
      <c r="BS92">
        <f t="shared" si="75"/>
        <v>1</v>
      </c>
      <c r="BU92">
        <f t="shared" si="76"/>
        <v>6.9999999999999911</v>
      </c>
      <c r="BV92">
        <f t="shared" si="72"/>
        <v>0.79840253622047064</v>
      </c>
    </row>
    <row r="93" spans="68:74" x14ac:dyDescent="0.25">
      <c r="BP93">
        <f t="shared" si="71"/>
        <v>3300</v>
      </c>
      <c r="BQ93">
        <f t="shared" si="73"/>
        <v>8.1016777474545716</v>
      </c>
      <c r="BR93">
        <f t="shared" si="74"/>
        <v>0</v>
      </c>
      <c r="BS93">
        <f t="shared" si="75"/>
        <v>1</v>
      </c>
      <c r="BU93">
        <f t="shared" si="76"/>
        <v>7.0999999999999908</v>
      </c>
      <c r="BV93">
        <f t="shared" si="72"/>
        <v>0.79840249663685736</v>
      </c>
    </row>
    <row r="94" spans="68:74" x14ac:dyDescent="0.25">
      <c r="BP94">
        <f t="shared" si="71"/>
        <v>3400</v>
      </c>
      <c r="BQ94">
        <f t="shared" si="73"/>
        <v>8.1315307106042525</v>
      </c>
      <c r="BR94">
        <f t="shared" si="74"/>
        <v>0</v>
      </c>
      <c r="BS94">
        <f t="shared" si="75"/>
        <v>1</v>
      </c>
      <c r="BU94">
        <f t="shared" si="76"/>
        <v>7.1999999999999904</v>
      </c>
      <c r="BV94">
        <f t="shared" si="72"/>
        <v>0.79840245422584322</v>
      </c>
    </row>
    <row r="95" spans="68:74" x14ac:dyDescent="0.25">
      <c r="BP95">
        <f t="shared" si="71"/>
        <v>3500</v>
      </c>
      <c r="BQ95">
        <f t="shared" si="73"/>
        <v>8.1605182474775049</v>
      </c>
      <c r="BR95">
        <f t="shared" si="74"/>
        <v>0</v>
      </c>
      <c r="BS95">
        <f t="shared" si="75"/>
        <v>1</v>
      </c>
      <c r="BU95">
        <f t="shared" si="76"/>
        <v>7.2999999999999901</v>
      </c>
      <c r="BV95">
        <f t="shared" si="72"/>
        <v>0.7984024086732725</v>
      </c>
    </row>
    <row r="96" spans="68:74" x14ac:dyDescent="0.25">
      <c r="BP96">
        <f t="shared" si="71"/>
        <v>3600</v>
      </c>
      <c r="BQ96">
        <f t="shared" si="73"/>
        <v>8.1886891244442008</v>
      </c>
      <c r="BR96">
        <f t="shared" si="74"/>
        <v>0</v>
      </c>
      <c r="BS96">
        <f t="shared" si="75"/>
        <v>1</v>
      </c>
      <c r="BU96">
        <f t="shared" si="76"/>
        <v>7.3999999999999897</v>
      </c>
      <c r="BV96">
        <f t="shared" si="72"/>
        <v>0.79840235961665784</v>
      </c>
    </row>
    <row r="97" spans="68:74" x14ac:dyDescent="0.25">
      <c r="BP97">
        <f t="shared" si="71"/>
        <v>3700</v>
      </c>
      <c r="BQ97">
        <f t="shared" si="73"/>
        <v>8.2160880986323157</v>
      </c>
      <c r="BR97">
        <f t="shared" si="74"/>
        <v>0</v>
      </c>
      <c r="BS97">
        <f t="shared" si="75"/>
        <v>1</v>
      </c>
      <c r="BU97">
        <v>7.49</v>
      </c>
      <c r="BV97">
        <f t="shared" si="72"/>
        <v>0.79840231212360058</v>
      </c>
    </row>
    <row r="98" spans="68:74" x14ac:dyDescent="0.25">
      <c r="BP98">
        <f t="shared" si="71"/>
        <v>3800</v>
      </c>
      <c r="BQ98">
        <f t="shared" si="73"/>
        <v>8.2427563457144775</v>
      </c>
      <c r="BR98">
        <f t="shared" si="74"/>
        <v>0</v>
      </c>
      <c r="BS98">
        <f t="shared" si="75"/>
        <v>1</v>
      </c>
    </row>
    <row r="99" spans="68:74" x14ac:dyDescent="0.25">
      <c r="BP99">
        <f t="shared" si="71"/>
        <v>3900</v>
      </c>
      <c r="BQ99">
        <f t="shared" si="73"/>
        <v>8.2687318321177372</v>
      </c>
      <c r="BR99">
        <f t="shared" si="74"/>
        <v>0</v>
      </c>
      <c r="BS99">
        <f t="shared" si="75"/>
        <v>1</v>
      </c>
    </row>
    <row r="100" spans="68:74" x14ac:dyDescent="0.25">
      <c r="BP100">
        <f t="shared" si="71"/>
        <v>4000</v>
      </c>
      <c r="BQ100">
        <f t="shared" si="73"/>
        <v>8.2940496401020276</v>
      </c>
      <c r="BR100">
        <f t="shared" si="74"/>
        <v>0</v>
      </c>
      <c r="BS100">
        <f t="shared" si="75"/>
        <v>1</v>
      </c>
    </row>
    <row r="101" spans="68:74" x14ac:dyDescent="0.25">
      <c r="BP101">
        <f t="shared" si="71"/>
        <v>4100</v>
      </c>
      <c r="BQ101">
        <f t="shared" si="73"/>
        <v>8.3187422526923989</v>
      </c>
      <c r="BR101">
        <f t="shared" si="74"/>
        <v>0</v>
      </c>
      <c r="BS101">
        <f t="shared" si="75"/>
        <v>1</v>
      </c>
    </row>
    <row r="102" spans="68:74" x14ac:dyDescent="0.25">
      <c r="BP102">
        <f t="shared" si="71"/>
        <v>4200</v>
      </c>
      <c r="BQ102">
        <f t="shared" si="73"/>
        <v>8.3428398042714598</v>
      </c>
      <c r="BR102">
        <f t="shared" si="74"/>
        <v>0</v>
      </c>
      <c r="BS102">
        <f t="shared" si="75"/>
        <v>1</v>
      </c>
    </row>
    <row r="103" spans="68:74" x14ac:dyDescent="0.25">
      <c r="BP103">
        <f t="shared" si="71"/>
        <v>4300</v>
      </c>
      <c r="BQ103">
        <f t="shared" si="73"/>
        <v>8.3663703016816537</v>
      </c>
      <c r="BR103">
        <f t="shared" si="74"/>
        <v>0</v>
      </c>
      <c r="BS103">
        <f t="shared" si="75"/>
        <v>1</v>
      </c>
    </row>
    <row r="104" spans="68:74" x14ac:dyDescent="0.25">
      <c r="BP104">
        <f t="shared" si="71"/>
        <v>4400</v>
      </c>
      <c r="BQ104">
        <f t="shared" si="73"/>
        <v>8.3893598199063533</v>
      </c>
      <c r="BR104">
        <f t="shared" si="74"/>
        <v>0</v>
      </c>
      <c r="BS104">
        <f t="shared" si="75"/>
        <v>1</v>
      </c>
    </row>
    <row r="105" spans="68:74" x14ac:dyDescent="0.25">
      <c r="BP105">
        <f t="shared" si="71"/>
        <v>4500</v>
      </c>
      <c r="BQ105">
        <f t="shared" si="73"/>
        <v>8.4118326757584114</v>
      </c>
      <c r="BR105">
        <f t="shared" si="74"/>
        <v>0</v>
      </c>
      <c r="BS105">
        <f t="shared" si="75"/>
        <v>1</v>
      </c>
    </row>
    <row r="106" spans="68:74" x14ac:dyDescent="0.25">
      <c r="BP106">
        <f t="shared" si="71"/>
        <v>4600</v>
      </c>
      <c r="BQ106">
        <f t="shared" si="73"/>
        <v>8.4338115824771869</v>
      </c>
      <c r="BR106">
        <f t="shared" si="74"/>
        <v>0</v>
      </c>
      <c r="BS106">
        <f t="shared" si="75"/>
        <v>1</v>
      </c>
    </row>
    <row r="107" spans="68:74" x14ac:dyDescent="0.25">
      <c r="BP107">
        <f t="shared" si="71"/>
        <v>4700</v>
      </c>
      <c r="BQ107">
        <f t="shared" si="73"/>
        <v>8.4553177876981493</v>
      </c>
      <c r="BR107">
        <f t="shared" si="74"/>
        <v>0</v>
      </c>
      <c r="BS107">
        <f t="shared" si="75"/>
        <v>1</v>
      </c>
    </row>
    <row r="108" spans="68:74" x14ac:dyDescent="0.25">
      <c r="BP108">
        <f t="shared" si="71"/>
        <v>4800</v>
      </c>
      <c r="BQ108">
        <f t="shared" si="73"/>
        <v>8.4763711968959825</v>
      </c>
      <c r="BR108">
        <f t="shared" si="74"/>
        <v>0</v>
      </c>
      <c r="BS108">
        <f t="shared" si="75"/>
        <v>1</v>
      </c>
    </row>
    <row r="109" spans="68:74" x14ac:dyDescent="0.25">
      <c r="BP109">
        <f t="shared" si="71"/>
        <v>4900</v>
      </c>
      <c r="BQ109">
        <f t="shared" si="73"/>
        <v>8.4969904840987187</v>
      </c>
      <c r="BR109">
        <f t="shared" si="74"/>
        <v>0</v>
      </c>
      <c r="BS109">
        <f t="shared" si="75"/>
        <v>1</v>
      </c>
    </row>
    <row r="110" spans="68:74" x14ac:dyDescent="0.25">
      <c r="BP110">
        <f t="shared" si="71"/>
        <v>5000</v>
      </c>
      <c r="BQ110">
        <f t="shared" si="73"/>
        <v>8.5171931914162382</v>
      </c>
      <c r="BR110">
        <f t="shared" si="74"/>
        <v>0</v>
      </c>
      <c r="BS110">
        <f t="shared" si="75"/>
        <v>1</v>
      </c>
    </row>
    <row r="111" spans="68:74" x14ac:dyDescent="0.25">
      <c r="BP111">
        <f t="shared" si="71"/>
        <v>5100</v>
      </c>
      <c r="BQ111">
        <f t="shared" si="73"/>
        <v>8.536995818712418</v>
      </c>
      <c r="BR111">
        <f t="shared" si="74"/>
        <v>0</v>
      </c>
      <c r="BS111">
        <f t="shared" si="75"/>
        <v>1</v>
      </c>
    </row>
    <row r="112" spans="68:74" x14ac:dyDescent="0.25">
      <c r="BP112">
        <f t="shared" si="71"/>
        <v>5200</v>
      </c>
      <c r="BQ112">
        <f t="shared" si="73"/>
        <v>8.5564139045695189</v>
      </c>
      <c r="BR112">
        <f t="shared" si="74"/>
        <v>0</v>
      </c>
      <c r="BS112">
        <f t="shared" si="75"/>
        <v>1</v>
      </c>
    </row>
    <row r="113" spans="68:71" x14ac:dyDescent="0.25">
      <c r="BP113">
        <f t="shared" si="71"/>
        <v>5300</v>
      </c>
      <c r="BQ113">
        <f t="shared" si="73"/>
        <v>8.5754620995402124</v>
      </c>
      <c r="BR113">
        <f t="shared" si="74"/>
        <v>0</v>
      </c>
      <c r="BS113">
        <f t="shared" si="75"/>
        <v>1</v>
      </c>
    </row>
    <row r="114" spans="68:71" x14ac:dyDescent="0.25">
      <c r="BP114">
        <f t="shared" si="71"/>
        <v>5400</v>
      </c>
      <c r="BQ114">
        <f t="shared" si="73"/>
        <v>8.5941542325523663</v>
      </c>
      <c r="BR114">
        <f t="shared" si="74"/>
        <v>0</v>
      </c>
      <c r="BS114">
        <f t="shared" si="75"/>
        <v>1</v>
      </c>
    </row>
    <row r="115" spans="68:71" x14ac:dyDescent="0.25">
      <c r="BP115">
        <f t="shared" si="71"/>
        <v>5500</v>
      </c>
      <c r="BQ115">
        <f t="shared" si="73"/>
        <v>8.6125033712205621</v>
      </c>
      <c r="BR115">
        <f t="shared" si="74"/>
        <v>0</v>
      </c>
      <c r="BS115">
        <f t="shared" si="75"/>
        <v>1</v>
      </c>
    </row>
    <row r="116" spans="68:71" x14ac:dyDescent="0.25">
      <c r="BP116">
        <f t="shared" si="71"/>
        <v>5600</v>
      </c>
      <c r="BQ116">
        <f t="shared" si="73"/>
        <v>8.6305218767232414</v>
      </c>
      <c r="BR116">
        <f t="shared" si="74"/>
        <v>0</v>
      </c>
      <c r="BS116">
        <f t="shared" si="75"/>
        <v>1</v>
      </c>
    </row>
    <row r="117" spans="68:71" x14ac:dyDescent="0.25">
      <c r="BP117">
        <f t="shared" si="71"/>
        <v>5700</v>
      </c>
      <c r="BQ117">
        <f t="shared" si="73"/>
        <v>8.6482214538226412</v>
      </c>
      <c r="BR117">
        <f t="shared" si="74"/>
        <v>0</v>
      </c>
      <c r="BS117">
        <f t="shared" si="75"/>
        <v>1</v>
      </c>
    </row>
    <row r="118" spans="68:71" x14ac:dyDescent="0.25">
      <c r="BP118">
        <f t="shared" si="71"/>
        <v>5800</v>
      </c>
      <c r="BQ118">
        <f t="shared" si="73"/>
        <v>8.66561319653451</v>
      </c>
      <c r="BR118">
        <f t="shared" si="74"/>
        <v>0</v>
      </c>
      <c r="BS118">
        <f t="shared" si="75"/>
        <v>1</v>
      </c>
    </row>
    <row r="119" spans="68:71" x14ac:dyDescent="0.25">
      <c r="BP119">
        <f t="shared" si="71"/>
        <v>5900</v>
      </c>
      <c r="BQ119">
        <f t="shared" si="73"/>
        <v>8.6827076298938106</v>
      </c>
      <c r="BR119">
        <f t="shared" si="74"/>
        <v>0</v>
      </c>
      <c r="BS119">
        <f t="shared" si="75"/>
        <v>1</v>
      </c>
    </row>
    <row r="120" spans="68:71" x14ac:dyDescent="0.25">
      <c r="BP120">
        <f t="shared" si="71"/>
        <v>6000</v>
      </c>
      <c r="BQ120">
        <f t="shared" si="73"/>
        <v>8.6995147482101913</v>
      </c>
      <c r="BR120">
        <f t="shared" si="74"/>
        <v>0</v>
      </c>
      <c r="BS120">
        <f t="shared" si="75"/>
        <v>1</v>
      </c>
    </row>
    <row r="121" spans="68:71" x14ac:dyDescent="0.25">
      <c r="BP121">
        <f t="shared" si="71"/>
        <v>6100</v>
      </c>
      <c r="BQ121">
        <f t="shared" si="73"/>
        <v>8.7160440501614023</v>
      </c>
      <c r="BR121">
        <f t="shared" si="74"/>
        <v>0</v>
      </c>
      <c r="BS121">
        <f t="shared" si="75"/>
        <v>1</v>
      </c>
    </row>
  </sheetData>
  <mergeCells count="11">
    <mergeCell ref="AE1:AR1"/>
    <mergeCell ref="C2:J2"/>
    <mergeCell ref="K2:P2"/>
    <mergeCell ref="Q2:V2"/>
    <mergeCell ref="AF2:AK2"/>
    <mergeCell ref="AM2:AR2"/>
    <mergeCell ref="AS2:AX2"/>
    <mergeCell ref="AY2:BD2"/>
    <mergeCell ref="BY5:BZ5"/>
    <mergeCell ref="BY6:BZ6"/>
    <mergeCell ref="BY7:BZ7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164</v>
      </c>
      <c r="D1" t="s">
        <v>165</v>
      </c>
    </row>
    <row r="2" spans="1:8" x14ac:dyDescent="0.25">
      <c r="A2" t="s">
        <v>156</v>
      </c>
      <c r="B2">
        <v>48.47</v>
      </c>
      <c r="C2">
        <f ca="1">RAND()</f>
        <v>0.89055925175683937</v>
      </c>
      <c r="D2">
        <f ca="1">_xlfn.T.INV(RAND(),25)*$G$3+$F$3</f>
        <v>46.58282450775495</v>
      </c>
      <c r="F2" t="s">
        <v>158</v>
      </c>
      <c r="G2" t="s">
        <v>159</v>
      </c>
    </row>
    <row r="3" spans="1:8" x14ac:dyDescent="0.25">
      <c r="B3">
        <v>49.64</v>
      </c>
      <c r="C3">
        <f t="shared" ref="C3:C66" ca="1" si="0">RAND()</f>
        <v>0.400749592343846</v>
      </c>
      <c r="D3">
        <f t="shared" ref="D3:D66" ca="1" si="1">_xlfn.T.INV(RAND(),25)*$G$3+$F$3</f>
        <v>53.131569207076105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8.8217761866839717E-2</v>
      </c>
      <c r="D4">
        <f t="shared" ca="1" si="1"/>
        <v>44.577651220831591</v>
      </c>
    </row>
    <row r="5" spans="1:8" x14ac:dyDescent="0.25">
      <c r="B5">
        <v>50.12</v>
      </c>
      <c r="C5">
        <f t="shared" ca="1" si="0"/>
        <v>0.10324257782725654</v>
      </c>
      <c r="D5">
        <f t="shared" ca="1" si="1"/>
        <v>50.569191115697066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0.17659385422965657</v>
      </c>
      <c r="D6">
        <f t="shared" ca="1" si="1"/>
        <v>46.942002619417636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0.75875246938010166</v>
      </c>
      <c r="D7">
        <f t="shared" ca="1" si="1"/>
        <v>50.348993819833588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0.43388771914604829</v>
      </c>
      <c r="D8">
        <f t="shared" ca="1" si="1"/>
        <v>53.969158368036496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6.6952733703886103E-2</v>
      </c>
      <c r="D9">
        <f t="shared" ca="1" si="1"/>
        <v>53.844696477168455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0.91418001024549544</v>
      </c>
      <c r="D10">
        <f t="shared" ca="1" si="1"/>
        <v>52.790548940020685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0.67441596506555568</v>
      </c>
      <c r="D11">
        <f t="shared" ca="1" si="1"/>
        <v>50.72327961171839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0.34354533919900554</v>
      </c>
      <c r="D12">
        <f t="shared" ca="1" si="1"/>
        <v>44.506125053996534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7.6593563808970533E-2</v>
      </c>
      <c r="D13">
        <f t="shared" ca="1" si="1"/>
        <v>52.191928536511625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0.44256071278828912</v>
      </c>
      <c r="D14">
        <f t="shared" ca="1" si="1"/>
        <v>45.211357982008153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0.20641964599871843</v>
      </c>
      <c r="D15">
        <f t="shared" ca="1" si="1"/>
        <v>58.304150659559966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0.91414862738405633</v>
      </c>
      <c r="D16">
        <f t="shared" ca="1" si="1"/>
        <v>51.484805689856799</v>
      </c>
      <c r="F16">
        <f t="shared" si="4"/>
        <v>26</v>
      </c>
      <c r="G16">
        <f t="shared" si="2"/>
        <v>0</v>
      </c>
      <c r="H16">
        <f t="shared" ca="1" si="3"/>
        <v>2.0004000800160032E-4</v>
      </c>
    </row>
    <row r="17" spans="1:18" x14ac:dyDescent="0.25">
      <c r="B17">
        <v>45.4</v>
      </c>
      <c r="C17">
        <f t="shared" ca="1" si="0"/>
        <v>0.68305403804069131</v>
      </c>
      <c r="D17">
        <f t="shared" ca="1" si="1"/>
        <v>54.220055450272284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0.13940073128710528</v>
      </c>
      <c r="D18">
        <f t="shared" ca="1" si="1"/>
        <v>50.475754983874033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2.0004000800160032E-4</v>
      </c>
      <c r="J18">
        <f>MAX(B2:B110)-MIN(B2:B110)</f>
        <v>24.92</v>
      </c>
      <c r="K18">
        <f ca="1">MAX(D2:D110)-MIN(D2:D110)</f>
        <v>22.855940498483911</v>
      </c>
      <c r="L18">
        <f ca="1">J18-K18</f>
        <v>2.0640595015160912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165</v>
      </c>
    </row>
    <row r="19" spans="1:18" x14ac:dyDescent="0.25">
      <c r="B19">
        <v>51.7</v>
      </c>
      <c r="C19">
        <f t="shared" ca="1" si="0"/>
        <v>0.36150426734476515</v>
      </c>
      <c r="D19">
        <f t="shared" ca="1" si="1"/>
        <v>58.662952003269453</v>
      </c>
      <c r="F19">
        <f t="shared" si="4"/>
        <v>29</v>
      </c>
      <c r="G19">
        <f t="shared" si="2"/>
        <v>0</v>
      </c>
      <c r="H19">
        <f t="shared" ca="1" si="3"/>
        <v>2.0004000800160032E-4</v>
      </c>
      <c r="N19">
        <v>-1.54</v>
      </c>
      <c r="O19">
        <v>5.41</v>
      </c>
      <c r="Q19">
        <v>-3.48</v>
      </c>
      <c r="R19" t="s">
        <v>166</v>
      </c>
    </row>
    <row r="20" spans="1:18" x14ac:dyDescent="0.25">
      <c r="B20">
        <v>52.7</v>
      </c>
      <c r="C20">
        <f t="shared" ca="1" si="0"/>
        <v>0.23413372433146107</v>
      </c>
      <c r="D20">
        <f t="shared" ca="1" si="1"/>
        <v>43.086300631531735</v>
      </c>
      <c r="F20">
        <f t="shared" si="4"/>
        <v>30</v>
      </c>
      <c r="G20">
        <f t="shared" si="2"/>
        <v>0</v>
      </c>
      <c r="H20">
        <f t="shared" ca="1" si="3"/>
        <v>4.0008001600320064E-4</v>
      </c>
      <c r="N20">
        <v>-1.34</v>
      </c>
      <c r="O20">
        <v>4.1900000000000004</v>
      </c>
      <c r="Q20">
        <v>1.65</v>
      </c>
      <c r="R20" t="s">
        <v>167</v>
      </c>
    </row>
    <row r="21" spans="1:18" x14ac:dyDescent="0.25">
      <c r="B21">
        <v>50.2</v>
      </c>
      <c r="C21">
        <f t="shared" ca="1" si="0"/>
        <v>0.27660363888656414</v>
      </c>
      <c r="D21">
        <f t="shared" ca="1" si="1"/>
        <v>52.741676924636835</v>
      </c>
      <c r="F21">
        <f t="shared" si="4"/>
        <v>31</v>
      </c>
      <c r="G21">
        <f t="shared" si="2"/>
        <v>0</v>
      </c>
      <c r="H21">
        <f t="shared" ca="1" si="3"/>
        <v>0</v>
      </c>
      <c r="N21">
        <v>-3.64</v>
      </c>
      <c r="O21">
        <v>1.98</v>
      </c>
      <c r="Q21">
        <v>1.29</v>
      </c>
      <c r="R21" t="s">
        <v>168</v>
      </c>
    </row>
    <row r="22" spans="1:18" x14ac:dyDescent="0.25">
      <c r="B22">
        <v>43.1</v>
      </c>
      <c r="C22">
        <f t="shared" ca="1" si="0"/>
        <v>0.40686712110103107</v>
      </c>
      <c r="D22">
        <f t="shared" ca="1" si="1"/>
        <v>47.127390052604333</v>
      </c>
      <c r="F22">
        <f t="shared" si="4"/>
        <v>32</v>
      </c>
      <c r="G22">
        <f t="shared" si="2"/>
        <v>0</v>
      </c>
      <c r="H22">
        <f t="shared" ca="1" si="3"/>
        <v>0</v>
      </c>
      <c r="N22">
        <v>0.17</v>
      </c>
      <c r="O22">
        <v>-4.4000000000000004</v>
      </c>
      <c r="Q22">
        <v>-0.68</v>
      </c>
      <c r="R22" t="s">
        <v>169</v>
      </c>
    </row>
    <row r="23" spans="1:18" x14ac:dyDescent="0.25">
      <c r="B23">
        <v>47.4</v>
      </c>
      <c r="C23">
        <f t="shared" ca="1" si="0"/>
        <v>5.1163708316976475E-2</v>
      </c>
      <c r="D23">
        <f t="shared" ca="1" si="1"/>
        <v>41.684414914362065</v>
      </c>
      <c r="F23">
        <f t="shared" si="4"/>
        <v>33</v>
      </c>
      <c r="G23">
        <f t="shared" si="2"/>
        <v>0</v>
      </c>
      <c r="H23">
        <f t="shared" ca="1" si="3"/>
        <v>1.0002000400080016E-3</v>
      </c>
      <c r="N23">
        <v>-3.57</v>
      </c>
      <c r="O23">
        <v>-1.03</v>
      </c>
      <c r="Q23">
        <v>-0.76</v>
      </c>
      <c r="R23" t="s">
        <v>170</v>
      </c>
    </row>
    <row r="24" spans="1:18" x14ac:dyDescent="0.25">
      <c r="B24">
        <v>50.5</v>
      </c>
      <c r="C24">
        <f t="shared" ca="1" si="0"/>
        <v>0.36475522443753083</v>
      </c>
      <c r="D24">
        <f t="shared" ca="1" si="1"/>
        <v>56.382613417436467</v>
      </c>
      <c r="F24">
        <f t="shared" si="4"/>
        <v>34</v>
      </c>
      <c r="G24">
        <f t="shared" si="2"/>
        <v>0</v>
      </c>
      <c r="H24">
        <f t="shared" ca="1" si="3"/>
        <v>0</v>
      </c>
      <c r="N24">
        <v>-5.7</v>
      </c>
      <c r="O24">
        <v>-6.03</v>
      </c>
      <c r="Q24">
        <v>-0.56000000000000005</v>
      </c>
      <c r="R24" t="s">
        <v>171</v>
      </c>
    </row>
    <row r="25" spans="1:18" x14ac:dyDescent="0.25">
      <c r="B25">
        <v>45.9</v>
      </c>
      <c r="C25">
        <f t="shared" ca="1" si="0"/>
        <v>0.61995566952671366</v>
      </c>
      <c r="D25">
        <f t="shared" ca="1" si="1"/>
        <v>55.362032563917381</v>
      </c>
      <c r="F25">
        <f t="shared" si="4"/>
        <v>35</v>
      </c>
      <c r="G25">
        <f t="shared" si="2"/>
        <v>9.1743119266055051E-3</v>
      </c>
      <c r="H25">
        <f t="shared" ca="1" si="3"/>
        <v>8.0016003200640128E-4</v>
      </c>
      <c r="I25">
        <f ca="1">SUM(H5:H25)</f>
        <v>2.6005201040208044E-3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0.10413112750741327</v>
      </c>
      <c r="D26">
        <f t="shared" ca="1" si="1"/>
        <v>57.714461934994702</v>
      </c>
      <c r="F26">
        <f t="shared" si="4"/>
        <v>36</v>
      </c>
      <c r="G26">
        <f t="shared" si="2"/>
        <v>0</v>
      </c>
      <c r="H26">
        <f t="shared" ca="1" si="3"/>
        <v>1.6003200640128026E-3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0.86718080216854654</v>
      </c>
      <c r="D27">
        <f t="shared" ca="1" si="1"/>
        <v>42.230635747688879</v>
      </c>
      <c r="F27">
        <f t="shared" si="4"/>
        <v>37</v>
      </c>
      <c r="G27">
        <f t="shared" si="2"/>
        <v>9.1743119266055051E-3</v>
      </c>
      <c r="H27">
        <f t="shared" ca="1" si="3"/>
        <v>3.0006001200240046E-3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0.73226238816491374</v>
      </c>
      <c r="D28">
        <f t="shared" ca="1" si="1"/>
        <v>46.443542272846294</v>
      </c>
      <c r="F28">
        <f t="shared" si="4"/>
        <v>38</v>
      </c>
      <c r="G28">
        <f t="shared" si="2"/>
        <v>0</v>
      </c>
      <c r="H28">
        <f t="shared" ca="1" si="3"/>
        <v>6.2012402480496097E-3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0.45116382745282557</v>
      </c>
      <c r="D29">
        <f t="shared" ca="1" si="1"/>
        <v>43.912301065484343</v>
      </c>
      <c r="F29">
        <f t="shared" si="4"/>
        <v>39</v>
      </c>
      <c r="G29">
        <f t="shared" si="2"/>
        <v>9.1743119266055051E-3</v>
      </c>
      <c r="H29">
        <f t="shared" ca="1" si="3"/>
        <v>9.4018803760752157E-3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0.4312954935008726</v>
      </c>
      <c r="D30">
        <f t="shared" ca="1" si="1"/>
        <v>38.369317772802987</v>
      </c>
      <c r="F30">
        <f t="shared" si="4"/>
        <v>40</v>
      </c>
      <c r="G30">
        <f t="shared" si="2"/>
        <v>9.1743119266055051E-3</v>
      </c>
      <c r="H30">
        <f t="shared" ca="1" si="3"/>
        <v>1.5403080616123225E-2</v>
      </c>
      <c r="N30">
        <v>4.26</v>
      </c>
      <c r="O30">
        <v>-3.46</v>
      </c>
    </row>
    <row r="31" spans="1:18" x14ac:dyDescent="0.25">
      <c r="A31" t="s">
        <v>157</v>
      </c>
      <c r="B31">
        <v>47.98</v>
      </c>
      <c r="C31">
        <f t="shared" ca="1" si="0"/>
        <v>0.28215503914280682</v>
      </c>
      <c r="D31">
        <f t="shared" ca="1" si="1"/>
        <v>53.144887800147558</v>
      </c>
      <c r="F31">
        <f t="shared" si="4"/>
        <v>41</v>
      </c>
      <c r="G31">
        <f t="shared" si="2"/>
        <v>9.1743119266055051E-3</v>
      </c>
      <c r="H31">
        <f t="shared" ca="1" si="3"/>
        <v>2.0804160832166432E-2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0.58809594485066141</v>
      </c>
      <c r="D32">
        <f t="shared" ca="1" si="1"/>
        <v>54.648545166966422</v>
      </c>
      <c r="F32">
        <f t="shared" si="4"/>
        <v>42</v>
      </c>
      <c r="G32">
        <f t="shared" si="2"/>
        <v>3.669724770642202E-2</v>
      </c>
      <c r="H32">
        <f t="shared" ca="1" si="3"/>
        <v>2.6605321064212841E-2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0.49912006628706285</v>
      </c>
      <c r="D33">
        <f t="shared" ca="1" si="1"/>
        <v>52.196241079982379</v>
      </c>
      <c r="F33">
        <f t="shared" si="4"/>
        <v>43</v>
      </c>
      <c r="G33">
        <f t="shared" si="2"/>
        <v>1.834862385321101E-2</v>
      </c>
      <c r="H33">
        <f t="shared" ca="1" si="3"/>
        <v>3.7807561512302461E-2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0.31257006198945803</v>
      </c>
      <c r="D34">
        <f t="shared" ca="1" si="1"/>
        <v>41.315049919248722</v>
      </c>
      <c r="F34">
        <f t="shared" si="4"/>
        <v>44</v>
      </c>
      <c r="G34">
        <f t="shared" si="2"/>
        <v>6.4220183486238536E-2</v>
      </c>
      <c r="H34">
        <f t="shared" ca="1" si="3"/>
        <v>4.3808761752350468E-2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0.75639028750970916</v>
      </c>
      <c r="D35">
        <f t="shared" ca="1" si="1"/>
        <v>46.398412855158114</v>
      </c>
      <c r="F35">
        <f t="shared" si="4"/>
        <v>45</v>
      </c>
      <c r="G35">
        <f t="shared" si="2"/>
        <v>6.4220183486238536E-2</v>
      </c>
      <c r="H35">
        <f t="shared" ca="1" si="3"/>
        <v>5.8211642328465693E-2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0.56438283341221007</v>
      </c>
      <c r="D36">
        <f t="shared" ca="1" si="1"/>
        <v>45.713432221406443</v>
      </c>
      <c r="F36">
        <f t="shared" si="4"/>
        <v>46</v>
      </c>
      <c r="G36">
        <f t="shared" si="2"/>
        <v>5.5045871559633031E-2</v>
      </c>
      <c r="H36">
        <f t="shared" ca="1" si="3"/>
        <v>7.1014202840568114E-2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0.24158069427751461</v>
      </c>
      <c r="D37">
        <f t="shared" ca="1" si="1"/>
        <v>54.585170056231689</v>
      </c>
      <c r="F37">
        <f t="shared" si="4"/>
        <v>47</v>
      </c>
      <c r="G37">
        <f t="shared" si="2"/>
        <v>6.4220183486238536E-2</v>
      </c>
      <c r="H37">
        <f t="shared" ca="1" si="3"/>
        <v>7.7615523104620929E-2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0.2997874743272575</v>
      </c>
      <c r="D38">
        <f t="shared" ca="1" si="1"/>
        <v>49.814625602066279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8.1016203240648135E-2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0.45664362437349393</v>
      </c>
      <c r="D39">
        <f t="shared" ca="1" si="1"/>
        <v>41.848381357807945</v>
      </c>
      <c r="F39">
        <f t="shared" si="5"/>
        <v>49</v>
      </c>
      <c r="G39">
        <f t="shared" si="2"/>
        <v>0.11009174311926606</v>
      </c>
      <c r="H39">
        <f t="shared" ca="1" si="3"/>
        <v>8.3016603320664129E-2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0.98922972867291392</v>
      </c>
      <c r="D40">
        <f t="shared" ca="1" si="1"/>
        <v>47.165442446079062</v>
      </c>
      <c r="F40">
        <f t="shared" si="5"/>
        <v>50</v>
      </c>
      <c r="G40">
        <f t="shared" si="2"/>
        <v>9.1743119266055051E-2</v>
      </c>
      <c r="H40">
        <f t="shared" ca="1" si="3"/>
        <v>8.2616523304660933E-2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0.4342011527379902</v>
      </c>
      <c r="D41">
        <f t="shared" ca="1" si="1"/>
        <v>43.079624288201217</v>
      </c>
      <c r="F41">
        <f t="shared" si="5"/>
        <v>51</v>
      </c>
      <c r="G41">
        <f t="shared" si="2"/>
        <v>5.5045871559633031E-2</v>
      </c>
      <c r="H41">
        <f t="shared" ca="1" si="3"/>
        <v>8.0016003200640132E-2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0.95684105995988833</v>
      </c>
      <c r="D42">
        <f t="shared" ca="1" si="1"/>
        <v>49.989835140110401</v>
      </c>
      <c r="F42">
        <f t="shared" si="5"/>
        <v>52</v>
      </c>
      <c r="G42">
        <f t="shared" si="2"/>
        <v>6.4220183486238536E-2</v>
      </c>
      <c r="H42">
        <f t="shared" ca="1" si="3"/>
        <v>7.2214442888577715E-2</v>
      </c>
      <c r="N42">
        <v>3.57</v>
      </c>
      <c r="O42">
        <v>-8.07</v>
      </c>
    </row>
    <row r="43" spans="1:15" x14ac:dyDescent="0.25">
      <c r="A43" t="s">
        <v>160</v>
      </c>
      <c r="B43">
        <v>57.3</v>
      </c>
      <c r="C43">
        <f t="shared" ca="1" si="0"/>
        <v>0.71293472047289852</v>
      </c>
      <c r="D43">
        <f t="shared" ca="1" si="1"/>
        <v>54.162474891105468</v>
      </c>
      <c r="F43">
        <f t="shared" si="5"/>
        <v>53</v>
      </c>
      <c r="G43">
        <f t="shared" si="2"/>
        <v>9.1743119266055051E-2</v>
      </c>
      <c r="H43">
        <f t="shared" ca="1" si="3"/>
        <v>6.0012002400480095E-2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0.26186053137320631</v>
      </c>
      <c r="D44">
        <f t="shared" ca="1" si="1"/>
        <v>50.081922890639454</v>
      </c>
      <c r="F44">
        <f t="shared" si="5"/>
        <v>54</v>
      </c>
      <c r="G44">
        <f t="shared" si="2"/>
        <v>6.4220183486238536E-2</v>
      </c>
      <c r="H44">
        <f t="shared" ca="1" si="3"/>
        <v>5.2010402080416081E-2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0.2385814838359388</v>
      </c>
      <c r="D45">
        <f t="shared" ca="1" si="1"/>
        <v>44.51593667928379</v>
      </c>
      <c r="F45">
        <f t="shared" si="5"/>
        <v>55</v>
      </c>
      <c r="G45">
        <f t="shared" si="2"/>
        <v>1.834862385321101E-2</v>
      </c>
      <c r="H45">
        <f t="shared" ca="1" si="3"/>
        <v>3.5807161432286461E-2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0.4104015039492922</v>
      </c>
      <c r="D46">
        <f t="shared" ca="1" si="1"/>
        <v>52.061349182032799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2.8405681136227247E-2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0.39645399709880025</v>
      </c>
      <c r="D47">
        <f t="shared" ca="1" si="1"/>
        <v>45.858744122846375</v>
      </c>
      <c r="F47">
        <f t="shared" si="6"/>
        <v>57</v>
      </c>
      <c r="G47">
        <f t="shared" si="2"/>
        <v>1.834862385321101E-2</v>
      </c>
      <c r="H47">
        <f t="shared" ca="1" si="3"/>
        <v>1.7403480696139229E-2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0.34104467409994244</v>
      </c>
      <c r="D48">
        <f t="shared" ca="1" si="1"/>
        <v>40.080882184547377</v>
      </c>
      <c r="F48">
        <f t="shared" si="6"/>
        <v>58</v>
      </c>
      <c r="G48">
        <f t="shared" si="2"/>
        <v>9.1743119266055051E-3</v>
      </c>
      <c r="H48">
        <f t="shared" ca="1" si="3"/>
        <v>1.0602120424084817E-2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0.47456050766759728</v>
      </c>
      <c r="D49">
        <f t="shared" ca="1" si="1"/>
        <v>45.596523192912137</v>
      </c>
      <c r="F49">
        <f t="shared" si="6"/>
        <v>59</v>
      </c>
      <c r="G49">
        <f t="shared" si="2"/>
        <v>0</v>
      </c>
      <c r="H49">
        <f t="shared" ca="1" si="3"/>
        <v>8.4016803360672139E-3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0.77234429858886833</v>
      </c>
      <c r="D50">
        <f t="shared" ca="1" si="1"/>
        <v>48.350629608031404</v>
      </c>
      <c r="F50">
        <f t="shared" si="6"/>
        <v>60</v>
      </c>
      <c r="G50">
        <f t="shared" si="2"/>
        <v>9.1743119266055051E-3</v>
      </c>
      <c r="H50">
        <f t="shared" ca="1" si="3"/>
        <v>6.0012002400480092E-3</v>
      </c>
    </row>
    <row r="51" spans="1:15" x14ac:dyDescent="0.25">
      <c r="B51">
        <v>49.49</v>
      </c>
      <c r="C51">
        <f t="shared" ca="1" si="0"/>
        <v>0.21657882434411135</v>
      </c>
      <c r="D51">
        <f t="shared" ca="1" si="1"/>
        <v>50.038663664923945</v>
      </c>
      <c r="F51">
        <f t="shared" si="6"/>
        <v>61</v>
      </c>
      <c r="G51">
        <f t="shared" si="2"/>
        <v>0</v>
      </c>
      <c r="H51">
        <f t="shared" ca="1" si="3"/>
        <v>3.2006401280256051E-3</v>
      </c>
    </row>
    <row r="52" spans="1:15" x14ac:dyDescent="0.25">
      <c r="B52">
        <v>50.7</v>
      </c>
      <c r="C52">
        <f t="shared" ca="1" si="0"/>
        <v>0.93203101827874824</v>
      </c>
      <c r="D52">
        <f t="shared" ca="1" si="1"/>
        <v>56.983964222828433</v>
      </c>
      <c r="F52">
        <f t="shared" si="6"/>
        <v>62</v>
      </c>
      <c r="G52">
        <f t="shared" si="2"/>
        <v>0</v>
      </c>
      <c r="H52">
        <f t="shared" ca="1" si="3"/>
        <v>2.2004400880176033E-3</v>
      </c>
    </row>
    <row r="53" spans="1:15" x14ac:dyDescent="0.25">
      <c r="B53">
        <v>53.8</v>
      </c>
      <c r="C53">
        <f t="shared" ca="1" si="0"/>
        <v>0.22360126783578926</v>
      </c>
      <c r="D53">
        <f t="shared" ca="1" si="1"/>
        <v>43.294490207561658</v>
      </c>
      <c r="F53">
        <f t="shared" si="6"/>
        <v>63</v>
      </c>
      <c r="G53">
        <f t="shared" si="2"/>
        <v>0</v>
      </c>
      <c r="H53">
        <f t="shared" ca="1" si="3"/>
        <v>1.2002400480096019E-3</v>
      </c>
    </row>
    <row r="54" spans="1:15" x14ac:dyDescent="0.25">
      <c r="B54">
        <v>49.5</v>
      </c>
      <c r="C54">
        <f t="shared" ca="1" si="0"/>
        <v>0.54974108346438499</v>
      </c>
      <c r="D54">
        <f t="shared" ca="1" si="1"/>
        <v>44.533707775290978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4.0008001600320064E-4</v>
      </c>
    </row>
    <row r="55" spans="1:15" x14ac:dyDescent="0.25">
      <c r="B55">
        <v>44.2</v>
      </c>
      <c r="C55">
        <f t="shared" ca="1" si="0"/>
        <v>0.65307882581279664</v>
      </c>
      <c r="D55">
        <f t="shared" ca="1" si="1"/>
        <v>55.234649796133944</v>
      </c>
      <c r="F55">
        <f t="shared" si="7"/>
        <v>65</v>
      </c>
      <c r="G55">
        <f t="shared" si="8"/>
        <v>0</v>
      </c>
      <c r="H55">
        <f t="shared" ca="1" si="9"/>
        <v>8.0016003200640128E-4</v>
      </c>
    </row>
    <row r="56" spans="1:15" x14ac:dyDescent="0.25">
      <c r="B56">
        <v>44.8</v>
      </c>
      <c r="C56">
        <f t="shared" ca="1" si="0"/>
        <v>0.78571023133060003</v>
      </c>
      <c r="D56">
        <f t="shared" ca="1" si="1"/>
        <v>46.999527362641047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0.37700583701605683</v>
      </c>
      <c r="D57">
        <f t="shared" ca="1" si="1"/>
        <v>52.798835885860463</v>
      </c>
      <c r="F57">
        <f t="shared" si="7"/>
        <v>67</v>
      </c>
      <c r="G57">
        <f t="shared" si="8"/>
        <v>0</v>
      </c>
      <c r="H57">
        <f t="shared" ca="1" si="9"/>
        <v>0</v>
      </c>
    </row>
    <row r="58" spans="1:15" x14ac:dyDescent="0.25">
      <c r="B58">
        <v>41.6</v>
      </c>
      <c r="C58">
        <f t="shared" ca="1" si="0"/>
        <v>0.53386247988072189</v>
      </c>
      <c r="D58">
        <f t="shared" ca="1" si="1"/>
        <v>49.458129521448839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0.93783839276891801</v>
      </c>
      <c r="D59">
        <f t="shared" ca="1" si="1"/>
        <v>42.950326702513692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0.32509249221233383</v>
      </c>
      <c r="D60">
        <f t="shared" ca="1" si="1"/>
        <v>48.134684606253138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0.82730540716299916</v>
      </c>
      <c r="D61">
        <f t="shared" ca="1" si="1"/>
        <v>54.071557903734643</v>
      </c>
      <c r="F61">
        <f t="shared" si="7"/>
        <v>71</v>
      </c>
      <c r="G61">
        <f t="shared" si="8"/>
        <v>0</v>
      </c>
      <c r="H61">
        <f t="shared" ca="1" si="9"/>
        <v>2.0004000800160032E-4</v>
      </c>
    </row>
    <row r="62" spans="1:15" x14ac:dyDescent="0.25">
      <c r="B62">
        <v>42.1</v>
      </c>
      <c r="C62">
        <f t="shared" ca="1" si="0"/>
        <v>0.90752389441166292</v>
      </c>
      <c r="D62">
        <f t="shared" ca="1" si="1"/>
        <v>55.081372849716445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0.66546377078589702</v>
      </c>
      <c r="D63">
        <f t="shared" ca="1" si="1"/>
        <v>50.478673360858302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161</v>
      </c>
      <c r="B64">
        <v>51.3</v>
      </c>
      <c r="C64">
        <f t="shared" ca="1" si="0"/>
        <v>0.65662865117959923</v>
      </c>
      <c r="D64">
        <f t="shared" ca="1" si="1"/>
        <v>59.200576859497559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0.68610533844357624</v>
      </c>
      <c r="D65">
        <f t="shared" ca="1" si="1"/>
        <v>45.012838944984047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0.33003703532796513</v>
      </c>
      <c r="D66">
        <f t="shared" ca="1" si="1"/>
        <v>48.026007210984496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0.97192928622424868</v>
      </c>
      <c r="D67">
        <f t="shared" ref="D67:D130" ca="1" si="11">_xlfn.T.INV(RAND(),25)*$G$3+$F$3</f>
        <v>48.777280356132529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0.42605740282558413</v>
      </c>
      <c r="D68">
        <f t="shared" ca="1" si="11"/>
        <v>49.30083498266545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0.80833262955539065</v>
      </c>
      <c r="D69">
        <f t="shared" ca="1" si="11"/>
        <v>46.725177566363634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0.61557838310850499</v>
      </c>
      <c r="D70">
        <f t="shared" ca="1" si="11"/>
        <v>47.966626652784193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5.390308266297783E-2</v>
      </c>
      <c r="D71">
        <f t="shared" ca="1" si="11"/>
        <v>42.02300046153232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0.98736761706435472</v>
      </c>
      <c r="D72">
        <f t="shared" ca="1" si="11"/>
        <v>54.885944417397724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0.38752093246133568</v>
      </c>
      <c r="D73">
        <f t="shared" ca="1" si="11"/>
        <v>42.014568179021772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162</v>
      </c>
      <c r="B74">
        <v>55.5</v>
      </c>
      <c r="C74">
        <f t="shared" ca="1" si="10"/>
        <v>0.19436912531703199</v>
      </c>
      <c r="D74">
        <f t="shared" ca="1" si="11"/>
        <v>47.429418948003566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0.32833113818880688</v>
      </c>
      <c r="D75">
        <f t="shared" ca="1" si="11"/>
        <v>52.780454203101129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9.0216112385634206E-2</v>
      </c>
      <c r="D76">
        <f t="shared" ca="1" si="11"/>
        <v>48.674372390226509</v>
      </c>
    </row>
    <row r="77" spans="1:8" x14ac:dyDescent="0.25">
      <c r="B77">
        <v>52.28</v>
      </c>
      <c r="C77">
        <f t="shared" ca="1" si="10"/>
        <v>0.86250427248990758</v>
      </c>
      <c r="D77">
        <f t="shared" ca="1" si="11"/>
        <v>54.164446630121411</v>
      </c>
    </row>
    <row r="78" spans="1:8" x14ac:dyDescent="0.25">
      <c r="B78">
        <v>52.92</v>
      </c>
      <c r="C78">
        <f t="shared" ca="1" si="10"/>
        <v>0.32979595776923087</v>
      </c>
      <c r="D78">
        <f t="shared" ca="1" si="11"/>
        <v>53.986572364036356</v>
      </c>
    </row>
    <row r="79" spans="1:8" x14ac:dyDescent="0.25">
      <c r="B79">
        <v>44.84</v>
      </c>
      <c r="C79">
        <f t="shared" ca="1" si="10"/>
        <v>0.25619632796040925</v>
      </c>
      <c r="D79">
        <f t="shared" ca="1" si="11"/>
        <v>46.095445889377039</v>
      </c>
    </row>
    <row r="80" spans="1:8" x14ac:dyDescent="0.25">
      <c r="B80">
        <v>44.55</v>
      </c>
      <c r="C80">
        <f t="shared" ca="1" si="10"/>
        <v>0.66059843543971164</v>
      </c>
      <c r="D80">
        <f t="shared" ca="1" si="11"/>
        <v>46.766823783558785</v>
      </c>
    </row>
    <row r="81" spans="1:4" x14ac:dyDescent="0.25">
      <c r="B81">
        <v>47.62</v>
      </c>
      <c r="C81">
        <f t="shared" ca="1" si="10"/>
        <v>0.49270049920988535</v>
      </c>
      <c r="D81">
        <f t="shared" ca="1" si="11"/>
        <v>48.509292030424824</v>
      </c>
    </row>
    <row r="82" spans="1:4" x14ac:dyDescent="0.25">
      <c r="B82">
        <v>54.12</v>
      </c>
      <c r="C82">
        <f t="shared" ca="1" si="10"/>
        <v>1.3741260094378926E-2</v>
      </c>
      <c r="D82">
        <f t="shared" ca="1" si="11"/>
        <v>52.607500201373895</v>
      </c>
    </row>
    <row r="83" spans="1:4" x14ac:dyDescent="0.25">
      <c r="B83">
        <v>53.74</v>
      </c>
      <c r="C83">
        <f t="shared" ca="1" si="10"/>
        <v>0.75893229776396343</v>
      </c>
      <c r="D83">
        <f t="shared" ca="1" si="11"/>
        <v>56.551152902795678</v>
      </c>
    </row>
    <row r="84" spans="1:4" x14ac:dyDescent="0.25">
      <c r="B84">
        <v>49.03</v>
      </c>
      <c r="C84">
        <f t="shared" ca="1" si="10"/>
        <v>0.40504879615852274</v>
      </c>
      <c r="D84">
        <f t="shared" ca="1" si="11"/>
        <v>50.488786170624302</v>
      </c>
    </row>
    <row r="85" spans="1:4" x14ac:dyDescent="0.25">
      <c r="B85">
        <v>45.3</v>
      </c>
      <c r="C85">
        <f t="shared" ca="1" si="10"/>
        <v>0.79343993429021098</v>
      </c>
      <c r="D85">
        <f t="shared" ca="1" si="11"/>
        <v>50.415089461002964</v>
      </c>
    </row>
    <row r="86" spans="1:4" x14ac:dyDescent="0.25">
      <c r="B86">
        <v>49.83</v>
      </c>
      <c r="C86">
        <f t="shared" ca="1" si="10"/>
        <v>0.34423231076169136</v>
      </c>
      <c r="D86">
        <f t="shared" ca="1" si="11"/>
        <v>52.663155039893773</v>
      </c>
    </row>
    <row r="87" spans="1:4" x14ac:dyDescent="0.25">
      <c r="A87" t="s">
        <v>163</v>
      </c>
      <c r="B87">
        <v>48.06</v>
      </c>
      <c r="C87">
        <f t="shared" ca="1" si="10"/>
        <v>0.50771562092025535</v>
      </c>
      <c r="D87">
        <f t="shared" ca="1" si="11"/>
        <v>53.216825930705646</v>
      </c>
    </row>
    <row r="88" spans="1:4" x14ac:dyDescent="0.25">
      <c r="B88">
        <v>47</v>
      </c>
      <c r="C88">
        <f t="shared" ca="1" si="10"/>
        <v>0.9349210546636052</v>
      </c>
      <c r="D88">
        <f t="shared" ca="1" si="11"/>
        <v>36.344636361013649</v>
      </c>
    </row>
    <row r="89" spans="1:4" x14ac:dyDescent="0.25">
      <c r="B89">
        <v>48.39</v>
      </c>
      <c r="C89">
        <f t="shared" ca="1" si="10"/>
        <v>0.25182711222636633</v>
      </c>
      <c r="D89">
        <f t="shared" ca="1" si="11"/>
        <v>47.525156175624254</v>
      </c>
    </row>
    <row r="90" spans="1:4" x14ac:dyDescent="0.25">
      <c r="B90">
        <v>56.8</v>
      </c>
      <c r="C90">
        <f t="shared" ca="1" si="10"/>
        <v>0.36060442233804235</v>
      </c>
      <c r="D90">
        <f t="shared" ca="1" si="11"/>
        <v>50.560698245149737</v>
      </c>
    </row>
    <row r="91" spans="1:4" x14ac:dyDescent="0.25">
      <c r="B91">
        <v>49.07</v>
      </c>
      <c r="C91">
        <f t="shared" ca="1" si="10"/>
        <v>0.82773726923029645</v>
      </c>
      <c r="D91">
        <f t="shared" ca="1" si="11"/>
        <v>53.611289853913718</v>
      </c>
    </row>
    <row r="92" spans="1:4" x14ac:dyDescent="0.25">
      <c r="B92">
        <v>48.49</v>
      </c>
      <c r="C92">
        <f t="shared" ca="1" si="10"/>
        <v>0.65723526137727772</v>
      </c>
      <c r="D92">
        <f t="shared" ca="1" si="11"/>
        <v>53.596242564857498</v>
      </c>
    </row>
    <row r="93" spans="1:4" x14ac:dyDescent="0.25">
      <c r="B93">
        <v>39.090000000000003</v>
      </c>
      <c r="C93">
        <f t="shared" ca="1" si="10"/>
        <v>0.6751836799777502</v>
      </c>
      <c r="D93">
        <f t="shared" ca="1" si="11"/>
        <v>43.452665182730648</v>
      </c>
    </row>
    <row r="94" spans="1:4" x14ac:dyDescent="0.25">
      <c r="B94">
        <v>48</v>
      </c>
      <c r="C94">
        <f t="shared" ca="1" si="10"/>
        <v>0.698252141495455</v>
      </c>
      <c r="D94">
        <f t="shared" ca="1" si="11"/>
        <v>46.572020062885251</v>
      </c>
    </row>
    <row r="95" spans="1:4" x14ac:dyDescent="0.25">
      <c r="B95">
        <v>53.17</v>
      </c>
      <c r="C95">
        <f t="shared" ca="1" si="10"/>
        <v>0.83202284389546388</v>
      </c>
      <c r="D95">
        <f t="shared" ca="1" si="11"/>
        <v>57.987261073715189</v>
      </c>
    </row>
    <row r="96" spans="1:4" x14ac:dyDescent="0.25">
      <c r="B96">
        <v>50.94</v>
      </c>
      <c r="C96">
        <f t="shared" ca="1" si="10"/>
        <v>0.65478178854916036</v>
      </c>
      <c r="D96">
        <f t="shared" ca="1" si="11"/>
        <v>56.467411780216509</v>
      </c>
    </row>
    <row r="97" spans="2:4" x14ac:dyDescent="0.25">
      <c r="B97">
        <v>45</v>
      </c>
      <c r="C97">
        <f t="shared" ca="1" si="10"/>
        <v>0.14959919184932391</v>
      </c>
      <c r="D97">
        <f t="shared" ca="1" si="11"/>
        <v>48.343983201623089</v>
      </c>
    </row>
    <row r="98" spans="2:4" x14ac:dyDescent="0.25">
      <c r="B98">
        <v>53.4</v>
      </c>
      <c r="C98">
        <f t="shared" ca="1" si="10"/>
        <v>0.57040717431096666</v>
      </c>
      <c r="D98">
        <f t="shared" ca="1" si="11"/>
        <v>50.680986351434541</v>
      </c>
    </row>
    <row r="99" spans="2:4" x14ac:dyDescent="0.25">
      <c r="B99">
        <v>49.2</v>
      </c>
      <c r="C99">
        <f t="shared" ca="1" si="10"/>
        <v>0.94113095902491495</v>
      </c>
      <c r="D99">
        <f t="shared" ca="1" si="11"/>
        <v>58.511964793417008</v>
      </c>
    </row>
    <row r="100" spans="2:4" x14ac:dyDescent="0.25">
      <c r="B100">
        <v>54.5</v>
      </c>
      <c r="C100">
        <f t="shared" ca="1" si="10"/>
        <v>0.52119372124042451</v>
      </c>
      <c r="D100">
        <f t="shared" ca="1" si="11"/>
        <v>50.482791708737281</v>
      </c>
    </row>
    <row r="101" spans="2:4" x14ac:dyDescent="0.25">
      <c r="B101">
        <v>53.3</v>
      </c>
      <c r="C101">
        <f t="shared" ca="1" si="10"/>
        <v>0.57773793610805524</v>
      </c>
      <c r="D101">
        <f t="shared" ca="1" si="11"/>
        <v>46.24047617751868</v>
      </c>
    </row>
    <row r="102" spans="2:4" x14ac:dyDescent="0.25">
      <c r="B102">
        <v>53.2</v>
      </c>
      <c r="C102">
        <f t="shared" ca="1" si="10"/>
        <v>0.14691941245425744</v>
      </c>
      <c r="D102">
        <f t="shared" ca="1" si="11"/>
        <v>49.823725274513968</v>
      </c>
    </row>
    <row r="103" spans="2:4" x14ac:dyDescent="0.25">
      <c r="B103">
        <v>54.3</v>
      </c>
      <c r="C103">
        <f t="shared" ca="1" si="10"/>
        <v>0.42207836552369249</v>
      </c>
      <c r="D103">
        <f t="shared" ca="1" si="11"/>
        <v>48.277388894124073</v>
      </c>
    </row>
    <row r="104" spans="2:4" x14ac:dyDescent="0.25">
      <c r="B104">
        <v>54.3</v>
      </c>
      <c r="C104">
        <f t="shared" ca="1" si="10"/>
        <v>0.6090476262084763</v>
      </c>
      <c r="D104">
        <f t="shared" ca="1" si="11"/>
        <v>39.393682130589639</v>
      </c>
    </row>
    <row r="105" spans="2:4" x14ac:dyDescent="0.25">
      <c r="B105">
        <v>49.7</v>
      </c>
      <c r="C105">
        <f t="shared" ca="1" si="10"/>
        <v>0.55423570863482119</v>
      </c>
      <c r="D105">
        <f t="shared" ca="1" si="11"/>
        <v>53.929931396757802</v>
      </c>
    </row>
    <row r="106" spans="2:4" x14ac:dyDescent="0.25">
      <c r="B106">
        <v>48.7</v>
      </c>
      <c r="C106">
        <f t="shared" ca="1" si="10"/>
        <v>0.58351252723398961</v>
      </c>
      <c r="D106">
        <f t="shared" ca="1" si="11"/>
        <v>48.684002948480497</v>
      </c>
    </row>
    <row r="107" spans="2:4" x14ac:dyDescent="0.25">
      <c r="B107">
        <v>53</v>
      </c>
      <c r="C107">
        <f t="shared" ca="1" si="10"/>
        <v>0.54065438104381736</v>
      </c>
      <c r="D107">
        <f t="shared" ca="1" si="11"/>
        <v>37.925715420069892</v>
      </c>
    </row>
    <row r="108" spans="2:4" x14ac:dyDescent="0.25">
      <c r="B108">
        <v>48.7</v>
      </c>
      <c r="C108">
        <f t="shared" ca="1" si="10"/>
        <v>0.1260277060727667</v>
      </c>
      <c r="D108">
        <f t="shared" ca="1" si="11"/>
        <v>52.040065099197179</v>
      </c>
    </row>
    <row r="109" spans="2:4" x14ac:dyDescent="0.25">
      <c r="B109">
        <v>48</v>
      </c>
      <c r="C109">
        <f t="shared" ca="1" si="10"/>
        <v>0.72907333827434961</v>
      </c>
      <c r="D109">
        <f t="shared" ca="1" si="11"/>
        <v>49.378979247181569</v>
      </c>
    </row>
    <row r="110" spans="2:4" x14ac:dyDescent="0.25">
      <c r="B110">
        <v>53.3</v>
      </c>
      <c r="C110">
        <f t="shared" ca="1" si="10"/>
        <v>3.8594894856730955E-2</v>
      </c>
      <c r="D110">
        <f t="shared" ca="1" si="11"/>
        <v>50.516771444751782</v>
      </c>
    </row>
    <row r="111" spans="2:4" x14ac:dyDescent="0.25">
      <c r="D111">
        <f t="shared" ca="1" si="11"/>
        <v>43.233932392991683</v>
      </c>
    </row>
    <row r="112" spans="2:4" x14ac:dyDescent="0.25">
      <c r="D112">
        <f t="shared" ca="1" si="11"/>
        <v>50.724246655520716</v>
      </c>
    </row>
    <row r="113" spans="4:4" x14ac:dyDescent="0.25">
      <c r="D113">
        <f t="shared" ca="1" si="11"/>
        <v>51.256809634760408</v>
      </c>
    </row>
    <row r="114" spans="4:4" x14ac:dyDescent="0.25">
      <c r="D114">
        <f t="shared" ca="1" si="11"/>
        <v>46.337382844021406</v>
      </c>
    </row>
    <row r="115" spans="4:4" x14ac:dyDescent="0.25">
      <c r="D115">
        <f t="shared" ca="1" si="11"/>
        <v>40.217067987650552</v>
      </c>
    </row>
    <row r="116" spans="4:4" x14ac:dyDescent="0.25">
      <c r="D116">
        <f t="shared" ca="1" si="11"/>
        <v>55.805714062243496</v>
      </c>
    </row>
    <row r="117" spans="4:4" x14ac:dyDescent="0.25">
      <c r="D117">
        <f t="shared" ca="1" si="11"/>
        <v>55.553434729076692</v>
      </c>
    </row>
    <row r="118" spans="4:4" x14ac:dyDescent="0.25">
      <c r="D118">
        <f t="shared" ca="1" si="11"/>
        <v>47.506562354062474</v>
      </c>
    </row>
    <row r="119" spans="4:4" x14ac:dyDescent="0.25">
      <c r="D119">
        <f t="shared" ca="1" si="11"/>
        <v>47.794507786195283</v>
      </c>
    </row>
    <row r="120" spans="4:4" x14ac:dyDescent="0.25">
      <c r="D120">
        <f t="shared" ca="1" si="11"/>
        <v>52.487181275892752</v>
      </c>
    </row>
    <row r="121" spans="4:4" x14ac:dyDescent="0.25">
      <c r="D121">
        <f t="shared" ca="1" si="11"/>
        <v>60.91890155603533</v>
      </c>
    </row>
    <row r="122" spans="4:4" x14ac:dyDescent="0.25">
      <c r="D122">
        <f t="shared" ca="1" si="11"/>
        <v>46.194263210660871</v>
      </c>
    </row>
    <row r="123" spans="4:4" x14ac:dyDescent="0.25">
      <c r="D123">
        <f t="shared" ca="1" si="11"/>
        <v>43.239785207898777</v>
      </c>
    </row>
    <row r="124" spans="4:4" x14ac:dyDescent="0.25">
      <c r="D124">
        <f t="shared" ca="1" si="11"/>
        <v>46.573868404549373</v>
      </c>
    </row>
    <row r="125" spans="4:4" x14ac:dyDescent="0.25">
      <c r="D125">
        <f t="shared" ca="1" si="11"/>
        <v>49.600266309843022</v>
      </c>
    </row>
    <row r="126" spans="4:4" x14ac:dyDescent="0.25">
      <c r="D126">
        <f t="shared" ca="1" si="11"/>
        <v>58.363899038023114</v>
      </c>
    </row>
    <row r="127" spans="4:4" x14ac:dyDescent="0.25">
      <c r="D127">
        <f t="shared" ca="1" si="11"/>
        <v>45.581321601879047</v>
      </c>
    </row>
    <row r="128" spans="4:4" x14ac:dyDescent="0.25">
      <c r="D128">
        <f t="shared" ca="1" si="11"/>
        <v>52.268313736023572</v>
      </c>
    </row>
    <row r="129" spans="4:4" x14ac:dyDescent="0.25">
      <c r="D129">
        <f t="shared" ca="1" si="11"/>
        <v>45.899044136013195</v>
      </c>
    </row>
    <row r="130" spans="4:4" x14ac:dyDescent="0.25">
      <c r="D130">
        <f t="shared" ca="1" si="11"/>
        <v>54.948623803986671</v>
      </c>
    </row>
    <row r="131" spans="4:4" x14ac:dyDescent="0.25">
      <c r="D131">
        <f t="shared" ref="D131:D194" ca="1" si="15">_xlfn.T.INV(RAND(),25)*$G$3+$F$3</f>
        <v>46.78019048053612</v>
      </c>
    </row>
    <row r="132" spans="4:4" x14ac:dyDescent="0.25">
      <c r="D132">
        <f t="shared" ca="1" si="15"/>
        <v>52.03294243466398</v>
      </c>
    </row>
    <row r="133" spans="4:4" x14ac:dyDescent="0.25">
      <c r="D133">
        <f t="shared" ca="1" si="15"/>
        <v>49.34074834032883</v>
      </c>
    </row>
    <row r="134" spans="4:4" x14ac:dyDescent="0.25">
      <c r="D134">
        <f t="shared" ca="1" si="15"/>
        <v>50.700567327176302</v>
      </c>
    </row>
    <row r="135" spans="4:4" x14ac:dyDescent="0.25">
      <c r="D135">
        <f t="shared" ca="1" si="15"/>
        <v>47.561672167673812</v>
      </c>
    </row>
    <row r="136" spans="4:4" x14ac:dyDescent="0.25">
      <c r="D136">
        <f t="shared" ca="1" si="15"/>
        <v>54.125939294835533</v>
      </c>
    </row>
    <row r="137" spans="4:4" x14ac:dyDescent="0.25">
      <c r="D137">
        <f t="shared" ca="1" si="15"/>
        <v>62.218588783496344</v>
      </c>
    </row>
    <row r="138" spans="4:4" x14ac:dyDescent="0.25">
      <c r="D138">
        <f t="shared" ca="1" si="15"/>
        <v>50.923205021683778</v>
      </c>
    </row>
    <row r="139" spans="4:4" x14ac:dyDescent="0.25">
      <c r="D139">
        <f t="shared" ca="1" si="15"/>
        <v>52.879874587858097</v>
      </c>
    </row>
    <row r="140" spans="4:4" x14ac:dyDescent="0.25">
      <c r="D140">
        <f t="shared" ca="1" si="15"/>
        <v>51.027236812967644</v>
      </c>
    </row>
    <row r="141" spans="4:4" x14ac:dyDescent="0.25">
      <c r="D141">
        <f t="shared" ca="1" si="15"/>
        <v>49.851113147177713</v>
      </c>
    </row>
    <row r="142" spans="4:4" x14ac:dyDescent="0.25">
      <c r="D142">
        <f t="shared" ca="1" si="15"/>
        <v>48.74662663964282</v>
      </c>
    </row>
    <row r="143" spans="4:4" x14ac:dyDescent="0.25">
      <c r="D143">
        <f t="shared" ca="1" si="15"/>
        <v>39.872663274469254</v>
      </c>
    </row>
    <row r="144" spans="4:4" x14ac:dyDescent="0.25">
      <c r="D144">
        <f t="shared" ca="1" si="15"/>
        <v>48.787470096710983</v>
      </c>
    </row>
    <row r="145" spans="4:4" x14ac:dyDescent="0.25">
      <c r="D145">
        <f t="shared" ca="1" si="15"/>
        <v>51.558431512035995</v>
      </c>
    </row>
    <row r="146" spans="4:4" x14ac:dyDescent="0.25">
      <c r="D146">
        <f t="shared" ca="1" si="15"/>
        <v>50.1915039683537</v>
      </c>
    </row>
    <row r="147" spans="4:4" x14ac:dyDescent="0.25">
      <c r="D147">
        <f t="shared" ca="1" si="15"/>
        <v>44.804204635038602</v>
      </c>
    </row>
    <row r="148" spans="4:4" x14ac:dyDescent="0.25">
      <c r="D148">
        <f t="shared" ca="1" si="15"/>
        <v>54.508027597539922</v>
      </c>
    </row>
    <row r="149" spans="4:4" x14ac:dyDescent="0.25">
      <c r="D149">
        <f t="shared" ca="1" si="15"/>
        <v>55.991134019713186</v>
      </c>
    </row>
    <row r="150" spans="4:4" x14ac:dyDescent="0.25">
      <c r="D150">
        <f t="shared" ca="1" si="15"/>
        <v>44.146924606432748</v>
      </c>
    </row>
    <row r="151" spans="4:4" x14ac:dyDescent="0.25">
      <c r="D151">
        <f t="shared" ca="1" si="15"/>
        <v>46.552642537264894</v>
      </c>
    </row>
    <row r="152" spans="4:4" x14ac:dyDescent="0.25">
      <c r="D152">
        <f t="shared" ca="1" si="15"/>
        <v>52.715993872147749</v>
      </c>
    </row>
    <row r="153" spans="4:4" x14ac:dyDescent="0.25">
      <c r="D153">
        <f t="shared" ca="1" si="15"/>
        <v>47.580448394936766</v>
      </c>
    </row>
    <row r="154" spans="4:4" x14ac:dyDescent="0.25">
      <c r="D154">
        <f t="shared" ca="1" si="15"/>
        <v>54.327511294034785</v>
      </c>
    </row>
    <row r="155" spans="4:4" x14ac:dyDescent="0.25">
      <c r="D155">
        <f t="shared" ca="1" si="15"/>
        <v>52.33995158600321</v>
      </c>
    </row>
    <row r="156" spans="4:4" x14ac:dyDescent="0.25">
      <c r="D156">
        <f t="shared" ca="1" si="15"/>
        <v>52.058324273954064</v>
      </c>
    </row>
    <row r="157" spans="4:4" x14ac:dyDescent="0.25">
      <c r="D157">
        <f t="shared" ca="1" si="15"/>
        <v>52.260999982288382</v>
      </c>
    </row>
    <row r="158" spans="4:4" x14ac:dyDescent="0.25">
      <c r="D158">
        <f t="shared" ca="1" si="15"/>
        <v>53.710482006904272</v>
      </c>
    </row>
    <row r="159" spans="4:4" x14ac:dyDescent="0.25">
      <c r="D159">
        <f t="shared" ca="1" si="15"/>
        <v>44.365001834475891</v>
      </c>
    </row>
    <row r="160" spans="4:4" x14ac:dyDescent="0.25">
      <c r="D160">
        <f t="shared" ca="1" si="15"/>
        <v>44.492255638237282</v>
      </c>
    </row>
    <row r="161" spans="4:4" x14ac:dyDescent="0.25">
      <c r="D161">
        <f t="shared" ca="1" si="15"/>
        <v>57.258236404997831</v>
      </c>
    </row>
    <row r="162" spans="4:4" x14ac:dyDescent="0.25">
      <c r="D162">
        <f t="shared" ca="1" si="15"/>
        <v>47.13607753894982</v>
      </c>
    </row>
    <row r="163" spans="4:4" x14ac:dyDescent="0.25">
      <c r="D163">
        <f t="shared" ca="1" si="15"/>
        <v>56.462821532735994</v>
      </c>
    </row>
    <row r="164" spans="4:4" x14ac:dyDescent="0.25">
      <c r="D164">
        <f t="shared" ca="1" si="15"/>
        <v>49.876502105135842</v>
      </c>
    </row>
    <row r="165" spans="4:4" x14ac:dyDescent="0.25">
      <c r="D165">
        <f t="shared" ca="1" si="15"/>
        <v>47.081243618840404</v>
      </c>
    </row>
    <row r="166" spans="4:4" x14ac:dyDescent="0.25">
      <c r="D166">
        <f t="shared" ca="1" si="15"/>
        <v>51.88384500704948</v>
      </c>
    </row>
    <row r="167" spans="4:4" x14ac:dyDescent="0.25">
      <c r="D167">
        <f t="shared" ca="1" si="15"/>
        <v>47.404474531558272</v>
      </c>
    </row>
    <row r="168" spans="4:4" x14ac:dyDescent="0.25">
      <c r="D168">
        <f t="shared" ca="1" si="15"/>
        <v>51.775312709474626</v>
      </c>
    </row>
    <row r="169" spans="4:4" x14ac:dyDescent="0.25">
      <c r="D169">
        <f t="shared" ca="1" si="15"/>
        <v>55.02295567477865</v>
      </c>
    </row>
    <row r="170" spans="4:4" x14ac:dyDescent="0.25">
      <c r="D170">
        <f t="shared" ca="1" si="15"/>
        <v>52.765649597454207</v>
      </c>
    </row>
    <row r="171" spans="4:4" x14ac:dyDescent="0.25">
      <c r="D171">
        <f t="shared" ca="1" si="15"/>
        <v>50.891788285628571</v>
      </c>
    </row>
    <row r="172" spans="4:4" x14ac:dyDescent="0.25">
      <c r="D172">
        <f t="shared" ca="1" si="15"/>
        <v>51.244798675730124</v>
      </c>
    </row>
    <row r="173" spans="4:4" x14ac:dyDescent="0.25">
      <c r="D173">
        <f t="shared" ca="1" si="15"/>
        <v>55.820822175192568</v>
      </c>
    </row>
    <row r="174" spans="4:4" x14ac:dyDescent="0.25">
      <c r="D174">
        <f t="shared" ca="1" si="15"/>
        <v>49.300763691535323</v>
      </c>
    </row>
    <row r="175" spans="4:4" x14ac:dyDescent="0.25">
      <c r="D175">
        <f t="shared" ca="1" si="15"/>
        <v>41.036841569558995</v>
      </c>
    </row>
    <row r="176" spans="4:4" x14ac:dyDescent="0.25">
      <c r="D176">
        <f t="shared" ca="1" si="15"/>
        <v>50.763387286314334</v>
      </c>
    </row>
    <row r="177" spans="4:4" x14ac:dyDescent="0.25">
      <c r="D177">
        <f t="shared" ca="1" si="15"/>
        <v>52.266895947409786</v>
      </c>
    </row>
    <row r="178" spans="4:4" x14ac:dyDescent="0.25">
      <c r="D178">
        <f t="shared" ca="1" si="15"/>
        <v>47.949398983460483</v>
      </c>
    </row>
    <row r="179" spans="4:4" x14ac:dyDescent="0.25">
      <c r="D179">
        <f t="shared" ca="1" si="15"/>
        <v>54.106603393693725</v>
      </c>
    </row>
    <row r="180" spans="4:4" x14ac:dyDescent="0.25">
      <c r="D180">
        <f t="shared" ca="1" si="15"/>
        <v>52.781381903535163</v>
      </c>
    </row>
    <row r="181" spans="4:4" x14ac:dyDescent="0.25">
      <c r="D181">
        <f t="shared" ca="1" si="15"/>
        <v>49.132284666580283</v>
      </c>
    </row>
    <row r="182" spans="4:4" x14ac:dyDescent="0.25">
      <c r="D182">
        <f t="shared" ca="1" si="15"/>
        <v>48.520977162625648</v>
      </c>
    </row>
    <row r="183" spans="4:4" x14ac:dyDescent="0.25">
      <c r="D183">
        <f t="shared" ca="1" si="15"/>
        <v>52.136902459704551</v>
      </c>
    </row>
    <row r="184" spans="4:4" x14ac:dyDescent="0.25">
      <c r="D184">
        <f t="shared" ca="1" si="15"/>
        <v>43.781307484633828</v>
      </c>
    </row>
    <row r="185" spans="4:4" x14ac:dyDescent="0.25">
      <c r="D185">
        <f t="shared" ca="1" si="15"/>
        <v>42.99876375678307</v>
      </c>
    </row>
    <row r="186" spans="4:4" x14ac:dyDescent="0.25">
      <c r="D186">
        <f t="shared" ca="1" si="15"/>
        <v>61.065662839322066</v>
      </c>
    </row>
    <row r="187" spans="4:4" x14ac:dyDescent="0.25">
      <c r="D187">
        <f t="shared" ca="1" si="15"/>
        <v>44.265987516363481</v>
      </c>
    </row>
    <row r="188" spans="4:4" x14ac:dyDescent="0.25">
      <c r="D188">
        <f t="shared" ca="1" si="15"/>
        <v>50.52048184690058</v>
      </c>
    </row>
    <row r="189" spans="4:4" x14ac:dyDescent="0.25">
      <c r="D189">
        <f t="shared" ca="1" si="15"/>
        <v>48.103417240738771</v>
      </c>
    </row>
    <row r="190" spans="4:4" x14ac:dyDescent="0.25">
      <c r="D190">
        <f t="shared" ca="1" si="15"/>
        <v>46.067155683510848</v>
      </c>
    </row>
    <row r="191" spans="4:4" x14ac:dyDescent="0.25">
      <c r="D191">
        <f t="shared" ca="1" si="15"/>
        <v>49.167366382885021</v>
      </c>
    </row>
    <row r="192" spans="4:4" x14ac:dyDescent="0.25">
      <c r="D192">
        <f t="shared" ca="1" si="15"/>
        <v>48.938190861535141</v>
      </c>
    </row>
    <row r="193" spans="4:4" x14ac:dyDescent="0.25">
      <c r="D193">
        <f t="shared" ca="1" si="15"/>
        <v>43.965513228491886</v>
      </c>
    </row>
    <row r="194" spans="4:4" x14ac:dyDescent="0.25">
      <c r="D194">
        <f t="shared" ca="1" si="15"/>
        <v>50.540833757723142</v>
      </c>
    </row>
    <row r="195" spans="4:4" x14ac:dyDescent="0.25">
      <c r="D195">
        <f t="shared" ref="D195:D258" ca="1" si="16">_xlfn.T.INV(RAND(),25)*$G$3+$F$3</f>
        <v>46.622630330570715</v>
      </c>
    </row>
    <row r="196" spans="4:4" x14ac:dyDescent="0.25">
      <c r="D196">
        <f t="shared" ca="1" si="16"/>
        <v>49.076047774260481</v>
      </c>
    </row>
    <row r="197" spans="4:4" x14ac:dyDescent="0.25">
      <c r="D197">
        <f t="shared" ca="1" si="16"/>
        <v>53.188883707997014</v>
      </c>
    </row>
    <row r="198" spans="4:4" x14ac:dyDescent="0.25">
      <c r="D198">
        <f t="shared" ca="1" si="16"/>
        <v>50.782422209669043</v>
      </c>
    </row>
    <row r="199" spans="4:4" x14ac:dyDescent="0.25">
      <c r="D199">
        <f t="shared" ca="1" si="16"/>
        <v>40.517160511341622</v>
      </c>
    </row>
    <row r="200" spans="4:4" x14ac:dyDescent="0.25">
      <c r="D200">
        <f t="shared" ca="1" si="16"/>
        <v>55.981911340960885</v>
      </c>
    </row>
    <row r="201" spans="4:4" x14ac:dyDescent="0.25">
      <c r="D201">
        <f t="shared" ca="1" si="16"/>
        <v>41.209641036614002</v>
      </c>
    </row>
    <row r="202" spans="4:4" x14ac:dyDescent="0.25">
      <c r="D202">
        <f t="shared" ca="1" si="16"/>
        <v>47.304714669013116</v>
      </c>
    </row>
    <row r="203" spans="4:4" x14ac:dyDescent="0.25">
      <c r="D203">
        <f t="shared" ca="1" si="16"/>
        <v>49.561659478855027</v>
      </c>
    </row>
    <row r="204" spans="4:4" x14ac:dyDescent="0.25">
      <c r="D204">
        <f t="shared" ca="1" si="16"/>
        <v>43.357855934100428</v>
      </c>
    </row>
    <row r="205" spans="4:4" x14ac:dyDescent="0.25">
      <c r="D205">
        <f t="shared" ca="1" si="16"/>
        <v>48.395281524069375</v>
      </c>
    </row>
    <row r="206" spans="4:4" x14ac:dyDescent="0.25">
      <c r="D206">
        <f t="shared" ca="1" si="16"/>
        <v>52.864037971525505</v>
      </c>
    </row>
    <row r="207" spans="4:4" x14ac:dyDescent="0.25">
      <c r="D207">
        <f t="shared" ca="1" si="16"/>
        <v>50.688672163520437</v>
      </c>
    </row>
    <row r="208" spans="4:4" x14ac:dyDescent="0.25">
      <c r="D208">
        <f t="shared" ca="1" si="16"/>
        <v>44.99571413897533</v>
      </c>
    </row>
    <row r="209" spans="4:4" x14ac:dyDescent="0.25">
      <c r="D209">
        <f t="shared" ca="1" si="16"/>
        <v>50.117853795492074</v>
      </c>
    </row>
    <row r="210" spans="4:4" x14ac:dyDescent="0.25">
      <c r="D210">
        <f t="shared" ca="1" si="16"/>
        <v>47.711074783073485</v>
      </c>
    </row>
    <row r="211" spans="4:4" x14ac:dyDescent="0.25">
      <c r="D211">
        <f t="shared" ca="1" si="16"/>
        <v>51.683969635354337</v>
      </c>
    </row>
    <row r="212" spans="4:4" x14ac:dyDescent="0.25">
      <c r="D212">
        <f t="shared" ca="1" si="16"/>
        <v>53.067293232081475</v>
      </c>
    </row>
    <row r="213" spans="4:4" x14ac:dyDescent="0.25">
      <c r="D213">
        <f t="shared" ca="1" si="16"/>
        <v>52.249975559064801</v>
      </c>
    </row>
    <row r="214" spans="4:4" x14ac:dyDescent="0.25">
      <c r="D214">
        <f t="shared" ca="1" si="16"/>
        <v>48.56347009143623</v>
      </c>
    </row>
    <row r="215" spans="4:4" x14ac:dyDescent="0.25">
      <c r="D215">
        <f t="shared" ca="1" si="16"/>
        <v>51.280809237766825</v>
      </c>
    </row>
    <row r="216" spans="4:4" x14ac:dyDescent="0.25">
      <c r="D216">
        <f t="shared" ca="1" si="16"/>
        <v>53.431943975726391</v>
      </c>
    </row>
    <row r="217" spans="4:4" x14ac:dyDescent="0.25">
      <c r="D217">
        <f t="shared" ca="1" si="16"/>
        <v>44.261545662948556</v>
      </c>
    </row>
    <row r="218" spans="4:4" x14ac:dyDescent="0.25">
      <c r="D218">
        <f t="shared" ca="1" si="16"/>
        <v>57.594287786364248</v>
      </c>
    </row>
    <row r="219" spans="4:4" x14ac:dyDescent="0.25">
      <c r="D219">
        <f t="shared" ca="1" si="16"/>
        <v>47.940241836389312</v>
      </c>
    </row>
    <row r="220" spans="4:4" x14ac:dyDescent="0.25">
      <c r="D220">
        <f t="shared" ca="1" si="16"/>
        <v>49.89597148570693</v>
      </c>
    </row>
    <row r="221" spans="4:4" x14ac:dyDescent="0.25">
      <c r="D221">
        <f t="shared" ca="1" si="16"/>
        <v>48.349790134511615</v>
      </c>
    </row>
    <row r="222" spans="4:4" x14ac:dyDescent="0.25">
      <c r="D222">
        <f t="shared" ca="1" si="16"/>
        <v>46.759557637662766</v>
      </c>
    </row>
    <row r="223" spans="4:4" x14ac:dyDescent="0.25">
      <c r="D223">
        <f t="shared" ca="1" si="16"/>
        <v>51.396497506440376</v>
      </c>
    </row>
    <row r="224" spans="4:4" x14ac:dyDescent="0.25">
      <c r="D224">
        <f t="shared" ca="1" si="16"/>
        <v>55.203315904747896</v>
      </c>
    </row>
    <row r="225" spans="4:4" x14ac:dyDescent="0.25">
      <c r="D225">
        <f t="shared" ca="1" si="16"/>
        <v>54.015648459181797</v>
      </c>
    </row>
    <row r="226" spans="4:4" x14ac:dyDescent="0.25">
      <c r="D226">
        <f t="shared" ca="1" si="16"/>
        <v>51.042372339533571</v>
      </c>
    </row>
    <row r="227" spans="4:4" x14ac:dyDescent="0.25">
      <c r="D227">
        <f t="shared" ca="1" si="16"/>
        <v>46.159235773452032</v>
      </c>
    </row>
    <row r="228" spans="4:4" x14ac:dyDescent="0.25">
      <c r="D228">
        <f t="shared" ca="1" si="16"/>
        <v>54.030481105010551</v>
      </c>
    </row>
    <row r="229" spans="4:4" x14ac:dyDescent="0.25">
      <c r="D229">
        <f t="shared" ca="1" si="16"/>
        <v>54.999153860215635</v>
      </c>
    </row>
    <row r="230" spans="4:4" x14ac:dyDescent="0.25">
      <c r="D230">
        <f t="shared" ca="1" si="16"/>
        <v>54.283415961859824</v>
      </c>
    </row>
    <row r="231" spans="4:4" x14ac:dyDescent="0.25">
      <c r="D231">
        <f t="shared" ca="1" si="16"/>
        <v>56.456111151777989</v>
      </c>
    </row>
    <row r="232" spans="4:4" x14ac:dyDescent="0.25">
      <c r="D232">
        <f t="shared" ca="1" si="16"/>
        <v>49.581704128210752</v>
      </c>
    </row>
    <row r="233" spans="4:4" x14ac:dyDescent="0.25">
      <c r="D233">
        <f t="shared" ca="1" si="16"/>
        <v>50.283473548235101</v>
      </c>
    </row>
    <row r="234" spans="4:4" x14ac:dyDescent="0.25">
      <c r="D234">
        <f t="shared" ca="1" si="16"/>
        <v>55.232714130852756</v>
      </c>
    </row>
    <row r="235" spans="4:4" x14ac:dyDescent="0.25">
      <c r="D235">
        <f t="shared" ca="1" si="16"/>
        <v>55.0189066315451</v>
      </c>
    </row>
    <row r="236" spans="4:4" x14ac:dyDescent="0.25">
      <c r="D236">
        <f t="shared" ca="1" si="16"/>
        <v>47.749025205346911</v>
      </c>
    </row>
    <row r="237" spans="4:4" x14ac:dyDescent="0.25">
      <c r="D237">
        <f t="shared" ca="1" si="16"/>
        <v>49.072877261996268</v>
      </c>
    </row>
    <row r="238" spans="4:4" x14ac:dyDescent="0.25">
      <c r="D238">
        <f t="shared" ca="1" si="16"/>
        <v>47.908380512983776</v>
      </c>
    </row>
    <row r="239" spans="4:4" x14ac:dyDescent="0.25">
      <c r="D239">
        <f t="shared" ca="1" si="16"/>
        <v>53.606596213688313</v>
      </c>
    </row>
    <row r="240" spans="4:4" x14ac:dyDescent="0.25">
      <c r="D240">
        <f t="shared" ca="1" si="16"/>
        <v>49.728625053444098</v>
      </c>
    </row>
    <row r="241" spans="4:4" x14ac:dyDescent="0.25">
      <c r="D241">
        <f t="shared" ca="1" si="16"/>
        <v>44.946248513065406</v>
      </c>
    </row>
    <row r="242" spans="4:4" x14ac:dyDescent="0.25">
      <c r="D242">
        <f t="shared" ca="1" si="16"/>
        <v>56.072939277535468</v>
      </c>
    </row>
    <row r="243" spans="4:4" x14ac:dyDescent="0.25">
      <c r="D243">
        <f t="shared" ca="1" si="16"/>
        <v>46.779447604983474</v>
      </c>
    </row>
    <row r="244" spans="4:4" x14ac:dyDescent="0.25">
      <c r="D244">
        <f t="shared" ca="1" si="16"/>
        <v>51.506958729395421</v>
      </c>
    </row>
    <row r="245" spans="4:4" x14ac:dyDescent="0.25">
      <c r="D245">
        <f t="shared" ca="1" si="16"/>
        <v>59.205370118161419</v>
      </c>
    </row>
    <row r="246" spans="4:4" x14ac:dyDescent="0.25">
      <c r="D246">
        <f t="shared" ca="1" si="16"/>
        <v>51.052106480122546</v>
      </c>
    </row>
    <row r="247" spans="4:4" x14ac:dyDescent="0.25">
      <c r="D247">
        <f t="shared" ca="1" si="16"/>
        <v>46.495246686565395</v>
      </c>
    </row>
    <row r="248" spans="4:4" x14ac:dyDescent="0.25">
      <c r="D248">
        <f t="shared" ca="1" si="16"/>
        <v>50.848442232313069</v>
      </c>
    </row>
    <row r="249" spans="4:4" x14ac:dyDescent="0.25">
      <c r="D249">
        <f t="shared" ca="1" si="16"/>
        <v>53.250652909812239</v>
      </c>
    </row>
    <row r="250" spans="4:4" x14ac:dyDescent="0.25">
      <c r="D250">
        <f t="shared" ca="1" si="16"/>
        <v>56.828027563499241</v>
      </c>
    </row>
    <row r="251" spans="4:4" x14ac:dyDescent="0.25">
      <c r="D251">
        <f t="shared" ca="1" si="16"/>
        <v>51.291019694563204</v>
      </c>
    </row>
    <row r="252" spans="4:4" x14ac:dyDescent="0.25">
      <c r="D252">
        <f t="shared" ca="1" si="16"/>
        <v>39.52086021942732</v>
      </c>
    </row>
    <row r="253" spans="4:4" x14ac:dyDescent="0.25">
      <c r="D253">
        <f t="shared" ca="1" si="16"/>
        <v>52.734062392712332</v>
      </c>
    </row>
    <row r="254" spans="4:4" x14ac:dyDescent="0.25">
      <c r="D254">
        <f t="shared" ca="1" si="16"/>
        <v>42.756583564473772</v>
      </c>
    </row>
    <row r="255" spans="4:4" x14ac:dyDescent="0.25">
      <c r="D255">
        <f t="shared" ca="1" si="16"/>
        <v>51.046916055338841</v>
      </c>
    </row>
    <row r="256" spans="4:4" x14ac:dyDescent="0.25">
      <c r="D256">
        <f t="shared" ca="1" si="16"/>
        <v>47.260046975335065</v>
      </c>
    </row>
    <row r="257" spans="4:4" x14ac:dyDescent="0.25">
      <c r="D257">
        <f t="shared" ca="1" si="16"/>
        <v>41.733371324327081</v>
      </c>
    </row>
    <row r="258" spans="4:4" x14ac:dyDescent="0.25">
      <c r="D258">
        <f t="shared" ca="1" si="16"/>
        <v>50.081199125207995</v>
      </c>
    </row>
    <row r="259" spans="4:4" x14ac:dyDescent="0.25">
      <c r="D259">
        <f t="shared" ref="D259:D322" ca="1" si="17">_xlfn.T.INV(RAND(),25)*$G$3+$F$3</f>
        <v>44.491711371332954</v>
      </c>
    </row>
    <row r="260" spans="4:4" x14ac:dyDescent="0.25">
      <c r="D260">
        <f t="shared" ca="1" si="17"/>
        <v>46.861016908064961</v>
      </c>
    </row>
    <row r="261" spans="4:4" x14ac:dyDescent="0.25">
      <c r="D261">
        <f t="shared" ca="1" si="17"/>
        <v>53.422237298933517</v>
      </c>
    </row>
    <row r="262" spans="4:4" x14ac:dyDescent="0.25">
      <c r="D262">
        <f t="shared" ca="1" si="17"/>
        <v>40.316041026936475</v>
      </c>
    </row>
    <row r="263" spans="4:4" x14ac:dyDescent="0.25">
      <c r="D263">
        <f t="shared" ca="1" si="17"/>
        <v>42.80011646174114</v>
      </c>
    </row>
    <row r="264" spans="4:4" x14ac:dyDescent="0.25">
      <c r="D264">
        <f t="shared" ca="1" si="17"/>
        <v>43.303959069640364</v>
      </c>
    </row>
    <row r="265" spans="4:4" x14ac:dyDescent="0.25">
      <c r="D265">
        <f t="shared" ca="1" si="17"/>
        <v>47.25067448144074</v>
      </c>
    </row>
    <row r="266" spans="4:4" x14ac:dyDescent="0.25">
      <c r="D266">
        <f t="shared" ca="1" si="17"/>
        <v>55.815859061165852</v>
      </c>
    </row>
    <row r="267" spans="4:4" x14ac:dyDescent="0.25">
      <c r="D267">
        <f t="shared" ca="1" si="17"/>
        <v>47.993878285817232</v>
      </c>
    </row>
    <row r="268" spans="4:4" x14ac:dyDescent="0.25">
      <c r="D268">
        <f t="shared" ca="1" si="17"/>
        <v>41.966860224050635</v>
      </c>
    </row>
    <row r="269" spans="4:4" x14ac:dyDescent="0.25">
      <c r="D269">
        <f t="shared" ca="1" si="17"/>
        <v>46.673267121719348</v>
      </c>
    </row>
    <row r="270" spans="4:4" x14ac:dyDescent="0.25">
      <c r="D270">
        <f t="shared" ca="1" si="17"/>
        <v>51.046583778187859</v>
      </c>
    </row>
    <row r="271" spans="4:4" x14ac:dyDescent="0.25">
      <c r="D271">
        <f t="shared" ca="1" si="17"/>
        <v>51.418490125862206</v>
      </c>
    </row>
    <row r="272" spans="4:4" x14ac:dyDescent="0.25">
      <c r="D272">
        <f t="shared" ca="1" si="17"/>
        <v>54.292819779244752</v>
      </c>
    </row>
    <row r="273" spans="4:4" x14ac:dyDescent="0.25">
      <c r="D273">
        <f t="shared" ca="1" si="17"/>
        <v>47.285249317729615</v>
      </c>
    </row>
    <row r="274" spans="4:4" x14ac:dyDescent="0.25">
      <c r="D274">
        <f t="shared" ca="1" si="17"/>
        <v>48.123805225222064</v>
      </c>
    </row>
    <row r="275" spans="4:4" x14ac:dyDescent="0.25">
      <c r="D275">
        <f t="shared" ca="1" si="17"/>
        <v>42.470145762765931</v>
      </c>
    </row>
    <row r="276" spans="4:4" x14ac:dyDescent="0.25">
      <c r="D276">
        <f t="shared" ca="1" si="17"/>
        <v>45.369030587971324</v>
      </c>
    </row>
    <row r="277" spans="4:4" x14ac:dyDescent="0.25">
      <c r="D277">
        <f t="shared" ca="1" si="17"/>
        <v>47.375566419865052</v>
      </c>
    </row>
    <row r="278" spans="4:4" x14ac:dyDescent="0.25">
      <c r="D278">
        <f t="shared" ca="1" si="17"/>
        <v>42.741976594528879</v>
      </c>
    </row>
    <row r="279" spans="4:4" x14ac:dyDescent="0.25">
      <c r="D279">
        <f t="shared" ca="1" si="17"/>
        <v>54.206476901846571</v>
      </c>
    </row>
    <row r="280" spans="4:4" x14ac:dyDescent="0.25">
      <c r="D280">
        <f t="shared" ca="1" si="17"/>
        <v>48.705686396071314</v>
      </c>
    </row>
    <row r="281" spans="4:4" x14ac:dyDescent="0.25">
      <c r="D281">
        <f t="shared" ca="1" si="17"/>
        <v>49.888711870962233</v>
      </c>
    </row>
    <row r="282" spans="4:4" x14ac:dyDescent="0.25">
      <c r="D282">
        <f t="shared" ca="1" si="17"/>
        <v>54.175283202486384</v>
      </c>
    </row>
    <row r="283" spans="4:4" x14ac:dyDescent="0.25">
      <c r="D283">
        <f t="shared" ca="1" si="17"/>
        <v>46.469721797509258</v>
      </c>
    </row>
    <row r="284" spans="4:4" x14ac:dyDescent="0.25">
      <c r="D284">
        <f t="shared" ca="1" si="17"/>
        <v>50.193509802324087</v>
      </c>
    </row>
    <row r="285" spans="4:4" x14ac:dyDescent="0.25">
      <c r="D285">
        <f t="shared" ca="1" si="17"/>
        <v>53.767269224666791</v>
      </c>
    </row>
    <row r="286" spans="4:4" x14ac:dyDescent="0.25">
      <c r="D286">
        <f t="shared" ca="1" si="17"/>
        <v>51.234449197997662</v>
      </c>
    </row>
    <row r="287" spans="4:4" x14ac:dyDescent="0.25">
      <c r="D287">
        <f t="shared" ca="1" si="17"/>
        <v>45.816998118119706</v>
      </c>
    </row>
    <row r="288" spans="4:4" x14ac:dyDescent="0.25">
      <c r="D288">
        <f t="shared" ca="1" si="17"/>
        <v>45.191544327744829</v>
      </c>
    </row>
    <row r="289" spans="4:4" x14ac:dyDescent="0.25">
      <c r="D289">
        <f t="shared" ca="1" si="17"/>
        <v>52.909676110841261</v>
      </c>
    </row>
    <row r="290" spans="4:4" x14ac:dyDescent="0.25">
      <c r="D290">
        <f t="shared" ca="1" si="17"/>
        <v>47.576484904476459</v>
      </c>
    </row>
    <row r="291" spans="4:4" x14ac:dyDescent="0.25">
      <c r="D291">
        <f t="shared" ca="1" si="17"/>
        <v>51.243333599180971</v>
      </c>
    </row>
    <row r="292" spans="4:4" x14ac:dyDescent="0.25">
      <c r="D292">
        <f t="shared" ca="1" si="17"/>
        <v>52.799076986393189</v>
      </c>
    </row>
    <row r="293" spans="4:4" x14ac:dyDescent="0.25">
      <c r="D293">
        <f t="shared" ca="1" si="17"/>
        <v>46.670246183218616</v>
      </c>
    </row>
    <row r="294" spans="4:4" x14ac:dyDescent="0.25">
      <c r="D294">
        <f t="shared" ca="1" si="17"/>
        <v>55.559938349259106</v>
      </c>
    </row>
    <row r="295" spans="4:4" x14ac:dyDescent="0.25">
      <c r="D295">
        <f t="shared" ca="1" si="17"/>
        <v>56.979703433928094</v>
      </c>
    </row>
    <row r="296" spans="4:4" x14ac:dyDescent="0.25">
      <c r="D296">
        <f t="shared" ca="1" si="17"/>
        <v>49.341516113495217</v>
      </c>
    </row>
    <row r="297" spans="4:4" x14ac:dyDescent="0.25">
      <c r="D297">
        <f t="shared" ca="1" si="17"/>
        <v>47.165440053192825</v>
      </c>
    </row>
    <row r="298" spans="4:4" x14ac:dyDescent="0.25">
      <c r="D298">
        <f t="shared" ca="1" si="17"/>
        <v>55.153844567259455</v>
      </c>
    </row>
    <row r="299" spans="4:4" x14ac:dyDescent="0.25">
      <c r="D299">
        <f t="shared" ca="1" si="17"/>
        <v>48.818831318459615</v>
      </c>
    </row>
    <row r="300" spans="4:4" x14ac:dyDescent="0.25">
      <c r="D300">
        <f t="shared" ca="1" si="17"/>
        <v>46.498700916498535</v>
      </c>
    </row>
    <row r="301" spans="4:4" x14ac:dyDescent="0.25">
      <c r="D301">
        <f t="shared" ca="1" si="17"/>
        <v>52.074902461662106</v>
      </c>
    </row>
    <row r="302" spans="4:4" x14ac:dyDescent="0.25">
      <c r="D302">
        <f t="shared" ca="1" si="17"/>
        <v>44.009359163172284</v>
      </c>
    </row>
    <row r="303" spans="4:4" x14ac:dyDescent="0.25">
      <c r="D303">
        <f t="shared" ca="1" si="17"/>
        <v>45.321439012359292</v>
      </c>
    </row>
    <row r="304" spans="4:4" x14ac:dyDescent="0.25">
      <c r="D304">
        <f t="shared" ca="1" si="17"/>
        <v>52.342215821415131</v>
      </c>
    </row>
    <row r="305" spans="4:4" x14ac:dyDescent="0.25">
      <c r="D305">
        <f t="shared" ca="1" si="17"/>
        <v>33.197830278301161</v>
      </c>
    </row>
    <row r="306" spans="4:4" x14ac:dyDescent="0.25">
      <c r="D306">
        <f t="shared" ca="1" si="17"/>
        <v>53.451113648637374</v>
      </c>
    </row>
    <row r="307" spans="4:4" x14ac:dyDescent="0.25">
      <c r="D307">
        <f t="shared" ca="1" si="17"/>
        <v>44.861788915407374</v>
      </c>
    </row>
    <row r="308" spans="4:4" x14ac:dyDescent="0.25">
      <c r="D308">
        <f t="shared" ca="1" si="17"/>
        <v>58.34616149415119</v>
      </c>
    </row>
    <row r="309" spans="4:4" x14ac:dyDescent="0.25">
      <c r="D309">
        <f t="shared" ca="1" si="17"/>
        <v>51.075849756671602</v>
      </c>
    </row>
    <row r="310" spans="4:4" x14ac:dyDescent="0.25">
      <c r="D310">
        <f t="shared" ca="1" si="17"/>
        <v>54.130932046689175</v>
      </c>
    </row>
    <row r="311" spans="4:4" x14ac:dyDescent="0.25">
      <c r="D311">
        <f t="shared" ca="1" si="17"/>
        <v>54.925189013361603</v>
      </c>
    </row>
    <row r="312" spans="4:4" x14ac:dyDescent="0.25">
      <c r="D312">
        <f t="shared" ca="1" si="17"/>
        <v>49.468120777256232</v>
      </c>
    </row>
    <row r="313" spans="4:4" x14ac:dyDescent="0.25">
      <c r="D313">
        <f t="shared" ca="1" si="17"/>
        <v>53.938715691909614</v>
      </c>
    </row>
    <row r="314" spans="4:4" x14ac:dyDescent="0.25">
      <c r="D314">
        <f t="shared" ca="1" si="17"/>
        <v>41.422066195141774</v>
      </c>
    </row>
    <row r="315" spans="4:4" x14ac:dyDescent="0.25">
      <c r="D315">
        <f t="shared" ca="1" si="17"/>
        <v>48.620070635989897</v>
      </c>
    </row>
    <row r="316" spans="4:4" x14ac:dyDescent="0.25">
      <c r="D316">
        <f t="shared" ca="1" si="17"/>
        <v>54.659326212782645</v>
      </c>
    </row>
    <row r="317" spans="4:4" x14ac:dyDescent="0.25">
      <c r="D317">
        <f t="shared" ca="1" si="17"/>
        <v>51.271134229684421</v>
      </c>
    </row>
    <row r="318" spans="4:4" x14ac:dyDescent="0.25">
      <c r="D318">
        <f t="shared" ca="1" si="17"/>
        <v>48.645965817031183</v>
      </c>
    </row>
    <row r="319" spans="4:4" x14ac:dyDescent="0.25">
      <c r="D319">
        <f t="shared" ca="1" si="17"/>
        <v>47.690510350391961</v>
      </c>
    </row>
    <row r="320" spans="4:4" x14ac:dyDescent="0.25">
      <c r="D320">
        <f t="shared" ca="1" si="17"/>
        <v>50.192182326389087</v>
      </c>
    </row>
    <row r="321" spans="4:4" x14ac:dyDescent="0.25">
      <c r="D321">
        <f t="shared" ca="1" si="17"/>
        <v>49.886418048021049</v>
      </c>
    </row>
    <row r="322" spans="4:4" x14ac:dyDescent="0.25">
      <c r="D322">
        <f t="shared" ca="1" si="17"/>
        <v>39.806527371898426</v>
      </c>
    </row>
    <row r="323" spans="4:4" x14ac:dyDescent="0.25">
      <c r="D323">
        <f t="shared" ref="D323:D386" ca="1" si="18">_xlfn.T.INV(RAND(),25)*$G$3+$F$3</f>
        <v>50.378394159678976</v>
      </c>
    </row>
    <row r="324" spans="4:4" x14ac:dyDescent="0.25">
      <c r="D324">
        <f t="shared" ca="1" si="18"/>
        <v>43.895669546657118</v>
      </c>
    </row>
    <row r="325" spans="4:4" x14ac:dyDescent="0.25">
      <c r="D325">
        <f t="shared" ca="1" si="18"/>
        <v>54.279318585457069</v>
      </c>
    </row>
    <row r="326" spans="4:4" x14ac:dyDescent="0.25">
      <c r="D326">
        <f t="shared" ca="1" si="18"/>
        <v>54.052519949013785</v>
      </c>
    </row>
    <row r="327" spans="4:4" x14ac:dyDescent="0.25">
      <c r="D327">
        <f t="shared" ca="1" si="18"/>
        <v>50.848850949770366</v>
      </c>
    </row>
    <row r="328" spans="4:4" x14ac:dyDescent="0.25">
      <c r="D328">
        <f t="shared" ca="1" si="18"/>
        <v>52.081018813602938</v>
      </c>
    </row>
    <row r="329" spans="4:4" x14ac:dyDescent="0.25">
      <c r="D329">
        <f t="shared" ca="1" si="18"/>
        <v>53.47692256214053</v>
      </c>
    </row>
    <row r="330" spans="4:4" x14ac:dyDescent="0.25">
      <c r="D330">
        <f t="shared" ca="1" si="18"/>
        <v>46.438595064907531</v>
      </c>
    </row>
    <row r="331" spans="4:4" x14ac:dyDescent="0.25">
      <c r="D331">
        <f t="shared" ca="1" si="18"/>
        <v>40.877646254971935</v>
      </c>
    </row>
    <row r="332" spans="4:4" x14ac:dyDescent="0.25">
      <c r="D332">
        <f t="shared" ca="1" si="18"/>
        <v>45.810823364834739</v>
      </c>
    </row>
    <row r="333" spans="4:4" x14ac:dyDescent="0.25">
      <c r="D333">
        <f t="shared" ca="1" si="18"/>
        <v>53.28492867893732</v>
      </c>
    </row>
    <row r="334" spans="4:4" x14ac:dyDescent="0.25">
      <c r="D334">
        <f t="shared" ca="1" si="18"/>
        <v>54.453183264537778</v>
      </c>
    </row>
    <row r="335" spans="4:4" x14ac:dyDescent="0.25">
      <c r="D335">
        <f t="shared" ca="1" si="18"/>
        <v>45.806638894586463</v>
      </c>
    </row>
    <row r="336" spans="4:4" x14ac:dyDescent="0.25">
      <c r="D336">
        <f t="shared" ca="1" si="18"/>
        <v>45.408945372526546</v>
      </c>
    </row>
    <row r="337" spans="4:4" x14ac:dyDescent="0.25">
      <c r="D337">
        <f t="shared" ca="1" si="18"/>
        <v>48.979554880618359</v>
      </c>
    </row>
    <row r="338" spans="4:4" x14ac:dyDescent="0.25">
      <c r="D338">
        <f t="shared" ca="1" si="18"/>
        <v>52.611550951875074</v>
      </c>
    </row>
    <row r="339" spans="4:4" x14ac:dyDescent="0.25">
      <c r="D339">
        <f t="shared" ca="1" si="18"/>
        <v>49.399484115709363</v>
      </c>
    </row>
    <row r="340" spans="4:4" x14ac:dyDescent="0.25">
      <c r="D340">
        <f t="shared" ca="1" si="18"/>
        <v>54.280569708080584</v>
      </c>
    </row>
    <row r="341" spans="4:4" x14ac:dyDescent="0.25">
      <c r="D341">
        <f t="shared" ca="1" si="18"/>
        <v>49.055573968000424</v>
      </c>
    </row>
    <row r="342" spans="4:4" x14ac:dyDescent="0.25">
      <c r="D342">
        <f t="shared" ca="1" si="18"/>
        <v>46.341293768531365</v>
      </c>
    </row>
    <row r="343" spans="4:4" x14ac:dyDescent="0.25">
      <c r="D343">
        <f t="shared" ca="1" si="18"/>
        <v>50.85856306088737</v>
      </c>
    </row>
    <row r="344" spans="4:4" x14ac:dyDescent="0.25">
      <c r="D344">
        <f t="shared" ca="1" si="18"/>
        <v>46.302949498092097</v>
      </c>
    </row>
    <row r="345" spans="4:4" x14ac:dyDescent="0.25">
      <c r="D345">
        <f t="shared" ca="1" si="18"/>
        <v>44.689634559047306</v>
      </c>
    </row>
    <row r="346" spans="4:4" x14ac:dyDescent="0.25">
      <c r="D346">
        <f t="shared" ca="1" si="18"/>
        <v>46.408971964275104</v>
      </c>
    </row>
    <row r="347" spans="4:4" x14ac:dyDescent="0.25">
      <c r="D347">
        <f t="shared" ca="1" si="18"/>
        <v>42.342527844844938</v>
      </c>
    </row>
    <row r="348" spans="4:4" x14ac:dyDescent="0.25">
      <c r="D348">
        <f t="shared" ca="1" si="18"/>
        <v>40.789813516631057</v>
      </c>
    </row>
    <row r="349" spans="4:4" x14ac:dyDescent="0.25">
      <c r="D349">
        <f t="shared" ca="1" si="18"/>
        <v>52.927571260301754</v>
      </c>
    </row>
    <row r="350" spans="4:4" x14ac:dyDescent="0.25">
      <c r="D350">
        <f t="shared" ca="1" si="18"/>
        <v>49.490427951302991</v>
      </c>
    </row>
    <row r="351" spans="4:4" x14ac:dyDescent="0.25">
      <c r="D351">
        <f t="shared" ca="1" si="18"/>
        <v>43.69739703220737</v>
      </c>
    </row>
    <row r="352" spans="4:4" x14ac:dyDescent="0.25">
      <c r="D352">
        <f t="shared" ca="1" si="18"/>
        <v>48.661182099723391</v>
      </c>
    </row>
    <row r="353" spans="4:4" x14ac:dyDescent="0.25">
      <c r="D353">
        <f t="shared" ca="1" si="18"/>
        <v>47.610674950645219</v>
      </c>
    </row>
    <row r="354" spans="4:4" x14ac:dyDescent="0.25">
      <c r="D354">
        <f t="shared" ca="1" si="18"/>
        <v>53.296829395387022</v>
      </c>
    </row>
    <row r="355" spans="4:4" x14ac:dyDescent="0.25">
      <c r="D355">
        <f t="shared" ca="1" si="18"/>
        <v>47.53940644589651</v>
      </c>
    </row>
    <row r="356" spans="4:4" x14ac:dyDescent="0.25">
      <c r="D356">
        <f t="shared" ca="1" si="18"/>
        <v>52.3368529048292</v>
      </c>
    </row>
    <row r="357" spans="4:4" x14ac:dyDescent="0.25">
      <c r="D357">
        <f t="shared" ca="1" si="18"/>
        <v>45.008541605141559</v>
      </c>
    </row>
    <row r="358" spans="4:4" x14ac:dyDescent="0.25">
      <c r="D358">
        <f t="shared" ca="1" si="18"/>
        <v>40.604205240238585</v>
      </c>
    </row>
    <row r="359" spans="4:4" x14ac:dyDescent="0.25">
      <c r="D359">
        <f t="shared" ca="1" si="18"/>
        <v>62.140549220018492</v>
      </c>
    </row>
    <row r="360" spans="4:4" x14ac:dyDescent="0.25">
      <c r="D360">
        <f t="shared" ca="1" si="18"/>
        <v>44.70295448622889</v>
      </c>
    </row>
    <row r="361" spans="4:4" x14ac:dyDescent="0.25">
      <c r="D361">
        <f t="shared" ca="1" si="18"/>
        <v>64.984954730780615</v>
      </c>
    </row>
    <row r="362" spans="4:4" x14ac:dyDescent="0.25">
      <c r="D362">
        <f t="shared" ca="1" si="18"/>
        <v>46.172990136102143</v>
      </c>
    </row>
    <row r="363" spans="4:4" x14ac:dyDescent="0.25">
      <c r="D363">
        <f t="shared" ca="1" si="18"/>
        <v>48.64294530553758</v>
      </c>
    </row>
    <row r="364" spans="4:4" x14ac:dyDescent="0.25">
      <c r="D364">
        <f t="shared" ca="1" si="18"/>
        <v>50.360553607144851</v>
      </c>
    </row>
    <row r="365" spans="4:4" x14ac:dyDescent="0.25">
      <c r="D365">
        <f t="shared" ca="1" si="18"/>
        <v>51.809032566572981</v>
      </c>
    </row>
    <row r="366" spans="4:4" x14ac:dyDescent="0.25">
      <c r="D366">
        <f t="shared" ca="1" si="18"/>
        <v>51.164951739344446</v>
      </c>
    </row>
    <row r="367" spans="4:4" x14ac:dyDescent="0.25">
      <c r="D367">
        <f t="shared" ca="1" si="18"/>
        <v>50.926918449509081</v>
      </c>
    </row>
    <row r="368" spans="4:4" x14ac:dyDescent="0.25">
      <c r="D368">
        <f t="shared" ca="1" si="18"/>
        <v>47.55690928415293</v>
      </c>
    </row>
    <row r="369" spans="4:4" x14ac:dyDescent="0.25">
      <c r="D369">
        <f t="shared" ca="1" si="18"/>
        <v>57.150677304570628</v>
      </c>
    </row>
    <row r="370" spans="4:4" x14ac:dyDescent="0.25">
      <c r="D370">
        <f t="shared" ca="1" si="18"/>
        <v>56.470114780529869</v>
      </c>
    </row>
    <row r="371" spans="4:4" x14ac:dyDescent="0.25">
      <c r="D371">
        <f t="shared" ca="1" si="18"/>
        <v>49.747709171297473</v>
      </c>
    </row>
    <row r="372" spans="4:4" x14ac:dyDescent="0.25">
      <c r="D372">
        <f t="shared" ca="1" si="18"/>
        <v>40.863612110916627</v>
      </c>
    </row>
    <row r="373" spans="4:4" x14ac:dyDescent="0.25">
      <c r="D373">
        <f t="shared" ca="1" si="18"/>
        <v>51.045130666360606</v>
      </c>
    </row>
    <row r="374" spans="4:4" x14ac:dyDescent="0.25">
      <c r="D374">
        <f t="shared" ca="1" si="18"/>
        <v>51.929198323647576</v>
      </c>
    </row>
    <row r="375" spans="4:4" x14ac:dyDescent="0.25">
      <c r="D375">
        <f t="shared" ca="1" si="18"/>
        <v>46.581768722759527</v>
      </c>
    </row>
    <row r="376" spans="4:4" x14ac:dyDescent="0.25">
      <c r="D376">
        <f t="shared" ca="1" si="18"/>
        <v>52.798126307101185</v>
      </c>
    </row>
    <row r="377" spans="4:4" x14ac:dyDescent="0.25">
      <c r="D377">
        <f t="shared" ca="1" si="18"/>
        <v>50.586167572487703</v>
      </c>
    </row>
    <row r="378" spans="4:4" x14ac:dyDescent="0.25">
      <c r="D378">
        <f t="shared" ca="1" si="18"/>
        <v>60.817263766631918</v>
      </c>
    </row>
    <row r="379" spans="4:4" x14ac:dyDescent="0.25">
      <c r="D379">
        <f t="shared" ca="1" si="18"/>
        <v>50.41804036953242</v>
      </c>
    </row>
    <row r="380" spans="4:4" x14ac:dyDescent="0.25">
      <c r="D380">
        <f t="shared" ca="1" si="18"/>
        <v>53.00332317295414</v>
      </c>
    </row>
    <row r="381" spans="4:4" x14ac:dyDescent="0.25">
      <c r="D381">
        <f t="shared" ca="1" si="18"/>
        <v>54.151654521892191</v>
      </c>
    </row>
    <row r="382" spans="4:4" x14ac:dyDescent="0.25">
      <c r="D382">
        <f t="shared" ca="1" si="18"/>
        <v>41.628046526613375</v>
      </c>
    </row>
    <row r="383" spans="4:4" x14ac:dyDescent="0.25">
      <c r="D383">
        <f t="shared" ca="1" si="18"/>
        <v>45.894703942256108</v>
      </c>
    </row>
    <row r="384" spans="4:4" x14ac:dyDescent="0.25">
      <c r="D384">
        <f t="shared" ca="1" si="18"/>
        <v>50.210834572136051</v>
      </c>
    </row>
    <row r="385" spans="4:4" x14ac:dyDescent="0.25">
      <c r="D385">
        <f t="shared" ca="1" si="18"/>
        <v>55.411474566088692</v>
      </c>
    </row>
    <row r="386" spans="4:4" x14ac:dyDescent="0.25">
      <c r="D386">
        <f t="shared" ca="1" si="18"/>
        <v>48.275905950044006</v>
      </c>
    </row>
    <row r="387" spans="4:4" x14ac:dyDescent="0.25">
      <c r="D387">
        <f t="shared" ref="D387:D450" ca="1" si="19">_xlfn.T.INV(RAND(),25)*$G$3+$F$3</f>
        <v>45.277908554884505</v>
      </c>
    </row>
    <row r="388" spans="4:4" x14ac:dyDescent="0.25">
      <c r="D388">
        <f t="shared" ca="1" si="19"/>
        <v>44.757512423937186</v>
      </c>
    </row>
    <row r="389" spans="4:4" x14ac:dyDescent="0.25">
      <c r="D389">
        <f t="shared" ca="1" si="19"/>
        <v>47.944457314167074</v>
      </c>
    </row>
    <row r="390" spans="4:4" x14ac:dyDescent="0.25">
      <c r="D390">
        <f t="shared" ca="1" si="19"/>
        <v>50.803902123950905</v>
      </c>
    </row>
    <row r="391" spans="4:4" x14ac:dyDescent="0.25">
      <c r="D391">
        <f t="shared" ca="1" si="19"/>
        <v>51.284071045130631</v>
      </c>
    </row>
    <row r="392" spans="4:4" x14ac:dyDescent="0.25">
      <c r="D392">
        <f t="shared" ca="1" si="19"/>
        <v>48.221028197616995</v>
      </c>
    </row>
    <row r="393" spans="4:4" x14ac:dyDescent="0.25">
      <c r="D393">
        <f t="shared" ca="1" si="19"/>
        <v>42.199421156086785</v>
      </c>
    </row>
    <row r="394" spans="4:4" x14ac:dyDescent="0.25">
      <c r="D394">
        <f t="shared" ca="1" si="19"/>
        <v>51.837761254232717</v>
      </c>
    </row>
    <row r="395" spans="4:4" x14ac:dyDescent="0.25">
      <c r="D395">
        <f t="shared" ca="1" si="19"/>
        <v>43.905888350533331</v>
      </c>
    </row>
    <row r="396" spans="4:4" x14ac:dyDescent="0.25">
      <c r="D396">
        <f t="shared" ca="1" si="19"/>
        <v>47.275437496534174</v>
      </c>
    </row>
    <row r="397" spans="4:4" x14ac:dyDescent="0.25">
      <c r="D397">
        <f t="shared" ca="1" si="19"/>
        <v>42.24573533758997</v>
      </c>
    </row>
    <row r="398" spans="4:4" x14ac:dyDescent="0.25">
      <c r="D398">
        <f t="shared" ca="1" si="19"/>
        <v>47.699353956052057</v>
      </c>
    </row>
    <row r="399" spans="4:4" x14ac:dyDescent="0.25">
      <c r="D399">
        <f t="shared" ca="1" si="19"/>
        <v>49.559625347574602</v>
      </c>
    </row>
    <row r="400" spans="4:4" x14ac:dyDescent="0.25">
      <c r="D400">
        <f t="shared" ca="1" si="19"/>
        <v>48.544582150193492</v>
      </c>
    </row>
    <row r="401" spans="4:4" x14ac:dyDescent="0.25">
      <c r="D401">
        <f t="shared" ca="1" si="19"/>
        <v>51.14138643307335</v>
      </c>
    </row>
    <row r="402" spans="4:4" x14ac:dyDescent="0.25">
      <c r="D402">
        <f t="shared" ca="1" si="19"/>
        <v>51.893777639435882</v>
      </c>
    </row>
    <row r="403" spans="4:4" x14ac:dyDescent="0.25">
      <c r="D403">
        <f t="shared" ca="1" si="19"/>
        <v>50.888194818919892</v>
      </c>
    </row>
    <row r="404" spans="4:4" x14ac:dyDescent="0.25">
      <c r="D404">
        <f t="shared" ca="1" si="19"/>
        <v>54.067590321983033</v>
      </c>
    </row>
    <row r="405" spans="4:4" x14ac:dyDescent="0.25">
      <c r="D405">
        <f t="shared" ca="1" si="19"/>
        <v>52.924349356669879</v>
      </c>
    </row>
    <row r="406" spans="4:4" x14ac:dyDescent="0.25">
      <c r="D406">
        <f t="shared" ca="1" si="19"/>
        <v>51.888947410435449</v>
      </c>
    </row>
    <row r="407" spans="4:4" x14ac:dyDescent="0.25">
      <c r="D407">
        <f t="shared" ca="1" si="19"/>
        <v>52.825528085712151</v>
      </c>
    </row>
    <row r="408" spans="4:4" x14ac:dyDescent="0.25">
      <c r="D408">
        <f t="shared" ca="1" si="19"/>
        <v>49.079595487559779</v>
      </c>
    </row>
    <row r="409" spans="4:4" x14ac:dyDescent="0.25">
      <c r="D409">
        <f t="shared" ca="1" si="19"/>
        <v>43.893601766581533</v>
      </c>
    </row>
    <row r="410" spans="4:4" x14ac:dyDescent="0.25">
      <c r="D410">
        <f t="shared" ca="1" si="19"/>
        <v>52.5798666843272</v>
      </c>
    </row>
    <row r="411" spans="4:4" x14ac:dyDescent="0.25">
      <c r="D411">
        <f t="shared" ca="1" si="19"/>
        <v>39.502103725641767</v>
      </c>
    </row>
    <row r="412" spans="4:4" x14ac:dyDescent="0.25">
      <c r="D412">
        <f t="shared" ca="1" si="19"/>
        <v>56.062577969484138</v>
      </c>
    </row>
    <row r="413" spans="4:4" x14ac:dyDescent="0.25">
      <c r="D413">
        <f t="shared" ca="1" si="19"/>
        <v>41.876043652411298</v>
      </c>
    </row>
    <row r="414" spans="4:4" x14ac:dyDescent="0.25">
      <c r="D414">
        <f t="shared" ca="1" si="19"/>
        <v>47.03515427626381</v>
      </c>
    </row>
    <row r="415" spans="4:4" x14ac:dyDescent="0.25">
      <c r="D415">
        <f t="shared" ca="1" si="19"/>
        <v>46.475399572386912</v>
      </c>
    </row>
    <row r="416" spans="4:4" x14ac:dyDescent="0.25">
      <c r="D416">
        <f t="shared" ca="1" si="19"/>
        <v>49.47797773293366</v>
      </c>
    </row>
    <row r="417" spans="4:4" x14ac:dyDescent="0.25">
      <c r="D417">
        <f t="shared" ca="1" si="19"/>
        <v>52.025920838695171</v>
      </c>
    </row>
    <row r="418" spans="4:4" x14ac:dyDescent="0.25">
      <c r="D418">
        <f t="shared" ca="1" si="19"/>
        <v>42.405135020532498</v>
      </c>
    </row>
    <row r="419" spans="4:4" x14ac:dyDescent="0.25">
      <c r="D419">
        <f t="shared" ca="1" si="19"/>
        <v>50.28497866075115</v>
      </c>
    </row>
    <row r="420" spans="4:4" x14ac:dyDescent="0.25">
      <c r="D420">
        <f t="shared" ca="1" si="19"/>
        <v>44.868447547880578</v>
      </c>
    </row>
    <row r="421" spans="4:4" x14ac:dyDescent="0.25">
      <c r="D421">
        <f t="shared" ca="1" si="19"/>
        <v>55.884156832837213</v>
      </c>
    </row>
    <row r="422" spans="4:4" x14ac:dyDescent="0.25">
      <c r="D422">
        <f t="shared" ca="1" si="19"/>
        <v>55.291920969693194</v>
      </c>
    </row>
    <row r="423" spans="4:4" x14ac:dyDescent="0.25">
      <c r="D423">
        <f t="shared" ca="1" si="19"/>
        <v>54.369527781424459</v>
      </c>
    </row>
    <row r="424" spans="4:4" x14ac:dyDescent="0.25">
      <c r="D424">
        <f t="shared" ca="1" si="19"/>
        <v>54.262556009717187</v>
      </c>
    </row>
    <row r="425" spans="4:4" x14ac:dyDescent="0.25">
      <c r="D425">
        <f t="shared" ca="1" si="19"/>
        <v>55.143041230571257</v>
      </c>
    </row>
    <row r="426" spans="4:4" x14ac:dyDescent="0.25">
      <c r="D426">
        <f t="shared" ca="1" si="19"/>
        <v>45.554454380266883</v>
      </c>
    </row>
    <row r="427" spans="4:4" x14ac:dyDescent="0.25">
      <c r="D427">
        <f t="shared" ca="1" si="19"/>
        <v>56.736560168262386</v>
      </c>
    </row>
    <row r="428" spans="4:4" x14ac:dyDescent="0.25">
      <c r="D428">
        <f t="shared" ca="1" si="19"/>
        <v>53.439905731979742</v>
      </c>
    </row>
    <row r="429" spans="4:4" x14ac:dyDescent="0.25">
      <c r="D429">
        <f t="shared" ca="1" si="19"/>
        <v>54.686468004732234</v>
      </c>
    </row>
    <row r="430" spans="4:4" x14ac:dyDescent="0.25">
      <c r="D430">
        <f t="shared" ca="1" si="19"/>
        <v>43.097341738238477</v>
      </c>
    </row>
    <row r="431" spans="4:4" x14ac:dyDescent="0.25">
      <c r="D431">
        <f t="shared" ca="1" si="19"/>
        <v>52.43068817698132</v>
      </c>
    </row>
    <row r="432" spans="4:4" x14ac:dyDescent="0.25">
      <c r="D432">
        <f t="shared" ca="1" si="19"/>
        <v>59.49713415953395</v>
      </c>
    </row>
    <row r="433" spans="4:4" x14ac:dyDescent="0.25">
      <c r="D433">
        <f t="shared" ca="1" si="19"/>
        <v>49.955058993346668</v>
      </c>
    </row>
    <row r="434" spans="4:4" x14ac:dyDescent="0.25">
      <c r="D434">
        <f t="shared" ca="1" si="19"/>
        <v>48.857540180413288</v>
      </c>
    </row>
    <row r="435" spans="4:4" x14ac:dyDescent="0.25">
      <c r="D435">
        <f t="shared" ca="1" si="19"/>
        <v>49.072467611911101</v>
      </c>
    </row>
    <row r="436" spans="4:4" x14ac:dyDescent="0.25">
      <c r="D436">
        <f t="shared" ca="1" si="19"/>
        <v>52.802971500571218</v>
      </c>
    </row>
    <row r="437" spans="4:4" x14ac:dyDescent="0.25">
      <c r="D437">
        <f t="shared" ca="1" si="19"/>
        <v>47.341651562407719</v>
      </c>
    </row>
    <row r="438" spans="4:4" x14ac:dyDescent="0.25">
      <c r="D438">
        <f t="shared" ca="1" si="19"/>
        <v>42.127207725659119</v>
      </c>
    </row>
    <row r="439" spans="4:4" x14ac:dyDescent="0.25">
      <c r="D439">
        <f t="shared" ca="1" si="19"/>
        <v>57.016901562640108</v>
      </c>
    </row>
    <row r="440" spans="4:4" x14ac:dyDescent="0.25">
      <c r="D440">
        <f t="shared" ca="1" si="19"/>
        <v>47.226066922533178</v>
      </c>
    </row>
    <row r="441" spans="4:4" x14ac:dyDescent="0.25">
      <c r="D441">
        <f t="shared" ca="1" si="19"/>
        <v>55.256617782444799</v>
      </c>
    </row>
    <row r="442" spans="4:4" x14ac:dyDescent="0.25">
      <c r="D442">
        <f t="shared" ca="1" si="19"/>
        <v>49.725211619181671</v>
      </c>
    </row>
    <row r="443" spans="4:4" x14ac:dyDescent="0.25">
      <c r="D443">
        <f t="shared" ca="1" si="19"/>
        <v>52.754524676898306</v>
      </c>
    </row>
    <row r="444" spans="4:4" x14ac:dyDescent="0.25">
      <c r="D444">
        <f t="shared" ca="1" si="19"/>
        <v>49.697723223670671</v>
      </c>
    </row>
    <row r="445" spans="4:4" x14ac:dyDescent="0.25">
      <c r="D445">
        <f t="shared" ca="1" si="19"/>
        <v>61.316750527878355</v>
      </c>
    </row>
    <row r="446" spans="4:4" x14ac:dyDescent="0.25">
      <c r="D446">
        <f t="shared" ca="1" si="19"/>
        <v>46.149426498769188</v>
      </c>
    </row>
    <row r="447" spans="4:4" x14ac:dyDescent="0.25">
      <c r="D447">
        <f t="shared" ca="1" si="19"/>
        <v>46.325333723832031</v>
      </c>
    </row>
    <row r="448" spans="4:4" x14ac:dyDescent="0.25">
      <c r="D448">
        <f t="shared" ca="1" si="19"/>
        <v>43.462347596373164</v>
      </c>
    </row>
    <row r="449" spans="4:4" x14ac:dyDescent="0.25">
      <c r="D449">
        <f t="shared" ca="1" si="19"/>
        <v>49.371803081465217</v>
      </c>
    </row>
    <row r="450" spans="4:4" x14ac:dyDescent="0.25">
      <c r="D450">
        <f t="shared" ca="1" si="19"/>
        <v>51.100117004681195</v>
      </c>
    </row>
    <row r="451" spans="4:4" x14ac:dyDescent="0.25">
      <c r="D451">
        <f t="shared" ref="D451:D514" ca="1" si="20">_xlfn.T.INV(RAND(),25)*$G$3+$F$3</f>
        <v>50.076772732232115</v>
      </c>
    </row>
    <row r="452" spans="4:4" x14ac:dyDescent="0.25">
      <c r="D452">
        <f t="shared" ca="1" si="20"/>
        <v>57.130536533115418</v>
      </c>
    </row>
    <row r="453" spans="4:4" x14ac:dyDescent="0.25">
      <c r="D453">
        <f t="shared" ca="1" si="20"/>
        <v>51.018756113804102</v>
      </c>
    </row>
    <row r="454" spans="4:4" x14ac:dyDescent="0.25">
      <c r="D454">
        <f t="shared" ca="1" si="20"/>
        <v>48.305484637175098</v>
      </c>
    </row>
    <row r="455" spans="4:4" x14ac:dyDescent="0.25">
      <c r="D455">
        <f t="shared" ca="1" si="20"/>
        <v>45.893159943605497</v>
      </c>
    </row>
    <row r="456" spans="4:4" x14ac:dyDescent="0.25">
      <c r="D456">
        <f t="shared" ca="1" si="20"/>
        <v>49.896232534056317</v>
      </c>
    </row>
    <row r="457" spans="4:4" x14ac:dyDescent="0.25">
      <c r="D457">
        <f t="shared" ca="1" si="20"/>
        <v>42.389279906623784</v>
      </c>
    </row>
    <row r="458" spans="4:4" x14ac:dyDescent="0.25">
      <c r="D458">
        <f t="shared" ca="1" si="20"/>
        <v>52.635849139376596</v>
      </c>
    </row>
    <row r="459" spans="4:4" x14ac:dyDescent="0.25">
      <c r="D459">
        <f t="shared" ca="1" si="20"/>
        <v>54.110221604859532</v>
      </c>
    </row>
    <row r="460" spans="4:4" x14ac:dyDescent="0.25">
      <c r="D460">
        <f t="shared" ca="1" si="20"/>
        <v>42.810728070828432</v>
      </c>
    </row>
    <row r="461" spans="4:4" x14ac:dyDescent="0.25">
      <c r="D461">
        <f t="shared" ca="1" si="20"/>
        <v>46.783880574119316</v>
      </c>
    </row>
    <row r="462" spans="4:4" x14ac:dyDescent="0.25">
      <c r="D462">
        <f t="shared" ca="1" si="20"/>
        <v>51.684201134735424</v>
      </c>
    </row>
    <row r="463" spans="4:4" x14ac:dyDescent="0.25">
      <c r="D463">
        <f t="shared" ca="1" si="20"/>
        <v>50.919829597710269</v>
      </c>
    </row>
    <row r="464" spans="4:4" x14ac:dyDescent="0.25">
      <c r="D464">
        <f t="shared" ca="1" si="20"/>
        <v>51.683367799342996</v>
      </c>
    </row>
    <row r="465" spans="4:4" x14ac:dyDescent="0.25">
      <c r="D465">
        <f t="shared" ca="1" si="20"/>
        <v>45.996484268406029</v>
      </c>
    </row>
    <row r="466" spans="4:4" x14ac:dyDescent="0.25">
      <c r="D466">
        <f t="shared" ca="1" si="20"/>
        <v>57.430704983081064</v>
      </c>
    </row>
    <row r="467" spans="4:4" x14ac:dyDescent="0.25">
      <c r="D467">
        <f t="shared" ca="1" si="20"/>
        <v>51.337152951509914</v>
      </c>
    </row>
    <row r="468" spans="4:4" x14ac:dyDescent="0.25">
      <c r="D468">
        <f t="shared" ca="1" si="20"/>
        <v>47.114621350555183</v>
      </c>
    </row>
    <row r="469" spans="4:4" x14ac:dyDescent="0.25">
      <c r="D469">
        <f t="shared" ca="1" si="20"/>
        <v>52.256067487581554</v>
      </c>
    </row>
    <row r="470" spans="4:4" x14ac:dyDescent="0.25">
      <c r="D470">
        <f t="shared" ca="1" si="20"/>
        <v>49.847728867091895</v>
      </c>
    </row>
    <row r="471" spans="4:4" x14ac:dyDescent="0.25">
      <c r="D471">
        <f t="shared" ca="1" si="20"/>
        <v>49.174816719294775</v>
      </c>
    </row>
    <row r="472" spans="4:4" x14ac:dyDescent="0.25">
      <c r="D472">
        <f t="shared" ca="1" si="20"/>
        <v>49.217899188203702</v>
      </c>
    </row>
    <row r="473" spans="4:4" x14ac:dyDescent="0.25">
      <c r="D473">
        <f t="shared" ca="1" si="20"/>
        <v>41.59251526215828</v>
      </c>
    </row>
    <row r="474" spans="4:4" x14ac:dyDescent="0.25">
      <c r="D474">
        <f t="shared" ca="1" si="20"/>
        <v>46.235048691004152</v>
      </c>
    </row>
    <row r="475" spans="4:4" x14ac:dyDescent="0.25">
      <c r="D475">
        <f t="shared" ca="1" si="20"/>
        <v>42.658766227322559</v>
      </c>
    </row>
    <row r="476" spans="4:4" x14ac:dyDescent="0.25">
      <c r="D476">
        <f t="shared" ca="1" si="20"/>
        <v>46.505071612373712</v>
      </c>
    </row>
    <row r="477" spans="4:4" x14ac:dyDescent="0.25">
      <c r="D477">
        <f t="shared" ca="1" si="20"/>
        <v>52.238834722651781</v>
      </c>
    </row>
    <row r="478" spans="4:4" x14ac:dyDescent="0.25">
      <c r="D478">
        <f t="shared" ca="1" si="20"/>
        <v>53.096518338995736</v>
      </c>
    </row>
    <row r="479" spans="4:4" x14ac:dyDescent="0.25">
      <c r="D479">
        <f t="shared" ca="1" si="20"/>
        <v>48.871045423581741</v>
      </c>
    </row>
    <row r="480" spans="4:4" x14ac:dyDescent="0.25">
      <c r="D480">
        <f t="shared" ca="1" si="20"/>
        <v>53.637205368380904</v>
      </c>
    </row>
    <row r="481" spans="4:4" x14ac:dyDescent="0.25">
      <c r="D481">
        <f t="shared" ca="1" si="20"/>
        <v>41.094459893291557</v>
      </c>
    </row>
    <row r="482" spans="4:4" x14ac:dyDescent="0.25">
      <c r="D482">
        <f t="shared" ca="1" si="20"/>
        <v>47.939392235240796</v>
      </c>
    </row>
    <row r="483" spans="4:4" x14ac:dyDescent="0.25">
      <c r="D483">
        <f t="shared" ca="1" si="20"/>
        <v>47.397341680628742</v>
      </c>
    </row>
    <row r="484" spans="4:4" x14ac:dyDescent="0.25">
      <c r="D484">
        <f t="shared" ca="1" si="20"/>
        <v>53.936158138951576</v>
      </c>
    </row>
    <row r="485" spans="4:4" x14ac:dyDescent="0.25">
      <c r="D485">
        <f t="shared" ca="1" si="20"/>
        <v>42.024109969396591</v>
      </c>
    </row>
    <row r="486" spans="4:4" x14ac:dyDescent="0.25">
      <c r="D486">
        <f t="shared" ca="1" si="20"/>
        <v>45.127403068568185</v>
      </c>
    </row>
    <row r="487" spans="4:4" x14ac:dyDescent="0.25">
      <c r="D487">
        <f t="shared" ca="1" si="20"/>
        <v>52.75205088625026</v>
      </c>
    </row>
    <row r="488" spans="4:4" x14ac:dyDescent="0.25">
      <c r="D488">
        <f t="shared" ca="1" si="20"/>
        <v>49.580201581398583</v>
      </c>
    </row>
    <row r="489" spans="4:4" x14ac:dyDescent="0.25">
      <c r="D489">
        <f t="shared" ca="1" si="20"/>
        <v>50.868634674638635</v>
      </c>
    </row>
    <row r="490" spans="4:4" x14ac:dyDescent="0.25">
      <c r="D490">
        <f t="shared" ca="1" si="20"/>
        <v>46.119758264780749</v>
      </c>
    </row>
    <row r="491" spans="4:4" x14ac:dyDescent="0.25">
      <c r="D491">
        <f t="shared" ca="1" si="20"/>
        <v>49.761543427877378</v>
      </c>
    </row>
    <row r="492" spans="4:4" x14ac:dyDescent="0.25">
      <c r="D492">
        <f t="shared" ca="1" si="20"/>
        <v>52.216627802381069</v>
      </c>
    </row>
    <row r="493" spans="4:4" x14ac:dyDescent="0.25">
      <c r="D493">
        <f t="shared" ca="1" si="20"/>
        <v>45.459543416172338</v>
      </c>
    </row>
    <row r="494" spans="4:4" x14ac:dyDescent="0.25">
      <c r="D494">
        <f t="shared" ca="1" si="20"/>
        <v>55.158545432625253</v>
      </c>
    </row>
    <row r="495" spans="4:4" x14ac:dyDescent="0.25">
      <c r="D495">
        <f t="shared" ca="1" si="20"/>
        <v>50.800619281906684</v>
      </c>
    </row>
    <row r="496" spans="4:4" x14ac:dyDescent="0.25">
      <c r="D496">
        <f t="shared" ca="1" si="20"/>
        <v>48.57933907299963</v>
      </c>
    </row>
    <row r="497" spans="4:4" x14ac:dyDescent="0.25">
      <c r="D497">
        <f t="shared" ca="1" si="20"/>
        <v>52.084149540062867</v>
      </c>
    </row>
    <row r="498" spans="4:4" x14ac:dyDescent="0.25">
      <c r="D498">
        <f t="shared" ca="1" si="20"/>
        <v>57.074301415633258</v>
      </c>
    </row>
    <row r="499" spans="4:4" x14ac:dyDescent="0.25">
      <c r="D499">
        <f t="shared" ca="1" si="20"/>
        <v>56.987318348615176</v>
      </c>
    </row>
    <row r="500" spans="4:4" x14ac:dyDescent="0.25">
      <c r="D500">
        <f t="shared" ca="1" si="20"/>
        <v>53.425803000528774</v>
      </c>
    </row>
    <row r="501" spans="4:4" x14ac:dyDescent="0.25">
      <c r="D501">
        <f t="shared" ca="1" si="20"/>
        <v>63.652561079560115</v>
      </c>
    </row>
    <row r="502" spans="4:4" x14ac:dyDescent="0.25">
      <c r="D502">
        <f t="shared" ca="1" si="20"/>
        <v>46.352275384263663</v>
      </c>
    </row>
    <row r="503" spans="4:4" x14ac:dyDescent="0.25">
      <c r="D503">
        <f t="shared" ca="1" si="20"/>
        <v>48.435114930713958</v>
      </c>
    </row>
    <row r="504" spans="4:4" x14ac:dyDescent="0.25">
      <c r="D504">
        <f t="shared" ca="1" si="20"/>
        <v>44.825647599968654</v>
      </c>
    </row>
    <row r="505" spans="4:4" x14ac:dyDescent="0.25">
      <c r="D505">
        <f t="shared" ca="1" si="20"/>
        <v>58.143208715144361</v>
      </c>
    </row>
    <row r="506" spans="4:4" x14ac:dyDescent="0.25">
      <c r="D506">
        <f t="shared" ca="1" si="20"/>
        <v>52.91018665802001</v>
      </c>
    </row>
    <row r="507" spans="4:4" x14ac:dyDescent="0.25">
      <c r="D507">
        <f t="shared" ca="1" si="20"/>
        <v>55.465234684764873</v>
      </c>
    </row>
    <row r="508" spans="4:4" x14ac:dyDescent="0.25">
      <c r="D508">
        <f t="shared" ca="1" si="20"/>
        <v>51.242037800529836</v>
      </c>
    </row>
    <row r="509" spans="4:4" x14ac:dyDescent="0.25">
      <c r="D509">
        <f t="shared" ca="1" si="20"/>
        <v>46.416754489043427</v>
      </c>
    </row>
    <row r="510" spans="4:4" x14ac:dyDescent="0.25">
      <c r="D510">
        <f t="shared" ca="1" si="20"/>
        <v>50.684418347639678</v>
      </c>
    </row>
    <row r="511" spans="4:4" x14ac:dyDescent="0.25">
      <c r="D511">
        <f t="shared" ca="1" si="20"/>
        <v>51.292680583079864</v>
      </c>
    </row>
    <row r="512" spans="4:4" x14ac:dyDescent="0.25">
      <c r="D512">
        <f t="shared" ca="1" si="20"/>
        <v>59.851385325260701</v>
      </c>
    </row>
    <row r="513" spans="4:4" x14ac:dyDescent="0.25">
      <c r="D513">
        <f t="shared" ca="1" si="20"/>
        <v>50.764112637788251</v>
      </c>
    </row>
    <row r="514" spans="4:4" x14ac:dyDescent="0.25">
      <c r="D514">
        <f t="shared" ca="1" si="20"/>
        <v>50.519074269097615</v>
      </c>
    </row>
    <row r="515" spans="4:4" x14ac:dyDescent="0.25">
      <c r="D515">
        <f t="shared" ref="D515:D578" ca="1" si="21">_xlfn.T.INV(RAND(),25)*$G$3+$F$3</f>
        <v>46.74237201641315</v>
      </c>
    </row>
    <row r="516" spans="4:4" x14ac:dyDescent="0.25">
      <c r="D516">
        <f t="shared" ca="1" si="21"/>
        <v>47.746620023793341</v>
      </c>
    </row>
    <row r="517" spans="4:4" x14ac:dyDescent="0.25">
      <c r="D517">
        <f t="shared" ca="1" si="21"/>
        <v>53.872687892085914</v>
      </c>
    </row>
    <row r="518" spans="4:4" x14ac:dyDescent="0.25">
      <c r="D518">
        <f t="shared" ca="1" si="21"/>
        <v>54.609920799485622</v>
      </c>
    </row>
    <row r="519" spans="4:4" x14ac:dyDescent="0.25">
      <c r="D519">
        <f t="shared" ca="1" si="21"/>
        <v>51.950711691594691</v>
      </c>
    </row>
    <row r="520" spans="4:4" x14ac:dyDescent="0.25">
      <c r="D520">
        <f t="shared" ca="1" si="21"/>
        <v>52.11665550153652</v>
      </c>
    </row>
    <row r="521" spans="4:4" x14ac:dyDescent="0.25">
      <c r="D521">
        <f t="shared" ca="1" si="21"/>
        <v>54.374368398795433</v>
      </c>
    </row>
    <row r="522" spans="4:4" x14ac:dyDescent="0.25">
      <c r="D522">
        <f t="shared" ca="1" si="21"/>
        <v>48.810228024798434</v>
      </c>
    </row>
    <row r="523" spans="4:4" x14ac:dyDescent="0.25">
      <c r="D523">
        <f t="shared" ca="1" si="21"/>
        <v>46.316074858295075</v>
      </c>
    </row>
    <row r="524" spans="4:4" x14ac:dyDescent="0.25">
      <c r="D524">
        <f t="shared" ca="1" si="21"/>
        <v>50.321192665625503</v>
      </c>
    </row>
    <row r="525" spans="4:4" x14ac:dyDescent="0.25">
      <c r="D525">
        <f t="shared" ca="1" si="21"/>
        <v>44.66509299577482</v>
      </c>
    </row>
    <row r="526" spans="4:4" x14ac:dyDescent="0.25">
      <c r="D526">
        <f t="shared" ca="1" si="21"/>
        <v>45.295497154740822</v>
      </c>
    </row>
    <row r="527" spans="4:4" x14ac:dyDescent="0.25">
      <c r="D527">
        <f t="shared" ca="1" si="21"/>
        <v>49.438852194936842</v>
      </c>
    </row>
    <row r="528" spans="4:4" x14ac:dyDescent="0.25">
      <c r="D528">
        <f t="shared" ca="1" si="21"/>
        <v>58.342905539751783</v>
      </c>
    </row>
    <row r="529" spans="4:4" x14ac:dyDescent="0.25">
      <c r="D529">
        <f t="shared" ca="1" si="21"/>
        <v>46.146963621919248</v>
      </c>
    </row>
    <row r="530" spans="4:4" x14ac:dyDescent="0.25">
      <c r="D530">
        <f t="shared" ca="1" si="21"/>
        <v>53.716635375785287</v>
      </c>
    </row>
    <row r="531" spans="4:4" x14ac:dyDescent="0.25">
      <c r="D531">
        <f t="shared" ca="1" si="21"/>
        <v>41.048874569210533</v>
      </c>
    </row>
    <row r="532" spans="4:4" x14ac:dyDescent="0.25">
      <c r="D532">
        <f t="shared" ca="1" si="21"/>
        <v>45.570019144945938</v>
      </c>
    </row>
    <row r="533" spans="4:4" x14ac:dyDescent="0.25">
      <c r="D533">
        <f t="shared" ca="1" si="21"/>
        <v>43.296073138155258</v>
      </c>
    </row>
    <row r="534" spans="4:4" x14ac:dyDescent="0.25">
      <c r="D534">
        <f t="shared" ca="1" si="21"/>
        <v>52.548539915823284</v>
      </c>
    </row>
    <row r="535" spans="4:4" x14ac:dyDescent="0.25">
      <c r="D535">
        <f t="shared" ca="1" si="21"/>
        <v>45.653891115509431</v>
      </c>
    </row>
    <row r="536" spans="4:4" x14ac:dyDescent="0.25">
      <c r="D536">
        <f t="shared" ca="1" si="21"/>
        <v>40.780620184074223</v>
      </c>
    </row>
    <row r="537" spans="4:4" x14ac:dyDescent="0.25">
      <c r="D537">
        <f t="shared" ca="1" si="21"/>
        <v>42.808665332233076</v>
      </c>
    </row>
    <row r="538" spans="4:4" x14ac:dyDescent="0.25">
      <c r="D538">
        <f t="shared" ca="1" si="21"/>
        <v>41.306585832427018</v>
      </c>
    </row>
    <row r="539" spans="4:4" x14ac:dyDescent="0.25">
      <c r="D539">
        <f t="shared" ca="1" si="21"/>
        <v>50.859002646659164</v>
      </c>
    </row>
    <row r="540" spans="4:4" x14ac:dyDescent="0.25">
      <c r="D540">
        <f t="shared" ca="1" si="21"/>
        <v>53.392371406266619</v>
      </c>
    </row>
    <row r="541" spans="4:4" x14ac:dyDescent="0.25">
      <c r="D541">
        <f t="shared" ca="1" si="21"/>
        <v>52.586950498086573</v>
      </c>
    </row>
    <row r="542" spans="4:4" x14ac:dyDescent="0.25">
      <c r="D542">
        <f t="shared" ca="1" si="21"/>
        <v>54.983145106004159</v>
      </c>
    </row>
    <row r="543" spans="4:4" x14ac:dyDescent="0.25">
      <c r="D543">
        <f t="shared" ca="1" si="21"/>
        <v>40.7292931589106</v>
      </c>
    </row>
    <row r="544" spans="4:4" x14ac:dyDescent="0.25">
      <c r="D544">
        <f t="shared" ca="1" si="21"/>
        <v>33.748937754670415</v>
      </c>
    </row>
    <row r="545" spans="4:4" x14ac:dyDescent="0.25">
      <c r="D545">
        <f t="shared" ca="1" si="21"/>
        <v>49.628033412907406</v>
      </c>
    </row>
    <row r="546" spans="4:4" x14ac:dyDescent="0.25">
      <c r="D546">
        <f t="shared" ca="1" si="21"/>
        <v>41.307268130732659</v>
      </c>
    </row>
    <row r="547" spans="4:4" x14ac:dyDescent="0.25">
      <c r="D547">
        <f t="shared" ca="1" si="21"/>
        <v>44.176863789530785</v>
      </c>
    </row>
    <row r="548" spans="4:4" x14ac:dyDescent="0.25">
      <c r="D548">
        <f t="shared" ca="1" si="21"/>
        <v>51.752288979189359</v>
      </c>
    </row>
    <row r="549" spans="4:4" x14ac:dyDescent="0.25">
      <c r="D549">
        <f t="shared" ca="1" si="21"/>
        <v>52.587558900398669</v>
      </c>
    </row>
    <row r="550" spans="4:4" x14ac:dyDescent="0.25">
      <c r="D550">
        <f t="shared" ca="1" si="21"/>
        <v>48.806547791594859</v>
      </c>
    </row>
    <row r="551" spans="4:4" x14ac:dyDescent="0.25">
      <c r="D551">
        <f t="shared" ca="1" si="21"/>
        <v>53.024875419654776</v>
      </c>
    </row>
    <row r="552" spans="4:4" x14ac:dyDescent="0.25">
      <c r="D552">
        <f t="shared" ca="1" si="21"/>
        <v>49.154668732859236</v>
      </c>
    </row>
    <row r="553" spans="4:4" x14ac:dyDescent="0.25">
      <c r="D553">
        <f t="shared" ca="1" si="21"/>
        <v>49.950006766744053</v>
      </c>
    </row>
    <row r="554" spans="4:4" x14ac:dyDescent="0.25">
      <c r="D554">
        <f t="shared" ca="1" si="21"/>
        <v>52.137974804501539</v>
      </c>
    </row>
    <row r="555" spans="4:4" x14ac:dyDescent="0.25">
      <c r="D555">
        <f t="shared" ca="1" si="21"/>
        <v>54.003782776210322</v>
      </c>
    </row>
    <row r="556" spans="4:4" x14ac:dyDescent="0.25">
      <c r="D556">
        <f t="shared" ca="1" si="21"/>
        <v>52.916895086994586</v>
      </c>
    </row>
    <row r="557" spans="4:4" x14ac:dyDescent="0.25">
      <c r="D557">
        <f t="shared" ca="1" si="21"/>
        <v>53.663462478938889</v>
      </c>
    </row>
    <row r="558" spans="4:4" x14ac:dyDescent="0.25">
      <c r="D558">
        <f t="shared" ca="1" si="21"/>
        <v>45.813839278092402</v>
      </c>
    </row>
    <row r="559" spans="4:4" x14ac:dyDescent="0.25">
      <c r="D559">
        <f t="shared" ca="1" si="21"/>
        <v>51.619567099919117</v>
      </c>
    </row>
    <row r="560" spans="4:4" x14ac:dyDescent="0.25">
      <c r="D560">
        <f t="shared" ca="1" si="21"/>
        <v>48.063895714118146</v>
      </c>
    </row>
    <row r="561" spans="4:4" x14ac:dyDescent="0.25">
      <c r="D561">
        <f t="shared" ca="1" si="21"/>
        <v>55.760376235234816</v>
      </c>
    </row>
    <row r="562" spans="4:4" x14ac:dyDescent="0.25">
      <c r="D562">
        <f t="shared" ca="1" si="21"/>
        <v>44.991592594935476</v>
      </c>
    </row>
    <row r="563" spans="4:4" x14ac:dyDescent="0.25">
      <c r="D563">
        <f t="shared" ca="1" si="21"/>
        <v>44.279382757076405</v>
      </c>
    </row>
    <row r="564" spans="4:4" x14ac:dyDescent="0.25">
      <c r="D564">
        <f t="shared" ca="1" si="21"/>
        <v>56.58442389345484</v>
      </c>
    </row>
    <row r="565" spans="4:4" x14ac:dyDescent="0.25">
      <c r="D565">
        <f t="shared" ca="1" si="21"/>
        <v>58.0526226719821</v>
      </c>
    </row>
    <row r="566" spans="4:4" x14ac:dyDescent="0.25">
      <c r="D566">
        <f t="shared" ca="1" si="21"/>
        <v>55.698576196240047</v>
      </c>
    </row>
    <row r="567" spans="4:4" x14ac:dyDescent="0.25">
      <c r="D567">
        <f t="shared" ca="1" si="21"/>
        <v>54.556505161628429</v>
      </c>
    </row>
    <row r="568" spans="4:4" x14ac:dyDescent="0.25">
      <c r="D568">
        <f t="shared" ca="1" si="21"/>
        <v>60.821970284931808</v>
      </c>
    </row>
    <row r="569" spans="4:4" x14ac:dyDescent="0.25">
      <c r="D569">
        <f t="shared" ca="1" si="21"/>
        <v>50.941024031374937</v>
      </c>
    </row>
    <row r="570" spans="4:4" x14ac:dyDescent="0.25">
      <c r="D570">
        <f t="shared" ca="1" si="21"/>
        <v>56.616689067643478</v>
      </c>
    </row>
    <row r="571" spans="4:4" x14ac:dyDescent="0.25">
      <c r="D571">
        <f t="shared" ca="1" si="21"/>
        <v>47.516912107819692</v>
      </c>
    </row>
    <row r="572" spans="4:4" x14ac:dyDescent="0.25">
      <c r="D572">
        <f t="shared" ca="1" si="21"/>
        <v>49.067423901254131</v>
      </c>
    </row>
    <row r="573" spans="4:4" x14ac:dyDescent="0.25">
      <c r="D573">
        <f t="shared" ca="1" si="21"/>
        <v>37.223615595297034</v>
      </c>
    </row>
    <row r="574" spans="4:4" x14ac:dyDescent="0.25">
      <c r="D574">
        <f t="shared" ca="1" si="21"/>
        <v>42.424471498039146</v>
      </c>
    </row>
    <row r="575" spans="4:4" x14ac:dyDescent="0.25">
      <c r="D575">
        <f t="shared" ca="1" si="21"/>
        <v>44.544570792484464</v>
      </c>
    </row>
    <row r="576" spans="4:4" x14ac:dyDescent="0.25">
      <c r="D576">
        <f t="shared" ca="1" si="21"/>
        <v>48.952201738698705</v>
      </c>
    </row>
    <row r="577" spans="4:4" x14ac:dyDescent="0.25">
      <c r="D577">
        <f t="shared" ca="1" si="21"/>
        <v>44.122512954882019</v>
      </c>
    </row>
    <row r="578" spans="4:4" x14ac:dyDescent="0.25">
      <c r="D578">
        <f t="shared" ca="1" si="21"/>
        <v>45.811998850043821</v>
      </c>
    </row>
    <row r="579" spans="4:4" x14ac:dyDescent="0.25">
      <c r="D579">
        <f t="shared" ref="D579:D642" ca="1" si="22">_xlfn.T.INV(RAND(),25)*$G$3+$F$3</f>
        <v>55.460815796585919</v>
      </c>
    </row>
    <row r="580" spans="4:4" x14ac:dyDescent="0.25">
      <c r="D580">
        <f t="shared" ca="1" si="22"/>
        <v>45.432119253446686</v>
      </c>
    </row>
    <row r="581" spans="4:4" x14ac:dyDescent="0.25">
      <c r="D581">
        <f t="shared" ca="1" si="22"/>
        <v>51.622244917426457</v>
      </c>
    </row>
    <row r="582" spans="4:4" x14ac:dyDescent="0.25">
      <c r="D582">
        <f t="shared" ca="1" si="22"/>
        <v>65.722396427359371</v>
      </c>
    </row>
    <row r="583" spans="4:4" x14ac:dyDescent="0.25">
      <c r="D583">
        <f t="shared" ca="1" si="22"/>
        <v>46.764418283315301</v>
      </c>
    </row>
    <row r="584" spans="4:4" x14ac:dyDescent="0.25">
      <c r="D584">
        <f t="shared" ca="1" si="22"/>
        <v>46.536147982129485</v>
      </c>
    </row>
    <row r="585" spans="4:4" x14ac:dyDescent="0.25">
      <c r="D585">
        <f t="shared" ca="1" si="22"/>
        <v>51.549263395906117</v>
      </c>
    </row>
    <row r="586" spans="4:4" x14ac:dyDescent="0.25">
      <c r="D586">
        <f t="shared" ca="1" si="22"/>
        <v>52.147962490454688</v>
      </c>
    </row>
    <row r="587" spans="4:4" x14ac:dyDescent="0.25">
      <c r="D587">
        <f t="shared" ca="1" si="22"/>
        <v>49.439382350644152</v>
      </c>
    </row>
    <row r="588" spans="4:4" x14ac:dyDescent="0.25">
      <c r="D588">
        <f t="shared" ca="1" si="22"/>
        <v>45.341845328082961</v>
      </c>
    </row>
    <row r="589" spans="4:4" x14ac:dyDescent="0.25">
      <c r="D589">
        <f t="shared" ca="1" si="22"/>
        <v>55.777521873127796</v>
      </c>
    </row>
    <row r="590" spans="4:4" x14ac:dyDescent="0.25">
      <c r="D590">
        <f t="shared" ca="1" si="22"/>
        <v>55.419222487985358</v>
      </c>
    </row>
    <row r="591" spans="4:4" x14ac:dyDescent="0.25">
      <c r="D591">
        <f t="shared" ca="1" si="22"/>
        <v>60.502643004005755</v>
      </c>
    </row>
    <row r="592" spans="4:4" x14ac:dyDescent="0.25">
      <c r="D592">
        <f t="shared" ca="1" si="22"/>
        <v>49.324867785466672</v>
      </c>
    </row>
    <row r="593" spans="4:4" x14ac:dyDescent="0.25">
      <c r="D593">
        <f t="shared" ca="1" si="22"/>
        <v>56.906586649994857</v>
      </c>
    </row>
    <row r="594" spans="4:4" x14ac:dyDescent="0.25">
      <c r="D594">
        <f t="shared" ca="1" si="22"/>
        <v>44.951109855874698</v>
      </c>
    </row>
    <row r="595" spans="4:4" x14ac:dyDescent="0.25">
      <c r="D595">
        <f t="shared" ca="1" si="22"/>
        <v>54.317579700879023</v>
      </c>
    </row>
    <row r="596" spans="4:4" x14ac:dyDescent="0.25">
      <c r="D596">
        <f t="shared" ca="1" si="22"/>
        <v>48.659648195226836</v>
      </c>
    </row>
    <row r="597" spans="4:4" x14ac:dyDescent="0.25">
      <c r="D597">
        <f t="shared" ca="1" si="22"/>
        <v>50.729161924229608</v>
      </c>
    </row>
    <row r="598" spans="4:4" x14ac:dyDescent="0.25">
      <c r="D598">
        <f t="shared" ca="1" si="22"/>
        <v>44.467905548570783</v>
      </c>
    </row>
    <row r="599" spans="4:4" x14ac:dyDescent="0.25">
      <c r="D599">
        <f t="shared" ca="1" si="22"/>
        <v>46.821447330654408</v>
      </c>
    </row>
    <row r="600" spans="4:4" x14ac:dyDescent="0.25">
      <c r="D600">
        <f t="shared" ca="1" si="22"/>
        <v>56.87338530275693</v>
      </c>
    </row>
    <row r="601" spans="4:4" x14ac:dyDescent="0.25">
      <c r="D601">
        <f t="shared" ca="1" si="22"/>
        <v>47.068450734586058</v>
      </c>
    </row>
    <row r="602" spans="4:4" x14ac:dyDescent="0.25">
      <c r="D602">
        <f t="shared" ca="1" si="22"/>
        <v>42.095496835607598</v>
      </c>
    </row>
    <row r="603" spans="4:4" x14ac:dyDescent="0.25">
      <c r="D603">
        <f t="shared" ca="1" si="22"/>
        <v>40.856166175233902</v>
      </c>
    </row>
    <row r="604" spans="4:4" x14ac:dyDescent="0.25">
      <c r="D604">
        <f t="shared" ca="1" si="22"/>
        <v>52.668551605240808</v>
      </c>
    </row>
    <row r="605" spans="4:4" x14ac:dyDescent="0.25">
      <c r="D605">
        <f t="shared" ca="1" si="22"/>
        <v>46.147476279944613</v>
      </c>
    </row>
    <row r="606" spans="4:4" x14ac:dyDescent="0.25">
      <c r="D606">
        <f t="shared" ca="1" si="22"/>
        <v>55.302534863919419</v>
      </c>
    </row>
    <row r="607" spans="4:4" x14ac:dyDescent="0.25">
      <c r="D607">
        <f t="shared" ca="1" si="22"/>
        <v>44.792000030940585</v>
      </c>
    </row>
    <row r="608" spans="4:4" x14ac:dyDescent="0.25">
      <c r="D608">
        <f t="shared" ca="1" si="22"/>
        <v>43.381678655065173</v>
      </c>
    </row>
    <row r="609" spans="4:4" x14ac:dyDescent="0.25">
      <c r="D609">
        <f t="shared" ca="1" si="22"/>
        <v>42.735927116665501</v>
      </c>
    </row>
    <row r="610" spans="4:4" x14ac:dyDescent="0.25">
      <c r="D610">
        <f t="shared" ca="1" si="22"/>
        <v>49.514115598450751</v>
      </c>
    </row>
    <row r="611" spans="4:4" x14ac:dyDescent="0.25">
      <c r="D611">
        <f t="shared" ca="1" si="22"/>
        <v>55.887340849025442</v>
      </c>
    </row>
    <row r="612" spans="4:4" x14ac:dyDescent="0.25">
      <c r="D612">
        <f t="shared" ca="1" si="22"/>
        <v>48.275536890102494</v>
      </c>
    </row>
    <row r="613" spans="4:4" x14ac:dyDescent="0.25">
      <c r="D613">
        <f t="shared" ca="1" si="22"/>
        <v>48.879733027468674</v>
      </c>
    </row>
    <row r="614" spans="4:4" x14ac:dyDescent="0.25">
      <c r="D614">
        <f t="shared" ca="1" si="22"/>
        <v>48.366422863777338</v>
      </c>
    </row>
    <row r="615" spans="4:4" x14ac:dyDescent="0.25">
      <c r="D615">
        <f t="shared" ca="1" si="22"/>
        <v>46.851708148792696</v>
      </c>
    </row>
    <row r="616" spans="4:4" x14ac:dyDescent="0.25">
      <c r="D616">
        <f t="shared" ca="1" si="22"/>
        <v>52.592253550260928</v>
      </c>
    </row>
    <row r="617" spans="4:4" x14ac:dyDescent="0.25">
      <c r="D617">
        <f t="shared" ca="1" si="22"/>
        <v>45.309286421864122</v>
      </c>
    </row>
    <row r="618" spans="4:4" x14ac:dyDescent="0.25">
      <c r="D618">
        <f t="shared" ca="1" si="22"/>
        <v>52.824670932221508</v>
      </c>
    </row>
    <row r="619" spans="4:4" x14ac:dyDescent="0.25">
      <c r="D619">
        <f t="shared" ca="1" si="22"/>
        <v>55.052801876667054</v>
      </c>
    </row>
    <row r="620" spans="4:4" x14ac:dyDescent="0.25">
      <c r="D620">
        <f t="shared" ca="1" si="22"/>
        <v>46.246414330387246</v>
      </c>
    </row>
    <row r="621" spans="4:4" x14ac:dyDescent="0.25">
      <c r="D621">
        <f t="shared" ca="1" si="22"/>
        <v>48.730835813220409</v>
      </c>
    </row>
    <row r="622" spans="4:4" x14ac:dyDescent="0.25">
      <c r="D622">
        <f t="shared" ca="1" si="22"/>
        <v>47.178617477773329</v>
      </c>
    </row>
    <row r="623" spans="4:4" x14ac:dyDescent="0.25">
      <c r="D623">
        <f t="shared" ca="1" si="22"/>
        <v>54.572162061732087</v>
      </c>
    </row>
    <row r="624" spans="4:4" x14ac:dyDescent="0.25">
      <c r="D624">
        <f t="shared" ca="1" si="22"/>
        <v>47.765506458908405</v>
      </c>
    </row>
    <row r="625" spans="4:4" x14ac:dyDescent="0.25">
      <c r="D625">
        <f t="shared" ca="1" si="22"/>
        <v>49.954575445653781</v>
      </c>
    </row>
    <row r="626" spans="4:4" x14ac:dyDescent="0.25">
      <c r="D626">
        <f t="shared" ca="1" si="22"/>
        <v>47.664745133018577</v>
      </c>
    </row>
    <row r="627" spans="4:4" x14ac:dyDescent="0.25">
      <c r="D627">
        <f t="shared" ca="1" si="22"/>
        <v>41.349392437363718</v>
      </c>
    </row>
    <row r="628" spans="4:4" x14ac:dyDescent="0.25">
      <c r="D628">
        <f t="shared" ca="1" si="22"/>
        <v>59.842793053470402</v>
      </c>
    </row>
    <row r="629" spans="4:4" x14ac:dyDescent="0.25">
      <c r="D629">
        <f t="shared" ca="1" si="22"/>
        <v>46.111290164935554</v>
      </c>
    </row>
    <row r="630" spans="4:4" x14ac:dyDescent="0.25">
      <c r="D630">
        <f t="shared" ca="1" si="22"/>
        <v>51.818802797913939</v>
      </c>
    </row>
    <row r="631" spans="4:4" x14ac:dyDescent="0.25">
      <c r="D631">
        <f t="shared" ca="1" si="22"/>
        <v>50.956740918529164</v>
      </c>
    </row>
    <row r="632" spans="4:4" x14ac:dyDescent="0.25">
      <c r="D632">
        <f t="shared" ca="1" si="22"/>
        <v>56.946775785993346</v>
      </c>
    </row>
    <row r="633" spans="4:4" x14ac:dyDescent="0.25">
      <c r="D633">
        <f t="shared" ca="1" si="22"/>
        <v>52.176690094158666</v>
      </c>
    </row>
    <row r="634" spans="4:4" x14ac:dyDescent="0.25">
      <c r="D634">
        <f t="shared" ca="1" si="22"/>
        <v>44.116614056409446</v>
      </c>
    </row>
    <row r="635" spans="4:4" x14ac:dyDescent="0.25">
      <c r="D635">
        <f t="shared" ca="1" si="22"/>
        <v>50.778733729119978</v>
      </c>
    </row>
    <row r="636" spans="4:4" x14ac:dyDescent="0.25">
      <c r="D636">
        <f t="shared" ca="1" si="22"/>
        <v>54.454334243696962</v>
      </c>
    </row>
    <row r="637" spans="4:4" x14ac:dyDescent="0.25">
      <c r="D637">
        <f t="shared" ca="1" si="22"/>
        <v>57.120659126246771</v>
      </c>
    </row>
    <row r="638" spans="4:4" x14ac:dyDescent="0.25">
      <c r="D638">
        <f t="shared" ca="1" si="22"/>
        <v>35.697288329309757</v>
      </c>
    </row>
    <row r="639" spans="4:4" x14ac:dyDescent="0.25">
      <c r="D639">
        <f t="shared" ca="1" si="22"/>
        <v>45.56793442703696</v>
      </c>
    </row>
    <row r="640" spans="4:4" x14ac:dyDescent="0.25">
      <c r="D640">
        <f t="shared" ca="1" si="22"/>
        <v>48.970052257877562</v>
      </c>
    </row>
    <row r="641" spans="4:4" x14ac:dyDescent="0.25">
      <c r="D641">
        <f t="shared" ca="1" si="22"/>
        <v>51.935459176914655</v>
      </c>
    </row>
    <row r="642" spans="4:4" x14ac:dyDescent="0.25">
      <c r="D642">
        <f t="shared" ca="1" si="22"/>
        <v>43.509135336471545</v>
      </c>
    </row>
    <row r="643" spans="4:4" x14ac:dyDescent="0.25">
      <c r="D643">
        <f t="shared" ref="D643:D706" ca="1" si="23">_xlfn.T.INV(RAND(),25)*$G$3+$F$3</f>
        <v>49.787960562273042</v>
      </c>
    </row>
    <row r="644" spans="4:4" x14ac:dyDescent="0.25">
      <c r="D644">
        <f t="shared" ca="1" si="23"/>
        <v>45.687801904391364</v>
      </c>
    </row>
    <row r="645" spans="4:4" x14ac:dyDescent="0.25">
      <c r="D645">
        <f t="shared" ca="1" si="23"/>
        <v>52.857596648027275</v>
      </c>
    </row>
    <row r="646" spans="4:4" x14ac:dyDescent="0.25">
      <c r="D646">
        <f t="shared" ca="1" si="23"/>
        <v>54.377415916546141</v>
      </c>
    </row>
    <row r="647" spans="4:4" x14ac:dyDescent="0.25">
      <c r="D647">
        <f t="shared" ca="1" si="23"/>
        <v>51.418019563022682</v>
      </c>
    </row>
    <row r="648" spans="4:4" x14ac:dyDescent="0.25">
      <c r="D648">
        <f t="shared" ca="1" si="23"/>
        <v>53.852865782862047</v>
      </c>
    </row>
    <row r="649" spans="4:4" x14ac:dyDescent="0.25">
      <c r="D649">
        <f t="shared" ca="1" si="23"/>
        <v>51.783514496607879</v>
      </c>
    </row>
    <row r="650" spans="4:4" x14ac:dyDescent="0.25">
      <c r="D650">
        <f t="shared" ca="1" si="23"/>
        <v>48.523065011397883</v>
      </c>
    </row>
    <row r="651" spans="4:4" x14ac:dyDescent="0.25">
      <c r="D651">
        <f t="shared" ca="1" si="23"/>
        <v>47.17342311925615</v>
      </c>
    </row>
    <row r="652" spans="4:4" x14ac:dyDescent="0.25">
      <c r="D652">
        <f t="shared" ca="1" si="23"/>
        <v>46.070824466045416</v>
      </c>
    </row>
    <row r="653" spans="4:4" x14ac:dyDescent="0.25">
      <c r="D653">
        <f t="shared" ca="1" si="23"/>
        <v>54.690409675452436</v>
      </c>
    </row>
    <row r="654" spans="4:4" x14ac:dyDescent="0.25">
      <c r="D654">
        <f t="shared" ca="1" si="23"/>
        <v>48.612374567273932</v>
      </c>
    </row>
    <row r="655" spans="4:4" x14ac:dyDescent="0.25">
      <c r="D655">
        <f t="shared" ca="1" si="23"/>
        <v>47.718541161812155</v>
      </c>
    </row>
    <row r="656" spans="4:4" x14ac:dyDescent="0.25">
      <c r="D656">
        <f t="shared" ca="1" si="23"/>
        <v>51.847774555266703</v>
      </c>
    </row>
    <row r="657" spans="4:4" x14ac:dyDescent="0.25">
      <c r="D657">
        <f t="shared" ca="1" si="23"/>
        <v>47.239875000086357</v>
      </c>
    </row>
    <row r="658" spans="4:4" x14ac:dyDescent="0.25">
      <c r="D658">
        <f t="shared" ca="1" si="23"/>
        <v>47.831856692843012</v>
      </c>
    </row>
    <row r="659" spans="4:4" x14ac:dyDescent="0.25">
      <c r="D659">
        <f t="shared" ca="1" si="23"/>
        <v>40.509994116053747</v>
      </c>
    </row>
    <row r="660" spans="4:4" x14ac:dyDescent="0.25">
      <c r="D660">
        <f t="shared" ca="1" si="23"/>
        <v>49.113677973616241</v>
      </c>
    </row>
    <row r="661" spans="4:4" x14ac:dyDescent="0.25">
      <c r="D661">
        <f t="shared" ca="1" si="23"/>
        <v>45.044603621619707</v>
      </c>
    </row>
    <row r="662" spans="4:4" x14ac:dyDescent="0.25">
      <c r="D662">
        <f t="shared" ca="1" si="23"/>
        <v>51.448123060314053</v>
      </c>
    </row>
    <row r="663" spans="4:4" x14ac:dyDescent="0.25">
      <c r="D663">
        <f t="shared" ca="1" si="23"/>
        <v>42.546832635472263</v>
      </c>
    </row>
    <row r="664" spans="4:4" x14ac:dyDescent="0.25">
      <c r="D664">
        <f t="shared" ca="1" si="23"/>
        <v>57.234450742680046</v>
      </c>
    </row>
    <row r="665" spans="4:4" x14ac:dyDescent="0.25">
      <c r="D665">
        <f t="shared" ca="1" si="23"/>
        <v>47.070232197756816</v>
      </c>
    </row>
    <row r="666" spans="4:4" x14ac:dyDescent="0.25">
      <c r="D666">
        <f t="shared" ca="1" si="23"/>
        <v>47.233214740832587</v>
      </c>
    </row>
    <row r="667" spans="4:4" x14ac:dyDescent="0.25">
      <c r="D667">
        <f t="shared" ca="1" si="23"/>
        <v>51.474328191440115</v>
      </c>
    </row>
    <row r="668" spans="4:4" x14ac:dyDescent="0.25">
      <c r="D668">
        <f t="shared" ca="1" si="23"/>
        <v>47.774515268754662</v>
      </c>
    </row>
    <row r="669" spans="4:4" x14ac:dyDescent="0.25">
      <c r="D669">
        <f t="shared" ca="1" si="23"/>
        <v>54.634068504028164</v>
      </c>
    </row>
    <row r="670" spans="4:4" x14ac:dyDescent="0.25">
      <c r="D670">
        <f t="shared" ca="1" si="23"/>
        <v>52.930183245308932</v>
      </c>
    </row>
    <row r="671" spans="4:4" x14ac:dyDescent="0.25">
      <c r="D671">
        <f t="shared" ca="1" si="23"/>
        <v>44.795574407773827</v>
      </c>
    </row>
    <row r="672" spans="4:4" x14ac:dyDescent="0.25">
      <c r="D672">
        <f t="shared" ca="1" si="23"/>
        <v>53.648807399168021</v>
      </c>
    </row>
    <row r="673" spans="4:4" x14ac:dyDescent="0.25">
      <c r="D673">
        <f t="shared" ca="1" si="23"/>
        <v>44.850162827559892</v>
      </c>
    </row>
    <row r="674" spans="4:4" x14ac:dyDescent="0.25">
      <c r="D674">
        <f t="shared" ca="1" si="23"/>
        <v>44.688206785502061</v>
      </c>
    </row>
    <row r="675" spans="4:4" x14ac:dyDescent="0.25">
      <c r="D675">
        <f t="shared" ca="1" si="23"/>
        <v>50.072969578845438</v>
      </c>
    </row>
    <row r="676" spans="4:4" x14ac:dyDescent="0.25">
      <c r="D676">
        <f t="shared" ca="1" si="23"/>
        <v>47.493696858147793</v>
      </c>
    </row>
    <row r="677" spans="4:4" x14ac:dyDescent="0.25">
      <c r="D677">
        <f t="shared" ca="1" si="23"/>
        <v>45.938089786741067</v>
      </c>
    </row>
    <row r="678" spans="4:4" x14ac:dyDescent="0.25">
      <c r="D678">
        <f t="shared" ca="1" si="23"/>
        <v>49.03307049196804</v>
      </c>
    </row>
    <row r="679" spans="4:4" x14ac:dyDescent="0.25">
      <c r="D679">
        <f t="shared" ca="1" si="23"/>
        <v>50.89464359964753</v>
      </c>
    </row>
    <row r="680" spans="4:4" x14ac:dyDescent="0.25">
      <c r="D680">
        <f t="shared" ca="1" si="23"/>
        <v>41.444358472387975</v>
      </c>
    </row>
    <row r="681" spans="4:4" x14ac:dyDescent="0.25">
      <c r="D681">
        <f t="shared" ca="1" si="23"/>
        <v>49.606530843332678</v>
      </c>
    </row>
    <row r="682" spans="4:4" x14ac:dyDescent="0.25">
      <c r="D682">
        <f t="shared" ca="1" si="23"/>
        <v>46.524199520651997</v>
      </c>
    </row>
    <row r="683" spans="4:4" x14ac:dyDescent="0.25">
      <c r="D683">
        <f t="shared" ca="1" si="23"/>
        <v>53.663790193517919</v>
      </c>
    </row>
    <row r="684" spans="4:4" x14ac:dyDescent="0.25">
      <c r="D684">
        <f t="shared" ca="1" si="23"/>
        <v>54.192316170458184</v>
      </c>
    </row>
    <row r="685" spans="4:4" x14ac:dyDescent="0.25">
      <c r="D685">
        <f t="shared" ca="1" si="23"/>
        <v>54.250273981952596</v>
      </c>
    </row>
    <row r="686" spans="4:4" x14ac:dyDescent="0.25">
      <c r="D686">
        <f t="shared" ca="1" si="23"/>
        <v>46.373101757029389</v>
      </c>
    </row>
    <row r="687" spans="4:4" x14ac:dyDescent="0.25">
      <c r="D687">
        <f t="shared" ca="1" si="23"/>
        <v>51.140885619059105</v>
      </c>
    </row>
    <row r="688" spans="4:4" x14ac:dyDescent="0.25">
      <c r="D688">
        <f t="shared" ca="1" si="23"/>
        <v>50.972137146991798</v>
      </c>
    </row>
    <row r="689" spans="4:4" x14ac:dyDescent="0.25">
      <c r="D689">
        <f t="shared" ca="1" si="23"/>
        <v>55.118801230028637</v>
      </c>
    </row>
    <row r="690" spans="4:4" x14ac:dyDescent="0.25">
      <c r="D690">
        <f t="shared" ca="1" si="23"/>
        <v>45.618291372270654</v>
      </c>
    </row>
    <row r="691" spans="4:4" x14ac:dyDescent="0.25">
      <c r="D691">
        <f t="shared" ca="1" si="23"/>
        <v>45.027785157218574</v>
      </c>
    </row>
    <row r="692" spans="4:4" x14ac:dyDescent="0.25">
      <c r="D692">
        <f t="shared" ca="1" si="23"/>
        <v>51.21113870585549</v>
      </c>
    </row>
    <row r="693" spans="4:4" x14ac:dyDescent="0.25">
      <c r="D693">
        <f t="shared" ca="1" si="23"/>
        <v>51.246588115838563</v>
      </c>
    </row>
    <row r="694" spans="4:4" x14ac:dyDescent="0.25">
      <c r="D694">
        <f t="shared" ca="1" si="23"/>
        <v>48.554152207937975</v>
      </c>
    </row>
    <row r="695" spans="4:4" x14ac:dyDescent="0.25">
      <c r="D695">
        <f t="shared" ca="1" si="23"/>
        <v>44.992633080185165</v>
      </c>
    </row>
    <row r="696" spans="4:4" x14ac:dyDescent="0.25">
      <c r="D696">
        <f t="shared" ca="1" si="23"/>
        <v>49.745966228927401</v>
      </c>
    </row>
    <row r="697" spans="4:4" x14ac:dyDescent="0.25">
      <c r="D697">
        <f t="shared" ca="1" si="23"/>
        <v>46.498423804655232</v>
      </c>
    </row>
    <row r="698" spans="4:4" x14ac:dyDescent="0.25">
      <c r="D698">
        <f t="shared" ca="1" si="23"/>
        <v>51.83931065228591</v>
      </c>
    </row>
    <row r="699" spans="4:4" x14ac:dyDescent="0.25">
      <c r="D699">
        <f t="shared" ca="1" si="23"/>
        <v>53.839069852413495</v>
      </c>
    </row>
    <row r="700" spans="4:4" x14ac:dyDescent="0.25">
      <c r="D700">
        <f t="shared" ca="1" si="23"/>
        <v>48.593225828380312</v>
      </c>
    </row>
    <row r="701" spans="4:4" x14ac:dyDescent="0.25">
      <c r="D701">
        <f t="shared" ca="1" si="23"/>
        <v>57.238470700715389</v>
      </c>
    </row>
    <row r="702" spans="4:4" x14ac:dyDescent="0.25">
      <c r="D702">
        <f t="shared" ca="1" si="23"/>
        <v>42.889271637995328</v>
      </c>
    </row>
    <row r="703" spans="4:4" x14ac:dyDescent="0.25">
      <c r="D703">
        <f t="shared" ca="1" si="23"/>
        <v>48.564214520493657</v>
      </c>
    </row>
    <row r="704" spans="4:4" x14ac:dyDescent="0.25">
      <c r="D704">
        <f t="shared" ca="1" si="23"/>
        <v>49.360208261577945</v>
      </c>
    </row>
    <row r="705" spans="4:4" x14ac:dyDescent="0.25">
      <c r="D705">
        <f t="shared" ca="1" si="23"/>
        <v>52.621119535061631</v>
      </c>
    </row>
    <row r="706" spans="4:4" x14ac:dyDescent="0.25">
      <c r="D706">
        <f t="shared" ca="1" si="23"/>
        <v>60.43674749189455</v>
      </c>
    </row>
    <row r="707" spans="4:4" x14ac:dyDescent="0.25">
      <c r="D707">
        <f t="shared" ref="D707:D770" ca="1" si="24">_xlfn.T.INV(RAND(),25)*$G$3+$F$3</f>
        <v>49.788245775796355</v>
      </c>
    </row>
    <row r="708" spans="4:4" x14ac:dyDescent="0.25">
      <c r="D708">
        <f t="shared" ca="1" si="24"/>
        <v>51.266223500027088</v>
      </c>
    </row>
    <row r="709" spans="4:4" x14ac:dyDescent="0.25">
      <c r="D709">
        <f t="shared" ca="1" si="24"/>
        <v>52.916817063449116</v>
      </c>
    </row>
    <row r="710" spans="4:4" x14ac:dyDescent="0.25">
      <c r="D710">
        <f t="shared" ca="1" si="24"/>
        <v>51.618140978363471</v>
      </c>
    </row>
    <row r="711" spans="4:4" x14ac:dyDescent="0.25">
      <c r="D711">
        <f t="shared" ca="1" si="24"/>
        <v>54.026208340654314</v>
      </c>
    </row>
    <row r="712" spans="4:4" x14ac:dyDescent="0.25">
      <c r="D712">
        <f t="shared" ca="1" si="24"/>
        <v>49.220744438446403</v>
      </c>
    </row>
    <row r="713" spans="4:4" x14ac:dyDescent="0.25">
      <c r="D713">
        <f t="shared" ca="1" si="24"/>
        <v>51.183349765933961</v>
      </c>
    </row>
    <row r="714" spans="4:4" x14ac:dyDescent="0.25">
      <c r="D714">
        <f t="shared" ca="1" si="24"/>
        <v>60.821926910011683</v>
      </c>
    </row>
    <row r="715" spans="4:4" x14ac:dyDescent="0.25">
      <c r="D715">
        <f t="shared" ca="1" si="24"/>
        <v>58.790414459802172</v>
      </c>
    </row>
    <row r="716" spans="4:4" x14ac:dyDescent="0.25">
      <c r="D716">
        <f t="shared" ca="1" si="24"/>
        <v>48.048689564962679</v>
      </c>
    </row>
    <row r="717" spans="4:4" x14ac:dyDescent="0.25">
      <c r="D717">
        <f t="shared" ca="1" si="24"/>
        <v>46.259348127671046</v>
      </c>
    </row>
    <row r="718" spans="4:4" x14ac:dyDescent="0.25">
      <c r="D718">
        <f t="shared" ca="1" si="24"/>
        <v>45.967026848558888</v>
      </c>
    </row>
    <row r="719" spans="4:4" x14ac:dyDescent="0.25">
      <c r="D719">
        <f t="shared" ca="1" si="24"/>
        <v>44.711735361217762</v>
      </c>
    </row>
    <row r="720" spans="4:4" x14ac:dyDescent="0.25">
      <c r="D720">
        <f t="shared" ca="1" si="24"/>
        <v>50.983572965851842</v>
      </c>
    </row>
    <row r="721" spans="4:4" x14ac:dyDescent="0.25">
      <c r="D721">
        <f t="shared" ca="1" si="24"/>
        <v>49.258090053245461</v>
      </c>
    </row>
    <row r="722" spans="4:4" x14ac:dyDescent="0.25">
      <c r="D722">
        <f t="shared" ca="1" si="24"/>
        <v>50.017980274228563</v>
      </c>
    </row>
    <row r="723" spans="4:4" x14ac:dyDescent="0.25">
      <c r="D723">
        <f t="shared" ca="1" si="24"/>
        <v>42.090760413108711</v>
      </c>
    </row>
    <row r="724" spans="4:4" x14ac:dyDescent="0.25">
      <c r="D724">
        <f t="shared" ca="1" si="24"/>
        <v>45.929087953486231</v>
      </c>
    </row>
    <row r="725" spans="4:4" x14ac:dyDescent="0.25">
      <c r="D725">
        <f t="shared" ca="1" si="24"/>
        <v>50.018523610595551</v>
      </c>
    </row>
    <row r="726" spans="4:4" x14ac:dyDescent="0.25">
      <c r="D726">
        <f t="shared" ca="1" si="24"/>
        <v>47.188745721188177</v>
      </c>
    </row>
    <row r="727" spans="4:4" x14ac:dyDescent="0.25">
      <c r="D727">
        <f t="shared" ca="1" si="24"/>
        <v>54.76545341721647</v>
      </c>
    </row>
    <row r="728" spans="4:4" x14ac:dyDescent="0.25">
      <c r="D728">
        <f t="shared" ca="1" si="24"/>
        <v>42.91664972186819</v>
      </c>
    </row>
    <row r="729" spans="4:4" x14ac:dyDescent="0.25">
      <c r="D729">
        <f t="shared" ca="1" si="24"/>
        <v>47.379242183370948</v>
      </c>
    </row>
    <row r="730" spans="4:4" x14ac:dyDescent="0.25">
      <c r="D730">
        <f t="shared" ca="1" si="24"/>
        <v>52.831289393787848</v>
      </c>
    </row>
    <row r="731" spans="4:4" x14ac:dyDescent="0.25">
      <c r="D731">
        <f t="shared" ca="1" si="24"/>
        <v>47.615446648338974</v>
      </c>
    </row>
    <row r="732" spans="4:4" x14ac:dyDescent="0.25">
      <c r="D732">
        <f t="shared" ca="1" si="24"/>
        <v>46.85078279288112</v>
      </c>
    </row>
    <row r="733" spans="4:4" x14ac:dyDescent="0.25">
      <c r="D733">
        <f t="shared" ca="1" si="24"/>
        <v>46.298595610382876</v>
      </c>
    </row>
    <row r="734" spans="4:4" x14ac:dyDescent="0.25">
      <c r="D734">
        <f t="shared" ca="1" si="24"/>
        <v>45.621518171989116</v>
      </c>
    </row>
    <row r="735" spans="4:4" x14ac:dyDescent="0.25">
      <c r="D735">
        <f t="shared" ca="1" si="24"/>
        <v>46.613171236052864</v>
      </c>
    </row>
    <row r="736" spans="4:4" x14ac:dyDescent="0.25">
      <c r="D736">
        <f t="shared" ca="1" si="24"/>
        <v>46.504364101911577</v>
      </c>
    </row>
    <row r="737" spans="4:4" x14ac:dyDescent="0.25">
      <c r="D737">
        <f t="shared" ca="1" si="24"/>
        <v>51.841005539702017</v>
      </c>
    </row>
    <row r="738" spans="4:4" x14ac:dyDescent="0.25">
      <c r="D738">
        <f t="shared" ca="1" si="24"/>
        <v>41.938364866807127</v>
      </c>
    </row>
    <row r="739" spans="4:4" x14ac:dyDescent="0.25">
      <c r="D739">
        <f t="shared" ca="1" si="24"/>
        <v>48.067117019752281</v>
      </c>
    </row>
    <row r="740" spans="4:4" x14ac:dyDescent="0.25">
      <c r="D740">
        <f t="shared" ca="1" si="24"/>
        <v>51.795150589756851</v>
      </c>
    </row>
    <row r="741" spans="4:4" x14ac:dyDescent="0.25">
      <c r="D741">
        <f t="shared" ca="1" si="24"/>
        <v>56.302385659273909</v>
      </c>
    </row>
    <row r="742" spans="4:4" x14ac:dyDescent="0.25">
      <c r="D742">
        <f t="shared" ca="1" si="24"/>
        <v>47.666831498646431</v>
      </c>
    </row>
    <row r="743" spans="4:4" x14ac:dyDescent="0.25">
      <c r="D743">
        <f t="shared" ca="1" si="24"/>
        <v>50.37705543109675</v>
      </c>
    </row>
    <row r="744" spans="4:4" x14ac:dyDescent="0.25">
      <c r="D744">
        <f t="shared" ca="1" si="24"/>
        <v>47.759515434731355</v>
      </c>
    </row>
    <row r="745" spans="4:4" x14ac:dyDescent="0.25">
      <c r="D745">
        <f t="shared" ca="1" si="24"/>
        <v>52.896484185255098</v>
      </c>
    </row>
    <row r="746" spans="4:4" x14ac:dyDescent="0.25">
      <c r="D746">
        <f t="shared" ca="1" si="24"/>
        <v>41.993136742548508</v>
      </c>
    </row>
    <row r="747" spans="4:4" x14ac:dyDescent="0.25">
      <c r="D747">
        <f t="shared" ca="1" si="24"/>
        <v>57.382744201504693</v>
      </c>
    </row>
    <row r="748" spans="4:4" x14ac:dyDescent="0.25">
      <c r="D748">
        <f t="shared" ca="1" si="24"/>
        <v>42.593378618412835</v>
      </c>
    </row>
    <row r="749" spans="4:4" x14ac:dyDescent="0.25">
      <c r="D749">
        <f t="shared" ca="1" si="24"/>
        <v>46.825041308001637</v>
      </c>
    </row>
    <row r="750" spans="4:4" x14ac:dyDescent="0.25">
      <c r="D750">
        <f t="shared" ca="1" si="24"/>
        <v>45.915707676909626</v>
      </c>
    </row>
    <row r="751" spans="4:4" x14ac:dyDescent="0.25">
      <c r="D751">
        <f t="shared" ca="1" si="24"/>
        <v>53.600091669631944</v>
      </c>
    </row>
    <row r="752" spans="4:4" x14ac:dyDescent="0.25">
      <c r="D752">
        <f t="shared" ca="1" si="24"/>
        <v>52.045929131528645</v>
      </c>
    </row>
    <row r="753" spans="4:4" x14ac:dyDescent="0.25">
      <c r="D753">
        <f t="shared" ca="1" si="24"/>
        <v>51.465686307060018</v>
      </c>
    </row>
    <row r="754" spans="4:4" x14ac:dyDescent="0.25">
      <c r="D754">
        <f t="shared" ca="1" si="24"/>
        <v>48.474872404806383</v>
      </c>
    </row>
    <row r="755" spans="4:4" x14ac:dyDescent="0.25">
      <c r="D755">
        <f t="shared" ca="1" si="24"/>
        <v>49.13910871425405</v>
      </c>
    </row>
    <row r="756" spans="4:4" x14ac:dyDescent="0.25">
      <c r="D756">
        <f t="shared" ca="1" si="24"/>
        <v>44.80205142350588</v>
      </c>
    </row>
    <row r="757" spans="4:4" x14ac:dyDescent="0.25">
      <c r="D757">
        <f t="shared" ca="1" si="24"/>
        <v>53.252827959729458</v>
      </c>
    </row>
    <row r="758" spans="4:4" x14ac:dyDescent="0.25">
      <c r="D758">
        <f t="shared" ca="1" si="24"/>
        <v>49.159367882393042</v>
      </c>
    </row>
    <row r="759" spans="4:4" x14ac:dyDescent="0.25">
      <c r="D759">
        <f t="shared" ca="1" si="24"/>
        <v>49.726287641347433</v>
      </c>
    </row>
    <row r="760" spans="4:4" x14ac:dyDescent="0.25">
      <c r="D760">
        <f t="shared" ca="1" si="24"/>
        <v>54.855149814058393</v>
      </c>
    </row>
    <row r="761" spans="4:4" x14ac:dyDescent="0.25">
      <c r="D761">
        <f t="shared" ca="1" si="24"/>
        <v>52.98010613097825</v>
      </c>
    </row>
    <row r="762" spans="4:4" x14ac:dyDescent="0.25">
      <c r="D762">
        <f t="shared" ca="1" si="24"/>
        <v>52.546639345511444</v>
      </c>
    </row>
    <row r="763" spans="4:4" x14ac:dyDescent="0.25">
      <c r="D763">
        <f t="shared" ca="1" si="24"/>
        <v>52.241403891908213</v>
      </c>
    </row>
    <row r="764" spans="4:4" x14ac:dyDescent="0.25">
      <c r="D764">
        <f t="shared" ca="1" si="24"/>
        <v>48.69049358437131</v>
      </c>
    </row>
    <row r="765" spans="4:4" x14ac:dyDescent="0.25">
      <c r="D765">
        <f t="shared" ca="1" si="24"/>
        <v>54.49462004660456</v>
      </c>
    </row>
    <row r="766" spans="4:4" x14ac:dyDescent="0.25">
      <c r="D766">
        <f t="shared" ca="1" si="24"/>
        <v>51.544473745632054</v>
      </c>
    </row>
    <row r="767" spans="4:4" x14ac:dyDescent="0.25">
      <c r="D767">
        <f t="shared" ca="1" si="24"/>
        <v>44.279473148092919</v>
      </c>
    </row>
    <row r="768" spans="4:4" x14ac:dyDescent="0.25">
      <c r="D768">
        <f t="shared" ca="1" si="24"/>
        <v>50.923704131872341</v>
      </c>
    </row>
    <row r="769" spans="4:4" x14ac:dyDescent="0.25">
      <c r="D769">
        <f t="shared" ca="1" si="24"/>
        <v>47.84761305589209</v>
      </c>
    </row>
    <row r="770" spans="4:4" x14ac:dyDescent="0.25">
      <c r="D770">
        <f t="shared" ca="1" si="24"/>
        <v>45.202644154513663</v>
      </c>
    </row>
    <row r="771" spans="4:4" x14ac:dyDescent="0.25">
      <c r="D771">
        <f t="shared" ref="D771:D834" ca="1" si="25">_xlfn.T.INV(RAND(),25)*$G$3+$F$3</f>
        <v>47.728887394281429</v>
      </c>
    </row>
    <row r="772" spans="4:4" x14ac:dyDescent="0.25">
      <c r="D772">
        <f t="shared" ca="1" si="25"/>
        <v>48.665031877938603</v>
      </c>
    </row>
    <row r="773" spans="4:4" x14ac:dyDescent="0.25">
      <c r="D773">
        <f t="shared" ca="1" si="25"/>
        <v>46.989597106351155</v>
      </c>
    </row>
    <row r="774" spans="4:4" x14ac:dyDescent="0.25">
      <c r="D774">
        <f t="shared" ca="1" si="25"/>
        <v>49.444936111499864</v>
      </c>
    </row>
    <row r="775" spans="4:4" x14ac:dyDescent="0.25">
      <c r="D775">
        <f t="shared" ca="1" si="25"/>
        <v>43.286824713950892</v>
      </c>
    </row>
    <row r="776" spans="4:4" x14ac:dyDescent="0.25">
      <c r="D776">
        <f t="shared" ca="1" si="25"/>
        <v>53.08702533346527</v>
      </c>
    </row>
    <row r="777" spans="4:4" x14ac:dyDescent="0.25">
      <c r="D777">
        <f t="shared" ca="1" si="25"/>
        <v>43.487128336879124</v>
      </c>
    </row>
    <row r="778" spans="4:4" x14ac:dyDescent="0.25">
      <c r="D778">
        <f t="shared" ca="1" si="25"/>
        <v>49.900718513174226</v>
      </c>
    </row>
    <row r="779" spans="4:4" x14ac:dyDescent="0.25">
      <c r="D779">
        <f t="shared" ca="1" si="25"/>
        <v>55.520187620390452</v>
      </c>
    </row>
    <row r="780" spans="4:4" x14ac:dyDescent="0.25">
      <c r="D780">
        <f t="shared" ca="1" si="25"/>
        <v>52.357605469474194</v>
      </c>
    </row>
    <row r="781" spans="4:4" x14ac:dyDescent="0.25">
      <c r="D781">
        <f t="shared" ca="1" si="25"/>
        <v>46.443684397357842</v>
      </c>
    </row>
    <row r="782" spans="4:4" x14ac:dyDescent="0.25">
      <c r="D782">
        <f t="shared" ca="1" si="25"/>
        <v>49.211650201896212</v>
      </c>
    </row>
    <row r="783" spans="4:4" x14ac:dyDescent="0.25">
      <c r="D783">
        <f t="shared" ca="1" si="25"/>
        <v>45.355479921403969</v>
      </c>
    </row>
    <row r="784" spans="4:4" x14ac:dyDescent="0.25">
      <c r="D784">
        <f t="shared" ca="1" si="25"/>
        <v>50.351925213004876</v>
      </c>
    </row>
    <row r="785" spans="4:4" x14ac:dyDescent="0.25">
      <c r="D785">
        <f t="shared" ca="1" si="25"/>
        <v>53.63142543689893</v>
      </c>
    </row>
    <row r="786" spans="4:4" x14ac:dyDescent="0.25">
      <c r="D786">
        <f t="shared" ca="1" si="25"/>
        <v>47.220249534130296</v>
      </c>
    </row>
    <row r="787" spans="4:4" x14ac:dyDescent="0.25">
      <c r="D787">
        <f t="shared" ca="1" si="25"/>
        <v>50.777837228464243</v>
      </c>
    </row>
    <row r="788" spans="4:4" x14ac:dyDescent="0.25">
      <c r="D788">
        <f t="shared" ca="1" si="25"/>
        <v>51.129342034392756</v>
      </c>
    </row>
    <row r="789" spans="4:4" x14ac:dyDescent="0.25">
      <c r="D789">
        <f t="shared" ca="1" si="25"/>
        <v>56.036010846774026</v>
      </c>
    </row>
    <row r="790" spans="4:4" x14ac:dyDescent="0.25">
      <c r="D790">
        <f t="shared" ca="1" si="25"/>
        <v>54.072969860228106</v>
      </c>
    </row>
    <row r="791" spans="4:4" x14ac:dyDescent="0.25">
      <c r="D791">
        <f t="shared" ca="1" si="25"/>
        <v>53.323449413696906</v>
      </c>
    </row>
    <row r="792" spans="4:4" x14ac:dyDescent="0.25">
      <c r="D792">
        <f t="shared" ca="1" si="25"/>
        <v>53.819191330594975</v>
      </c>
    </row>
    <row r="793" spans="4:4" x14ac:dyDescent="0.25">
      <c r="D793">
        <f t="shared" ca="1" si="25"/>
        <v>55.38940495565506</v>
      </c>
    </row>
    <row r="794" spans="4:4" x14ac:dyDescent="0.25">
      <c r="D794">
        <f t="shared" ca="1" si="25"/>
        <v>46.47922753312826</v>
      </c>
    </row>
    <row r="795" spans="4:4" x14ac:dyDescent="0.25">
      <c r="D795">
        <f t="shared" ca="1" si="25"/>
        <v>53.841050702756519</v>
      </c>
    </row>
    <row r="796" spans="4:4" x14ac:dyDescent="0.25">
      <c r="D796">
        <f t="shared" ca="1" si="25"/>
        <v>55.617753179987638</v>
      </c>
    </row>
    <row r="797" spans="4:4" x14ac:dyDescent="0.25">
      <c r="D797">
        <f t="shared" ca="1" si="25"/>
        <v>51.319649127746686</v>
      </c>
    </row>
    <row r="798" spans="4:4" x14ac:dyDescent="0.25">
      <c r="D798">
        <f t="shared" ca="1" si="25"/>
        <v>54.611486495256869</v>
      </c>
    </row>
    <row r="799" spans="4:4" x14ac:dyDescent="0.25">
      <c r="D799">
        <f t="shared" ca="1" si="25"/>
        <v>53.04165625790494</v>
      </c>
    </row>
    <row r="800" spans="4:4" x14ac:dyDescent="0.25">
      <c r="D800">
        <f t="shared" ca="1" si="25"/>
        <v>49.028766779124737</v>
      </c>
    </row>
    <row r="801" spans="4:4" x14ac:dyDescent="0.25">
      <c r="D801">
        <f t="shared" ca="1" si="25"/>
        <v>41.188623686614385</v>
      </c>
    </row>
    <row r="802" spans="4:4" x14ac:dyDescent="0.25">
      <c r="D802">
        <f t="shared" ca="1" si="25"/>
        <v>40.464944140410523</v>
      </c>
    </row>
    <row r="803" spans="4:4" x14ac:dyDescent="0.25">
      <c r="D803">
        <f t="shared" ca="1" si="25"/>
        <v>39.668817211102599</v>
      </c>
    </row>
    <row r="804" spans="4:4" x14ac:dyDescent="0.25">
      <c r="D804">
        <f t="shared" ca="1" si="25"/>
        <v>49.678125240930378</v>
      </c>
    </row>
    <row r="805" spans="4:4" x14ac:dyDescent="0.25">
      <c r="D805">
        <f t="shared" ca="1" si="25"/>
        <v>49.396730737219819</v>
      </c>
    </row>
    <row r="806" spans="4:4" x14ac:dyDescent="0.25">
      <c r="D806">
        <f t="shared" ca="1" si="25"/>
        <v>56.572330506969315</v>
      </c>
    </row>
    <row r="807" spans="4:4" x14ac:dyDescent="0.25">
      <c r="D807">
        <f t="shared" ca="1" si="25"/>
        <v>45.913538597368259</v>
      </c>
    </row>
    <row r="808" spans="4:4" x14ac:dyDescent="0.25">
      <c r="D808">
        <f t="shared" ca="1" si="25"/>
        <v>50.41330642463528</v>
      </c>
    </row>
    <row r="809" spans="4:4" x14ac:dyDescent="0.25">
      <c r="D809">
        <f t="shared" ca="1" si="25"/>
        <v>50.520808464970415</v>
      </c>
    </row>
    <row r="810" spans="4:4" x14ac:dyDescent="0.25">
      <c r="D810">
        <f t="shared" ca="1" si="25"/>
        <v>59.84764087503067</v>
      </c>
    </row>
    <row r="811" spans="4:4" x14ac:dyDescent="0.25">
      <c r="D811">
        <f t="shared" ca="1" si="25"/>
        <v>46.993553631546462</v>
      </c>
    </row>
    <row r="812" spans="4:4" x14ac:dyDescent="0.25">
      <c r="D812">
        <f t="shared" ca="1" si="25"/>
        <v>48.998815122057714</v>
      </c>
    </row>
    <row r="813" spans="4:4" x14ac:dyDescent="0.25">
      <c r="D813">
        <f t="shared" ca="1" si="25"/>
        <v>53.480510700355275</v>
      </c>
    </row>
    <row r="814" spans="4:4" x14ac:dyDescent="0.25">
      <c r="D814">
        <f t="shared" ca="1" si="25"/>
        <v>44.507954971838458</v>
      </c>
    </row>
    <row r="815" spans="4:4" x14ac:dyDescent="0.25">
      <c r="D815">
        <f t="shared" ca="1" si="25"/>
        <v>56.302764997343573</v>
      </c>
    </row>
    <row r="816" spans="4:4" x14ac:dyDescent="0.25">
      <c r="D816">
        <f t="shared" ca="1" si="25"/>
        <v>57.160288887877627</v>
      </c>
    </row>
    <row r="817" spans="4:4" x14ac:dyDescent="0.25">
      <c r="D817">
        <f t="shared" ca="1" si="25"/>
        <v>55.341442368328003</v>
      </c>
    </row>
    <row r="818" spans="4:4" x14ac:dyDescent="0.25">
      <c r="D818">
        <f t="shared" ca="1" si="25"/>
        <v>53.932777705764138</v>
      </c>
    </row>
    <row r="819" spans="4:4" x14ac:dyDescent="0.25">
      <c r="D819">
        <f t="shared" ca="1" si="25"/>
        <v>50.06121874602956</v>
      </c>
    </row>
    <row r="820" spans="4:4" x14ac:dyDescent="0.25">
      <c r="D820">
        <f t="shared" ca="1" si="25"/>
        <v>53.864215178276069</v>
      </c>
    </row>
    <row r="821" spans="4:4" x14ac:dyDescent="0.25">
      <c r="D821">
        <f t="shared" ca="1" si="25"/>
        <v>57.995417953252364</v>
      </c>
    </row>
    <row r="822" spans="4:4" x14ac:dyDescent="0.25">
      <c r="D822">
        <f t="shared" ca="1" si="25"/>
        <v>44.60149042172943</v>
      </c>
    </row>
    <row r="823" spans="4:4" x14ac:dyDescent="0.25">
      <c r="D823">
        <f t="shared" ca="1" si="25"/>
        <v>40.312871455401179</v>
      </c>
    </row>
    <row r="824" spans="4:4" x14ac:dyDescent="0.25">
      <c r="D824">
        <f t="shared" ca="1" si="25"/>
        <v>50.191885477540374</v>
      </c>
    </row>
    <row r="825" spans="4:4" x14ac:dyDescent="0.25">
      <c r="D825">
        <f t="shared" ca="1" si="25"/>
        <v>47.833433109342884</v>
      </c>
    </row>
    <row r="826" spans="4:4" x14ac:dyDescent="0.25">
      <c r="D826">
        <f t="shared" ca="1" si="25"/>
        <v>44.569154097465876</v>
      </c>
    </row>
    <row r="827" spans="4:4" x14ac:dyDescent="0.25">
      <c r="D827">
        <f t="shared" ca="1" si="25"/>
        <v>38.274122034229912</v>
      </c>
    </row>
    <row r="828" spans="4:4" x14ac:dyDescent="0.25">
      <c r="D828">
        <f t="shared" ca="1" si="25"/>
        <v>47.774871201760249</v>
      </c>
    </row>
    <row r="829" spans="4:4" x14ac:dyDescent="0.25">
      <c r="D829">
        <f t="shared" ca="1" si="25"/>
        <v>50.756608582659766</v>
      </c>
    </row>
    <row r="830" spans="4:4" x14ac:dyDescent="0.25">
      <c r="D830">
        <f t="shared" ca="1" si="25"/>
        <v>53.539786992343849</v>
      </c>
    </row>
    <row r="831" spans="4:4" x14ac:dyDescent="0.25">
      <c r="D831">
        <f t="shared" ca="1" si="25"/>
        <v>43.472737401901227</v>
      </c>
    </row>
    <row r="832" spans="4:4" x14ac:dyDescent="0.25">
      <c r="D832">
        <f t="shared" ca="1" si="25"/>
        <v>46.78505122781754</v>
      </c>
    </row>
    <row r="833" spans="4:4" x14ac:dyDescent="0.25">
      <c r="D833">
        <f t="shared" ca="1" si="25"/>
        <v>42.484846992898625</v>
      </c>
    </row>
    <row r="834" spans="4:4" x14ac:dyDescent="0.25">
      <c r="D834">
        <f t="shared" ca="1" si="25"/>
        <v>61.490468435542624</v>
      </c>
    </row>
    <row r="835" spans="4:4" x14ac:dyDescent="0.25">
      <c r="D835">
        <f t="shared" ref="D835:D898" ca="1" si="26">_xlfn.T.INV(RAND(),25)*$G$3+$F$3</f>
        <v>53.295527076200933</v>
      </c>
    </row>
    <row r="836" spans="4:4" x14ac:dyDescent="0.25">
      <c r="D836">
        <f t="shared" ca="1" si="26"/>
        <v>51.216716934684392</v>
      </c>
    </row>
    <row r="837" spans="4:4" x14ac:dyDescent="0.25">
      <c r="D837">
        <f t="shared" ca="1" si="26"/>
        <v>44.093569699575241</v>
      </c>
    </row>
    <row r="838" spans="4:4" x14ac:dyDescent="0.25">
      <c r="D838">
        <f t="shared" ca="1" si="26"/>
        <v>48.147877181298355</v>
      </c>
    </row>
    <row r="839" spans="4:4" x14ac:dyDescent="0.25">
      <c r="D839">
        <f t="shared" ca="1" si="26"/>
        <v>51.243270409929544</v>
      </c>
    </row>
    <row r="840" spans="4:4" x14ac:dyDescent="0.25">
      <c r="D840">
        <f t="shared" ca="1" si="26"/>
        <v>51.104411337153614</v>
      </c>
    </row>
    <row r="841" spans="4:4" x14ac:dyDescent="0.25">
      <c r="D841">
        <f t="shared" ca="1" si="26"/>
        <v>43.118012549123662</v>
      </c>
    </row>
    <row r="842" spans="4:4" x14ac:dyDescent="0.25">
      <c r="D842">
        <f t="shared" ca="1" si="26"/>
        <v>50.860601344631171</v>
      </c>
    </row>
    <row r="843" spans="4:4" x14ac:dyDescent="0.25">
      <c r="D843">
        <f t="shared" ca="1" si="26"/>
        <v>48.766161018813492</v>
      </c>
    </row>
    <row r="844" spans="4:4" x14ac:dyDescent="0.25">
      <c r="D844">
        <f t="shared" ca="1" si="26"/>
        <v>50.977537985528066</v>
      </c>
    </row>
    <row r="845" spans="4:4" x14ac:dyDescent="0.25">
      <c r="D845">
        <f t="shared" ca="1" si="26"/>
        <v>49.104446131488658</v>
      </c>
    </row>
    <row r="846" spans="4:4" x14ac:dyDescent="0.25">
      <c r="D846">
        <f t="shared" ca="1" si="26"/>
        <v>41.133843712649146</v>
      </c>
    </row>
    <row r="847" spans="4:4" x14ac:dyDescent="0.25">
      <c r="D847">
        <f t="shared" ca="1" si="26"/>
        <v>50.74966510251371</v>
      </c>
    </row>
    <row r="848" spans="4:4" x14ac:dyDescent="0.25">
      <c r="D848">
        <f t="shared" ca="1" si="26"/>
        <v>53.365046073712151</v>
      </c>
    </row>
    <row r="849" spans="4:4" x14ac:dyDescent="0.25">
      <c r="D849">
        <f t="shared" ca="1" si="26"/>
        <v>55.252347149557131</v>
      </c>
    </row>
    <row r="850" spans="4:4" x14ac:dyDescent="0.25">
      <c r="D850">
        <f t="shared" ca="1" si="26"/>
        <v>47.425374173497922</v>
      </c>
    </row>
    <row r="851" spans="4:4" x14ac:dyDescent="0.25">
      <c r="D851">
        <f t="shared" ca="1" si="26"/>
        <v>52.261571987541409</v>
      </c>
    </row>
    <row r="852" spans="4:4" x14ac:dyDescent="0.25">
      <c r="D852">
        <f t="shared" ca="1" si="26"/>
        <v>41.17113449466148</v>
      </c>
    </row>
    <row r="853" spans="4:4" x14ac:dyDescent="0.25">
      <c r="D853">
        <f t="shared" ca="1" si="26"/>
        <v>43.834730670509167</v>
      </c>
    </row>
    <row r="854" spans="4:4" x14ac:dyDescent="0.25">
      <c r="D854">
        <f t="shared" ca="1" si="26"/>
        <v>54.415304934078208</v>
      </c>
    </row>
    <row r="855" spans="4:4" x14ac:dyDescent="0.25">
      <c r="D855">
        <f t="shared" ca="1" si="26"/>
        <v>56.543323082236313</v>
      </c>
    </row>
    <row r="856" spans="4:4" x14ac:dyDescent="0.25">
      <c r="D856">
        <f t="shared" ca="1" si="26"/>
        <v>50.582039001555536</v>
      </c>
    </row>
    <row r="857" spans="4:4" x14ac:dyDescent="0.25">
      <c r="D857">
        <f t="shared" ca="1" si="26"/>
        <v>43.461772151254209</v>
      </c>
    </row>
    <row r="858" spans="4:4" x14ac:dyDescent="0.25">
      <c r="D858">
        <f t="shared" ca="1" si="26"/>
        <v>49.356312887868526</v>
      </c>
    </row>
    <row r="859" spans="4:4" x14ac:dyDescent="0.25">
      <c r="D859">
        <f t="shared" ca="1" si="26"/>
        <v>43.486019386359068</v>
      </c>
    </row>
    <row r="860" spans="4:4" x14ac:dyDescent="0.25">
      <c r="D860">
        <f t="shared" ca="1" si="26"/>
        <v>52.407128259090882</v>
      </c>
    </row>
    <row r="861" spans="4:4" x14ac:dyDescent="0.25">
      <c r="D861">
        <f t="shared" ca="1" si="26"/>
        <v>47.201973388514183</v>
      </c>
    </row>
    <row r="862" spans="4:4" x14ac:dyDescent="0.25">
      <c r="D862">
        <f t="shared" ca="1" si="26"/>
        <v>48.610726224275119</v>
      </c>
    </row>
    <row r="863" spans="4:4" x14ac:dyDescent="0.25">
      <c r="D863">
        <f t="shared" ca="1" si="26"/>
        <v>54.097829880251808</v>
      </c>
    </row>
    <row r="864" spans="4:4" x14ac:dyDescent="0.25">
      <c r="D864">
        <f t="shared" ca="1" si="26"/>
        <v>53.859238780451072</v>
      </c>
    </row>
    <row r="865" spans="4:4" x14ac:dyDescent="0.25">
      <c r="D865">
        <f t="shared" ca="1" si="26"/>
        <v>44.328134393701959</v>
      </c>
    </row>
    <row r="866" spans="4:4" x14ac:dyDescent="0.25">
      <c r="D866">
        <f t="shared" ca="1" si="26"/>
        <v>42.482146830355134</v>
      </c>
    </row>
    <row r="867" spans="4:4" x14ac:dyDescent="0.25">
      <c r="D867">
        <f t="shared" ca="1" si="26"/>
        <v>47.850980840274175</v>
      </c>
    </row>
    <row r="868" spans="4:4" x14ac:dyDescent="0.25">
      <c r="D868">
        <f t="shared" ca="1" si="26"/>
        <v>46.487987637243684</v>
      </c>
    </row>
    <row r="869" spans="4:4" x14ac:dyDescent="0.25">
      <c r="D869">
        <f t="shared" ca="1" si="26"/>
        <v>44.652419622007336</v>
      </c>
    </row>
    <row r="870" spans="4:4" x14ac:dyDescent="0.25">
      <c r="D870">
        <f t="shared" ca="1" si="26"/>
        <v>44.985703783167665</v>
      </c>
    </row>
    <row r="871" spans="4:4" x14ac:dyDescent="0.25">
      <c r="D871">
        <f t="shared" ca="1" si="26"/>
        <v>44.699051513832309</v>
      </c>
    </row>
    <row r="872" spans="4:4" x14ac:dyDescent="0.25">
      <c r="D872">
        <f t="shared" ca="1" si="26"/>
        <v>53.819921649498525</v>
      </c>
    </row>
    <row r="873" spans="4:4" x14ac:dyDescent="0.25">
      <c r="D873">
        <f t="shared" ca="1" si="26"/>
        <v>44.023794390451748</v>
      </c>
    </row>
    <row r="874" spans="4:4" x14ac:dyDescent="0.25">
      <c r="D874">
        <f t="shared" ca="1" si="26"/>
        <v>45.361568920017454</v>
      </c>
    </row>
    <row r="875" spans="4:4" x14ac:dyDescent="0.25">
      <c r="D875">
        <f t="shared" ca="1" si="26"/>
        <v>48.732120923780123</v>
      </c>
    </row>
    <row r="876" spans="4:4" x14ac:dyDescent="0.25">
      <c r="D876">
        <f t="shared" ca="1" si="26"/>
        <v>49.90996030351171</v>
      </c>
    </row>
    <row r="877" spans="4:4" x14ac:dyDescent="0.25">
      <c r="D877">
        <f t="shared" ca="1" si="26"/>
        <v>44.698272818849915</v>
      </c>
    </row>
    <row r="878" spans="4:4" x14ac:dyDescent="0.25">
      <c r="D878">
        <f t="shared" ca="1" si="26"/>
        <v>54.592082159605795</v>
      </c>
    </row>
    <row r="879" spans="4:4" x14ac:dyDescent="0.25">
      <c r="D879">
        <f t="shared" ca="1" si="26"/>
        <v>43.851252573061664</v>
      </c>
    </row>
    <row r="880" spans="4:4" x14ac:dyDescent="0.25">
      <c r="D880">
        <f t="shared" ca="1" si="26"/>
        <v>45.032527583393758</v>
      </c>
    </row>
    <row r="881" spans="4:4" x14ac:dyDescent="0.25">
      <c r="D881">
        <f t="shared" ca="1" si="26"/>
        <v>47.017446422962706</v>
      </c>
    </row>
    <row r="882" spans="4:4" x14ac:dyDescent="0.25">
      <c r="D882">
        <f t="shared" ca="1" si="26"/>
        <v>45.341795508147108</v>
      </c>
    </row>
    <row r="883" spans="4:4" x14ac:dyDescent="0.25">
      <c r="D883">
        <f t="shared" ca="1" si="26"/>
        <v>47.316359795922203</v>
      </c>
    </row>
    <row r="884" spans="4:4" x14ac:dyDescent="0.25">
      <c r="D884">
        <f t="shared" ca="1" si="26"/>
        <v>47.174558118582823</v>
      </c>
    </row>
    <row r="885" spans="4:4" x14ac:dyDescent="0.25">
      <c r="D885">
        <f t="shared" ca="1" si="26"/>
        <v>40.955012836266853</v>
      </c>
    </row>
    <row r="886" spans="4:4" x14ac:dyDescent="0.25">
      <c r="D886">
        <f t="shared" ca="1" si="26"/>
        <v>50.468364823955881</v>
      </c>
    </row>
    <row r="887" spans="4:4" x14ac:dyDescent="0.25">
      <c r="D887">
        <f t="shared" ca="1" si="26"/>
        <v>49.610387362595446</v>
      </c>
    </row>
    <row r="888" spans="4:4" x14ac:dyDescent="0.25">
      <c r="D888">
        <f t="shared" ca="1" si="26"/>
        <v>49.972155877517295</v>
      </c>
    </row>
    <row r="889" spans="4:4" x14ac:dyDescent="0.25">
      <c r="D889">
        <f t="shared" ca="1" si="26"/>
        <v>52.924669763489739</v>
      </c>
    </row>
    <row r="890" spans="4:4" x14ac:dyDescent="0.25">
      <c r="D890">
        <f t="shared" ca="1" si="26"/>
        <v>52.70175369000286</v>
      </c>
    </row>
    <row r="891" spans="4:4" x14ac:dyDescent="0.25">
      <c r="D891">
        <f t="shared" ca="1" si="26"/>
        <v>47.611707271939814</v>
      </c>
    </row>
    <row r="892" spans="4:4" x14ac:dyDescent="0.25">
      <c r="D892">
        <f t="shared" ca="1" si="26"/>
        <v>43.001756240981464</v>
      </c>
    </row>
    <row r="893" spans="4:4" x14ac:dyDescent="0.25">
      <c r="D893">
        <f t="shared" ca="1" si="26"/>
        <v>46.435801624241293</v>
      </c>
    </row>
    <row r="894" spans="4:4" x14ac:dyDescent="0.25">
      <c r="D894">
        <f t="shared" ca="1" si="26"/>
        <v>44.267981781818406</v>
      </c>
    </row>
    <row r="895" spans="4:4" x14ac:dyDescent="0.25">
      <c r="D895">
        <f t="shared" ca="1" si="26"/>
        <v>41.421906924851463</v>
      </c>
    </row>
    <row r="896" spans="4:4" x14ac:dyDescent="0.25">
      <c r="D896">
        <f t="shared" ca="1" si="26"/>
        <v>54.038728561984605</v>
      </c>
    </row>
    <row r="897" spans="4:4" x14ac:dyDescent="0.25">
      <c r="D897">
        <f t="shared" ca="1" si="26"/>
        <v>50.374440258629825</v>
      </c>
    </row>
    <row r="898" spans="4:4" x14ac:dyDescent="0.25">
      <c r="D898">
        <f t="shared" ca="1" si="26"/>
        <v>52.823015320134843</v>
      </c>
    </row>
    <row r="899" spans="4:4" x14ac:dyDescent="0.25">
      <c r="D899">
        <f t="shared" ref="D899:D962" ca="1" si="27">_xlfn.T.INV(RAND(),25)*$G$3+$F$3</f>
        <v>47.984342498082682</v>
      </c>
    </row>
    <row r="900" spans="4:4" x14ac:dyDescent="0.25">
      <c r="D900">
        <f t="shared" ca="1" si="27"/>
        <v>42.443349423565252</v>
      </c>
    </row>
    <row r="901" spans="4:4" x14ac:dyDescent="0.25">
      <c r="D901">
        <f t="shared" ca="1" si="27"/>
        <v>58.884004628976761</v>
      </c>
    </row>
    <row r="902" spans="4:4" x14ac:dyDescent="0.25">
      <c r="D902">
        <f t="shared" ca="1" si="27"/>
        <v>50.969353466553535</v>
      </c>
    </row>
    <row r="903" spans="4:4" x14ac:dyDescent="0.25">
      <c r="D903">
        <f t="shared" ca="1" si="27"/>
        <v>52.776002816036836</v>
      </c>
    </row>
    <row r="904" spans="4:4" x14ac:dyDescent="0.25">
      <c r="D904">
        <f t="shared" ca="1" si="27"/>
        <v>48.386592658092219</v>
      </c>
    </row>
    <row r="905" spans="4:4" x14ac:dyDescent="0.25">
      <c r="D905">
        <f t="shared" ca="1" si="27"/>
        <v>46.0104836003147</v>
      </c>
    </row>
    <row r="906" spans="4:4" x14ac:dyDescent="0.25">
      <c r="D906">
        <f t="shared" ca="1" si="27"/>
        <v>52.627759208814929</v>
      </c>
    </row>
    <row r="907" spans="4:4" x14ac:dyDescent="0.25">
      <c r="D907">
        <f t="shared" ca="1" si="27"/>
        <v>47.563107598699595</v>
      </c>
    </row>
    <row r="908" spans="4:4" x14ac:dyDescent="0.25">
      <c r="D908">
        <f t="shared" ca="1" si="27"/>
        <v>50.846636759919697</v>
      </c>
    </row>
    <row r="909" spans="4:4" x14ac:dyDescent="0.25">
      <c r="D909">
        <f t="shared" ca="1" si="27"/>
        <v>56.006970715951475</v>
      </c>
    </row>
    <row r="910" spans="4:4" x14ac:dyDescent="0.25">
      <c r="D910">
        <f t="shared" ca="1" si="27"/>
        <v>54.289496956876299</v>
      </c>
    </row>
    <row r="911" spans="4:4" x14ac:dyDescent="0.25">
      <c r="D911">
        <f t="shared" ca="1" si="27"/>
        <v>51.544750227182611</v>
      </c>
    </row>
    <row r="912" spans="4:4" x14ac:dyDescent="0.25">
      <c r="D912">
        <f t="shared" ca="1" si="27"/>
        <v>51.945261621250793</v>
      </c>
    </row>
    <row r="913" spans="4:4" x14ac:dyDescent="0.25">
      <c r="D913">
        <f t="shared" ca="1" si="27"/>
        <v>50.25537413851432</v>
      </c>
    </row>
    <row r="914" spans="4:4" x14ac:dyDescent="0.25">
      <c r="D914">
        <f t="shared" ca="1" si="27"/>
        <v>51.601534666547558</v>
      </c>
    </row>
    <row r="915" spans="4:4" x14ac:dyDescent="0.25">
      <c r="D915">
        <f t="shared" ca="1" si="27"/>
        <v>55.362702355250825</v>
      </c>
    </row>
    <row r="916" spans="4:4" x14ac:dyDescent="0.25">
      <c r="D916">
        <f t="shared" ca="1" si="27"/>
        <v>49.437351125155082</v>
      </c>
    </row>
    <row r="917" spans="4:4" x14ac:dyDescent="0.25">
      <c r="D917">
        <f t="shared" ca="1" si="27"/>
        <v>51.622807618361719</v>
      </c>
    </row>
    <row r="918" spans="4:4" x14ac:dyDescent="0.25">
      <c r="D918">
        <f t="shared" ca="1" si="27"/>
        <v>52.313263284517937</v>
      </c>
    </row>
    <row r="919" spans="4:4" x14ac:dyDescent="0.25">
      <c r="D919">
        <f t="shared" ca="1" si="27"/>
        <v>47.585787416338036</v>
      </c>
    </row>
    <row r="920" spans="4:4" x14ac:dyDescent="0.25">
      <c r="D920">
        <f t="shared" ca="1" si="27"/>
        <v>40.534613499641054</v>
      </c>
    </row>
    <row r="921" spans="4:4" x14ac:dyDescent="0.25">
      <c r="D921">
        <f t="shared" ca="1" si="27"/>
        <v>49.785292862176512</v>
      </c>
    </row>
    <row r="922" spans="4:4" x14ac:dyDescent="0.25">
      <c r="D922">
        <f t="shared" ca="1" si="27"/>
        <v>45.129090321597666</v>
      </c>
    </row>
    <row r="923" spans="4:4" x14ac:dyDescent="0.25">
      <c r="D923">
        <f t="shared" ca="1" si="27"/>
        <v>49.915913388951942</v>
      </c>
    </row>
    <row r="924" spans="4:4" x14ac:dyDescent="0.25">
      <c r="D924">
        <f t="shared" ca="1" si="27"/>
        <v>53.991807388797476</v>
      </c>
    </row>
    <row r="925" spans="4:4" x14ac:dyDescent="0.25">
      <c r="D925">
        <f t="shared" ca="1" si="27"/>
        <v>49.893253153387747</v>
      </c>
    </row>
    <row r="926" spans="4:4" x14ac:dyDescent="0.25">
      <c r="D926">
        <f t="shared" ca="1" si="27"/>
        <v>56.897695528992529</v>
      </c>
    </row>
    <row r="927" spans="4:4" x14ac:dyDescent="0.25">
      <c r="D927">
        <f t="shared" ca="1" si="27"/>
        <v>51.510145945326322</v>
      </c>
    </row>
    <row r="928" spans="4:4" x14ac:dyDescent="0.25">
      <c r="D928">
        <f t="shared" ca="1" si="27"/>
        <v>44.979345868204732</v>
      </c>
    </row>
    <row r="929" spans="4:4" x14ac:dyDescent="0.25">
      <c r="D929">
        <f t="shared" ca="1" si="27"/>
        <v>44.956506657032797</v>
      </c>
    </row>
    <row r="930" spans="4:4" x14ac:dyDescent="0.25">
      <c r="D930">
        <f t="shared" ca="1" si="27"/>
        <v>52.527430175838873</v>
      </c>
    </row>
    <row r="931" spans="4:4" x14ac:dyDescent="0.25">
      <c r="D931">
        <f t="shared" ca="1" si="27"/>
        <v>51.396764545476536</v>
      </c>
    </row>
    <row r="932" spans="4:4" x14ac:dyDescent="0.25">
      <c r="D932">
        <f t="shared" ca="1" si="27"/>
        <v>56.375662115104063</v>
      </c>
    </row>
    <row r="933" spans="4:4" x14ac:dyDescent="0.25">
      <c r="D933">
        <f t="shared" ca="1" si="27"/>
        <v>46.869786312896423</v>
      </c>
    </row>
    <row r="934" spans="4:4" x14ac:dyDescent="0.25">
      <c r="D934">
        <f t="shared" ca="1" si="27"/>
        <v>52.110480545733907</v>
      </c>
    </row>
    <row r="935" spans="4:4" x14ac:dyDescent="0.25">
      <c r="D935">
        <f t="shared" ca="1" si="27"/>
        <v>40.642282107537241</v>
      </c>
    </row>
    <row r="936" spans="4:4" x14ac:dyDescent="0.25">
      <c r="D936">
        <f t="shared" ca="1" si="27"/>
        <v>49.620047602668045</v>
      </c>
    </row>
    <row r="937" spans="4:4" x14ac:dyDescent="0.25">
      <c r="D937">
        <f t="shared" ca="1" si="27"/>
        <v>47.858805738322957</v>
      </c>
    </row>
    <row r="938" spans="4:4" x14ac:dyDescent="0.25">
      <c r="D938">
        <f t="shared" ca="1" si="27"/>
        <v>53.781643673972326</v>
      </c>
    </row>
    <row r="939" spans="4:4" x14ac:dyDescent="0.25">
      <c r="D939">
        <f t="shared" ca="1" si="27"/>
        <v>41.728778673811249</v>
      </c>
    </row>
    <row r="940" spans="4:4" x14ac:dyDescent="0.25">
      <c r="D940">
        <f t="shared" ca="1" si="27"/>
        <v>40.313450272529138</v>
      </c>
    </row>
    <row r="941" spans="4:4" x14ac:dyDescent="0.25">
      <c r="D941">
        <f t="shared" ca="1" si="27"/>
        <v>55.961628868331786</v>
      </c>
    </row>
    <row r="942" spans="4:4" x14ac:dyDescent="0.25">
      <c r="D942">
        <f t="shared" ca="1" si="27"/>
        <v>45.193966791915628</v>
      </c>
    </row>
    <row r="943" spans="4:4" x14ac:dyDescent="0.25">
      <c r="D943">
        <f t="shared" ca="1" si="27"/>
        <v>48.90118862537031</v>
      </c>
    </row>
    <row r="944" spans="4:4" x14ac:dyDescent="0.25">
      <c r="D944">
        <f t="shared" ca="1" si="27"/>
        <v>53.518927370082231</v>
      </c>
    </row>
    <row r="945" spans="4:4" x14ac:dyDescent="0.25">
      <c r="D945">
        <f t="shared" ca="1" si="27"/>
        <v>56.331031526747623</v>
      </c>
    </row>
    <row r="946" spans="4:4" x14ac:dyDescent="0.25">
      <c r="D946">
        <f t="shared" ca="1" si="27"/>
        <v>54.998953462341625</v>
      </c>
    </row>
    <row r="947" spans="4:4" x14ac:dyDescent="0.25">
      <c r="D947">
        <f t="shared" ca="1" si="27"/>
        <v>50.256890729779769</v>
      </c>
    </row>
    <row r="948" spans="4:4" x14ac:dyDescent="0.25">
      <c r="D948">
        <f t="shared" ca="1" si="27"/>
        <v>48.884631262739873</v>
      </c>
    </row>
    <row r="949" spans="4:4" x14ac:dyDescent="0.25">
      <c r="D949">
        <f t="shared" ca="1" si="27"/>
        <v>46.439785392523945</v>
      </c>
    </row>
    <row r="950" spans="4:4" x14ac:dyDescent="0.25">
      <c r="D950">
        <f t="shared" ca="1" si="27"/>
        <v>51.327742001580191</v>
      </c>
    </row>
    <row r="951" spans="4:4" x14ac:dyDescent="0.25">
      <c r="D951">
        <f t="shared" ca="1" si="27"/>
        <v>51.462969507882008</v>
      </c>
    </row>
    <row r="952" spans="4:4" x14ac:dyDescent="0.25">
      <c r="D952">
        <f t="shared" ca="1" si="27"/>
        <v>49.188383535824286</v>
      </c>
    </row>
    <row r="953" spans="4:4" x14ac:dyDescent="0.25">
      <c r="D953">
        <f t="shared" ca="1" si="27"/>
        <v>54.567095592739946</v>
      </c>
    </row>
    <row r="954" spans="4:4" x14ac:dyDescent="0.25">
      <c r="D954">
        <f t="shared" ca="1" si="27"/>
        <v>44.527433015865391</v>
      </c>
    </row>
    <row r="955" spans="4:4" x14ac:dyDescent="0.25">
      <c r="D955">
        <f t="shared" ca="1" si="27"/>
        <v>46.145635607472563</v>
      </c>
    </row>
    <row r="956" spans="4:4" x14ac:dyDescent="0.25">
      <c r="D956">
        <f t="shared" ca="1" si="27"/>
        <v>48.197302097892667</v>
      </c>
    </row>
    <row r="957" spans="4:4" x14ac:dyDescent="0.25">
      <c r="D957">
        <f t="shared" ca="1" si="27"/>
        <v>49.750642714161636</v>
      </c>
    </row>
    <row r="958" spans="4:4" x14ac:dyDescent="0.25">
      <c r="D958">
        <f t="shared" ca="1" si="27"/>
        <v>53.674131191821402</v>
      </c>
    </row>
    <row r="959" spans="4:4" x14ac:dyDescent="0.25">
      <c r="D959">
        <f t="shared" ca="1" si="27"/>
        <v>58.8029143223118</v>
      </c>
    </row>
    <row r="960" spans="4:4" x14ac:dyDescent="0.25">
      <c r="D960">
        <f t="shared" ca="1" si="27"/>
        <v>47.23862284839025</v>
      </c>
    </row>
    <row r="961" spans="4:4" x14ac:dyDescent="0.25">
      <c r="D961">
        <f t="shared" ca="1" si="27"/>
        <v>45.088886296940395</v>
      </c>
    </row>
    <row r="962" spans="4:4" x14ac:dyDescent="0.25">
      <c r="D962">
        <f t="shared" ca="1" si="27"/>
        <v>54.392693237317665</v>
      </c>
    </row>
    <row r="963" spans="4:4" x14ac:dyDescent="0.25">
      <c r="D963">
        <f t="shared" ref="D963:D1026" ca="1" si="28">_xlfn.T.INV(RAND(),25)*$G$3+$F$3</f>
        <v>46.973165311817155</v>
      </c>
    </row>
    <row r="964" spans="4:4" x14ac:dyDescent="0.25">
      <c r="D964">
        <f t="shared" ca="1" si="28"/>
        <v>46.374469204378393</v>
      </c>
    </row>
    <row r="965" spans="4:4" x14ac:dyDescent="0.25">
      <c r="D965">
        <f t="shared" ca="1" si="28"/>
        <v>45.596852417605909</v>
      </c>
    </row>
    <row r="966" spans="4:4" x14ac:dyDescent="0.25">
      <c r="D966">
        <f t="shared" ca="1" si="28"/>
        <v>50.667282033464581</v>
      </c>
    </row>
    <row r="967" spans="4:4" x14ac:dyDescent="0.25">
      <c r="D967">
        <f t="shared" ca="1" si="28"/>
        <v>60.81466490776593</v>
      </c>
    </row>
    <row r="968" spans="4:4" x14ac:dyDescent="0.25">
      <c r="D968">
        <f t="shared" ca="1" si="28"/>
        <v>51.182953309504406</v>
      </c>
    </row>
    <row r="969" spans="4:4" x14ac:dyDescent="0.25">
      <c r="D969">
        <f t="shared" ca="1" si="28"/>
        <v>50.861476030233163</v>
      </c>
    </row>
    <row r="970" spans="4:4" x14ac:dyDescent="0.25">
      <c r="D970">
        <f t="shared" ca="1" si="28"/>
        <v>51.467754000934463</v>
      </c>
    </row>
    <row r="971" spans="4:4" x14ac:dyDescent="0.25">
      <c r="D971">
        <f t="shared" ca="1" si="28"/>
        <v>50.056250968982297</v>
      </c>
    </row>
    <row r="972" spans="4:4" x14ac:dyDescent="0.25">
      <c r="D972">
        <f t="shared" ca="1" si="28"/>
        <v>44.628880107729863</v>
      </c>
    </row>
    <row r="973" spans="4:4" x14ac:dyDescent="0.25">
      <c r="D973">
        <f t="shared" ca="1" si="28"/>
        <v>46.903501660482618</v>
      </c>
    </row>
    <row r="974" spans="4:4" x14ac:dyDescent="0.25">
      <c r="D974">
        <f t="shared" ca="1" si="28"/>
        <v>51.784981993533435</v>
      </c>
    </row>
    <row r="975" spans="4:4" x14ac:dyDescent="0.25">
      <c r="D975">
        <f t="shared" ca="1" si="28"/>
        <v>48.945542948642519</v>
      </c>
    </row>
    <row r="976" spans="4:4" x14ac:dyDescent="0.25">
      <c r="D976">
        <f t="shared" ca="1" si="28"/>
        <v>56.386966488081455</v>
      </c>
    </row>
    <row r="977" spans="4:4" x14ac:dyDescent="0.25">
      <c r="D977">
        <f t="shared" ca="1" si="28"/>
        <v>41.751508453106858</v>
      </c>
    </row>
    <row r="978" spans="4:4" x14ac:dyDescent="0.25">
      <c r="D978">
        <f t="shared" ca="1" si="28"/>
        <v>38.958370351145518</v>
      </c>
    </row>
    <row r="979" spans="4:4" x14ac:dyDescent="0.25">
      <c r="D979">
        <f t="shared" ca="1" si="28"/>
        <v>49.208030733102035</v>
      </c>
    </row>
    <row r="980" spans="4:4" x14ac:dyDescent="0.25">
      <c r="D980">
        <f t="shared" ca="1" si="28"/>
        <v>60.070680641792087</v>
      </c>
    </row>
    <row r="981" spans="4:4" x14ac:dyDescent="0.25">
      <c r="D981">
        <f t="shared" ca="1" si="28"/>
        <v>52.805843115871482</v>
      </c>
    </row>
    <row r="982" spans="4:4" x14ac:dyDescent="0.25">
      <c r="D982">
        <f t="shared" ca="1" si="28"/>
        <v>45.945106337089655</v>
      </c>
    </row>
    <row r="983" spans="4:4" x14ac:dyDescent="0.25">
      <c r="D983">
        <f t="shared" ca="1" si="28"/>
        <v>45.862501806667716</v>
      </c>
    </row>
    <row r="984" spans="4:4" x14ac:dyDescent="0.25">
      <c r="D984">
        <f t="shared" ca="1" si="28"/>
        <v>49.7874969678643</v>
      </c>
    </row>
    <row r="985" spans="4:4" x14ac:dyDescent="0.25">
      <c r="D985">
        <f t="shared" ca="1" si="28"/>
        <v>40.074228233538577</v>
      </c>
    </row>
    <row r="986" spans="4:4" x14ac:dyDescent="0.25">
      <c r="D986">
        <f t="shared" ca="1" si="28"/>
        <v>42.293342265626464</v>
      </c>
    </row>
    <row r="987" spans="4:4" x14ac:dyDescent="0.25">
      <c r="D987">
        <f t="shared" ca="1" si="28"/>
        <v>53.16762406820375</v>
      </c>
    </row>
    <row r="988" spans="4:4" x14ac:dyDescent="0.25">
      <c r="D988">
        <f t="shared" ca="1" si="28"/>
        <v>46.436014984981682</v>
      </c>
    </row>
    <row r="989" spans="4:4" x14ac:dyDescent="0.25">
      <c r="D989">
        <f t="shared" ca="1" si="28"/>
        <v>53.731200911681391</v>
      </c>
    </row>
    <row r="990" spans="4:4" x14ac:dyDescent="0.25">
      <c r="D990">
        <f t="shared" ca="1" si="28"/>
        <v>44.192866266861095</v>
      </c>
    </row>
    <row r="991" spans="4:4" x14ac:dyDescent="0.25">
      <c r="D991">
        <f t="shared" ca="1" si="28"/>
        <v>51.389177312067943</v>
      </c>
    </row>
    <row r="992" spans="4:4" x14ac:dyDescent="0.25">
      <c r="D992">
        <f t="shared" ca="1" si="28"/>
        <v>54.932469299708039</v>
      </c>
    </row>
    <row r="993" spans="4:4" x14ac:dyDescent="0.25">
      <c r="D993">
        <f t="shared" ca="1" si="28"/>
        <v>50.665335764256255</v>
      </c>
    </row>
    <row r="994" spans="4:4" x14ac:dyDescent="0.25">
      <c r="D994">
        <f t="shared" ca="1" si="28"/>
        <v>46.193824928883402</v>
      </c>
    </row>
    <row r="995" spans="4:4" x14ac:dyDescent="0.25">
      <c r="D995">
        <f t="shared" ca="1" si="28"/>
        <v>43.712125469038419</v>
      </c>
    </row>
    <row r="996" spans="4:4" x14ac:dyDescent="0.25">
      <c r="D996">
        <f t="shared" ca="1" si="28"/>
        <v>38.42028237281216</v>
      </c>
    </row>
    <row r="997" spans="4:4" x14ac:dyDescent="0.25">
      <c r="D997">
        <f t="shared" ca="1" si="28"/>
        <v>60.268863921081184</v>
      </c>
    </row>
    <row r="998" spans="4:4" x14ac:dyDescent="0.25">
      <c r="D998">
        <f t="shared" ca="1" si="28"/>
        <v>54.75745011612571</v>
      </c>
    </row>
    <row r="999" spans="4:4" x14ac:dyDescent="0.25">
      <c r="D999">
        <f t="shared" ca="1" si="28"/>
        <v>48.262919887223596</v>
      </c>
    </row>
    <row r="1000" spans="4:4" x14ac:dyDescent="0.25">
      <c r="D1000">
        <f t="shared" ca="1" si="28"/>
        <v>47.375552673413651</v>
      </c>
    </row>
    <row r="1001" spans="4:4" x14ac:dyDescent="0.25">
      <c r="D1001">
        <f t="shared" ca="1" si="28"/>
        <v>51.809640740381042</v>
      </c>
    </row>
    <row r="1002" spans="4:4" x14ac:dyDescent="0.25">
      <c r="D1002">
        <f t="shared" ca="1" si="28"/>
        <v>48.463784046926335</v>
      </c>
    </row>
    <row r="1003" spans="4:4" x14ac:dyDescent="0.25">
      <c r="D1003">
        <f t="shared" ca="1" si="28"/>
        <v>53.973781679875209</v>
      </c>
    </row>
    <row r="1004" spans="4:4" x14ac:dyDescent="0.25">
      <c r="D1004">
        <f t="shared" ca="1" si="28"/>
        <v>52.756754478906878</v>
      </c>
    </row>
    <row r="1005" spans="4:4" x14ac:dyDescent="0.25">
      <c r="D1005">
        <f t="shared" ca="1" si="28"/>
        <v>43.767748453790794</v>
      </c>
    </row>
    <row r="1006" spans="4:4" x14ac:dyDescent="0.25">
      <c r="D1006">
        <f t="shared" ca="1" si="28"/>
        <v>52.842841208780996</v>
      </c>
    </row>
    <row r="1007" spans="4:4" x14ac:dyDescent="0.25">
      <c r="D1007">
        <f t="shared" ca="1" si="28"/>
        <v>46.374181854230159</v>
      </c>
    </row>
    <row r="1008" spans="4:4" x14ac:dyDescent="0.25">
      <c r="D1008">
        <f t="shared" ca="1" si="28"/>
        <v>49.36590261692146</v>
      </c>
    </row>
    <row r="1009" spans="4:4" x14ac:dyDescent="0.25">
      <c r="D1009">
        <f t="shared" ca="1" si="28"/>
        <v>51.015974078592322</v>
      </c>
    </row>
    <row r="1010" spans="4:4" x14ac:dyDescent="0.25">
      <c r="D1010">
        <f t="shared" ca="1" si="28"/>
        <v>45.708759374290011</v>
      </c>
    </row>
    <row r="1011" spans="4:4" x14ac:dyDescent="0.25">
      <c r="D1011">
        <f t="shared" ca="1" si="28"/>
        <v>48.093699413917157</v>
      </c>
    </row>
    <row r="1012" spans="4:4" x14ac:dyDescent="0.25">
      <c r="D1012">
        <f t="shared" ca="1" si="28"/>
        <v>51.303114088651135</v>
      </c>
    </row>
    <row r="1013" spans="4:4" x14ac:dyDescent="0.25">
      <c r="D1013">
        <f t="shared" ca="1" si="28"/>
        <v>43.318115335290798</v>
      </c>
    </row>
    <row r="1014" spans="4:4" x14ac:dyDescent="0.25">
      <c r="D1014">
        <f t="shared" ca="1" si="28"/>
        <v>53.705765831907193</v>
      </c>
    </row>
    <row r="1015" spans="4:4" x14ac:dyDescent="0.25">
      <c r="D1015">
        <f t="shared" ca="1" si="28"/>
        <v>43.515214461193061</v>
      </c>
    </row>
    <row r="1016" spans="4:4" x14ac:dyDescent="0.25">
      <c r="D1016">
        <f t="shared" ca="1" si="28"/>
        <v>46.424415792764336</v>
      </c>
    </row>
    <row r="1017" spans="4:4" x14ac:dyDescent="0.25">
      <c r="D1017">
        <f t="shared" ca="1" si="28"/>
        <v>56.260064689020624</v>
      </c>
    </row>
    <row r="1018" spans="4:4" x14ac:dyDescent="0.25">
      <c r="D1018">
        <f t="shared" ca="1" si="28"/>
        <v>46.60088573164014</v>
      </c>
    </row>
    <row r="1019" spans="4:4" x14ac:dyDescent="0.25">
      <c r="D1019">
        <f t="shared" ca="1" si="28"/>
        <v>55.842936803351719</v>
      </c>
    </row>
    <row r="1020" spans="4:4" x14ac:dyDescent="0.25">
      <c r="D1020">
        <f t="shared" ca="1" si="28"/>
        <v>42.995783550232957</v>
      </c>
    </row>
    <row r="1021" spans="4:4" x14ac:dyDescent="0.25">
      <c r="D1021">
        <f t="shared" ca="1" si="28"/>
        <v>48.906230681486569</v>
      </c>
    </row>
    <row r="1022" spans="4:4" x14ac:dyDescent="0.25">
      <c r="D1022">
        <f t="shared" ca="1" si="28"/>
        <v>51.259269916328705</v>
      </c>
    </row>
    <row r="1023" spans="4:4" x14ac:dyDescent="0.25">
      <c r="D1023">
        <f t="shared" ca="1" si="28"/>
        <v>52.841142835521985</v>
      </c>
    </row>
    <row r="1024" spans="4:4" x14ac:dyDescent="0.25">
      <c r="D1024">
        <f t="shared" ca="1" si="28"/>
        <v>49.243740889917575</v>
      </c>
    </row>
    <row r="1025" spans="4:4" x14ac:dyDescent="0.25">
      <c r="D1025">
        <f t="shared" ca="1" si="28"/>
        <v>47.27791131202369</v>
      </c>
    </row>
    <row r="1026" spans="4:4" x14ac:dyDescent="0.25">
      <c r="D1026">
        <f t="shared" ca="1" si="28"/>
        <v>46.2150888477086</v>
      </c>
    </row>
    <row r="1027" spans="4:4" x14ac:dyDescent="0.25">
      <c r="D1027">
        <f t="shared" ref="D1027:D1090" ca="1" si="29">_xlfn.T.INV(RAND(),25)*$G$3+$F$3</f>
        <v>48.885511238859486</v>
      </c>
    </row>
    <row r="1028" spans="4:4" x14ac:dyDescent="0.25">
      <c r="D1028">
        <f t="shared" ca="1" si="29"/>
        <v>46.039258953846478</v>
      </c>
    </row>
    <row r="1029" spans="4:4" x14ac:dyDescent="0.25">
      <c r="D1029">
        <f t="shared" ca="1" si="29"/>
        <v>45.976721844723976</v>
      </c>
    </row>
    <row r="1030" spans="4:4" x14ac:dyDescent="0.25">
      <c r="D1030">
        <f t="shared" ca="1" si="29"/>
        <v>55.54604887196534</v>
      </c>
    </row>
    <row r="1031" spans="4:4" x14ac:dyDescent="0.25">
      <c r="D1031">
        <f t="shared" ca="1" si="29"/>
        <v>51.452410913273134</v>
      </c>
    </row>
    <row r="1032" spans="4:4" x14ac:dyDescent="0.25">
      <c r="D1032">
        <f t="shared" ca="1" si="29"/>
        <v>46.769946543182556</v>
      </c>
    </row>
    <row r="1033" spans="4:4" x14ac:dyDescent="0.25">
      <c r="D1033">
        <f t="shared" ca="1" si="29"/>
        <v>59.00077459713188</v>
      </c>
    </row>
    <row r="1034" spans="4:4" x14ac:dyDescent="0.25">
      <c r="D1034">
        <f t="shared" ca="1" si="29"/>
        <v>51.046902074276176</v>
      </c>
    </row>
    <row r="1035" spans="4:4" x14ac:dyDescent="0.25">
      <c r="D1035">
        <f t="shared" ca="1" si="29"/>
        <v>45.226426591892199</v>
      </c>
    </row>
    <row r="1036" spans="4:4" x14ac:dyDescent="0.25">
      <c r="D1036">
        <f t="shared" ca="1" si="29"/>
        <v>62.695303638980306</v>
      </c>
    </row>
    <row r="1037" spans="4:4" x14ac:dyDescent="0.25">
      <c r="D1037">
        <f t="shared" ca="1" si="29"/>
        <v>46.775577480703369</v>
      </c>
    </row>
    <row r="1038" spans="4:4" x14ac:dyDescent="0.25">
      <c r="D1038">
        <f t="shared" ca="1" si="29"/>
        <v>52.583251191640116</v>
      </c>
    </row>
    <row r="1039" spans="4:4" x14ac:dyDescent="0.25">
      <c r="D1039">
        <f t="shared" ca="1" si="29"/>
        <v>45.439630469277944</v>
      </c>
    </row>
    <row r="1040" spans="4:4" x14ac:dyDescent="0.25">
      <c r="D1040">
        <f t="shared" ca="1" si="29"/>
        <v>47.200111176171461</v>
      </c>
    </row>
    <row r="1041" spans="4:4" x14ac:dyDescent="0.25">
      <c r="D1041">
        <f t="shared" ca="1" si="29"/>
        <v>43.688865133445042</v>
      </c>
    </row>
    <row r="1042" spans="4:4" x14ac:dyDescent="0.25">
      <c r="D1042">
        <f t="shared" ca="1" si="29"/>
        <v>50.198238519294662</v>
      </c>
    </row>
    <row r="1043" spans="4:4" x14ac:dyDescent="0.25">
      <c r="D1043">
        <f t="shared" ca="1" si="29"/>
        <v>47.24700830862259</v>
      </c>
    </row>
    <row r="1044" spans="4:4" x14ac:dyDescent="0.25">
      <c r="D1044">
        <f t="shared" ca="1" si="29"/>
        <v>45.642443931965943</v>
      </c>
    </row>
    <row r="1045" spans="4:4" x14ac:dyDescent="0.25">
      <c r="D1045">
        <f t="shared" ca="1" si="29"/>
        <v>50.210083472715709</v>
      </c>
    </row>
    <row r="1046" spans="4:4" x14ac:dyDescent="0.25">
      <c r="D1046">
        <f t="shared" ca="1" si="29"/>
        <v>48.201065809829188</v>
      </c>
    </row>
    <row r="1047" spans="4:4" x14ac:dyDescent="0.25">
      <c r="D1047">
        <f t="shared" ca="1" si="29"/>
        <v>57.76977780748679</v>
      </c>
    </row>
    <row r="1048" spans="4:4" x14ac:dyDescent="0.25">
      <c r="D1048">
        <f t="shared" ca="1" si="29"/>
        <v>38.658544328716424</v>
      </c>
    </row>
    <row r="1049" spans="4:4" x14ac:dyDescent="0.25">
      <c r="D1049">
        <f t="shared" ca="1" si="29"/>
        <v>51.509631817315402</v>
      </c>
    </row>
    <row r="1050" spans="4:4" x14ac:dyDescent="0.25">
      <c r="D1050">
        <f t="shared" ca="1" si="29"/>
        <v>60.302269829884565</v>
      </c>
    </row>
    <row r="1051" spans="4:4" x14ac:dyDescent="0.25">
      <c r="D1051">
        <f t="shared" ca="1" si="29"/>
        <v>51.995042792295997</v>
      </c>
    </row>
    <row r="1052" spans="4:4" x14ac:dyDescent="0.25">
      <c r="D1052">
        <f t="shared" ca="1" si="29"/>
        <v>46.126672802320115</v>
      </c>
    </row>
    <row r="1053" spans="4:4" x14ac:dyDescent="0.25">
      <c r="D1053">
        <f t="shared" ca="1" si="29"/>
        <v>41.685633134064474</v>
      </c>
    </row>
    <row r="1054" spans="4:4" x14ac:dyDescent="0.25">
      <c r="D1054">
        <f t="shared" ca="1" si="29"/>
        <v>52.624128859718326</v>
      </c>
    </row>
    <row r="1055" spans="4:4" x14ac:dyDescent="0.25">
      <c r="D1055">
        <f t="shared" ca="1" si="29"/>
        <v>53.593987003327832</v>
      </c>
    </row>
    <row r="1056" spans="4:4" x14ac:dyDescent="0.25">
      <c r="D1056">
        <f t="shared" ca="1" si="29"/>
        <v>53.561073253454708</v>
      </c>
    </row>
    <row r="1057" spans="4:4" x14ac:dyDescent="0.25">
      <c r="D1057">
        <f t="shared" ca="1" si="29"/>
        <v>36.201484154838546</v>
      </c>
    </row>
    <row r="1058" spans="4:4" x14ac:dyDescent="0.25">
      <c r="D1058">
        <f t="shared" ca="1" si="29"/>
        <v>44.615786297740321</v>
      </c>
    </row>
    <row r="1059" spans="4:4" x14ac:dyDescent="0.25">
      <c r="D1059">
        <f t="shared" ca="1" si="29"/>
        <v>54.863241753979381</v>
      </c>
    </row>
    <row r="1060" spans="4:4" x14ac:dyDescent="0.25">
      <c r="D1060">
        <f t="shared" ca="1" si="29"/>
        <v>52.846390398519858</v>
      </c>
    </row>
    <row r="1061" spans="4:4" x14ac:dyDescent="0.25">
      <c r="D1061">
        <f t="shared" ca="1" si="29"/>
        <v>44.268484373509118</v>
      </c>
    </row>
    <row r="1062" spans="4:4" x14ac:dyDescent="0.25">
      <c r="D1062">
        <f t="shared" ca="1" si="29"/>
        <v>47.118804053111894</v>
      </c>
    </row>
    <row r="1063" spans="4:4" x14ac:dyDescent="0.25">
      <c r="D1063">
        <f t="shared" ca="1" si="29"/>
        <v>49.149097016512115</v>
      </c>
    </row>
    <row r="1064" spans="4:4" x14ac:dyDescent="0.25">
      <c r="D1064">
        <f t="shared" ca="1" si="29"/>
        <v>53.584266830882655</v>
      </c>
    </row>
    <row r="1065" spans="4:4" x14ac:dyDescent="0.25">
      <c r="D1065">
        <f t="shared" ca="1" si="29"/>
        <v>57.396764313505642</v>
      </c>
    </row>
    <row r="1066" spans="4:4" x14ac:dyDescent="0.25">
      <c r="D1066">
        <f t="shared" ca="1" si="29"/>
        <v>45.639717235310719</v>
      </c>
    </row>
    <row r="1067" spans="4:4" x14ac:dyDescent="0.25">
      <c r="D1067">
        <f t="shared" ca="1" si="29"/>
        <v>40.113106535878401</v>
      </c>
    </row>
    <row r="1068" spans="4:4" x14ac:dyDescent="0.25">
      <c r="D1068">
        <f t="shared" ca="1" si="29"/>
        <v>54.063986112117533</v>
      </c>
    </row>
    <row r="1069" spans="4:4" x14ac:dyDescent="0.25">
      <c r="D1069">
        <f t="shared" ca="1" si="29"/>
        <v>52.21851978606081</v>
      </c>
    </row>
    <row r="1070" spans="4:4" x14ac:dyDescent="0.25">
      <c r="D1070">
        <f t="shared" ca="1" si="29"/>
        <v>49.189996812203837</v>
      </c>
    </row>
    <row r="1071" spans="4:4" x14ac:dyDescent="0.25">
      <c r="D1071">
        <f t="shared" ca="1" si="29"/>
        <v>52.8040500431864</v>
      </c>
    </row>
    <row r="1072" spans="4:4" x14ac:dyDescent="0.25">
      <c r="D1072">
        <f t="shared" ca="1" si="29"/>
        <v>47.936013055338051</v>
      </c>
    </row>
    <row r="1073" spans="4:4" x14ac:dyDescent="0.25">
      <c r="D1073">
        <f t="shared" ca="1" si="29"/>
        <v>47.092249879136638</v>
      </c>
    </row>
    <row r="1074" spans="4:4" x14ac:dyDescent="0.25">
      <c r="D1074">
        <f t="shared" ca="1" si="29"/>
        <v>48.566923815102392</v>
      </c>
    </row>
    <row r="1075" spans="4:4" x14ac:dyDescent="0.25">
      <c r="D1075">
        <f t="shared" ca="1" si="29"/>
        <v>51.995782349691112</v>
      </c>
    </row>
    <row r="1076" spans="4:4" x14ac:dyDescent="0.25">
      <c r="D1076">
        <f t="shared" ca="1" si="29"/>
        <v>52.134029394136839</v>
      </c>
    </row>
    <row r="1077" spans="4:4" x14ac:dyDescent="0.25">
      <c r="D1077">
        <f t="shared" ca="1" si="29"/>
        <v>64.056899253140315</v>
      </c>
    </row>
    <row r="1078" spans="4:4" x14ac:dyDescent="0.25">
      <c r="D1078">
        <f t="shared" ca="1" si="29"/>
        <v>49.133042180774304</v>
      </c>
    </row>
    <row r="1079" spans="4:4" x14ac:dyDescent="0.25">
      <c r="D1079">
        <f t="shared" ca="1" si="29"/>
        <v>53.083603236531069</v>
      </c>
    </row>
    <row r="1080" spans="4:4" x14ac:dyDescent="0.25">
      <c r="D1080">
        <f t="shared" ca="1" si="29"/>
        <v>56.746855005785591</v>
      </c>
    </row>
    <row r="1081" spans="4:4" x14ac:dyDescent="0.25">
      <c r="D1081">
        <f t="shared" ca="1" si="29"/>
        <v>51.786680657637248</v>
      </c>
    </row>
    <row r="1082" spans="4:4" x14ac:dyDescent="0.25">
      <c r="D1082">
        <f t="shared" ca="1" si="29"/>
        <v>43.783966897771151</v>
      </c>
    </row>
    <row r="1083" spans="4:4" x14ac:dyDescent="0.25">
      <c r="D1083">
        <f t="shared" ca="1" si="29"/>
        <v>43.771498784493581</v>
      </c>
    </row>
    <row r="1084" spans="4:4" x14ac:dyDescent="0.25">
      <c r="D1084">
        <f t="shared" ca="1" si="29"/>
        <v>50.822019423351762</v>
      </c>
    </row>
    <row r="1085" spans="4:4" x14ac:dyDescent="0.25">
      <c r="D1085">
        <f t="shared" ca="1" si="29"/>
        <v>46.953978161563981</v>
      </c>
    </row>
    <row r="1086" spans="4:4" x14ac:dyDescent="0.25">
      <c r="D1086">
        <f t="shared" ca="1" si="29"/>
        <v>56.963259689678502</v>
      </c>
    </row>
    <row r="1087" spans="4:4" x14ac:dyDescent="0.25">
      <c r="D1087">
        <f t="shared" ca="1" si="29"/>
        <v>43.062813290123557</v>
      </c>
    </row>
    <row r="1088" spans="4:4" x14ac:dyDescent="0.25">
      <c r="D1088">
        <f t="shared" ca="1" si="29"/>
        <v>50.17271922211949</v>
      </c>
    </row>
    <row r="1089" spans="4:4" x14ac:dyDescent="0.25">
      <c r="D1089">
        <f t="shared" ca="1" si="29"/>
        <v>55.361660756542783</v>
      </c>
    </row>
    <row r="1090" spans="4:4" x14ac:dyDescent="0.25">
      <c r="D1090">
        <f t="shared" ca="1" si="29"/>
        <v>55.086551409154666</v>
      </c>
    </row>
    <row r="1091" spans="4:4" x14ac:dyDescent="0.25">
      <c r="D1091">
        <f t="shared" ref="D1091:D1154" ca="1" si="30">_xlfn.T.INV(RAND(),25)*$G$3+$F$3</f>
        <v>49.680867886993241</v>
      </c>
    </row>
    <row r="1092" spans="4:4" x14ac:dyDescent="0.25">
      <c r="D1092">
        <f t="shared" ca="1" si="30"/>
        <v>47.119285964948503</v>
      </c>
    </row>
    <row r="1093" spans="4:4" x14ac:dyDescent="0.25">
      <c r="D1093">
        <f t="shared" ca="1" si="30"/>
        <v>49.422020946144364</v>
      </c>
    </row>
    <row r="1094" spans="4:4" x14ac:dyDescent="0.25">
      <c r="D1094">
        <f t="shared" ca="1" si="30"/>
        <v>44.903489468622226</v>
      </c>
    </row>
    <row r="1095" spans="4:4" x14ac:dyDescent="0.25">
      <c r="D1095">
        <f t="shared" ca="1" si="30"/>
        <v>50.397957083954331</v>
      </c>
    </row>
    <row r="1096" spans="4:4" x14ac:dyDescent="0.25">
      <c r="D1096">
        <f t="shared" ca="1" si="30"/>
        <v>52.919995823671037</v>
      </c>
    </row>
    <row r="1097" spans="4:4" x14ac:dyDescent="0.25">
      <c r="D1097">
        <f t="shared" ca="1" si="30"/>
        <v>52.128788940644711</v>
      </c>
    </row>
    <row r="1098" spans="4:4" x14ac:dyDescent="0.25">
      <c r="D1098">
        <f t="shared" ca="1" si="30"/>
        <v>49.471026613345465</v>
      </c>
    </row>
    <row r="1099" spans="4:4" x14ac:dyDescent="0.25">
      <c r="D1099">
        <f t="shared" ca="1" si="30"/>
        <v>46.842392356816674</v>
      </c>
    </row>
    <row r="1100" spans="4:4" x14ac:dyDescent="0.25">
      <c r="D1100">
        <f t="shared" ca="1" si="30"/>
        <v>52.588939363913084</v>
      </c>
    </row>
    <row r="1101" spans="4:4" x14ac:dyDescent="0.25">
      <c r="D1101">
        <f t="shared" ca="1" si="30"/>
        <v>52.332224173342908</v>
      </c>
    </row>
    <row r="1102" spans="4:4" x14ac:dyDescent="0.25">
      <c r="D1102">
        <f t="shared" ca="1" si="30"/>
        <v>46.124751311590856</v>
      </c>
    </row>
    <row r="1103" spans="4:4" x14ac:dyDescent="0.25">
      <c r="D1103">
        <f t="shared" ca="1" si="30"/>
        <v>47.295577880417007</v>
      </c>
    </row>
    <row r="1104" spans="4:4" x14ac:dyDescent="0.25">
      <c r="D1104">
        <f t="shared" ca="1" si="30"/>
        <v>41.166691557579028</v>
      </c>
    </row>
    <row r="1105" spans="4:4" x14ac:dyDescent="0.25">
      <c r="D1105">
        <f t="shared" ca="1" si="30"/>
        <v>50.621157813819487</v>
      </c>
    </row>
    <row r="1106" spans="4:4" x14ac:dyDescent="0.25">
      <c r="D1106">
        <f t="shared" ca="1" si="30"/>
        <v>51.788734472786551</v>
      </c>
    </row>
    <row r="1107" spans="4:4" x14ac:dyDescent="0.25">
      <c r="D1107">
        <f t="shared" ca="1" si="30"/>
        <v>40.959342025816831</v>
      </c>
    </row>
    <row r="1108" spans="4:4" x14ac:dyDescent="0.25">
      <c r="D1108">
        <f t="shared" ca="1" si="30"/>
        <v>52.55430840530245</v>
      </c>
    </row>
    <row r="1109" spans="4:4" x14ac:dyDescent="0.25">
      <c r="D1109">
        <f t="shared" ca="1" si="30"/>
        <v>43.437501306525881</v>
      </c>
    </row>
    <row r="1110" spans="4:4" x14ac:dyDescent="0.25">
      <c r="D1110">
        <f t="shared" ca="1" si="30"/>
        <v>53.986761857883288</v>
      </c>
    </row>
    <row r="1111" spans="4:4" x14ac:dyDescent="0.25">
      <c r="D1111">
        <f t="shared" ca="1" si="30"/>
        <v>46.434703018825573</v>
      </c>
    </row>
    <row r="1112" spans="4:4" x14ac:dyDescent="0.25">
      <c r="D1112">
        <f t="shared" ca="1" si="30"/>
        <v>37.449549012679512</v>
      </c>
    </row>
    <row r="1113" spans="4:4" x14ac:dyDescent="0.25">
      <c r="D1113">
        <f t="shared" ca="1" si="30"/>
        <v>53.649616594070686</v>
      </c>
    </row>
    <row r="1114" spans="4:4" x14ac:dyDescent="0.25">
      <c r="D1114">
        <f t="shared" ca="1" si="30"/>
        <v>56.957907730333574</v>
      </c>
    </row>
    <row r="1115" spans="4:4" x14ac:dyDescent="0.25">
      <c r="D1115">
        <f t="shared" ca="1" si="30"/>
        <v>48.899596165273202</v>
      </c>
    </row>
    <row r="1116" spans="4:4" x14ac:dyDescent="0.25">
      <c r="D1116">
        <f t="shared" ca="1" si="30"/>
        <v>48.876071565431779</v>
      </c>
    </row>
    <row r="1117" spans="4:4" x14ac:dyDescent="0.25">
      <c r="D1117">
        <f t="shared" ca="1" si="30"/>
        <v>56.732562896671212</v>
      </c>
    </row>
    <row r="1118" spans="4:4" x14ac:dyDescent="0.25">
      <c r="D1118">
        <f t="shared" ca="1" si="30"/>
        <v>44.511087367543382</v>
      </c>
    </row>
    <row r="1119" spans="4:4" x14ac:dyDescent="0.25">
      <c r="D1119">
        <f t="shared" ca="1" si="30"/>
        <v>45.766225770615378</v>
      </c>
    </row>
    <row r="1120" spans="4:4" x14ac:dyDescent="0.25">
      <c r="D1120">
        <f t="shared" ca="1" si="30"/>
        <v>47.902339017702523</v>
      </c>
    </row>
    <row r="1121" spans="4:4" x14ac:dyDescent="0.25">
      <c r="D1121">
        <f t="shared" ca="1" si="30"/>
        <v>48.699225210630338</v>
      </c>
    </row>
    <row r="1122" spans="4:4" x14ac:dyDescent="0.25">
      <c r="D1122">
        <f t="shared" ca="1" si="30"/>
        <v>54.247588746308331</v>
      </c>
    </row>
    <row r="1123" spans="4:4" x14ac:dyDescent="0.25">
      <c r="D1123">
        <f t="shared" ca="1" si="30"/>
        <v>52.034467051657117</v>
      </c>
    </row>
    <row r="1124" spans="4:4" x14ac:dyDescent="0.25">
      <c r="D1124">
        <f t="shared" ca="1" si="30"/>
        <v>51.553128609441444</v>
      </c>
    </row>
    <row r="1125" spans="4:4" x14ac:dyDescent="0.25">
      <c r="D1125">
        <f t="shared" ca="1" si="30"/>
        <v>44.567221307362018</v>
      </c>
    </row>
    <row r="1126" spans="4:4" x14ac:dyDescent="0.25">
      <c r="D1126">
        <f t="shared" ca="1" si="30"/>
        <v>52.923014814335076</v>
      </c>
    </row>
    <row r="1127" spans="4:4" x14ac:dyDescent="0.25">
      <c r="D1127">
        <f t="shared" ca="1" si="30"/>
        <v>48.749839521730969</v>
      </c>
    </row>
    <row r="1128" spans="4:4" x14ac:dyDescent="0.25">
      <c r="D1128">
        <f t="shared" ca="1" si="30"/>
        <v>49.738896923214696</v>
      </c>
    </row>
    <row r="1129" spans="4:4" x14ac:dyDescent="0.25">
      <c r="D1129">
        <f t="shared" ca="1" si="30"/>
        <v>44.789702944983745</v>
      </c>
    </row>
    <row r="1130" spans="4:4" x14ac:dyDescent="0.25">
      <c r="D1130">
        <f t="shared" ca="1" si="30"/>
        <v>50.744717644869944</v>
      </c>
    </row>
    <row r="1131" spans="4:4" x14ac:dyDescent="0.25">
      <c r="D1131">
        <f t="shared" ca="1" si="30"/>
        <v>39.605390431617501</v>
      </c>
    </row>
    <row r="1132" spans="4:4" x14ac:dyDescent="0.25">
      <c r="D1132">
        <f t="shared" ca="1" si="30"/>
        <v>47.38623325686612</v>
      </c>
    </row>
    <row r="1133" spans="4:4" x14ac:dyDescent="0.25">
      <c r="D1133">
        <f t="shared" ca="1" si="30"/>
        <v>51.476493440050319</v>
      </c>
    </row>
    <row r="1134" spans="4:4" x14ac:dyDescent="0.25">
      <c r="D1134">
        <f t="shared" ca="1" si="30"/>
        <v>49.56484414124472</v>
      </c>
    </row>
    <row r="1135" spans="4:4" x14ac:dyDescent="0.25">
      <c r="D1135">
        <f t="shared" ca="1" si="30"/>
        <v>41.762307170604011</v>
      </c>
    </row>
    <row r="1136" spans="4:4" x14ac:dyDescent="0.25">
      <c r="D1136">
        <f t="shared" ca="1" si="30"/>
        <v>44.687858955376988</v>
      </c>
    </row>
    <row r="1137" spans="4:4" x14ac:dyDescent="0.25">
      <c r="D1137">
        <f t="shared" ca="1" si="30"/>
        <v>48.80431809581362</v>
      </c>
    </row>
    <row r="1138" spans="4:4" x14ac:dyDescent="0.25">
      <c r="D1138">
        <f t="shared" ca="1" si="30"/>
        <v>45.448110321090233</v>
      </c>
    </row>
    <row r="1139" spans="4:4" x14ac:dyDescent="0.25">
      <c r="D1139">
        <f t="shared" ca="1" si="30"/>
        <v>52.144312951729404</v>
      </c>
    </row>
    <row r="1140" spans="4:4" x14ac:dyDescent="0.25">
      <c r="D1140">
        <f t="shared" ca="1" si="30"/>
        <v>50.76129251277726</v>
      </c>
    </row>
    <row r="1141" spans="4:4" x14ac:dyDescent="0.25">
      <c r="D1141">
        <f t="shared" ca="1" si="30"/>
        <v>51.018710203878591</v>
      </c>
    </row>
    <row r="1142" spans="4:4" x14ac:dyDescent="0.25">
      <c r="D1142">
        <f t="shared" ca="1" si="30"/>
        <v>47.760073298096259</v>
      </c>
    </row>
    <row r="1143" spans="4:4" x14ac:dyDescent="0.25">
      <c r="D1143">
        <f t="shared" ca="1" si="30"/>
        <v>53.823251236914594</v>
      </c>
    </row>
    <row r="1144" spans="4:4" x14ac:dyDescent="0.25">
      <c r="D1144">
        <f t="shared" ca="1" si="30"/>
        <v>52.286813237340276</v>
      </c>
    </row>
    <row r="1145" spans="4:4" x14ac:dyDescent="0.25">
      <c r="D1145">
        <f t="shared" ca="1" si="30"/>
        <v>44.743969326516634</v>
      </c>
    </row>
    <row r="1146" spans="4:4" x14ac:dyDescent="0.25">
      <c r="D1146">
        <f t="shared" ca="1" si="30"/>
        <v>54.771001420806385</v>
      </c>
    </row>
    <row r="1147" spans="4:4" x14ac:dyDescent="0.25">
      <c r="D1147">
        <f t="shared" ca="1" si="30"/>
        <v>44.497699218407782</v>
      </c>
    </row>
    <row r="1148" spans="4:4" x14ac:dyDescent="0.25">
      <c r="D1148">
        <f t="shared" ca="1" si="30"/>
        <v>52.823775460743519</v>
      </c>
    </row>
    <row r="1149" spans="4:4" x14ac:dyDescent="0.25">
      <c r="D1149">
        <f t="shared" ca="1" si="30"/>
        <v>52.587386532884544</v>
      </c>
    </row>
    <row r="1150" spans="4:4" x14ac:dyDescent="0.25">
      <c r="D1150">
        <f t="shared" ca="1" si="30"/>
        <v>58.805652285629861</v>
      </c>
    </row>
    <row r="1151" spans="4:4" x14ac:dyDescent="0.25">
      <c r="D1151">
        <f t="shared" ca="1" si="30"/>
        <v>50.582184484974348</v>
      </c>
    </row>
    <row r="1152" spans="4:4" x14ac:dyDescent="0.25">
      <c r="D1152">
        <f t="shared" ca="1" si="30"/>
        <v>52.500596149565411</v>
      </c>
    </row>
    <row r="1153" spans="4:4" x14ac:dyDescent="0.25">
      <c r="D1153">
        <f t="shared" ca="1" si="30"/>
        <v>47.337248919245482</v>
      </c>
    </row>
    <row r="1154" spans="4:4" x14ac:dyDescent="0.25">
      <c r="D1154">
        <f t="shared" ca="1" si="30"/>
        <v>45.273943466064807</v>
      </c>
    </row>
    <row r="1155" spans="4:4" x14ac:dyDescent="0.25">
      <c r="D1155">
        <f t="shared" ref="D1155:D1218" ca="1" si="31">_xlfn.T.INV(RAND(),25)*$G$3+$F$3</f>
        <v>49.009357675223974</v>
      </c>
    </row>
    <row r="1156" spans="4:4" x14ac:dyDescent="0.25">
      <c r="D1156">
        <f t="shared" ca="1" si="31"/>
        <v>65.786299554877004</v>
      </c>
    </row>
    <row r="1157" spans="4:4" x14ac:dyDescent="0.25">
      <c r="D1157">
        <f t="shared" ca="1" si="31"/>
        <v>53.088971022675771</v>
      </c>
    </row>
    <row r="1158" spans="4:4" x14ac:dyDescent="0.25">
      <c r="D1158">
        <f t="shared" ca="1" si="31"/>
        <v>54.153026457032176</v>
      </c>
    </row>
    <row r="1159" spans="4:4" x14ac:dyDescent="0.25">
      <c r="D1159">
        <f t="shared" ca="1" si="31"/>
        <v>46.557311826737717</v>
      </c>
    </row>
    <row r="1160" spans="4:4" x14ac:dyDescent="0.25">
      <c r="D1160">
        <f t="shared" ca="1" si="31"/>
        <v>47.877843662489617</v>
      </c>
    </row>
    <row r="1161" spans="4:4" x14ac:dyDescent="0.25">
      <c r="D1161">
        <f t="shared" ca="1" si="31"/>
        <v>46.193858358272621</v>
      </c>
    </row>
    <row r="1162" spans="4:4" x14ac:dyDescent="0.25">
      <c r="D1162">
        <f t="shared" ca="1" si="31"/>
        <v>44.393976155990138</v>
      </c>
    </row>
    <row r="1163" spans="4:4" x14ac:dyDescent="0.25">
      <c r="D1163">
        <f t="shared" ca="1" si="31"/>
        <v>45.398580818084774</v>
      </c>
    </row>
    <row r="1164" spans="4:4" x14ac:dyDescent="0.25">
      <c r="D1164">
        <f t="shared" ca="1" si="31"/>
        <v>47.553980715787368</v>
      </c>
    </row>
    <row r="1165" spans="4:4" x14ac:dyDescent="0.25">
      <c r="D1165">
        <f t="shared" ca="1" si="31"/>
        <v>49.057230396855019</v>
      </c>
    </row>
    <row r="1166" spans="4:4" x14ac:dyDescent="0.25">
      <c r="D1166">
        <f t="shared" ca="1" si="31"/>
        <v>59.05355206813865</v>
      </c>
    </row>
    <row r="1167" spans="4:4" x14ac:dyDescent="0.25">
      <c r="D1167">
        <f t="shared" ca="1" si="31"/>
        <v>41.462584977396837</v>
      </c>
    </row>
    <row r="1168" spans="4:4" x14ac:dyDescent="0.25">
      <c r="D1168">
        <f t="shared" ca="1" si="31"/>
        <v>50.332313753316775</v>
      </c>
    </row>
    <row r="1169" spans="4:4" x14ac:dyDescent="0.25">
      <c r="D1169">
        <f t="shared" ca="1" si="31"/>
        <v>46.098722478396617</v>
      </c>
    </row>
    <row r="1170" spans="4:4" x14ac:dyDescent="0.25">
      <c r="D1170">
        <f t="shared" ca="1" si="31"/>
        <v>47.313124869357765</v>
      </c>
    </row>
    <row r="1171" spans="4:4" x14ac:dyDescent="0.25">
      <c r="D1171">
        <f t="shared" ca="1" si="31"/>
        <v>48.534036853058005</v>
      </c>
    </row>
    <row r="1172" spans="4:4" x14ac:dyDescent="0.25">
      <c r="D1172">
        <f t="shared" ca="1" si="31"/>
        <v>55.447073012312366</v>
      </c>
    </row>
    <row r="1173" spans="4:4" x14ac:dyDescent="0.25">
      <c r="D1173">
        <f t="shared" ca="1" si="31"/>
        <v>46.556752736390756</v>
      </c>
    </row>
    <row r="1174" spans="4:4" x14ac:dyDescent="0.25">
      <c r="D1174">
        <f t="shared" ca="1" si="31"/>
        <v>43.383678166384485</v>
      </c>
    </row>
    <row r="1175" spans="4:4" x14ac:dyDescent="0.25">
      <c r="D1175">
        <f t="shared" ca="1" si="31"/>
        <v>47.951064725729893</v>
      </c>
    </row>
    <row r="1176" spans="4:4" x14ac:dyDescent="0.25">
      <c r="D1176">
        <f t="shared" ca="1" si="31"/>
        <v>51.557942322453279</v>
      </c>
    </row>
    <row r="1177" spans="4:4" x14ac:dyDescent="0.25">
      <c r="D1177">
        <f t="shared" ca="1" si="31"/>
        <v>48.495245055309233</v>
      </c>
    </row>
    <row r="1178" spans="4:4" x14ac:dyDescent="0.25">
      <c r="D1178">
        <f t="shared" ca="1" si="31"/>
        <v>56.722340945740612</v>
      </c>
    </row>
    <row r="1179" spans="4:4" x14ac:dyDescent="0.25">
      <c r="D1179">
        <f t="shared" ca="1" si="31"/>
        <v>47.208977461755097</v>
      </c>
    </row>
    <row r="1180" spans="4:4" x14ac:dyDescent="0.25">
      <c r="D1180">
        <f t="shared" ca="1" si="31"/>
        <v>54.017471478304671</v>
      </c>
    </row>
    <row r="1181" spans="4:4" x14ac:dyDescent="0.25">
      <c r="D1181">
        <f t="shared" ca="1" si="31"/>
        <v>48.926577839786013</v>
      </c>
    </row>
    <row r="1182" spans="4:4" x14ac:dyDescent="0.25">
      <c r="D1182">
        <f t="shared" ca="1" si="31"/>
        <v>52.748099004614915</v>
      </c>
    </row>
    <row r="1183" spans="4:4" x14ac:dyDescent="0.25">
      <c r="D1183">
        <f t="shared" ca="1" si="31"/>
        <v>57.504738687215479</v>
      </c>
    </row>
    <row r="1184" spans="4:4" x14ac:dyDescent="0.25">
      <c r="D1184">
        <f t="shared" ca="1" si="31"/>
        <v>48.876828062202854</v>
      </c>
    </row>
    <row r="1185" spans="4:4" x14ac:dyDescent="0.25">
      <c r="D1185">
        <f t="shared" ca="1" si="31"/>
        <v>55.620934616925844</v>
      </c>
    </row>
    <row r="1186" spans="4:4" x14ac:dyDescent="0.25">
      <c r="D1186">
        <f t="shared" ca="1" si="31"/>
        <v>42.409886706327896</v>
      </c>
    </row>
    <row r="1187" spans="4:4" x14ac:dyDescent="0.25">
      <c r="D1187">
        <f t="shared" ca="1" si="31"/>
        <v>48.148452054451752</v>
      </c>
    </row>
    <row r="1188" spans="4:4" x14ac:dyDescent="0.25">
      <c r="D1188">
        <f t="shared" ca="1" si="31"/>
        <v>54.551074950703601</v>
      </c>
    </row>
    <row r="1189" spans="4:4" x14ac:dyDescent="0.25">
      <c r="D1189">
        <f t="shared" ca="1" si="31"/>
        <v>48.450813192019908</v>
      </c>
    </row>
    <row r="1190" spans="4:4" x14ac:dyDescent="0.25">
      <c r="D1190">
        <f t="shared" ca="1" si="31"/>
        <v>50.671137793781234</v>
      </c>
    </row>
    <row r="1191" spans="4:4" x14ac:dyDescent="0.25">
      <c r="D1191">
        <f t="shared" ca="1" si="31"/>
        <v>54.546602728641247</v>
      </c>
    </row>
    <row r="1192" spans="4:4" x14ac:dyDescent="0.25">
      <c r="D1192">
        <f t="shared" ca="1" si="31"/>
        <v>48.954147423012245</v>
      </c>
    </row>
    <row r="1193" spans="4:4" x14ac:dyDescent="0.25">
      <c r="D1193">
        <f t="shared" ca="1" si="31"/>
        <v>41.798721944683905</v>
      </c>
    </row>
    <row r="1194" spans="4:4" x14ac:dyDescent="0.25">
      <c r="D1194">
        <f t="shared" ca="1" si="31"/>
        <v>51.451417231113915</v>
      </c>
    </row>
    <row r="1195" spans="4:4" x14ac:dyDescent="0.25">
      <c r="D1195">
        <f t="shared" ca="1" si="31"/>
        <v>41.942479913238657</v>
      </c>
    </row>
    <row r="1196" spans="4:4" x14ac:dyDescent="0.25">
      <c r="D1196">
        <f t="shared" ca="1" si="31"/>
        <v>47.529967105703335</v>
      </c>
    </row>
    <row r="1197" spans="4:4" x14ac:dyDescent="0.25">
      <c r="D1197">
        <f t="shared" ca="1" si="31"/>
        <v>48.121044443041512</v>
      </c>
    </row>
    <row r="1198" spans="4:4" x14ac:dyDescent="0.25">
      <c r="D1198">
        <f t="shared" ca="1" si="31"/>
        <v>51.685799356438501</v>
      </c>
    </row>
    <row r="1199" spans="4:4" x14ac:dyDescent="0.25">
      <c r="D1199">
        <f t="shared" ca="1" si="31"/>
        <v>52.865470654592443</v>
      </c>
    </row>
    <row r="1200" spans="4:4" x14ac:dyDescent="0.25">
      <c r="D1200">
        <f t="shared" ca="1" si="31"/>
        <v>46.721646562202039</v>
      </c>
    </row>
    <row r="1201" spans="4:4" x14ac:dyDescent="0.25">
      <c r="D1201">
        <f t="shared" ca="1" si="31"/>
        <v>42.799195472651476</v>
      </c>
    </row>
    <row r="1202" spans="4:4" x14ac:dyDescent="0.25">
      <c r="D1202">
        <f t="shared" ca="1" si="31"/>
        <v>48.719019127289229</v>
      </c>
    </row>
    <row r="1203" spans="4:4" x14ac:dyDescent="0.25">
      <c r="D1203">
        <f t="shared" ca="1" si="31"/>
        <v>43.052183919578177</v>
      </c>
    </row>
    <row r="1204" spans="4:4" x14ac:dyDescent="0.25">
      <c r="D1204">
        <f t="shared" ca="1" si="31"/>
        <v>59.584894407380936</v>
      </c>
    </row>
    <row r="1205" spans="4:4" x14ac:dyDescent="0.25">
      <c r="D1205">
        <f t="shared" ca="1" si="31"/>
        <v>53.977306382774863</v>
      </c>
    </row>
    <row r="1206" spans="4:4" x14ac:dyDescent="0.25">
      <c r="D1206">
        <f t="shared" ca="1" si="31"/>
        <v>52.787940245738653</v>
      </c>
    </row>
    <row r="1207" spans="4:4" x14ac:dyDescent="0.25">
      <c r="D1207">
        <f t="shared" ca="1" si="31"/>
        <v>52.22487561532116</v>
      </c>
    </row>
    <row r="1208" spans="4:4" x14ac:dyDescent="0.25">
      <c r="D1208">
        <f t="shared" ca="1" si="31"/>
        <v>48.169825683730124</v>
      </c>
    </row>
    <row r="1209" spans="4:4" x14ac:dyDescent="0.25">
      <c r="D1209">
        <f t="shared" ca="1" si="31"/>
        <v>45.028449421156608</v>
      </c>
    </row>
    <row r="1210" spans="4:4" x14ac:dyDescent="0.25">
      <c r="D1210">
        <f t="shared" ca="1" si="31"/>
        <v>50.03833588596396</v>
      </c>
    </row>
    <row r="1211" spans="4:4" x14ac:dyDescent="0.25">
      <c r="D1211">
        <f t="shared" ca="1" si="31"/>
        <v>48.274681796344801</v>
      </c>
    </row>
    <row r="1212" spans="4:4" x14ac:dyDescent="0.25">
      <c r="D1212">
        <f t="shared" ca="1" si="31"/>
        <v>49.262210821829676</v>
      </c>
    </row>
    <row r="1213" spans="4:4" x14ac:dyDescent="0.25">
      <c r="D1213">
        <f t="shared" ca="1" si="31"/>
        <v>44.459230112151886</v>
      </c>
    </row>
    <row r="1214" spans="4:4" x14ac:dyDescent="0.25">
      <c r="D1214">
        <f t="shared" ca="1" si="31"/>
        <v>49.438514480673668</v>
      </c>
    </row>
    <row r="1215" spans="4:4" x14ac:dyDescent="0.25">
      <c r="D1215">
        <f t="shared" ca="1" si="31"/>
        <v>48.215525993340471</v>
      </c>
    </row>
    <row r="1216" spans="4:4" x14ac:dyDescent="0.25">
      <c r="D1216">
        <f t="shared" ca="1" si="31"/>
        <v>58.497298655169359</v>
      </c>
    </row>
    <row r="1217" spans="4:4" x14ac:dyDescent="0.25">
      <c r="D1217">
        <f t="shared" ca="1" si="31"/>
        <v>48.244270772401983</v>
      </c>
    </row>
    <row r="1218" spans="4:4" x14ac:dyDescent="0.25">
      <c r="D1218">
        <f t="shared" ca="1" si="31"/>
        <v>45.520215878358414</v>
      </c>
    </row>
    <row r="1219" spans="4:4" x14ac:dyDescent="0.25">
      <c r="D1219">
        <f t="shared" ref="D1219:D1282" ca="1" si="32">_xlfn.T.INV(RAND(),25)*$G$3+$F$3</f>
        <v>48.225704872963256</v>
      </c>
    </row>
    <row r="1220" spans="4:4" x14ac:dyDescent="0.25">
      <c r="D1220">
        <f t="shared" ca="1" si="32"/>
        <v>48.572526958396381</v>
      </c>
    </row>
    <row r="1221" spans="4:4" x14ac:dyDescent="0.25">
      <c r="D1221">
        <f t="shared" ca="1" si="32"/>
        <v>56.348117956179244</v>
      </c>
    </row>
    <row r="1222" spans="4:4" x14ac:dyDescent="0.25">
      <c r="D1222">
        <f t="shared" ca="1" si="32"/>
        <v>54.347237696333721</v>
      </c>
    </row>
    <row r="1223" spans="4:4" x14ac:dyDescent="0.25">
      <c r="D1223">
        <f t="shared" ca="1" si="32"/>
        <v>47.524579201201774</v>
      </c>
    </row>
    <row r="1224" spans="4:4" x14ac:dyDescent="0.25">
      <c r="D1224">
        <f t="shared" ca="1" si="32"/>
        <v>45.074242970263555</v>
      </c>
    </row>
    <row r="1225" spans="4:4" x14ac:dyDescent="0.25">
      <c r="D1225">
        <f t="shared" ca="1" si="32"/>
        <v>54.268165215614736</v>
      </c>
    </row>
    <row r="1226" spans="4:4" x14ac:dyDescent="0.25">
      <c r="D1226">
        <f t="shared" ca="1" si="32"/>
        <v>53.374431121997169</v>
      </c>
    </row>
    <row r="1227" spans="4:4" x14ac:dyDescent="0.25">
      <c r="D1227">
        <f t="shared" ca="1" si="32"/>
        <v>48.3525265565113</v>
      </c>
    </row>
    <row r="1228" spans="4:4" x14ac:dyDescent="0.25">
      <c r="D1228">
        <f t="shared" ca="1" si="32"/>
        <v>50.364246168748004</v>
      </c>
    </row>
    <row r="1229" spans="4:4" x14ac:dyDescent="0.25">
      <c r="D1229">
        <f t="shared" ca="1" si="32"/>
        <v>49.674211722230794</v>
      </c>
    </row>
    <row r="1230" spans="4:4" x14ac:dyDescent="0.25">
      <c r="D1230">
        <f t="shared" ca="1" si="32"/>
        <v>54.154364195512699</v>
      </c>
    </row>
    <row r="1231" spans="4:4" x14ac:dyDescent="0.25">
      <c r="D1231">
        <f t="shared" ca="1" si="32"/>
        <v>51.597434124567833</v>
      </c>
    </row>
    <row r="1232" spans="4:4" x14ac:dyDescent="0.25">
      <c r="D1232">
        <f t="shared" ca="1" si="32"/>
        <v>35.488122007366599</v>
      </c>
    </row>
    <row r="1233" spans="4:4" x14ac:dyDescent="0.25">
      <c r="D1233">
        <f t="shared" ca="1" si="32"/>
        <v>45.684132526114155</v>
      </c>
    </row>
    <row r="1234" spans="4:4" x14ac:dyDescent="0.25">
      <c r="D1234">
        <f t="shared" ca="1" si="32"/>
        <v>41.333475077015514</v>
      </c>
    </row>
    <row r="1235" spans="4:4" x14ac:dyDescent="0.25">
      <c r="D1235">
        <f t="shared" ca="1" si="32"/>
        <v>45.261924225278548</v>
      </c>
    </row>
    <row r="1236" spans="4:4" x14ac:dyDescent="0.25">
      <c r="D1236">
        <f t="shared" ca="1" si="32"/>
        <v>60.904065763727978</v>
      </c>
    </row>
    <row r="1237" spans="4:4" x14ac:dyDescent="0.25">
      <c r="D1237">
        <f t="shared" ca="1" si="32"/>
        <v>49.578493685155564</v>
      </c>
    </row>
    <row r="1238" spans="4:4" x14ac:dyDescent="0.25">
      <c r="D1238">
        <f t="shared" ca="1" si="32"/>
        <v>47.972220330316908</v>
      </c>
    </row>
    <row r="1239" spans="4:4" x14ac:dyDescent="0.25">
      <c r="D1239">
        <f t="shared" ca="1" si="32"/>
        <v>66.221308246519499</v>
      </c>
    </row>
    <row r="1240" spans="4:4" x14ac:dyDescent="0.25">
      <c r="D1240">
        <f t="shared" ca="1" si="32"/>
        <v>53.757409522734541</v>
      </c>
    </row>
    <row r="1241" spans="4:4" x14ac:dyDescent="0.25">
      <c r="D1241">
        <f t="shared" ca="1" si="32"/>
        <v>48.183043379507026</v>
      </c>
    </row>
    <row r="1242" spans="4:4" x14ac:dyDescent="0.25">
      <c r="D1242">
        <f t="shared" ca="1" si="32"/>
        <v>42.882586377820147</v>
      </c>
    </row>
    <row r="1243" spans="4:4" x14ac:dyDescent="0.25">
      <c r="D1243">
        <f t="shared" ca="1" si="32"/>
        <v>48.257798723227289</v>
      </c>
    </row>
    <row r="1244" spans="4:4" x14ac:dyDescent="0.25">
      <c r="D1244">
        <f t="shared" ca="1" si="32"/>
        <v>51.451530976910874</v>
      </c>
    </row>
    <row r="1245" spans="4:4" x14ac:dyDescent="0.25">
      <c r="D1245">
        <f t="shared" ca="1" si="32"/>
        <v>39.524632388133575</v>
      </c>
    </row>
    <row r="1246" spans="4:4" x14ac:dyDescent="0.25">
      <c r="D1246">
        <f t="shared" ca="1" si="32"/>
        <v>49.082734997555114</v>
      </c>
    </row>
    <row r="1247" spans="4:4" x14ac:dyDescent="0.25">
      <c r="D1247">
        <f t="shared" ca="1" si="32"/>
        <v>42.647183189824688</v>
      </c>
    </row>
    <row r="1248" spans="4:4" x14ac:dyDescent="0.25">
      <c r="D1248">
        <f t="shared" ca="1" si="32"/>
        <v>47.5820146264873</v>
      </c>
    </row>
    <row r="1249" spans="4:4" x14ac:dyDescent="0.25">
      <c r="D1249">
        <f t="shared" ca="1" si="32"/>
        <v>47.183918437540711</v>
      </c>
    </row>
    <row r="1250" spans="4:4" x14ac:dyDescent="0.25">
      <c r="D1250">
        <f t="shared" ca="1" si="32"/>
        <v>58.347850182747273</v>
      </c>
    </row>
    <row r="1251" spans="4:4" x14ac:dyDescent="0.25">
      <c r="D1251">
        <f t="shared" ca="1" si="32"/>
        <v>44.667490682172243</v>
      </c>
    </row>
    <row r="1252" spans="4:4" x14ac:dyDescent="0.25">
      <c r="D1252">
        <f t="shared" ca="1" si="32"/>
        <v>47.228202832273908</v>
      </c>
    </row>
    <row r="1253" spans="4:4" x14ac:dyDescent="0.25">
      <c r="D1253">
        <f t="shared" ca="1" si="32"/>
        <v>42.996730324404588</v>
      </c>
    </row>
    <row r="1254" spans="4:4" x14ac:dyDescent="0.25">
      <c r="D1254">
        <f t="shared" ca="1" si="32"/>
        <v>45.676000289768226</v>
      </c>
    </row>
    <row r="1255" spans="4:4" x14ac:dyDescent="0.25">
      <c r="D1255">
        <f t="shared" ca="1" si="32"/>
        <v>52.180968823707353</v>
      </c>
    </row>
    <row r="1256" spans="4:4" x14ac:dyDescent="0.25">
      <c r="D1256">
        <f t="shared" ca="1" si="32"/>
        <v>47.028569958529204</v>
      </c>
    </row>
    <row r="1257" spans="4:4" x14ac:dyDescent="0.25">
      <c r="D1257">
        <f t="shared" ca="1" si="32"/>
        <v>53.425409185304474</v>
      </c>
    </row>
    <row r="1258" spans="4:4" x14ac:dyDescent="0.25">
      <c r="D1258">
        <f t="shared" ca="1" si="32"/>
        <v>50.183293105640857</v>
      </c>
    </row>
    <row r="1259" spans="4:4" x14ac:dyDescent="0.25">
      <c r="D1259">
        <f t="shared" ca="1" si="32"/>
        <v>51.679193400732942</v>
      </c>
    </row>
    <row r="1260" spans="4:4" x14ac:dyDescent="0.25">
      <c r="D1260">
        <f t="shared" ca="1" si="32"/>
        <v>48.996419375451737</v>
      </c>
    </row>
    <row r="1261" spans="4:4" x14ac:dyDescent="0.25">
      <c r="D1261">
        <f t="shared" ca="1" si="32"/>
        <v>54.804254345934282</v>
      </c>
    </row>
    <row r="1262" spans="4:4" x14ac:dyDescent="0.25">
      <c r="D1262">
        <f t="shared" ca="1" si="32"/>
        <v>50.902588437729875</v>
      </c>
    </row>
    <row r="1263" spans="4:4" x14ac:dyDescent="0.25">
      <c r="D1263">
        <f t="shared" ca="1" si="32"/>
        <v>48.984630422880983</v>
      </c>
    </row>
    <row r="1264" spans="4:4" x14ac:dyDescent="0.25">
      <c r="D1264">
        <f t="shared" ca="1" si="32"/>
        <v>51.571957107224677</v>
      </c>
    </row>
    <row r="1265" spans="4:4" x14ac:dyDescent="0.25">
      <c r="D1265">
        <f t="shared" ca="1" si="32"/>
        <v>46.245952346246241</v>
      </c>
    </row>
    <row r="1266" spans="4:4" x14ac:dyDescent="0.25">
      <c r="D1266">
        <f t="shared" ca="1" si="32"/>
        <v>55.003666077241107</v>
      </c>
    </row>
    <row r="1267" spans="4:4" x14ac:dyDescent="0.25">
      <c r="D1267">
        <f t="shared" ca="1" si="32"/>
        <v>44.554021451206694</v>
      </c>
    </row>
    <row r="1268" spans="4:4" x14ac:dyDescent="0.25">
      <c r="D1268">
        <f t="shared" ca="1" si="32"/>
        <v>50.209345217427291</v>
      </c>
    </row>
    <row r="1269" spans="4:4" x14ac:dyDescent="0.25">
      <c r="D1269">
        <f t="shared" ca="1" si="32"/>
        <v>48.503890848324581</v>
      </c>
    </row>
    <row r="1270" spans="4:4" x14ac:dyDescent="0.25">
      <c r="D1270">
        <f t="shared" ca="1" si="32"/>
        <v>48.547114734759042</v>
      </c>
    </row>
    <row r="1271" spans="4:4" x14ac:dyDescent="0.25">
      <c r="D1271">
        <f t="shared" ca="1" si="32"/>
        <v>51.69835771522807</v>
      </c>
    </row>
    <row r="1272" spans="4:4" x14ac:dyDescent="0.25">
      <c r="D1272">
        <f t="shared" ca="1" si="32"/>
        <v>57.638678095172132</v>
      </c>
    </row>
    <row r="1273" spans="4:4" x14ac:dyDescent="0.25">
      <c r="D1273">
        <f t="shared" ca="1" si="32"/>
        <v>56.184550138388673</v>
      </c>
    </row>
    <row r="1274" spans="4:4" x14ac:dyDescent="0.25">
      <c r="D1274">
        <f t="shared" ca="1" si="32"/>
        <v>39.679629299719849</v>
      </c>
    </row>
    <row r="1275" spans="4:4" x14ac:dyDescent="0.25">
      <c r="D1275">
        <f t="shared" ca="1" si="32"/>
        <v>44.349823602018219</v>
      </c>
    </row>
    <row r="1276" spans="4:4" x14ac:dyDescent="0.25">
      <c r="D1276">
        <f t="shared" ca="1" si="32"/>
        <v>53.943694221605533</v>
      </c>
    </row>
    <row r="1277" spans="4:4" x14ac:dyDescent="0.25">
      <c r="D1277">
        <f t="shared" ca="1" si="32"/>
        <v>55.303060170646816</v>
      </c>
    </row>
    <row r="1278" spans="4:4" x14ac:dyDescent="0.25">
      <c r="D1278">
        <f t="shared" ca="1" si="32"/>
        <v>51.227203108142611</v>
      </c>
    </row>
    <row r="1279" spans="4:4" x14ac:dyDescent="0.25">
      <c r="D1279">
        <f t="shared" ca="1" si="32"/>
        <v>50.194670880604122</v>
      </c>
    </row>
    <row r="1280" spans="4:4" x14ac:dyDescent="0.25">
      <c r="D1280">
        <f t="shared" ca="1" si="32"/>
        <v>39.758536947777628</v>
      </c>
    </row>
    <row r="1281" spans="4:4" x14ac:dyDescent="0.25">
      <c r="D1281">
        <f t="shared" ca="1" si="32"/>
        <v>47.889233951059921</v>
      </c>
    </row>
    <row r="1282" spans="4:4" x14ac:dyDescent="0.25">
      <c r="D1282">
        <f t="shared" ca="1" si="32"/>
        <v>56.294226997636478</v>
      </c>
    </row>
    <row r="1283" spans="4:4" x14ac:dyDescent="0.25">
      <c r="D1283">
        <f t="shared" ref="D1283:D1346" ca="1" si="33">_xlfn.T.INV(RAND(),25)*$G$3+$F$3</f>
        <v>49.176144779713688</v>
      </c>
    </row>
    <row r="1284" spans="4:4" x14ac:dyDescent="0.25">
      <c r="D1284">
        <f t="shared" ca="1" si="33"/>
        <v>48.54101992018569</v>
      </c>
    </row>
    <row r="1285" spans="4:4" x14ac:dyDescent="0.25">
      <c r="D1285">
        <f t="shared" ca="1" si="33"/>
        <v>44.648796096921565</v>
      </c>
    </row>
    <row r="1286" spans="4:4" x14ac:dyDescent="0.25">
      <c r="D1286">
        <f t="shared" ca="1" si="33"/>
        <v>50.717763881603005</v>
      </c>
    </row>
    <row r="1287" spans="4:4" x14ac:dyDescent="0.25">
      <c r="D1287">
        <f t="shared" ca="1" si="33"/>
        <v>59.506375970695949</v>
      </c>
    </row>
    <row r="1288" spans="4:4" x14ac:dyDescent="0.25">
      <c r="D1288">
        <f t="shared" ca="1" si="33"/>
        <v>52.613502991942092</v>
      </c>
    </row>
    <row r="1289" spans="4:4" x14ac:dyDescent="0.25">
      <c r="D1289">
        <f t="shared" ca="1" si="33"/>
        <v>48.958438866634154</v>
      </c>
    </row>
    <row r="1290" spans="4:4" x14ac:dyDescent="0.25">
      <c r="D1290">
        <f t="shared" ca="1" si="33"/>
        <v>30.188976274413466</v>
      </c>
    </row>
    <row r="1291" spans="4:4" x14ac:dyDescent="0.25">
      <c r="D1291">
        <f t="shared" ca="1" si="33"/>
        <v>46.733387910270373</v>
      </c>
    </row>
    <row r="1292" spans="4:4" x14ac:dyDescent="0.25">
      <c r="D1292">
        <f t="shared" ca="1" si="33"/>
        <v>50.685556135268094</v>
      </c>
    </row>
    <row r="1293" spans="4:4" x14ac:dyDescent="0.25">
      <c r="D1293">
        <f t="shared" ca="1" si="33"/>
        <v>49.415187610563429</v>
      </c>
    </row>
    <row r="1294" spans="4:4" x14ac:dyDescent="0.25">
      <c r="D1294">
        <f t="shared" ca="1" si="33"/>
        <v>51.42317057130834</v>
      </c>
    </row>
    <row r="1295" spans="4:4" x14ac:dyDescent="0.25">
      <c r="D1295">
        <f t="shared" ca="1" si="33"/>
        <v>39.203809519795442</v>
      </c>
    </row>
    <row r="1296" spans="4:4" x14ac:dyDescent="0.25">
      <c r="D1296">
        <f t="shared" ca="1" si="33"/>
        <v>48.770195602059687</v>
      </c>
    </row>
    <row r="1297" spans="4:4" x14ac:dyDescent="0.25">
      <c r="D1297">
        <f t="shared" ca="1" si="33"/>
        <v>49.314334698112944</v>
      </c>
    </row>
    <row r="1298" spans="4:4" x14ac:dyDescent="0.25">
      <c r="D1298">
        <f t="shared" ca="1" si="33"/>
        <v>54.305570200145773</v>
      </c>
    </row>
    <row r="1299" spans="4:4" x14ac:dyDescent="0.25">
      <c r="D1299">
        <f t="shared" ca="1" si="33"/>
        <v>40.722545936189064</v>
      </c>
    </row>
    <row r="1300" spans="4:4" x14ac:dyDescent="0.25">
      <c r="D1300">
        <f t="shared" ca="1" si="33"/>
        <v>50.996616030523008</v>
      </c>
    </row>
    <row r="1301" spans="4:4" x14ac:dyDescent="0.25">
      <c r="D1301">
        <f t="shared" ca="1" si="33"/>
        <v>47.421891155729647</v>
      </c>
    </row>
    <row r="1302" spans="4:4" x14ac:dyDescent="0.25">
      <c r="D1302">
        <f t="shared" ca="1" si="33"/>
        <v>55.516376730981392</v>
      </c>
    </row>
    <row r="1303" spans="4:4" x14ac:dyDescent="0.25">
      <c r="D1303">
        <f t="shared" ca="1" si="33"/>
        <v>55.237536356689745</v>
      </c>
    </row>
    <row r="1304" spans="4:4" x14ac:dyDescent="0.25">
      <c r="D1304">
        <f t="shared" ca="1" si="33"/>
        <v>49.031891865392204</v>
      </c>
    </row>
    <row r="1305" spans="4:4" x14ac:dyDescent="0.25">
      <c r="D1305">
        <f t="shared" ca="1" si="33"/>
        <v>53.201038696483891</v>
      </c>
    </row>
    <row r="1306" spans="4:4" x14ac:dyDescent="0.25">
      <c r="D1306">
        <f t="shared" ca="1" si="33"/>
        <v>51.92813144772196</v>
      </c>
    </row>
    <row r="1307" spans="4:4" x14ac:dyDescent="0.25">
      <c r="D1307">
        <f t="shared" ca="1" si="33"/>
        <v>45.752507575601292</v>
      </c>
    </row>
    <row r="1308" spans="4:4" x14ac:dyDescent="0.25">
      <c r="D1308">
        <f t="shared" ca="1" si="33"/>
        <v>50.626324005509474</v>
      </c>
    </row>
    <row r="1309" spans="4:4" x14ac:dyDescent="0.25">
      <c r="D1309">
        <f t="shared" ca="1" si="33"/>
        <v>47.280415066307327</v>
      </c>
    </row>
    <row r="1310" spans="4:4" x14ac:dyDescent="0.25">
      <c r="D1310">
        <f t="shared" ca="1" si="33"/>
        <v>62.952083858332983</v>
      </c>
    </row>
    <row r="1311" spans="4:4" x14ac:dyDescent="0.25">
      <c r="D1311">
        <f t="shared" ca="1" si="33"/>
        <v>41.363637758328316</v>
      </c>
    </row>
    <row r="1312" spans="4:4" x14ac:dyDescent="0.25">
      <c r="D1312">
        <f t="shared" ca="1" si="33"/>
        <v>55.94566236907513</v>
      </c>
    </row>
    <row r="1313" spans="4:4" x14ac:dyDescent="0.25">
      <c r="D1313">
        <f t="shared" ca="1" si="33"/>
        <v>53.510947351092902</v>
      </c>
    </row>
    <row r="1314" spans="4:4" x14ac:dyDescent="0.25">
      <c r="D1314">
        <f t="shared" ca="1" si="33"/>
        <v>51.368759615796719</v>
      </c>
    </row>
    <row r="1315" spans="4:4" x14ac:dyDescent="0.25">
      <c r="D1315">
        <f t="shared" ca="1" si="33"/>
        <v>48.521525691756111</v>
      </c>
    </row>
    <row r="1316" spans="4:4" x14ac:dyDescent="0.25">
      <c r="D1316">
        <f t="shared" ca="1" si="33"/>
        <v>55.193653631750607</v>
      </c>
    </row>
    <row r="1317" spans="4:4" x14ac:dyDescent="0.25">
      <c r="D1317">
        <f t="shared" ca="1" si="33"/>
        <v>47.452899504786927</v>
      </c>
    </row>
    <row r="1318" spans="4:4" x14ac:dyDescent="0.25">
      <c r="D1318">
        <f t="shared" ca="1" si="33"/>
        <v>50.849406848627176</v>
      </c>
    </row>
    <row r="1319" spans="4:4" x14ac:dyDescent="0.25">
      <c r="D1319">
        <f t="shared" ca="1" si="33"/>
        <v>54.606964607576309</v>
      </c>
    </row>
    <row r="1320" spans="4:4" x14ac:dyDescent="0.25">
      <c r="D1320">
        <f t="shared" ca="1" si="33"/>
        <v>57.882605096700829</v>
      </c>
    </row>
    <row r="1321" spans="4:4" x14ac:dyDescent="0.25">
      <c r="D1321">
        <f t="shared" ca="1" si="33"/>
        <v>54.643546200293557</v>
      </c>
    </row>
    <row r="1322" spans="4:4" x14ac:dyDescent="0.25">
      <c r="D1322">
        <f t="shared" ca="1" si="33"/>
        <v>52.467588294122905</v>
      </c>
    </row>
    <row r="1323" spans="4:4" x14ac:dyDescent="0.25">
      <c r="D1323">
        <f t="shared" ca="1" si="33"/>
        <v>46.32339342210296</v>
      </c>
    </row>
    <row r="1324" spans="4:4" x14ac:dyDescent="0.25">
      <c r="D1324">
        <f t="shared" ca="1" si="33"/>
        <v>47.561382888761806</v>
      </c>
    </row>
    <row r="1325" spans="4:4" x14ac:dyDescent="0.25">
      <c r="D1325">
        <f t="shared" ca="1" si="33"/>
        <v>47.789248650818351</v>
      </c>
    </row>
    <row r="1326" spans="4:4" x14ac:dyDescent="0.25">
      <c r="D1326">
        <f t="shared" ca="1" si="33"/>
        <v>49.437537866300858</v>
      </c>
    </row>
    <row r="1327" spans="4:4" x14ac:dyDescent="0.25">
      <c r="D1327">
        <f t="shared" ca="1" si="33"/>
        <v>51.078347212488552</v>
      </c>
    </row>
    <row r="1328" spans="4:4" x14ac:dyDescent="0.25">
      <c r="D1328">
        <f t="shared" ca="1" si="33"/>
        <v>41.758744303049042</v>
      </c>
    </row>
    <row r="1329" spans="4:4" x14ac:dyDescent="0.25">
      <c r="D1329">
        <f t="shared" ca="1" si="33"/>
        <v>46.950318990425096</v>
      </c>
    </row>
    <row r="1330" spans="4:4" x14ac:dyDescent="0.25">
      <c r="D1330">
        <f t="shared" ca="1" si="33"/>
        <v>51.062160480573986</v>
      </c>
    </row>
    <row r="1331" spans="4:4" x14ac:dyDescent="0.25">
      <c r="D1331">
        <f t="shared" ca="1" si="33"/>
        <v>43.336337028588908</v>
      </c>
    </row>
    <row r="1332" spans="4:4" x14ac:dyDescent="0.25">
      <c r="D1332">
        <f t="shared" ca="1" si="33"/>
        <v>52.804842599163358</v>
      </c>
    </row>
    <row r="1333" spans="4:4" x14ac:dyDescent="0.25">
      <c r="D1333">
        <f t="shared" ca="1" si="33"/>
        <v>61.894603242321111</v>
      </c>
    </row>
    <row r="1334" spans="4:4" x14ac:dyDescent="0.25">
      <c r="D1334">
        <f t="shared" ca="1" si="33"/>
        <v>57.891852981454306</v>
      </c>
    </row>
    <row r="1335" spans="4:4" x14ac:dyDescent="0.25">
      <c r="D1335">
        <f t="shared" ca="1" si="33"/>
        <v>49.761010533088722</v>
      </c>
    </row>
    <row r="1336" spans="4:4" x14ac:dyDescent="0.25">
      <c r="D1336">
        <f t="shared" ca="1" si="33"/>
        <v>45.132930292020063</v>
      </c>
    </row>
    <row r="1337" spans="4:4" x14ac:dyDescent="0.25">
      <c r="D1337">
        <f t="shared" ca="1" si="33"/>
        <v>47.418892887091758</v>
      </c>
    </row>
    <row r="1338" spans="4:4" x14ac:dyDescent="0.25">
      <c r="D1338">
        <f t="shared" ca="1" si="33"/>
        <v>44.830397902813594</v>
      </c>
    </row>
    <row r="1339" spans="4:4" x14ac:dyDescent="0.25">
      <c r="D1339">
        <f t="shared" ca="1" si="33"/>
        <v>55.559213939633871</v>
      </c>
    </row>
    <row r="1340" spans="4:4" x14ac:dyDescent="0.25">
      <c r="D1340">
        <f t="shared" ca="1" si="33"/>
        <v>47.337610508720026</v>
      </c>
    </row>
    <row r="1341" spans="4:4" x14ac:dyDescent="0.25">
      <c r="D1341">
        <f t="shared" ca="1" si="33"/>
        <v>55.310374377323015</v>
      </c>
    </row>
    <row r="1342" spans="4:4" x14ac:dyDescent="0.25">
      <c r="D1342">
        <f t="shared" ca="1" si="33"/>
        <v>41.185436088080458</v>
      </c>
    </row>
    <row r="1343" spans="4:4" x14ac:dyDescent="0.25">
      <c r="D1343">
        <f t="shared" ca="1" si="33"/>
        <v>47.403581411924542</v>
      </c>
    </row>
    <row r="1344" spans="4:4" x14ac:dyDescent="0.25">
      <c r="D1344">
        <f t="shared" ca="1" si="33"/>
        <v>58.503555317651255</v>
      </c>
    </row>
    <row r="1345" spans="4:4" x14ac:dyDescent="0.25">
      <c r="D1345">
        <f t="shared" ca="1" si="33"/>
        <v>51.36771491355735</v>
      </c>
    </row>
    <row r="1346" spans="4:4" x14ac:dyDescent="0.25">
      <c r="D1346">
        <f t="shared" ca="1" si="33"/>
        <v>48.282628744345303</v>
      </c>
    </row>
    <row r="1347" spans="4:4" x14ac:dyDescent="0.25">
      <c r="D1347">
        <f t="shared" ref="D1347:D1410" ca="1" si="34">_xlfn.T.INV(RAND(),25)*$G$3+$F$3</f>
        <v>49.813031637740657</v>
      </c>
    </row>
    <row r="1348" spans="4:4" x14ac:dyDescent="0.25">
      <c r="D1348">
        <f t="shared" ca="1" si="34"/>
        <v>46.431372458831824</v>
      </c>
    </row>
    <row r="1349" spans="4:4" x14ac:dyDescent="0.25">
      <c r="D1349">
        <f t="shared" ca="1" si="34"/>
        <v>41.721124853322593</v>
      </c>
    </row>
    <row r="1350" spans="4:4" x14ac:dyDescent="0.25">
      <c r="D1350">
        <f t="shared" ca="1" si="34"/>
        <v>44.624637395906667</v>
      </c>
    </row>
    <row r="1351" spans="4:4" x14ac:dyDescent="0.25">
      <c r="D1351">
        <f t="shared" ca="1" si="34"/>
        <v>44.30330855891431</v>
      </c>
    </row>
    <row r="1352" spans="4:4" x14ac:dyDescent="0.25">
      <c r="D1352">
        <f t="shared" ca="1" si="34"/>
        <v>53.559549980112926</v>
      </c>
    </row>
    <row r="1353" spans="4:4" x14ac:dyDescent="0.25">
      <c r="D1353">
        <f t="shared" ca="1" si="34"/>
        <v>47.978734320426071</v>
      </c>
    </row>
    <row r="1354" spans="4:4" x14ac:dyDescent="0.25">
      <c r="D1354">
        <f t="shared" ca="1" si="34"/>
        <v>55.223254128720725</v>
      </c>
    </row>
    <row r="1355" spans="4:4" x14ac:dyDescent="0.25">
      <c r="D1355">
        <f t="shared" ca="1" si="34"/>
        <v>47.800443052426928</v>
      </c>
    </row>
    <row r="1356" spans="4:4" x14ac:dyDescent="0.25">
      <c r="D1356">
        <f t="shared" ca="1" si="34"/>
        <v>48.966733650221059</v>
      </c>
    </row>
    <row r="1357" spans="4:4" x14ac:dyDescent="0.25">
      <c r="D1357">
        <f t="shared" ca="1" si="34"/>
        <v>53.13849792952977</v>
      </c>
    </row>
    <row r="1358" spans="4:4" x14ac:dyDescent="0.25">
      <c r="D1358">
        <f t="shared" ca="1" si="34"/>
        <v>53.631239207417963</v>
      </c>
    </row>
    <row r="1359" spans="4:4" x14ac:dyDescent="0.25">
      <c r="D1359">
        <f t="shared" ca="1" si="34"/>
        <v>46.117457196459306</v>
      </c>
    </row>
    <row r="1360" spans="4:4" x14ac:dyDescent="0.25">
      <c r="D1360">
        <f t="shared" ca="1" si="34"/>
        <v>48.943258711069447</v>
      </c>
    </row>
    <row r="1361" spans="4:4" x14ac:dyDescent="0.25">
      <c r="D1361">
        <f t="shared" ca="1" si="34"/>
        <v>54.917822878265923</v>
      </c>
    </row>
    <row r="1362" spans="4:4" x14ac:dyDescent="0.25">
      <c r="D1362">
        <f t="shared" ca="1" si="34"/>
        <v>51.049681632500949</v>
      </c>
    </row>
    <row r="1363" spans="4:4" x14ac:dyDescent="0.25">
      <c r="D1363">
        <f t="shared" ca="1" si="34"/>
        <v>45.51245875743659</v>
      </c>
    </row>
    <row r="1364" spans="4:4" x14ac:dyDescent="0.25">
      <c r="D1364">
        <f t="shared" ca="1" si="34"/>
        <v>47.432694346125686</v>
      </c>
    </row>
    <row r="1365" spans="4:4" x14ac:dyDescent="0.25">
      <c r="D1365">
        <f t="shared" ca="1" si="34"/>
        <v>50.649586981305198</v>
      </c>
    </row>
    <row r="1366" spans="4:4" x14ac:dyDescent="0.25">
      <c r="D1366">
        <f t="shared" ca="1" si="34"/>
        <v>50.299299231590595</v>
      </c>
    </row>
    <row r="1367" spans="4:4" x14ac:dyDescent="0.25">
      <c r="D1367">
        <f t="shared" ca="1" si="34"/>
        <v>45.489796287792338</v>
      </c>
    </row>
    <row r="1368" spans="4:4" x14ac:dyDescent="0.25">
      <c r="D1368">
        <f t="shared" ca="1" si="34"/>
        <v>47.573908999688058</v>
      </c>
    </row>
    <row r="1369" spans="4:4" x14ac:dyDescent="0.25">
      <c r="D1369">
        <f t="shared" ca="1" si="34"/>
        <v>50.709032124456471</v>
      </c>
    </row>
    <row r="1370" spans="4:4" x14ac:dyDescent="0.25">
      <c r="D1370">
        <f t="shared" ca="1" si="34"/>
        <v>53.803195247099985</v>
      </c>
    </row>
    <row r="1371" spans="4:4" x14ac:dyDescent="0.25">
      <c r="D1371">
        <f t="shared" ca="1" si="34"/>
        <v>45.145734732369746</v>
      </c>
    </row>
    <row r="1372" spans="4:4" x14ac:dyDescent="0.25">
      <c r="D1372">
        <f t="shared" ca="1" si="34"/>
        <v>46.918649446859298</v>
      </c>
    </row>
    <row r="1373" spans="4:4" x14ac:dyDescent="0.25">
      <c r="D1373">
        <f t="shared" ca="1" si="34"/>
        <v>51.045706561067092</v>
      </c>
    </row>
    <row r="1374" spans="4:4" x14ac:dyDescent="0.25">
      <c r="D1374">
        <f t="shared" ca="1" si="34"/>
        <v>49.113096778824925</v>
      </c>
    </row>
    <row r="1375" spans="4:4" x14ac:dyDescent="0.25">
      <c r="D1375">
        <f t="shared" ca="1" si="34"/>
        <v>51.694927615667972</v>
      </c>
    </row>
    <row r="1376" spans="4:4" x14ac:dyDescent="0.25">
      <c r="D1376">
        <f t="shared" ca="1" si="34"/>
        <v>51.237028177463387</v>
      </c>
    </row>
    <row r="1377" spans="4:4" x14ac:dyDescent="0.25">
      <c r="D1377">
        <f t="shared" ca="1" si="34"/>
        <v>42.43437073651944</v>
      </c>
    </row>
    <row r="1378" spans="4:4" x14ac:dyDescent="0.25">
      <c r="D1378">
        <f t="shared" ca="1" si="34"/>
        <v>52.294595288803748</v>
      </c>
    </row>
    <row r="1379" spans="4:4" x14ac:dyDescent="0.25">
      <c r="D1379">
        <f t="shared" ca="1" si="34"/>
        <v>44.357095341194999</v>
      </c>
    </row>
    <row r="1380" spans="4:4" x14ac:dyDescent="0.25">
      <c r="D1380">
        <f t="shared" ca="1" si="34"/>
        <v>52.531806994137163</v>
      </c>
    </row>
    <row r="1381" spans="4:4" x14ac:dyDescent="0.25">
      <c r="D1381">
        <f t="shared" ca="1" si="34"/>
        <v>48.696887997191261</v>
      </c>
    </row>
    <row r="1382" spans="4:4" x14ac:dyDescent="0.25">
      <c r="D1382">
        <f t="shared" ca="1" si="34"/>
        <v>54.473610705545269</v>
      </c>
    </row>
    <row r="1383" spans="4:4" x14ac:dyDescent="0.25">
      <c r="D1383">
        <f t="shared" ca="1" si="34"/>
        <v>52.276798148291881</v>
      </c>
    </row>
    <row r="1384" spans="4:4" x14ac:dyDescent="0.25">
      <c r="D1384">
        <f t="shared" ca="1" si="34"/>
        <v>45.521009246580888</v>
      </c>
    </row>
    <row r="1385" spans="4:4" x14ac:dyDescent="0.25">
      <c r="D1385">
        <f t="shared" ca="1" si="34"/>
        <v>51.344460902527743</v>
      </c>
    </row>
    <row r="1386" spans="4:4" x14ac:dyDescent="0.25">
      <c r="D1386">
        <f t="shared" ca="1" si="34"/>
        <v>42.838712977875609</v>
      </c>
    </row>
    <row r="1387" spans="4:4" x14ac:dyDescent="0.25">
      <c r="D1387">
        <f t="shared" ca="1" si="34"/>
        <v>53.469618334995424</v>
      </c>
    </row>
    <row r="1388" spans="4:4" x14ac:dyDescent="0.25">
      <c r="D1388">
        <f t="shared" ca="1" si="34"/>
        <v>44.277904196412372</v>
      </c>
    </row>
    <row r="1389" spans="4:4" x14ac:dyDescent="0.25">
      <c r="D1389">
        <f t="shared" ca="1" si="34"/>
        <v>52.771990701898048</v>
      </c>
    </row>
    <row r="1390" spans="4:4" x14ac:dyDescent="0.25">
      <c r="D1390">
        <f t="shared" ca="1" si="34"/>
        <v>41.322706253853788</v>
      </c>
    </row>
    <row r="1391" spans="4:4" x14ac:dyDescent="0.25">
      <c r="D1391">
        <f t="shared" ca="1" si="34"/>
        <v>54.012585867718471</v>
      </c>
    </row>
    <row r="1392" spans="4:4" x14ac:dyDescent="0.25">
      <c r="D1392">
        <f t="shared" ca="1" si="34"/>
        <v>49.234100226398112</v>
      </c>
    </row>
    <row r="1393" spans="4:4" x14ac:dyDescent="0.25">
      <c r="D1393">
        <f t="shared" ca="1" si="34"/>
        <v>48.141929807517066</v>
      </c>
    </row>
    <row r="1394" spans="4:4" x14ac:dyDescent="0.25">
      <c r="D1394">
        <f t="shared" ca="1" si="34"/>
        <v>51.148686805567991</v>
      </c>
    </row>
    <row r="1395" spans="4:4" x14ac:dyDescent="0.25">
      <c r="D1395">
        <f t="shared" ca="1" si="34"/>
        <v>53.948033204930475</v>
      </c>
    </row>
    <row r="1396" spans="4:4" x14ac:dyDescent="0.25">
      <c r="D1396">
        <f t="shared" ca="1" si="34"/>
        <v>50.594375690214001</v>
      </c>
    </row>
    <row r="1397" spans="4:4" x14ac:dyDescent="0.25">
      <c r="D1397">
        <f t="shared" ca="1" si="34"/>
        <v>42.993736171254831</v>
      </c>
    </row>
    <row r="1398" spans="4:4" x14ac:dyDescent="0.25">
      <c r="D1398">
        <f t="shared" ca="1" si="34"/>
        <v>48.300745230958945</v>
      </c>
    </row>
    <row r="1399" spans="4:4" x14ac:dyDescent="0.25">
      <c r="D1399">
        <f t="shared" ca="1" si="34"/>
        <v>50.838047869767756</v>
      </c>
    </row>
    <row r="1400" spans="4:4" x14ac:dyDescent="0.25">
      <c r="D1400">
        <f t="shared" ca="1" si="34"/>
        <v>50.512280933612828</v>
      </c>
    </row>
    <row r="1401" spans="4:4" x14ac:dyDescent="0.25">
      <c r="D1401">
        <f t="shared" ca="1" si="34"/>
        <v>51.449620167889705</v>
      </c>
    </row>
    <row r="1402" spans="4:4" x14ac:dyDescent="0.25">
      <c r="D1402">
        <f t="shared" ca="1" si="34"/>
        <v>50.293672224254422</v>
      </c>
    </row>
    <row r="1403" spans="4:4" x14ac:dyDescent="0.25">
      <c r="D1403">
        <f t="shared" ca="1" si="34"/>
        <v>54.951674569484041</v>
      </c>
    </row>
    <row r="1404" spans="4:4" x14ac:dyDescent="0.25">
      <c r="D1404">
        <f t="shared" ca="1" si="34"/>
        <v>45.635100739314396</v>
      </c>
    </row>
    <row r="1405" spans="4:4" x14ac:dyDescent="0.25">
      <c r="D1405">
        <f t="shared" ca="1" si="34"/>
        <v>44.322423214635293</v>
      </c>
    </row>
    <row r="1406" spans="4:4" x14ac:dyDescent="0.25">
      <c r="D1406">
        <f t="shared" ca="1" si="34"/>
        <v>50.701704484533266</v>
      </c>
    </row>
    <row r="1407" spans="4:4" x14ac:dyDescent="0.25">
      <c r="D1407">
        <f t="shared" ca="1" si="34"/>
        <v>48.839274633776689</v>
      </c>
    </row>
    <row r="1408" spans="4:4" x14ac:dyDescent="0.25">
      <c r="D1408">
        <f t="shared" ca="1" si="34"/>
        <v>50.658837542705996</v>
      </c>
    </row>
    <row r="1409" spans="4:4" x14ac:dyDescent="0.25">
      <c r="D1409">
        <f t="shared" ca="1" si="34"/>
        <v>47.204737618688561</v>
      </c>
    </row>
    <row r="1410" spans="4:4" x14ac:dyDescent="0.25">
      <c r="D1410">
        <f t="shared" ca="1" si="34"/>
        <v>50.495786802918566</v>
      </c>
    </row>
    <row r="1411" spans="4:4" x14ac:dyDescent="0.25">
      <c r="D1411">
        <f t="shared" ref="D1411:D1474" ca="1" si="35">_xlfn.T.INV(RAND(),25)*$G$3+$F$3</f>
        <v>45.198420235687983</v>
      </c>
    </row>
    <row r="1412" spans="4:4" x14ac:dyDescent="0.25">
      <c r="D1412">
        <f t="shared" ca="1" si="35"/>
        <v>51.079736862919511</v>
      </c>
    </row>
    <row r="1413" spans="4:4" x14ac:dyDescent="0.25">
      <c r="D1413">
        <f t="shared" ca="1" si="35"/>
        <v>48.600450215420466</v>
      </c>
    </row>
    <row r="1414" spans="4:4" x14ac:dyDescent="0.25">
      <c r="D1414">
        <f t="shared" ca="1" si="35"/>
        <v>52.07858022594742</v>
      </c>
    </row>
    <row r="1415" spans="4:4" x14ac:dyDescent="0.25">
      <c r="D1415">
        <f t="shared" ca="1" si="35"/>
        <v>48.075052068468786</v>
      </c>
    </row>
    <row r="1416" spans="4:4" x14ac:dyDescent="0.25">
      <c r="D1416">
        <f t="shared" ca="1" si="35"/>
        <v>42.356844972619818</v>
      </c>
    </row>
    <row r="1417" spans="4:4" x14ac:dyDescent="0.25">
      <c r="D1417">
        <f t="shared" ca="1" si="35"/>
        <v>48.056944972709324</v>
      </c>
    </row>
    <row r="1418" spans="4:4" x14ac:dyDescent="0.25">
      <c r="D1418">
        <f t="shared" ca="1" si="35"/>
        <v>46.838905900677368</v>
      </c>
    </row>
    <row r="1419" spans="4:4" x14ac:dyDescent="0.25">
      <c r="D1419">
        <f t="shared" ca="1" si="35"/>
        <v>44.311935881602103</v>
      </c>
    </row>
    <row r="1420" spans="4:4" x14ac:dyDescent="0.25">
      <c r="D1420">
        <f t="shared" ca="1" si="35"/>
        <v>47.318819765786174</v>
      </c>
    </row>
    <row r="1421" spans="4:4" x14ac:dyDescent="0.25">
      <c r="D1421">
        <f t="shared" ca="1" si="35"/>
        <v>51.930303671405213</v>
      </c>
    </row>
    <row r="1422" spans="4:4" x14ac:dyDescent="0.25">
      <c r="D1422">
        <f t="shared" ca="1" si="35"/>
        <v>59.009455886174564</v>
      </c>
    </row>
    <row r="1423" spans="4:4" x14ac:dyDescent="0.25">
      <c r="D1423">
        <f t="shared" ca="1" si="35"/>
        <v>49.116754151606997</v>
      </c>
    </row>
    <row r="1424" spans="4:4" x14ac:dyDescent="0.25">
      <c r="D1424">
        <f t="shared" ca="1" si="35"/>
        <v>47.654555108415998</v>
      </c>
    </row>
    <row r="1425" spans="4:4" x14ac:dyDescent="0.25">
      <c r="D1425">
        <f t="shared" ca="1" si="35"/>
        <v>55.761779312142295</v>
      </c>
    </row>
    <row r="1426" spans="4:4" x14ac:dyDescent="0.25">
      <c r="D1426">
        <f t="shared" ca="1" si="35"/>
        <v>39.967029755151223</v>
      </c>
    </row>
    <row r="1427" spans="4:4" x14ac:dyDescent="0.25">
      <c r="D1427">
        <f t="shared" ca="1" si="35"/>
        <v>54.337225213123247</v>
      </c>
    </row>
    <row r="1428" spans="4:4" x14ac:dyDescent="0.25">
      <c r="D1428">
        <f t="shared" ca="1" si="35"/>
        <v>55.476935842704805</v>
      </c>
    </row>
    <row r="1429" spans="4:4" x14ac:dyDescent="0.25">
      <c r="D1429">
        <f t="shared" ca="1" si="35"/>
        <v>49.737242207578639</v>
      </c>
    </row>
    <row r="1430" spans="4:4" x14ac:dyDescent="0.25">
      <c r="D1430">
        <f t="shared" ca="1" si="35"/>
        <v>56.164418913993472</v>
      </c>
    </row>
    <row r="1431" spans="4:4" x14ac:dyDescent="0.25">
      <c r="D1431">
        <f t="shared" ca="1" si="35"/>
        <v>45.060418057235893</v>
      </c>
    </row>
    <row r="1432" spans="4:4" x14ac:dyDescent="0.25">
      <c r="D1432">
        <f t="shared" ca="1" si="35"/>
        <v>47.975625325768021</v>
      </c>
    </row>
    <row r="1433" spans="4:4" x14ac:dyDescent="0.25">
      <c r="D1433">
        <f t="shared" ca="1" si="35"/>
        <v>49.256326129915315</v>
      </c>
    </row>
    <row r="1434" spans="4:4" x14ac:dyDescent="0.25">
      <c r="D1434">
        <f t="shared" ca="1" si="35"/>
        <v>49.59651794377946</v>
      </c>
    </row>
    <row r="1435" spans="4:4" x14ac:dyDescent="0.25">
      <c r="D1435">
        <f t="shared" ca="1" si="35"/>
        <v>49.698214669850117</v>
      </c>
    </row>
    <row r="1436" spans="4:4" x14ac:dyDescent="0.25">
      <c r="D1436">
        <f t="shared" ca="1" si="35"/>
        <v>47.666735061070433</v>
      </c>
    </row>
    <row r="1437" spans="4:4" x14ac:dyDescent="0.25">
      <c r="D1437">
        <f t="shared" ca="1" si="35"/>
        <v>48.731152985296653</v>
      </c>
    </row>
    <row r="1438" spans="4:4" x14ac:dyDescent="0.25">
      <c r="D1438">
        <f t="shared" ca="1" si="35"/>
        <v>51.607865836186107</v>
      </c>
    </row>
    <row r="1439" spans="4:4" x14ac:dyDescent="0.25">
      <c r="D1439">
        <f t="shared" ca="1" si="35"/>
        <v>48.545204906373812</v>
      </c>
    </row>
    <row r="1440" spans="4:4" x14ac:dyDescent="0.25">
      <c r="D1440">
        <f t="shared" ca="1" si="35"/>
        <v>52.127593236882603</v>
      </c>
    </row>
    <row r="1441" spans="4:4" x14ac:dyDescent="0.25">
      <c r="D1441">
        <f t="shared" ca="1" si="35"/>
        <v>48.272968895819574</v>
      </c>
    </row>
    <row r="1442" spans="4:4" x14ac:dyDescent="0.25">
      <c r="D1442">
        <f t="shared" ca="1" si="35"/>
        <v>44.974901349995143</v>
      </c>
    </row>
    <row r="1443" spans="4:4" x14ac:dyDescent="0.25">
      <c r="D1443">
        <f t="shared" ca="1" si="35"/>
        <v>44.812391591160655</v>
      </c>
    </row>
    <row r="1444" spans="4:4" x14ac:dyDescent="0.25">
      <c r="D1444">
        <f t="shared" ca="1" si="35"/>
        <v>55.395025772856393</v>
      </c>
    </row>
    <row r="1445" spans="4:4" x14ac:dyDescent="0.25">
      <c r="D1445">
        <f t="shared" ca="1" si="35"/>
        <v>45.034869133317258</v>
      </c>
    </row>
    <row r="1446" spans="4:4" x14ac:dyDescent="0.25">
      <c r="D1446">
        <f t="shared" ca="1" si="35"/>
        <v>41.277574800727606</v>
      </c>
    </row>
    <row r="1447" spans="4:4" x14ac:dyDescent="0.25">
      <c r="D1447">
        <f t="shared" ca="1" si="35"/>
        <v>59.627236339072368</v>
      </c>
    </row>
    <row r="1448" spans="4:4" x14ac:dyDescent="0.25">
      <c r="D1448">
        <f t="shared" ca="1" si="35"/>
        <v>50.953484374001668</v>
      </c>
    </row>
    <row r="1449" spans="4:4" x14ac:dyDescent="0.25">
      <c r="D1449">
        <f t="shared" ca="1" si="35"/>
        <v>48.902484114294296</v>
      </c>
    </row>
    <row r="1450" spans="4:4" x14ac:dyDescent="0.25">
      <c r="D1450">
        <f t="shared" ca="1" si="35"/>
        <v>51.418114173749522</v>
      </c>
    </row>
    <row r="1451" spans="4:4" x14ac:dyDescent="0.25">
      <c r="D1451">
        <f t="shared" ca="1" si="35"/>
        <v>51.465024076366944</v>
      </c>
    </row>
    <row r="1452" spans="4:4" x14ac:dyDescent="0.25">
      <c r="D1452">
        <f t="shared" ca="1" si="35"/>
        <v>47.33907305061139</v>
      </c>
    </row>
    <row r="1453" spans="4:4" x14ac:dyDescent="0.25">
      <c r="D1453">
        <f t="shared" ca="1" si="35"/>
        <v>49.895458913131833</v>
      </c>
    </row>
    <row r="1454" spans="4:4" x14ac:dyDescent="0.25">
      <c r="D1454">
        <f t="shared" ca="1" si="35"/>
        <v>58.933816094857292</v>
      </c>
    </row>
    <row r="1455" spans="4:4" x14ac:dyDescent="0.25">
      <c r="D1455">
        <f t="shared" ca="1" si="35"/>
        <v>51.453870642922695</v>
      </c>
    </row>
    <row r="1456" spans="4:4" x14ac:dyDescent="0.25">
      <c r="D1456">
        <f t="shared" ca="1" si="35"/>
        <v>51.219619081247615</v>
      </c>
    </row>
    <row r="1457" spans="4:4" x14ac:dyDescent="0.25">
      <c r="D1457">
        <f t="shared" ca="1" si="35"/>
        <v>52.691455736174248</v>
      </c>
    </row>
    <row r="1458" spans="4:4" x14ac:dyDescent="0.25">
      <c r="D1458">
        <f t="shared" ca="1" si="35"/>
        <v>52.409536700804928</v>
      </c>
    </row>
    <row r="1459" spans="4:4" x14ac:dyDescent="0.25">
      <c r="D1459">
        <f t="shared" ca="1" si="35"/>
        <v>43.632503888566553</v>
      </c>
    </row>
    <row r="1460" spans="4:4" x14ac:dyDescent="0.25">
      <c r="D1460">
        <f t="shared" ca="1" si="35"/>
        <v>49.564183370431181</v>
      </c>
    </row>
    <row r="1461" spans="4:4" x14ac:dyDescent="0.25">
      <c r="D1461">
        <f t="shared" ca="1" si="35"/>
        <v>51.299553656152092</v>
      </c>
    </row>
    <row r="1462" spans="4:4" x14ac:dyDescent="0.25">
      <c r="D1462">
        <f t="shared" ca="1" si="35"/>
        <v>42.785265615985026</v>
      </c>
    </row>
    <row r="1463" spans="4:4" x14ac:dyDescent="0.25">
      <c r="D1463">
        <f t="shared" ca="1" si="35"/>
        <v>41.157480180074472</v>
      </c>
    </row>
    <row r="1464" spans="4:4" x14ac:dyDescent="0.25">
      <c r="D1464">
        <f t="shared" ca="1" si="35"/>
        <v>48.353828570737242</v>
      </c>
    </row>
    <row r="1465" spans="4:4" x14ac:dyDescent="0.25">
      <c r="D1465">
        <f t="shared" ca="1" si="35"/>
        <v>53.197612670475152</v>
      </c>
    </row>
    <row r="1466" spans="4:4" x14ac:dyDescent="0.25">
      <c r="D1466">
        <f t="shared" ca="1" si="35"/>
        <v>45.963207713979074</v>
      </c>
    </row>
    <row r="1467" spans="4:4" x14ac:dyDescent="0.25">
      <c r="D1467">
        <f t="shared" ca="1" si="35"/>
        <v>45.928256346017058</v>
      </c>
    </row>
    <row r="1468" spans="4:4" x14ac:dyDescent="0.25">
      <c r="D1468">
        <f t="shared" ca="1" si="35"/>
        <v>51.21792448988721</v>
      </c>
    </row>
    <row r="1469" spans="4:4" x14ac:dyDescent="0.25">
      <c r="D1469">
        <f t="shared" ca="1" si="35"/>
        <v>51.662315696012428</v>
      </c>
    </row>
    <row r="1470" spans="4:4" x14ac:dyDescent="0.25">
      <c r="D1470">
        <f t="shared" ca="1" si="35"/>
        <v>45.356733398272752</v>
      </c>
    </row>
    <row r="1471" spans="4:4" x14ac:dyDescent="0.25">
      <c r="D1471">
        <f t="shared" ca="1" si="35"/>
        <v>52.859677674926751</v>
      </c>
    </row>
    <row r="1472" spans="4:4" x14ac:dyDescent="0.25">
      <c r="D1472">
        <f t="shared" ca="1" si="35"/>
        <v>51.569179829127258</v>
      </c>
    </row>
    <row r="1473" spans="4:4" x14ac:dyDescent="0.25">
      <c r="D1473">
        <f t="shared" ca="1" si="35"/>
        <v>53.164911970179169</v>
      </c>
    </row>
    <row r="1474" spans="4:4" x14ac:dyDescent="0.25">
      <c r="D1474">
        <f t="shared" ca="1" si="35"/>
        <v>43.986021737439337</v>
      </c>
    </row>
    <row r="1475" spans="4:4" x14ac:dyDescent="0.25">
      <c r="D1475">
        <f t="shared" ref="D1475:D1538" ca="1" si="36">_xlfn.T.INV(RAND(),25)*$G$3+$F$3</f>
        <v>57.590276402359031</v>
      </c>
    </row>
    <row r="1476" spans="4:4" x14ac:dyDescent="0.25">
      <c r="D1476">
        <f t="shared" ca="1" si="36"/>
        <v>49.851685783230089</v>
      </c>
    </row>
    <row r="1477" spans="4:4" x14ac:dyDescent="0.25">
      <c r="D1477">
        <f t="shared" ca="1" si="36"/>
        <v>48.102061008023142</v>
      </c>
    </row>
    <row r="1478" spans="4:4" x14ac:dyDescent="0.25">
      <c r="D1478">
        <f t="shared" ca="1" si="36"/>
        <v>46.454511031842088</v>
      </c>
    </row>
    <row r="1479" spans="4:4" x14ac:dyDescent="0.25">
      <c r="D1479">
        <f t="shared" ca="1" si="36"/>
        <v>49.989310560623473</v>
      </c>
    </row>
    <row r="1480" spans="4:4" x14ac:dyDescent="0.25">
      <c r="D1480">
        <f t="shared" ca="1" si="36"/>
        <v>45.246921213844473</v>
      </c>
    </row>
    <row r="1481" spans="4:4" x14ac:dyDescent="0.25">
      <c r="D1481">
        <f t="shared" ca="1" si="36"/>
        <v>41.729883131478317</v>
      </c>
    </row>
    <row r="1482" spans="4:4" x14ac:dyDescent="0.25">
      <c r="D1482">
        <f t="shared" ca="1" si="36"/>
        <v>55.189292908315586</v>
      </c>
    </row>
    <row r="1483" spans="4:4" x14ac:dyDescent="0.25">
      <c r="D1483">
        <f t="shared" ca="1" si="36"/>
        <v>45.9528144825317</v>
      </c>
    </row>
    <row r="1484" spans="4:4" x14ac:dyDescent="0.25">
      <c r="D1484">
        <f t="shared" ca="1" si="36"/>
        <v>47.16567449061349</v>
      </c>
    </row>
    <row r="1485" spans="4:4" x14ac:dyDescent="0.25">
      <c r="D1485">
        <f t="shared" ca="1" si="36"/>
        <v>51.403803254527901</v>
      </c>
    </row>
    <row r="1486" spans="4:4" x14ac:dyDescent="0.25">
      <c r="D1486">
        <f t="shared" ca="1" si="36"/>
        <v>47.783064955299452</v>
      </c>
    </row>
    <row r="1487" spans="4:4" x14ac:dyDescent="0.25">
      <c r="D1487">
        <f t="shared" ca="1" si="36"/>
        <v>55.459285415941771</v>
      </c>
    </row>
    <row r="1488" spans="4:4" x14ac:dyDescent="0.25">
      <c r="D1488">
        <f t="shared" ca="1" si="36"/>
        <v>40.85442332326172</v>
      </c>
    </row>
    <row r="1489" spans="4:4" x14ac:dyDescent="0.25">
      <c r="D1489">
        <f t="shared" ca="1" si="36"/>
        <v>49.004487054456668</v>
      </c>
    </row>
    <row r="1490" spans="4:4" x14ac:dyDescent="0.25">
      <c r="D1490">
        <f t="shared" ca="1" si="36"/>
        <v>54.688844316708128</v>
      </c>
    </row>
    <row r="1491" spans="4:4" x14ac:dyDescent="0.25">
      <c r="D1491">
        <f t="shared" ca="1" si="36"/>
        <v>53.602015014405836</v>
      </c>
    </row>
    <row r="1492" spans="4:4" x14ac:dyDescent="0.25">
      <c r="D1492">
        <f t="shared" ca="1" si="36"/>
        <v>49.595794412016076</v>
      </c>
    </row>
    <row r="1493" spans="4:4" x14ac:dyDescent="0.25">
      <c r="D1493">
        <f t="shared" ca="1" si="36"/>
        <v>46.288699988462753</v>
      </c>
    </row>
    <row r="1494" spans="4:4" x14ac:dyDescent="0.25">
      <c r="D1494">
        <f t="shared" ca="1" si="36"/>
        <v>46.592982375165427</v>
      </c>
    </row>
    <row r="1495" spans="4:4" x14ac:dyDescent="0.25">
      <c r="D1495">
        <f t="shared" ca="1" si="36"/>
        <v>58.656979372418547</v>
      </c>
    </row>
    <row r="1496" spans="4:4" x14ac:dyDescent="0.25">
      <c r="D1496">
        <f t="shared" ca="1" si="36"/>
        <v>52.622147685574141</v>
      </c>
    </row>
    <row r="1497" spans="4:4" x14ac:dyDescent="0.25">
      <c r="D1497">
        <f t="shared" ca="1" si="36"/>
        <v>48.045722987779918</v>
      </c>
    </row>
    <row r="1498" spans="4:4" x14ac:dyDescent="0.25">
      <c r="D1498">
        <f t="shared" ca="1" si="36"/>
        <v>55.653399088329721</v>
      </c>
    </row>
    <row r="1499" spans="4:4" x14ac:dyDescent="0.25">
      <c r="D1499">
        <f t="shared" ca="1" si="36"/>
        <v>48.488757686754695</v>
      </c>
    </row>
    <row r="1500" spans="4:4" x14ac:dyDescent="0.25">
      <c r="D1500">
        <f t="shared" ca="1" si="36"/>
        <v>50.731635501327354</v>
      </c>
    </row>
    <row r="1501" spans="4:4" x14ac:dyDescent="0.25">
      <c r="D1501">
        <f t="shared" ca="1" si="36"/>
        <v>53.806634142072227</v>
      </c>
    </row>
    <row r="1502" spans="4:4" x14ac:dyDescent="0.25">
      <c r="D1502">
        <f t="shared" ca="1" si="36"/>
        <v>49.784157963998105</v>
      </c>
    </row>
    <row r="1503" spans="4:4" x14ac:dyDescent="0.25">
      <c r="D1503">
        <f t="shared" ca="1" si="36"/>
        <v>55.105083268455452</v>
      </c>
    </row>
    <row r="1504" spans="4:4" x14ac:dyDescent="0.25">
      <c r="D1504">
        <f t="shared" ca="1" si="36"/>
        <v>45.207675247571025</v>
      </c>
    </row>
    <row r="1505" spans="4:4" x14ac:dyDescent="0.25">
      <c r="D1505">
        <f t="shared" ca="1" si="36"/>
        <v>55.186940321864903</v>
      </c>
    </row>
    <row r="1506" spans="4:4" x14ac:dyDescent="0.25">
      <c r="D1506">
        <f t="shared" ca="1" si="36"/>
        <v>48.255235973589684</v>
      </c>
    </row>
    <row r="1507" spans="4:4" x14ac:dyDescent="0.25">
      <c r="D1507">
        <f t="shared" ca="1" si="36"/>
        <v>52.645722165525463</v>
      </c>
    </row>
    <row r="1508" spans="4:4" x14ac:dyDescent="0.25">
      <c r="D1508">
        <f t="shared" ca="1" si="36"/>
        <v>51.16281276602114</v>
      </c>
    </row>
    <row r="1509" spans="4:4" x14ac:dyDescent="0.25">
      <c r="D1509">
        <f t="shared" ca="1" si="36"/>
        <v>55.864876727915366</v>
      </c>
    </row>
    <row r="1510" spans="4:4" x14ac:dyDescent="0.25">
      <c r="D1510">
        <f t="shared" ca="1" si="36"/>
        <v>54.609642484190694</v>
      </c>
    </row>
    <row r="1511" spans="4:4" x14ac:dyDescent="0.25">
      <c r="D1511">
        <f t="shared" ca="1" si="36"/>
        <v>54.70666650725974</v>
      </c>
    </row>
    <row r="1512" spans="4:4" x14ac:dyDescent="0.25">
      <c r="D1512">
        <f t="shared" ca="1" si="36"/>
        <v>48.502764617112639</v>
      </c>
    </row>
    <row r="1513" spans="4:4" x14ac:dyDescent="0.25">
      <c r="D1513">
        <f t="shared" ca="1" si="36"/>
        <v>46.921680761710491</v>
      </c>
    </row>
    <row r="1514" spans="4:4" x14ac:dyDescent="0.25">
      <c r="D1514">
        <f t="shared" ca="1" si="36"/>
        <v>41.693120178486197</v>
      </c>
    </row>
    <row r="1515" spans="4:4" x14ac:dyDescent="0.25">
      <c r="D1515">
        <f t="shared" ca="1" si="36"/>
        <v>52.365928146911237</v>
      </c>
    </row>
    <row r="1516" spans="4:4" x14ac:dyDescent="0.25">
      <c r="D1516">
        <f t="shared" ca="1" si="36"/>
        <v>49.843998919823179</v>
      </c>
    </row>
    <row r="1517" spans="4:4" x14ac:dyDescent="0.25">
      <c r="D1517">
        <f t="shared" ca="1" si="36"/>
        <v>52.0296971817898</v>
      </c>
    </row>
    <row r="1518" spans="4:4" x14ac:dyDescent="0.25">
      <c r="D1518">
        <f t="shared" ca="1" si="36"/>
        <v>45.418123169489782</v>
      </c>
    </row>
    <row r="1519" spans="4:4" x14ac:dyDescent="0.25">
      <c r="D1519">
        <f t="shared" ca="1" si="36"/>
        <v>45.710870155809651</v>
      </c>
    </row>
    <row r="1520" spans="4:4" x14ac:dyDescent="0.25">
      <c r="D1520">
        <f t="shared" ca="1" si="36"/>
        <v>51.580842634147835</v>
      </c>
    </row>
    <row r="1521" spans="4:4" x14ac:dyDescent="0.25">
      <c r="D1521">
        <f t="shared" ca="1" si="36"/>
        <v>55.693632327316465</v>
      </c>
    </row>
    <row r="1522" spans="4:4" x14ac:dyDescent="0.25">
      <c r="D1522">
        <f t="shared" ca="1" si="36"/>
        <v>52.030588797873534</v>
      </c>
    </row>
    <row r="1523" spans="4:4" x14ac:dyDescent="0.25">
      <c r="D1523">
        <f t="shared" ca="1" si="36"/>
        <v>47.762937373620865</v>
      </c>
    </row>
    <row r="1524" spans="4:4" x14ac:dyDescent="0.25">
      <c r="D1524">
        <f t="shared" ca="1" si="36"/>
        <v>45.221847239584903</v>
      </c>
    </row>
    <row r="1525" spans="4:4" x14ac:dyDescent="0.25">
      <c r="D1525">
        <f t="shared" ca="1" si="36"/>
        <v>53.7799282616037</v>
      </c>
    </row>
    <row r="1526" spans="4:4" x14ac:dyDescent="0.25">
      <c r="D1526">
        <f t="shared" ca="1" si="36"/>
        <v>56.232910694496468</v>
      </c>
    </row>
    <row r="1527" spans="4:4" x14ac:dyDescent="0.25">
      <c r="D1527">
        <f t="shared" ca="1" si="36"/>
        <v>48.233558132980676</v>
      </c>
    </row>
    <row r="1528" spans="4:4" x14ac:dyDescent="0.25">
      <c r="D1528">
        <f t="shared" ca="1" si="36"/>
        <v>53.823392301226932</v>
      </c>
    </row>
    <row r="1529" spans="4:4" x14ac:dyDescent="0.25">
      <c r="D1529">
        <f t="shared" ca="1" si="36"/>
        <v>50.209406556717163</v>
      </c>
    </row>
    <row r="1530" spans="4:4" x14ac:dyDescent="0.25">
      <c r="D1530">
        <f t="shared" ca="1" si="36"/>
        <v>41.323021227348775</v>
      </c>
    </row>
    <row r="1531" spans="4:4" x14ac:dyDescent="0.25">
      <c r="D1531">
        <f t="shared" ca="1" si="36"/>
        <v>50.636113547767401</v>
      </c>
    </row>
    <row r="1532" spans="4:4" x14ac:dyDescent="0.25">
      <c r="D1532">
        <f t="shared" ca="1" si="36"/>
        <v>57.429655413708268</v>
      </c>
    </row>
    <row r="1533" spans="4:4" x14ac:dyDescent="0.25">
      <c r="D1533">
        <f t="shared" ca="1" si="36"/>
        <v>44.095128096751765</v>
      </c>
    </row>
    <row r="1534" spans="4:4" x14ac:dyDescent="0.25">
      <c r="D1534">
        <f t="shared" ca="1" si="36"/>
        <v>53.761039659765146</v>
      </c>
    </row>
    <row r="1535" spans="4:4" x14ac:dyDescent="0.25">
      <c r="D1535">
        <f t="shared" ca="1" si="36"/>
        <v>50.787129236469852</v>
      </c>
    </row>
    <row r="1536" spans="4:4" x14ac:dyDescent="0.25">
      <c r="D1536">
        <f t="shared" ca="1" si="36"/>
        <v>48.914805310964979</v>
      </c>
    </row>
    <row r="1537" spans="4:4" x14ac:dyDescent="0.25">
      <c r="D1537">
        <f t="shared" ca="1" si="36"/>
        <v>47.366601500200517</v>
      </c>
    </row>
    <row r="1538" spans="4:4" x14ac:dyDescent="0.25">
      <c r="D1538">
        <f t="shared" ca="1" si="36"/>
        <v>46.171833006412967</v>
      </c>
    </row>
    <row r="1539" spans="4:4" x14ac:dyDescent="0.25">
      <c r="D1539">
        <f t="shared" ref="D1539:D1602" ca="1" si="37">_xlfn.T.INV(RAND(),25)*$G$3+$F$3</f>
        <v>50.908007276088448</v>
      </c>
    </row>
    <row r="1540" spans="4:4" x14ac:dyDescent="0.25">
      <c r="D1540">
        <f t="shared" ca="1" si="37"/>
        <v>41.676614375865405</v>
      </c>
    </row>
    <row r="1541" spans="4:4" x14ac:dyDescent="0.25">
      <c r="D1541">
        <f t="shared" ca="1" si="37"/>
        <v>50.164019244335385</v>
      </c>
    </row>
    <row r="1542" spans="4:4" x14ac:dyDescent="0.25">
      <c r="D1542">
        <f t="shared" ca="1" si="37"/>
        <v>49.762302475637405</v>
      </c>
    </row>
    <row r="1543" spans="4:4" x14ac:dyDescent="0.25">
      <c r="D1543">
        <f t="shared" ca="1" si="37"/>
        <v>58.574894654701652</v>
      </c>
    </row>
    <row r="1544" spans="4:4" x14ac:dyDescent="0.25">
      <c r="D1544">
        <f t="shared" ca="1" si="37"/>
        <v>46.459025609703644</v>
      </c>
    </row>
    <row r="1545" spans="4:4" x14ac:dyDescent="0.25">
      <c r="D1545">
        <f t="shared" ca="1" si="37"/>
        <v>46.261917532888667</v>
      </c>
    </row>
    <row r="1546" spans="4:4" x14ac:dyDescent="0.25">
      <c r="D1546">
        <f t="shared" ca="1" si="37"/>
        <v>55.133158665096047</v>
      </c>
    </row>
    <row r="1547" spans="4:4" x14ac:dyDescent="0.25">
      <c r="D1547">
        <f t="shared" ca="1" si="37"/>
        <v>50.285342778542976</v>
      </c>
    </row>
    <row r="1548" spans="4:4" x14ac:dyDescent="0.25">
      <c r="D1548">
        <f t="shared" ca="1" si="37"/>
        <v>44.866056914576625</v>
      </c>
    </row>
    <row r="1549" spans="4:4" x14ac:dyDescent="0.25">
      <c r="D1549">
        <f t="shared" ca="1" si="37"/>
        <v>57.369833022537144</v>
      </c>
    </row>
    <row r="1550" spans="4:4" x14ac:dyDescent="0.25">
      <c r="D1550">
        <f t="shared" ca="1" si="37"/>
        <v>46.031964546826103</v>
      </c>
    </row>
    <row r="1551" spans="4:4" x14ac:dyDescent="0.25">
      <c r="D1551">
        <f t="shared" ca="1" si="37"/>
        <v>51.589313863706685</v>
      </c>
    </row>
    <row r="1552" spans="4:4" x14ac:dyDescent="0.25">
      <c r="D1552">
        <f t="shared" ca="1" si="37"/>
        <v>54.51887078798385</v>
      </c>
    </row>
    <row r="1553" spans="4:4" x14ac:dyDescent="0.25">
      <c r="D1553">
        <f t="shared" ca="1" si="37"/>
        <v>56.286694779640477</v>
      </c>
    </row>
    <row r="1554" spans="4:4" x14ac:dyDescent="0.25">
      <c r="D1554">
        <f t="shared" ca="1" si="37"/>
        <v>50.478182119442486</v>
      </c>
    </row>
    <row r="1555" spans="4:4" x14ac:dyDescent="0.25">
      <c r="D1555">
        <f t="shared" ca="1" si="37"/>
        <v>52.276512158248053</v>
      </c>
    </row>
    <row r="1556" spans="4:4" x14ac:dyDescent="0.25">
      <c r="D1556">
        <f t="shared" ca="1" si="37"/>
        <v>46.3764821124905</v>
      </c>
    </row>
    <row r="1557" spans="4:4" x14ac:dyDescent="0.25">
      <c r="D1557">
        <f t="shared" ca="1" si="37"/>
        <v>50.458875910683751</v>
      </c>
    </row>
    <row r="1558" spans="4:4" x14ac:dyDescent="0.25">
      <c r="D1558">
        <f t="shared" ca="1" si="37"/>
        <v>42.385472037735894</v>
      </c>
    </row>
    <row r="1559" spans="4:4" x14ac:dyDescent="0.25">
      <c r="D1559">
        <f t="shared" ca="1" si="37"/>
        <v>49.661278452278275</v>
      </c>
    </row>
    <row r="1560" spans="4:4" x14ac:dyDescent="0.25">
      <c r="D1560">
        <f t="shared" ca="1" si="37"/>
        <v>45.569450900468901</v>
      </c>
    </row>
    <row r="1561" spans="4:4" x14ac:dyDescent="0.25">
      <c r="D1561">
        <f t="shared" ca="1" si="37"/>
        <v>52.819050290008121</v>
      </c>
    </row>
    <row r="1562" spans="4:4" x14ac:dyDescent="0.25">
      <c r="D1562">
        <f t="shared" ca="1" si="37"/>
        <v>51.494300898717015</v>
      </c>
    </row>
    <row r="1563" spans="4:4" x14ac:dyDescent="0.25">
      <c r="D1563">
        <f t="shared" ca="1" si="37"/>
        <v>58.00536141565491</v>
      </c>
    </row>
    <row r="1564" spans="4:4" x14ac:dyDescent="0.25">
      <c r="D1564">
        <f t="shared" ca="1" si="37"/>
        <v>53.725477143430908</v>
      </c>
    </row>
    <row r="1565" spans="4:4" x14ac:dyDescent="0.25">
      <c r="D1565">
        <f t="shared" ca="1" si="37"/>
        <v>42.28849261664358</v>
      </c>
    </row>
    <row r="1566" spans="4:4" x14ac:dyDescent="0.25">
      <c r="D1566">
        <f t="shared" ca="1" si="37"/>
        <v>57.175761268781393</v>
      </c>
    </row>
    <row r="1567" spans="4:4" x14ac:dyDescent="0.25">
      <c r="D1567">
        <f t="shared" ca="1" si="37"/>
        <v>44.864681025485993</v>
      </c>
    </row>
    <row r="1568" spans="4:4" x14ac:dyDescent="0.25">
      <c r="D1568">
        <f t="shared" ca="1" si="37"/>
        <v>50.904856204466071</v>
      </c>
    </row>
    <row r="1569" spans="4:4" x14ac:dyDescent="0.25">
      <c r="D1569">
        <f t="shared" ca="1" si="37"/>
        <v>54.571683771806093</v>
      </c>
    </row>
    <row r="1570" spans="4:4" x14ac:dyDescent="0.25">
      <c r="D1570">
        <f t="shared" ca="1" si="37"/>
        <v>48.451550035645376</v>
      </c>
    </row>
    <row r="1571" spans="4:4" x14ac:dyDescent="0.25">
      <c r="D1571">
        <f t="shared" ca="1" si="37"/>
        <v>47.371672003847785</v>
      </c>
    </row>
    <row r="1572" spans="4:4" x14ac:dyDescent="0.25">
      <c r="D1572">
        <f t="shared" ca="1" si="37"/>
        <v>43.906980853278327</v>
      </c>
    </row>
    <row r="1573" spans="4:4" x14ac:dyDescent="0.25">
      <c r="D1573">
        <f t="shared" ca="1" si="37"/>
        <v>48.62208356526714</v>
      </c>
    </row>
    <row r="1574" spans="4:4" x14ac:dyDescent="0.25">
      <c r="D1574">
        <f t="shared" ca="1" si="37"/>
        <v>41.795448639892612</v>
      </c>
    </row>
    <row r="1575" spans="4:4" x14ac:dyDescent="0.25">
      <c r="D1575">
        <f t="shared" ca="1" si="37"/>
        <v>51.643741593285284</v>
      </c>
    </row>
    <row r="1576" spans="4:4" x14ac:dyDescent="0.25">
      <c r="D1576">
        <f t="shared" ca="1" si="37"/>
        <v>51.629662812334871</v>
      </c>
    </row>
    <row r="1577" spans="4:4" x14ac:dyDescent="0.25">
      <c r="D1577">
        <f t="shared" ca="1" si="37"/>
        <v>46.216966911821721</v>
      </c>
    </row>
    <row r="1578" spans="4:4" x14ac:dyDescent="0.25">
      <c r="D1578">
        <f t="shared" ca="1" si="37"/>
        <v>54.995638133201581</v>
      </c>
    </row>
    <row r="1579" spans="4:4" x14ac:dyDescent="0.25">
      <c r="D1579">
        <f t="shared" ca="1" si="37"/>
        <v>48.187021775933893</v>
      </c>
    </row>
    <row r="1580" spans="4:4" x14ac:dyDescent="0.25">
      <c r="D1580">
        <f t="shared" ca="1" si="37"/>
        <v>48.555558494175045</v>
      </c>
    </row>
    <row r="1581" spans="4:4" x14ac:dyDescent="0.25">
      <c r="D1581">
        <f t="shared" ca="1" si="37"/>
        <v>49.764543142142777</v>
      </c>
    </row>
    <row r="1582" spans="4:4" x14ac:dyDescent="0.25">
      <c r="D1582">
        <f t="shared" ca="1" si="37"/>
        <v>49.807776487607015</v>
      </c>
    </row>
    <row r="1583" spans="4:4" x14ac:dyDescent="0.25">
      <c r="D1583">
        <f t="shared" ca="1" si="37"/>
        <v>51.631719483650272</v>
      </c>
    </row>
    <row r="1584" spans="4:4" x14ac:dyDescent="0.25">
      <c r="D1584">
        <f t="shared" ca="1" si="37"/>
        <v>42.433673273097213</v>
      </c>
    </row>
    <row r="1585" spans="4:4" x14ac:dyDescent="0.25">
      <c r="D1585">
        <f t="shared" ca="1" si="37"/>
        <v>47.72661661886309</v>
      </c>
    </row>
    <row r="1586" spans="4:4" x14ac:dyDescent="0.25">
      <c r="D1586">
        <f t="shared" ca="1" si="37"/>
        <v>42.92176560122514</v>
      </c>
    </row>
    <row r="1587" spans="4:4" x14ac:dyDescent="0.25">
      <c r="D1587">
        <f t="shared" ca="1" si="37"/>
        <v>38.290655538102222</v>
      </c>
    </row>
    <row r="1588" spans="4:4" x14ac:dyDescent="0.25">
      <c r="D1588">
        <f t="shared" ca="1" si="37"/>
        <v>50.597033134988472</v>
      </c>
    </row>
    <row r="1589" spans="4:4" x14ac:dyDescent="0.25">
      <c r="D1589">
        <f t="shared" ca="1" si="37"/>
        <v>54.680548832635367</v>
      </c>
    </row>
    <row r="1590" spans="4:4" x14ac:dyDescent="0.25">
      <c r="D1590">
        <f t="shared" ca="1" si="37"/>
        <v>44.523521657877701</v>
      </c>
    </row>
    <row r="1591" spans="4:4" x14ac:dyDescent="0.25">
      <c r="D1591">
        <f t="shared" ca="1" si="37"/>
        <v>54.501311570647971</v>
      </c>
    </row>
    <row r="1592" spans="4:4" x14ac:dyDescent="0.25">
      <c r="D1592">
        <f t="shared" ca="1" si="37"/>
        <v>42.426938539149972</v>
      </c>
    </row>
    <row r="1593" spans="4:4" x14ac:dyDescent="0.25">
      <c r="D1593">
        <f t="shared" ca="1" si="37"/>
        <v>53.329561649788864</v>
      </c>
    </row>
    <row r="1594" spans="4:4" x14ac:dyDescent="0.25">
      <c r="D1594">
        <f t="shared" ca="1" si="37"/>
        <v>47.794595097063223</v>
      </c>
    </row>
    <row r="1595" spans="4:4" x14ac:dyDescent="0.25">
      <c r="D1595">
        <f t="shared" ca="1" si="37"/>
        <v>49.284287168678233</v>
      </c>
    </row>
    <row r="1596" spans="4:4" x14ac:dyDescent="0.25">
      <c r="D1596">
        <f t="shared" ca="1" si="37"/>
        <v>47.380955052863698</v>
      </c>
    </row>
    <row r="1597" spans="4:4" x14ac:dyDescent="0.25">
      <c r="D1597">
        <f t="shared" ca="1" si="37"/>
        <v>39.024880561379788</v>
      </c>
    </row>
    <row r="1598" spans="4:4" x14ac:dyDescent="0.25">
      <c r="D1598">
        <f t="shared" ca="1" si="37"/>
        <v>53.89980945604124</v>
      </c>
    </row>
    <row r="1599" spans="4:4" x14ac:dyDescent="0.25">
      <c r="D1599">
        <f t="shared" ca="1" si="37"/>
        <v>45.865996394553939</v>
      </c>
    </row>
    <row r="1600" spans="4:4" x14ac:dyDescent="0.25">
      <c r="D1600">
        <f t="shared" ca="1" si="37"/>
        <v>49.400574820872961</v>
      </c>
    </row>
    <row r="1601" spans="4:4" x14ac:dyDescent="0.25">
      <c r="D1601">
        <f t="shared" ca="1" si="37"/>
        <v>51.114273923912315</v>
      </c>
    </row>
    <row r="1602" spans="4:4" x14ac:dyDescent="0.25">
      <c r="D1602">
        <f t="shared" ca="1" si="37"/>
        <v>48.957623745053233</v>
      </c>
    </row>
    <row r="1603" spans="4:4" x14ac:dyDescent="0.25">
      <c r="D1603">
        <f t="shared" ref="D1603:D1666" ca="1" si="38">_xlfn.T.INV(RAND(),25)*$G$3+$F$3</f>
        <v>48.147077857972</v>
      </c>
    </row>
    <row r="1604" spans="4:4" x14ac:dyDescent="0.25">
      <c r="D1604">
        <f t="shared" ca="1" si="38"/>
        <v>48.019305887677071</v>
      </c>
    </row>
    <row r="1605" spans="4:4" x14ac:dyDescent="0.25">
      <c r="D1605">
        <f t="shared" ca="1" si="38"/>
        <v>45.013998148892455</v>
      </c>
    </row>
    <row r="1606" spans="4:4" x14ac:dyDescent="0.25">
      <c r="D1606">
        <f t="shared" ca="1" si="38"/>
        <v>53.73834143862355</v>
      </c>
    </row>
    <row r="1607" spans="4:4" x14ac:dyDescent="0.25">
      <c r="D1607">
        <f t="shared" ca="1" si="38"/>
        <v>48.299249673614824</v>
      </c>
    </row>
    <row r="1608" spans="4:4" x14ac:dyDescent="0.25">
      <c r="D1608">
        <f t="shared" ca="1" si="38"/>
        <v>46.610989167070876</v>
      </c>
    </row>
    <row r="1609" spans="4:4" x14ac:dyDescent="0.25">
      <c r="D1609">
        <f t="shared" ca="1" si="38"/>
        <v>40.551390800862045</v>
      </c>
    </row>
    <row r="1610" spans="4:4" x14ac:dyDescent="0.25">
      <c r="D1610">
        <f t="shared" ca="1" si="38"/>
        <v>48.727336124716686</v>
      </c>
    </row>
    <row r="1611" spans="4:4" x14ac:dyDescent="0.25">
      <c r="D1611">
        <f t="shared" ca="1" si="38"/>
        <v>56.918497278612286</v>
      </c>
    </row>
    <row r="1612" spans="4:4" x14ac:dyDescent="0.25">
      <c r="D1612">
        <f t="shared" ca="1" si="38"/>
        <v>59.055491614669549</v>
      </c>
    </row>
    <row r="1613" spans="4:4" x14ac:dyDescent="0.25">
      <c r="D1613">
        <f t="shared" ca="1" si="38"/>
        <v>44.951411831624796</v>
      </c>
    </row>
    <row r="1614" spans="4:4" x14ac:dyDescent="0.25">
      <c r="D1614">
        <f t="shared" ca="1" si="38"/>
        <v>45.835981140642716</v>
      </c>
    </row>
    <row r="1615" spans="4:4" x14ac:dyDescent="0.25">
      <c r="D1615">
        <f t="shared" ca="1" si="38"/>
        <v>48.310818157055998</v>
      </c>
    </row>
    <row r="1616" spans="4:4" x14ac:dyDescent="0.25">
      <c r="D1616">
        <f t="shared" ca="1" si="38"/>
        <v>42.138294081523988</v>
      </c>
    </row>
    <row r="1617" spans="4:4" x14ac:dyDescent="0.25">
      <c r="D1617">
        <f t="shared" ca="1" si="38"/>
        <v>50.095132946963425</v>
      </c>
    </row>
    <row r="1618" spans="4:4" x14ac:dyDescent="0.25">
      <c r="D1618">
        <f t="shared" ca="1" si="38"/>
        <v>51.195963019008808</v>
      </c>
    </row>
    <row r="1619" spans="4:4" x14ac:dyDescent="0.25">
      <c r="D1619">
        <f t="shared" ca="1" si="38"/>
        <v>50.419664398679089</v>
      </c>
    </row>
    <row r="1620" spans="4:4" x14ac:dyDescent="0.25">
      <c r="D1620">
        <f t="shared" ca="1" si="38"/>
        <v>37.513961844117532</v>
      </c>
    </row>
    <row r="1621" spans="4:4" x14ac:dyDescent="0.25">
      <c r="D1621">
        <f t="shared" ca="1" si="38"/>
        <v>43.561139204332605</v>
      </c>
    </row>
    <row r="1622" spans="4:4" x14ac:dyDescent="0.25">
      <c r="D1622">
        <f t="shared" ca="1" si="38"/>
        <v>46.892396587638139</v>
      </c>
    </row>
    <row r="1623" spans="4:4" x14ac:dyDescent="0.25">
      <c r="D1623">
        <f t="shared" ca="1" si="38"/>
        <v>44.456520354779691</v>
      </c>
    </row>
    <row r="1624" spans="4:4" x14ac:dyDescent="0.25">
      <c r="D1624">
        <f t="shared" ca="1" si="38"/>
        <v>53.120739247106663</v>
      </c>
    </row>
    <row r="1625" spans="4:4" x14ac:dyDescent="0.25">
      <c r="D1625">
        <f t="shared" ca="1" si="38"/>
        <v>50.319010043091858</v>
      </c>
    </row>
    <row r="1626" spans="4:4" x14ac:dyDescent="0.25">
      <c r="D1626">
        <f t="shared" ca="1" si="38"/>
        <v>44.806291968546262</v>
      </c>
    </row>
    <row r="1627" spans="4:4" x14ac:dyDescent="0.25">
      <c r="D1627">
        <f t="shared" ca="1" si="38"/>
        <v>37.878679245761276</v>
      </c>
    </row>
    <row r="1628" spans="4:4" x14ac:dyDescent="0.25">
      <c r="D1628">
        <f t="shared" ca="1" si="38"/>
        <v>44.559115648488827</v>
      </c>
    </row>
    <row r="1629" spans="4:4" x14ac:dyDescent="0.25">
      <c r="D1629">
        <f t="shared" ca="1" si="38"/>
        <v>51.109754130045452</v>
      </c>
    </row>
    <row r="1630" spans="4:4" x14ac:dyDescent="0.25">
      <c r="D1630">
        <f t="shared" ca="1" si="38"/>
        <v>51.491151665859526</v>
      </c>
    </row>
    <row r="1631" spans="4:4" x14ac:dyDescent="0.25">
      <c r="D1631">
        <f t="shared" ca="1" si="38"/>
        <v>43.565818462711526</v>
      </c>
    </row>
    <row r="1632" spans="4:4" x14ac:dyDescent="0.25">
      <c r="D1632">
        <f t="shared" ca="1" si="38"/>
        <v>52.816645390496625</v>
      </c>
    </row>
    <row r="1633" spans="4:4" x14ac:dyDescent="0.25">
      <c r="D1633">
        <f t="shared" ca="1" si="38"/>
        <v>51.505566494206434</v>
      </c>
    </row>
    <row r="1634" spans="4:4" x14ac:dyDescent="0.25">
      <c r="D1634">
        <f t="shared" ca="1" si="38"/>
        <v>56.787775599236156</v>
      </c>
    </row>
    <row r="1635" spans="4:4" x14ac:dyDescent="0.25">
      <c r="D1635">
        <f t="shared" ca="1" si="38"/>
        <v>50.145620270539432</v>
      </c>
    </row>
    <row r="1636" spans="4:4" x14ac:dyDescent="0.25">
      <c r="D1636">
        <f t="shared" ca="1" si="38"/>
        <v>44.547047004947942</v>
      </c>
    </row>
    <row r="1637" spans="4:4" x14ac:dyDescent="0.25">
      <c r="D1637">
        <f t="shared" ca="1" si="38"/>
        <v>47.946506572794412</v>
      </c>
    </row>
    <row r="1638" spans="4:4" x14ac:dyDescent="0.25">
      <c r="D1638">
        <f t="shared" ca="1" si="38"/>
        <v>37.83019802402351</v>
      </c>
    </row>
    <row r="1639" spans="4:4" x14ac:dyDescent="0.25">
      <c r="D1639">
        <f t="shared" ca="1" si="38"/>
        <v>54.897732392807022</v>
      </c>
    </row>
    <row r="1640" spans="4:4" x14ac:dyDescent="0.25">
      <c r="D1640">
        <f t="shared" ca="1" si="38"/>
        <v>56.628542743072963</v>
      </c>
    </row>
    <row r="1641" spans="4:4" x14ac:dyDescent="0.25">
      <c r="D1641">
        <f t="shared" ca="1" si="38"/>
        <v>48.361956348599982</v>
      </c>
    </row>
    <row r="1642" spans="4:4" x14ac:dyDescent="0.25">
      <c r="D1642">
        <f t="shared" ca="1" si="38"/>
        <v>52.354868033624165</v>
      </c>
    </row>
    <row r="1643" spans="4:4" x14ac:dyDescent="0.25">
      <c r="D1643">
        <f t="shared" ca="1" si="38"/>
        <v>50.752059938265809</v>
      </c>
    </row>
    <row r="1644" spans="4:4" x14ac:dyDescent="0.25">
      <c r="D1644">
        <f t="shared" ca="1" si="38"/>
        <v>54.485838337113492</v>
      </c>
    </row>
    <row r="1645" spans="4:4" x14ac:dyDescent="0.25">
      <c r="D1645">
        <f t="shared" ca="1" si="38"/>
        <v>49.761019352300174</v>
      </c>
    </row>
    <row r="1646" spans="4:4" x14ac:dyDescent="0.25">
      <c r="D1646">
        <f t="shared" ca="1" si="38"/>
        <v>51.352040679968255</v>
      </c>
    </row>
    <row r="1647" spans="4:4" x14ac:dyDescent="0.25">
      <c r="D1647">
        <f t="shared" ca="1" si="38"/>
        <v>54.494130622909211</v>
      </c>
    </row>
    <row r="1648" spans="4:4" x14ac:dyDescent="0.25">
      <c r="D1648">
        <f t="shared" ca="1" si="38"/>
        <v>45.900086362088771</v>
      </c>
    </row>
    <row r="1649" spans="4:4" x14ac:dyDescent="0.25">
      <c r="D1649">
        <f t="shared" ca="1" si="38"/>
        <v>42.836259839937583</v>
      </c>
    </row>
    <row r="1650" spans="4:4" x14ac:dyDescent="0.25">
      <c r="D1650">
        <f t="shared" ca="1" si="38"/>
        <v>42.787973351165746</v>
      </c>
    </row>
    <row r="1651" spans="4:4" x14ac:dyDescent="0.25">
      <c r="D1651">
        <f t="shared" ca="1" si="38"/>
        <v>53.24831385100029</v>
      </c>
    </row>
    <row r="1652" spans="4:4" x14ac:dyDescent="0.25">
      <c r="D1652">
        <f t="shared" ca="1" si="38"/>
        <v>62.652296013846929</v>
      </c>
    </row>
    <row r="1653" spans="4:4" x14ac:dyDescent="0.25">
      <c r="D1653">
        <f t="shared" ca="1" si="38"/>
        <v>56.522235824619102</v>
      </c>
    </row>
    <row r="1654" spans="4:4" x14ac:dyDescent="0.25">
      <c r="D1654">
        <f t="shared" ca="1" si="38"/>
        <v>46.038584003412396</v>
      </c>
    </row>
    <row r="1655" spans="4:4" x14ac:dyDescent="0.25">
      <c r="D1655">
        <f t="shared" ca="1" si="38"/>
        <v>52.598468233499275</v>
      </c>
    </row>
    <row r="1656" spans="4:4" x14ac:dyDescent="0.25">
      <c r="D1656">
        <f t="shared" ca="1" si="38"/>
        <v>49.178007719854151</v>
      </c>
    </row>
    <row r="1657" spans="4:4" x14ac:dyDescent="0.25">
      <c r="D1657">
        <f t="shared" ca="1" si="38"/>
        <v>49.600076506917382</v>
      </c>
    </row>
    <row r="1658" spans="4:4" x14ac:dyDescent="0.25">
      <c r="D1658">
        <f t="shared" ca="1" si="38"/>
        <v>46.748080848544774</v>
      </c>
    </row>
    <row r="1659" spans="4:4" x14ac:dyDescent="0.25">
      <c r="D1659">
        <f t="shared" ca="1" si="38"/>
        <v>48.010013530577318</v>
      </c>
    </row>
    <row r="1660" spans="4:4" x14ac:dyDescent="0.25">
      <c r="D1660">
        <f t="shared" ca="1" si="38"/>
        <v>51.675731907143465</v>
      </c>
    </row>
    <row r="1661" spans="4:4" x14ac:dyDescent="0.25">
      <c r="D1661">
        <f t="shared" ca="1" si="38"/>
        <v>49.105875135775115</v>
      </c>
    </row>
    <row r="1662" spans="4:4" x14ac:dyDescent="0.25">
      <c r="D1662">
        <f t="shared" ca="1" si="38"/>
        <v>38.762401293330278</v>
      </c>
    </row>
    <row r="1663" spans="4:4" x14ac:dyDescent="0.25">
      <c r="D1663">
        <f t="shared" ca="1" si="38"/>
        <v>50.22553756694321</v>
      </c>
    </row>
    <row r="1664" spans="4:4" x14ac:dyDescent="0.25">
      <c r="D1664">
        <f t="shared" ca="1" si="38"/>
        <v>49.801801665333144</v>
      </c>
    </row>
    <row r="1665" spans="4:4" x14ac:dyDescent="0.25">
      <c r="D1665">
        <f t="shared" ca="1" si="38"/>
        <v>46.268753644354398</v>
      </c>
    </row>
    <row r="1666" spans="4:4" x14ac:dyDescent="0.25">
      <c r="D1666">
        <f t="shared" ca="1" si="38"/>
        <v>45.771808976939504</v>
      </c>
    </row>
    <row r="1667" spans="4:4" x14ac:dyDescent="0.25">
      <c r="D1667">
        <f t="shared" ref="D1667:D1730" ca="1" si="39">_xlfn.T.INV(RAND(),25)*$G$3+$F$3</f>
        <v>49.213994938659098</v>
      </c>
    </row>
    <row r="1668" spans="4:4" x14ac:dyDescent="0.25">
      <c r="D1668">
        <f t="shared" ca="1" si="39"/>
        <v>48.318794738887696</v>
      </c>
    </row>
    <row r="1669" spans="4:4" x14ac:dyDescent="0.25">
      <c r="D1669">
        <f t="shared" ca="1" si="39"/>
        <v>48.794876639430029</v>
      </c>
    </row>
    <row r="1670" spans="4:4" x14ac:dyDescent="0.25">
      <c r="D1670">
        <f t="shared" ca="1" si="39"/>
        <v>43.414193388715567</v>
      </c>
    </row>
    <row r="1671" spans="4:4" x14ac:dyDescent="0.25">
      <c r="D1671">
        <f t="shared" ca="1" si="39"/>
        <v>43.238215940816261</v>
      </c>
    </row>
    <row r="1672" spans="4:4" x14ac:dyDescent="0.25">
      <c r="D1672">
        <f t="shared" ca="1" si="39"/>
        <v>50.317733878140878</v>
      </c>
    </row>
    <row r="1673" spans="4:4" x14ac:dyDescent="0.25">
      <c r="D1673">
        <f t="shared" ca="1" si="39"/>
        <v>46.254729055245669</v>
      </c>
    </row>
    <row r="1674" spans="4:4" x14ac:dyDescent="0.25">
      <c r="D1674">
        <f t="shared" ca="1" si="39"/>
        <v>49.863410136990694</v>
      </c>
    </row>
    <row r="1675" spans="4:4" x14ac:dyDescent="0.25">
      <c r="D1675">
        <f t="shared" ca="1" si="39"/>
        <v>49.39995637207354</v>
      </c>
    </row>
    <row r="1676" spans="4:4" x14ac:dyDescent="0.25">
      <c r="D1676">
        <f t="shared" ca="1" si="39"/>
        <v>50.119625787443184</v>
      </c>
    </row>
    <row r="1677" spans="4:4" x14ac:dyDescent="0.25">
      <c r="D1677">
        <f t="shared" ca="1" si="39"/>
        <v>50.796488314613711</v>
      </c>
    </row>
    <row r="1678" spans="4:4" x14ac:dyDescent="0.25">
      <c r="D1678">
        <f t="shared" ca="1" si="39"/>
        <v>42.310586259125415</v>
      </c>
    </row>
    <row r="1679" spans="4:4" x14ac:dyDescent="0.25">
      <c r="D1679">
        <f t="shared" ca="1" si="39"/>
        <v>46.329583140400601</v>
      </c>
    </row>
    <row r="1680" spans="4:4" x14ac:dyDescent="0.25">
      <c r="D1680">
        <f t="shared" ca="1" si="39"/>
        <v>52.868250658324953</v>
      </c>
    </row>
    <row r="1681" spans="4:4" x14ac:dyDescent="0.25">
      <c r="D1681">
        <f t="shared" ca="1" si="39"/>
        <v>49.917601441814227</v>
      </c>
    </row>
    <row r="1682" spans="4:4" x14ac:dyDescent="0.25">
      <c r="D1682">
        <f t="shared" ca="1" si="39"/>
        <v>51.629544517668933</v>
      </c>
    </row>
    <row r="1683" spans="4:4" x14ac:dyDescent="0.25">
      <c r="D1683">
        <f t="shared" ca="1" si="39"/>
        <v>49.516879987123239</v>
      </c>
    </row>
    <row r="1684" spans="4:4" x14ac:dyDescent="0.25">
      <c r="D1684">
        <f t="shared" ca="1" si="39"/>
        <v>48.068447473753011</v>
      </c>
    </row>
    <row r="1685" spans="4:4" x14ac:dyDescent="0.25">
      <c r="D1685">
        <f t="shared" ca="1" si="39"/>
        <v>45.93223517723046</v>
      </c>
    </row>
    <row r="1686" spans="4:4" x14ac:dyDescent="0.25">
      <c r="D1686">
        <f t="shared" ca="1" si="39"/>
        <v>46.721936427886206</v>
      </c>
    </row>
    <row r="1687" spans="4:4" x14ac:dyDescent="0.25">
      <c r="D1687">
        <f t="shared" ca="1" si="39"/>
        <v>52.185031587616237</v>
      </c>
    </row>
    <row r="1688" spans="4:4" x14ac:dyDescent="0.25">
      <c r="D1688">
        <f t="shared" ca="1" si="39"/>
        <v>50.007073386747187</v>
      </c>
    </row>
    <row r="1689" spans="4:4" x14ac:dyDescent="0.25">
      <c r="D1689">
        <f t="shared" ca="1" si="39"/>
        <v>52.43235511049334</v>
      </c>
    </row>
    <row r="1690" spans="4:4" x14ac:dyDescent="0.25">
      <c r="D1690">
        <f t="shared" ca="1" si="39"/>
        <v>44.649985655204979</v>
      </c>
    </row>
    <row r="1691" spans="4:4" x14ac:dyDescent="0.25">
      <c r="D1691">
        <f t="shared" ca="1" si="39"/>
        <v>49.69247467403536</v>
      </c>
    </row>
    <row r="1692" spans="4:4" x14ac:dyDescent="0.25">
      <c r="D1692">
        <f t="shared" ca="1" si="39"/>
        <v>40.137581766215789</v>
      </c>
    </row>
    <row r="1693" spans="4:4" x14ac:dyDescent="0.25">
      <c r="D1693">
        <f t="shared" ca="1" si="39"/>
        <v>52.178838106950629</v>
      </c>
    </row>
    <row r="1694" spans="4:4" x14ac:dyDescent="0.25">
      <c r="D1694">
        <f t="shared" ca="1" si="39"/>
        <v>45.841234283173144</v>
      </c>
    </row>
    <row r="1695" spans="4:4" x14ac:dyDescent="0.25">
      <c r="D1695">
        <f t="shared" ca="1" si="39"/>
        <v>46.373522712311356</v>
      </c>
    </row>
    <row r="1696" spans="4:4" x14ac:dyDescent="0.25">
      <c r="D1696">
        <f t="shared" ca="1" si="39"/>
        <v>51.831507392620424</v>
      </c>
    </row>
    <row r="1697" spans="4:4" x14ac:dyDescent="0.25">
      <c r="D1697">
        <f t="shared" ca="1" si="39"/>
        <v>56.69330700192161</v>
      </c>
    </row>
    <row r="1698" spans="4:4" x14ac:dyDescent="0.25">
      <c r="D1698">
        <f t="shared" ca="1" si="39"/>
        <v>52.869106934121952</v>
      </c>
    </row>
    <row r="1699" spans="4:4" x14ac:dyDescent="0.25">
      <c r="D1699">
        <f t="shared" ca="1" si="39"/>
        <v>57.419585220829781</v>
      </c>
    </row>
    <row r="1700" spans="4:4" x14ac:dyDescent="0.25">
      <c r="D1700">
        <f t="shared" ca="1" si="39"/>
        <v>43.599841537324245</v>
      </c>
    </row>
    <row r="1701" spans="4:4" x14ac:dyDescent="0.25">
      <c r="D1701">
        <f t="shared" ca="1" si="39"/>
        <v>41.475564726212582</v>
      </c>
    </row>
    <row r="1702" spans="4:4" x14ac:dyDescent="0.25">
      <c r="D1702">
        <f t="shared" ca="1" si="39"/>
        <v>50.145655869549756</v>
      </c>
    </row>
    <row r="1703" spans="4:4" x14ac:dyDescent="0.25">
      <c r="D1703">
        <f t="shared" ca="1" si="39"/>
        <v>51.092793284848909</v>
      </c>
    </row>
    <row r="1704" spans="4:4" x14ac:dyDescent="0.25">
      <c r="D1704">
        <f t="shared" ca="1" si="39"/>
        <v>56.756711024017854</v>
      </c>
    </row>
    <row r="1705" spans="4:4" x14ac:dyDescent="0.25">
      <c r="D1705">
        <f t="shared" ca="1" si="39"/>
        <v>49.152033190918452</v>
      </c>
    </row>
    <row r="1706" spans="4:4" x14ac:dyDescent="0.25">
      <c r="D1706">
        <f t="shared" ca="1" si="39"/>
        <v>45.132959806351565</v>
      </c>
    </row>
    <row r="1707" spans="4:4" x14ac:dyDescent="0.25">
      <c r="D1707">
        <f t="shared" ca="1" si="39"/>
        <v>50.422403720069212</v>
      </c>
    </row>
    <row r="1708" spans="4:4" x14ac:dyDescent="0.25">
      <c r="D1708">
        <f t="shared" ca="1" si="39"/>
        <v>43.606437404947513</v>
      </c>
    </row>
    <row r="1709" spans="4:4" x14ac:dyDescent="0.25">
      <c r="D1709">
        <f t="shared" ca="1" si="39"/>
        <v>49.520139464025753</v>
      </c>
    </row>
    <row r="1710" spans="4:4" x14ac:dyDescent="0.25">
      <c r="D1710">
        <f t="shared" ca="1" si="39"/>
        <v>47.619677140460894</v>
      </c>
    </row>
    <row r="1711" spans="4:4" x14ac:dyDescent="0.25">
      <c r="D1711">
        <f t="shared" ca="1" si="39"/>
        <v>29.624229449396385</v>
      </c>
    </row>
    <row r="1712" spans="4:4" x14ac:dyDescent="0.25">
      <c r="D1712">
        <f t="shared" ca="1" si="39"/>
        <v>46.007941319476267</v>
      </c>
    </row>
    <row r="1713" spans="4:4" x14ac:dyDescent="0.25">
      <c r="D1713">
        <f t="shared" ca="1" si="39"/>
        <v>46.893036579467925</v>
      </c>
    </row>
    <row r="1714" spans="4:4" x14ac:dyDescent="0.25">
      <c r="D1714">
        <f t="shared" ca="1" si="39"/>
        <v>54.648848069735251</v>
      </c>
    </row>
    <row r="1715" spans="4:4" x14ac:dyDescent="0.25">
      <c r="D1715">
        <f t="shared" ca="1" si="39"/>
        <v>49.814941328337817</v>
      </c>
    </row>
    <row r="1716" spans="4:4" x14ac:dyDescent="0.25">
      <c r="D1716">
        <f t="shared" ca="1" si="39"/>
        <v>46.43154296468672</v>
      </c>
    </row>
    <row r="1717" spans="4:4" x14ac:dyDescent="0.25">
      <c r="D1717">
        <f t="shared" ca="1" si="39"/>
        <v>53.869942527725229</v>
      </c>
    </row>
    <row r="1718" spans="4:4" x14ac:dyDescent="0.25">
      <c r="D1718">
        <f t="shared" ca="1" si="39"/>
        <v>42.530917850064775</v>
      </c>
    </row>
    <row r="1719" spans="4:4" x14ac:dyDescent="0.25">
      <c r="D1719">
        <f t="shared" ca="1" si="39"/>
        <v>49.91123466226518</v>
      </c>
    </row>
    <row r="1720" spans="4:4" x14ac:dyDescent="0.25">
      <c r="D1720">
        <f t="shared" ca="1" si="39"/>
        <v>54.250890820874865</v>
      </c>
    </row>
    <row r="1721" spans="4:4" x14ac:dyDescent="0.25">
      <c r="D1721">
        <f t="shared" ca="1" si="39"/>
        <v>45.998791230999274</v>
      </c>
    </row>
    <row r="1722" spans="4:4" x14ac:dyDescent="0.25">
      <c r="D1722">
        <f t="shared" ca="1" si="39"/>
        <v>45.505819818889876</v>
      </c>
    </row>
    <row r="1723" spans="4:4" x14ac:dyDescent="0.25">
      <c r="D1723">
        <f t="shared" ca="1" si="39"/>
        <v>53.02291752613413</v>
      </c>
    </row>
    <row r="1724" spans="4:4" x14ac:dyDescent="0.25">
      <c r="D1724">
        <f t="shared" ca="1" si="39"/>
        <v>47.757514508566707</v>
      </c>
    </row>
    <row r="1725" spans="4:4" x14ac:dyDescent="0.25">
      <c r="D1725">
        <f t="shared" ca="1" si="39"/>
        <v>39.846345444554188</v>
      </c>
    </row>
    <row r="1726" spans="4:4" x14ac:dyDescent="0.25">
      <c r="D1726">
        <f t="shared" ca="1" si="39"/>
        <v>53.835707952946393</v>
      </c>
    </row>
    <row r="1727" spans="4:4" x14ac:dyDescent="0.25">
      <c r="D1727">
        <f t="shared" ca="1" si="39"/>
        <v>45.720448237359967</v>
      </c>
    </row>
    <row r="1728" spans="4:4" x14ac:dyDescent="0.25">
      <c r="D1728">
        <f t="shared" ca="1" si="39"/>
        <v>38.249989953354159</v>
      </c>
    </row>
    <row r="1729" spans="4:4" x14ac:dyDescent="0.25">
      <c r="D1729">
        <f t="shared" ca="1" si="39"/>
        <v>50.886319339228535</v>
      </c>
    </row>
    <row r="1730" spans="4:4" x14ac:dyDescent="0.25">
      <c r="D1730">
        <f t="shared" ca="1" si="39"/>
        <v>44.23177663942819</v>
      </c>
    </row>
    <row r="1731" spans="4:4" x14ac:dyDescent="0.25">
      <c r="D1731">
        <f t="shared" ref="D1731:D1794" ca="1" si="40">_xlfn.T.INV(RAND(),25)*$G$3+$F$3</f>
        <v>52.071937002338217</v>
      </c>
    </row>
    <row r="1732" spans="4:4" x14ac:dyDescent="0.25">
      <c r="D1732">
        <f t="shared" ca="1" si="40"/>
        <v>46.641838803385504</v>
      </c>
    </row>
    <row r="1733" spans="4:4" x14ac:dyDescent="0.25">
      <c r="D1733">
        <f t="shared" ca="1" si="40"/>
        <v>47.065492248377787</v>
      </c>
    </row>
    <row r="1734" spans="4:4" x14ac:dyDescent="0.25">
      <c r="D1734">
        <f t="shared" ca="1" si="40"/>
        <v>50.374294123689083</v>
      </c>
    </row>
    <row r="1735" spans="4:4" x14ac:dyDescent="0.25">
      <c r="D1735">
        <f t="shared" ca="1" si="40"/>
        <v>49.244871095741416</v>
      </c>
    </row>
    <row r="1736" spans="4:4" x14ac:dyDescent="0.25">
      <c r="D1736">
        <f t="shared" ca="1" si="40"/>
        <v>55.095627740654251</v>
      </c>
    </row>
    <row r="1737" spans="4:4" x14ac:dyDescent="0.25">
      <c r="D1737">
        <f t="shared" ca="1" si="40"/>
        <v>56.387415706172845</v>
      </c>
    </row>
    <row r="1738" spans="4:4" x14ac:dyDescent="0.25">
      <c r="D1738">
        <f t="shared" ca="1" si="40"/>
        <v>39.400908246588237</v>
      </c>
    </row>
    <row r="1739" spans="4:4" x14ac:dyDescent="0.25">
      <c r="D1739">
        <f t="shared" ca="1" si="40"/>
        <v>55.953471104451133</v>
      </c>
    </row>
    <row r="1740" spans="4:4" x14ac:dyDescent="0.25">
      <c r="D1740">
        <f t="shared" ca="1" si="40"/>
        <v>46.008060866563554</v>
      </c>
    </row>
    <row r="1741" spans="4:4" x14ac:dyDescent="0.25">
      <c r="D1741">
        <f t="shared" ca="1" si="40"/>
        <v>45.34218368408721</v>
      </c>
    </row>
    <row r="1742" spans="4:4" x14ac:dyDescent="0.25">
      <c r="D1742">
        <f t="shared" ca="1" si="40"/>
        <v>55.32337395810832</v>
      </c>
    </row>
    <row r="1743" spans="4:4" x14ac:dyDescent="0.25">
      <c r="D1743">
        <f t="shared" ca="1" si="40"/>
        <v>53.185072815513273</v>
      </c>
    </row>
    <row r="1744" spans="4:4" x14ac:dyDescent="0.25">
      <c r="D1744">
        <f t="shared" ca="1" si="40"/>
        <v>49.626746070053038</v>
      </c>
    </row>
    <row r="1745" spans="4:4" x14ac:dyDescent="0.25">
      <c r="D1745">
        <f t="shared" ca="1" si="40"/>
        <v>50.705130315353479</v>
      </c>
    </row>
    <row r="1746" spans="4:4" x14ac:dyDescent="0.25">
      <c r="D1746">
        <f t="shared" ca="1" si="40"/>
        <v>49.924543192770713</v>
      </c>
    </row>
    <row r="1747" spans="4:4" x14ac:dyDescent="0.25">
      <c r="D1747">
        <f t="shared" ca="1" si="40"/>
        <v>48.495175497217588</v>
      </c>
    </row>
    <row r="1748" spans="4:4" x14ac:dyDescent="0.25">
      <c r="D1748">
        <f t="shared" ca="1" si="40"/>
        <v>50.847891738151141</v>
      </c>
    </row>
    <row r="1749" spans="4:4" x14ac:dyDescent="0.25">
      <c r="D1749">
        <f t="shared" ca="1" si="40"/>
        <v>45.684099806145355</v>
      </c>
    </row>
    <row r="1750" spans="4:4" x14ac:dyDescent="0.25">
      <c r="D1750">
        <f t="shared" ca="1" si="40"/>
        <v>52.238603677022667</v>
      </c>
    </row>
    <row r="1751" spans="4:4" x14ac:dyDescent="0.25">
      <c r="D1751">
        <f t="shared" ca="1" si="40"/>
        <v>46.312578860041498</v>
      </c>
    </row>
    <row r="1752" spans="4:4" x14ac:dyDescent="0.25">
      <c r="D1752">
        <f t="shared" ca="1" si="40"/>
        <v>46.368680857471219</v>
      </c>
    </row>
    <row r="1753" spans="4:4" x14ac:dyDescent="0.25">
      <c r="D1753">
        <f t="shared" ca="1" si="40"/>
        <v>50.303896865409655</v>
      </c>
    </row>
    <row r="1754" spans="4:4" x14ac:dyDescent="0.25">
      <c r="D1754">
        <f t="shared" ca="1" si="40"/>
        <v>47.782114510295138</v>
      </c>
    </row>
    <row r="1755" spans="4:4" x14ac:dyDescent="0.25">
      <c r="D1755">
        <f t="shared" ca="1" si="40"/>
        <v>52.778756191437125</v>
      </c>
    </row>
    <row r="1756" spans="4:4" x14ac:dyDescent="0.25">
      <c r="D1756">
        <f t="shared" ca="1" si="40"/>
        <v>48.273241101885112</v>
      </c>
    </row>
    <row r="1757" spans="4:4" x14ac:dyDescent="0.25">
      <c r="D1757">
        <f t="shared" ca="1" si="40"/>
        <v>47.118964046293662</v>
      </c>
    </row>
    <row r="1758" spans="4:4" x14ac:dyDescent="0.25">
      <c r="D1758">
        <f t="shared" ca="1" si="40"/>
        <v>54.093445509541702</v>
      </c>
    </row>
    <row r="1759" spans="4:4" x14ac:dyDescent="0.25">
      <c r="D1759">
        <f t="shared" ca="1" si="40"/>
        <v>45.467117485237594</v>
      </c>
    </row>
    <row r="1760" spans="4:4" x14ac:dyDescent="0.25">
      <c r="D1760">
        <f t="shared" ca="1" si="40"/>
        <v>47.341414247303987</v>
      </c>
    </row>
    <row r="1761" spans="4:4" x14ac:dyDescent="0.25">
      <c r="D1761">
        <f t="shared" ca="1" si="40"/>
        <v>51.116421953785085</v>
      </c>
    </row>
    <row r="1762" spans="4:4" x14ac:dyDescent="0.25">
      <c r="D1762">
        <f t="shared" ca="1" si="40"/>
        <v>45.712743487889774</v>
      </c>
    </row>
    <row r="1763" spans="4:4" x14ac:dyDescent="0.25">
      <c r="D1763">
        <f t="shared" ca="1" si="40"/>
        <v>59.41740367666619</v>
      </c>
    </row>
    <row r="1764" spans="4:4" x14ac:dyDescent="0.25">
      <c r="D1764">
        <f t="shared" ca="1" si="40"/>
        <v>50.610276316374232</v>
      </c>
    </row>
    <row r="1765" spans="4:4" x14ac:dyDescent="0.25">
      <c r="D1765">
        <f t="shared" ca="1" si="40"/>
        <v>53.424875987769632</v>
      </c>
    </row>
    <row r="1766" spans="4:4" x14ac:dyDescent="0.25">
      <c r="D1766">
        <f t="shared" ca="1" si="40"/>
        <v>55.732188814755311</v>
      </c>
    </row>
    <row r="1767" spans="4:4" x14ac:dyDescent="0.25">
      <c r="D1767">
        <f t="shared" ca="1" si="40"/>
        <v>47.568079955093161</v>
      </c>
    </row>
    <row r="1768" spans="4:4" x14ac:dyDescent="0.25">
      <c r="D1768">
        <f t="shared" ca="1" si="40"/>
        <v>44.438994341264525</v>
      </c>
    </row>
    <row r="1769" spans="4:4" x14ac:dyDescent="0.25">
      <c r="D1769">
        <f t="shared" ca="1" si="40"/>
        <v>46.855153882835531</v>
      </c>
    </row>
    <row r="1770" spans="4:4" x14ac:dyDescent="0.25">
      <c r="D1770">
        <f t="shared" ca="1" si="40"/>
        <v>66.534510421050442</v>
      </c>
    </row>
    <row r="1771" spans="4:4" x14ac:dyDescent="0.25">
      <c r="D1771">
        <f t="shared" ca="1" si="40"/>
        <v>50.863908803257338</v>
      </c>
    </row>
    <row r="1772" spans="4:4" x14ac:dyDescent="0.25">
      <c r="D1772">
        <f t="shared" ca="1" si="40"/>
        <v>46.792536504996399</v>
      </c>
    </row>
    <row r="1773" spans="4:4" x14ac:dyDescent="0.25">
      <c r="D1773">
        <f t="shared" ca="1" si="40"/>
        <v>46.756222811836153</v>
      </c>
    </row>
    <row r="1774" spans="4:4" x14ac:dyDescent="0.25">
      <c r="D1774">
        <f t="shared" ca="1" si="40"/>
        <v>51.018519795373727</v>
      </c>
    </row>
    <row r="1775" spans="4:4" x14ac:dyDescent="0.25">
      <c r="D1775">
        <f t="shared" ca="1" si="40"/>
        <v>42.212796893219291</v>
      </c>
    </row>
    <row r="1776" spans="4:4" x14ac:dyDescent="0.25">
      <c r="D1776">
        <f t="shared" ca="1" si="40"/>
        <v>47.45858517808707</v>
      </c>
    </row>
    <row r="1777" spans="4:4" x14ac:dyDescent="0.25">
      <c r="D1777">
        <f t="shared" ca="1" si="40"/>
        <v>40.375439863837087</v>
      </c>
    </row>
    <row r="1778" spans="4:4" x14ac:dyDescent="0.25">
      <c r="D1778">
        <f t="shared" ca="1" si="40"/>
        <v>56.469134280903695</v>
      </c>
    </row>
    <row r="1779" spans="4:4" x14ac:dyDescent="0.25">
      <c r="D1779">
        <f t="shared" ca="1" si="40"/>
        <v>47.817682677213824</v>
      </c>
    </row>
    <row r="1780" spans="4:4" x14ac:dyDescent="0.25">
      <c r="D1780">
        <f t="shared" ca="1" si="40"/>
        <v>46.436672775275639</v>
      </c>
    </row>
    <row r="1781" spans="4:4" x14ac:dyDescent="0.25">
      <c r="D1781">
        <f t="shared" ca="1" si="40"/>
        <v>51.533784976152241</v>
      </c>
    </row>
    <row r="1782" spans="4:4" x14ac:dyDescent="0.25">
      <c r="D1782">
        <f t="shared" ca="1" si="40"/>
        <v>47.669722421556109</v>
      </c>
    </row>
    <row r="1783" spans="4:4" x14ac:dyDescent="0.25">
      <c r="D1783">
        <f t="shared" ca="1" si="40"/>
        <v>42.326448589958815</v>
      </c>
    </row>
    <row r="1784" spans="4:4" x14ac:dyDescent="0.25">
      <c r="D1784">
        <f t="shared" ca="1" si="40"/>
        <v>53.349179698291387</v>
      </c>
    </row>
    <row r="1785" spans="4:4" x14ac:dyDescent="0.25">
      <c r="D1785">
        <f t="shared" ca="1" si="40"/>
        <v>50.529988640381056</v>
      </c>
    </row>
    <row r="1786" spans="4:4" x14ac:dyDescent="0.25">
      <c r="D1786">
        <f t="shared" ca="1" si="40"/>
        <v>47.254156345586829</v>
      </c>
    </row>
    <row r="1787" spans="4:4" x14ac:dyDescent="0.25">
      <c r="D1787">
        <f t="shared" ca="1" si="40"/>
        <v>52.43483528941745</v>
      </c>
    </row>
    <row r="1788" spans="4:4" x14ac:dyDescent="0.25">
      <c r="D1788">
        <f t="shared" ca="1" si="40"/>
        <v>53.240567901391799</v>
      </c>
    </row>
    <row r="1789" spans="4:4" x14ac:dyDescent="0.25">
      <c r="D1789">
        <f t="shared" ca="1" si="40"/>
        <v>50.121542761045994</v>
      </c>
    </row>
    <row r="1790" spans="4:4" x14ac:dyDescent="0.25">
      <c r="D1790">
        <f t="shared" ca="1" si="40"/>
        <v>49.162146453997934</v>
      </c>
    </row>
    <row r="1791" spans="4:4" x14ac:dyDescent="0.25">
      <c r="D1791">
        <f t="shared" ca="1" si="40"/>
        <v>52.044461454979221</v>
      </c>
    </row>
    <row r="1792" spans="4:4" x14ac:dyDescent="0.25">
      <c r="D1792">
        <f t="shared" ca="1" si="40"/>
        <v>45.929037676485081</v>
      </c>
    </row>
    <row r="1793" spans="4:4" x14ac:dyDescent="0.25">
      <c r="D1793">
        <f t="shared" ca="1" si="40"/>
        <v>51.423753641890592</v>
      </c>
    </row>
    <row r="1794" spans="4:4" x14ac:dyDescent="0.25">
      <c r="D1794">
        <f t="shared" ca="1" si="40"/>
        <v>45.790282818126364</v>
      </c>
    </row>
    <row r="1795" spans="4:4" x14ac:dyDescent="0.25">
      <c r="D1795">
        <f t="shared" ref="D1795:D1858" ca="1" si="41">_xlfn.T.INV(RAND(),25)*$G$3+$F$3</f>
        <v>56.786492671759596</v>
      </c>
    </row>
    <row r="1796" spans="4:4" x14ac:dyDescent="0.25">
      <c r="D1796">
        <f t="shared" ca="1" si="41"/>
        <v>51.598917505474546</v>
      </c>
    </row>
    <row r="1797" spans="4:4" x14ac:dyDescent="0.25">
      <c r="D1797">
        <f t="shared" ca="1" si="41"/>
        <v>48.276130902038361</v>
      </c>
    </row>
    <row r="1798" spans="4:4" x14ac:dyDescent="0.25">
      <c r="D1798">
        <f t="shared" ca="1" si="41"/>
        <v>56.529487060974461</v>
      </c>
    </row>
    <row r="1799" spans="4:4" x14ac:dyDescent="0.25">
      <c r="D1799">
        <f t="shared" ca="1" si="41"/>
        <v>48.025939976523674</v>
      </c>
    </row>
    <row r="1800" spans="4:4" x14ac:dyDescent="0.25">
      <c r="D1800">
        <f t="shared" ca="1" si="41"/>
        <v>44.533901418873768</v>
      </c>
    </row>
    <row r="1801" spans="4:4" x14ac:dyDescent="0.25">
      <c r="D1801">
        <f t="shared" ca="1" si="41"/>
        <v>48.822042637814157</v>
      </c>
    </row>
    <row r="1802" spans="4:4" x14ac:dyDescent="0.25">
      <c r="D1802">
        <f t="shared" ca="1" si="41"/>
        <v>46.080826073108199</v>
      </c>
    </row>
    <row r="1803" spans="4:4" x14ac:dyDescent="0.25">
      <c r="D1803">
        <f t="shared" ca="1" si="41"/>
        <v>50.324368123309938</v>
      </c>
    </row>
    <row r="1804" spans="4:4" x14ac:dyDescent="0.25">
      <c r="D1804">
        <f t="shared" ca="1" si="41"/>
        <v>48.410652780713363</v>
      </c>
    </row>
    <row r="1805" spans="4:4" x14ac:dyDescent="0.25">
      <c r="D1805">
        <f t="shared" ca="1" si="41"/>
        <v>52.354046051844492</v>
      </c>
    </row>
    <row r="1806" spans="4:4" x14ac:dyDescent="0.25">
      <c r="D1806">
        <f t="shared" ca="1" si="41"/>
        <v>49.030257168941553</v>
      </c>
    </row>
    <row r="1807" spans="4:4" x14ac:dyDescent="0.25">
      <c r="D1807">
        <f t="shared" ca="1" si="41"/>
        <v>46.043431785523694</v>
      </c>
    </row>
    <row r="1808" spans="4:4" x14ac:dyDescent="0.25">
      <c r="D1808">
        <f t="shared" ca="1" si="41"/>
        <v>49.492548249590584</v>
      </c>
    </row>
    <row r="1809" spans="4:4" x14ac:dyDescent="0.25">
      <c r="D1809">
        <f t="shared" ca="1" si="41"/>
        <v>50.933837498917228</v>
      </c>
    </row>
    <row r="1810" spans="4:4" x14ac:dyDescent="0.25">
      <c r="D1810">
        <f t="shared" ca="1" si="41"/>
        <v>53.248118501148014</v>
      </c>
    </row>
    <row r="1811" spans="4:4" x14ac:dyDescent="0.25">
      <c r="D1811">
        <f t="shared" ca="1" si="41"/>
        <v>48.622276806060832</v>
      </c>
    </row>
    <row r="1812" spans="4:4" x14ac:dyDescent="0.25">
      <c r="D1812">
        <f t="shared" ca="1" si="41"/>
        <v>47.114522977881506</v>
      </c>
    </row>
    <row r="1813" spans="4:4" x14ac:dyDescent="0.25">
      <c r="D1813">
        <f t="shared" ca="1" si="41"/>
        <v>54.344029937322333</v>
      </c>
    </row>
    <row r="1814" spans="4:4" x14ac:dyDescent="0.25">
      <c r="D1814">
        <f t="shared" ca="1" si="41"/>
        <v>46.401592199634266</v>
      </c>
    </row>
    <row r="1815" spans="4:4" x14ac:dyDescent="0.25">
      <c r="D1815">
        <f t="shared" ca="1" si="41"/>
        <v>45.056709076388152</v>
      </c>
    </row>
    <row r="1816" spans="4:4" x14ac:dyDescent="0.25">
      <c r="D1816">
        <f t="shared" ca="1" si="41"/>
        <v>41.497475260110058</v>
      </c>
    </row>
    <row r="1817" spans="4:4" x14ac:dyDescent="0.25">
      <c r="D1817">
        <f t="shared" ca="1" si="41"/>
        <v>46.735967171469724</v>
      </c>
    </row>
    <row r="1818" spans="4:4" x14ac:dyDescent="0.25">
      <c r="D1818">
        <f t="shared" ca="1" si="41"/>
        <v>43.516766546317889</v>
      </c>
    </row>
    <row r="1819" spans="4:4" x14ac:dyDescent="0.25">
      <c r="D1819">
        <f t="shared" ca="1" si="41"/>
        <v>44.611524361840686</v>
      </c>
    </row>
    <row r="1820" spans="4:4" x14ac:dyDescent="0.25">
      <c r="D1820">
        <f t="shared" ca="1" si="41"/>
        <v>50.147944758380042</v>
      </c>
    </row>
    <row r="1821" spans="4:4" x14ac:dyDescent="0.25">
      <c r="D1821">
        <f t="shared" ca="1" si="41"/>
        <v>53.57805312031924</v>
      </c>
    </row>
    <row r="1822" spans="4:4" x14ac:dyDescent="0.25">
      <c r="D1822">
        <f t="shared" ca="1" si="41"/>
        <v>51.229041734194894</v>
      </c>
    </row>
    <row r="1823" spans="4:4" x14ac:dyDescent="0.25">
      <c r="D1823">
        <f t="shared" ca="1" si="41"/>
        <v>51.243474377965981</v>
      </c>
    </row>
    <row r="1824" spans="4:4" x14ac:dyDescent="0.25">
      <c r="D1824">
        <f t="shared" ca="1" si="41"/>
        <v>55.293453337732906</v>
      </c>
    </row>
    <row r="1825" spans="4:4" x14ac:dyDescent="0.25">
      <c r="D1825">
        <f t="shared" ca="1" si="41"/>
        <v>44.425982678029627</v>
      </c>
    </row>
    <row r="1826" spans="4:4" x14ac:dyDescent="0.25">
      <c r="D1826">
        <f t="shared" ca="1" si="41"/>
        <v>53.023780235708088</v>
      </c>
    </row>
    <row r="1827" spans="4:4" x14ac:dyDescent="0.25">
      <c r="D1827">
        <f t="shared" ca="1" si="41"/>
        <v>45.910585830495116</v>
      </c>
    </row>
    <row r="1828" spans="4:4" x14ac:dyDescent="0.25">
      <c r="D1828">
        <f t="shared" ca="1" si="41"/>
        <v>50.797799346137118</v>
      </c>
    </row>
    <row r="1829" spans="4:4" x14ac:dyDescent="0.25">
      <c r="D1829">
        <f t="shared" ca="1" si="41"/>
        <v>39.639946197535487</v>
      </c>
    </row>
    <row r="1830" spans="4:4" x14ac:dyDescent="0.25">
      <c r="D1830">
        <f t="shared" ca="1" si="41"/>
        <v>53.763896990814672</v>
      </c>
    </row>
    <row r="1831" spans="4:4" x14ac:dyDescent="0.25">
      <c r="D1831">
        <f t="shared" ca="1" si="41"/>
        <v>44.568079601927785</v>
      </c>
    </row>
    <row r="1832" spans="4:4" x14ac:dyDescent="0.25">
      <c r="D1832">
        <f t="shared" ca="1" si="41"/>
        <v>47.40445635048961</v>
      </c>
    </row>
    <row r="1833" spans="4:4" x14ac:dyDescent="0.25">
      <c r="D1833">
        <f t="shared" ca="1" si="41"/>
        <v>43.964685425111995</v>
      </c>
    </row>
    <row r="1834" spans="4:4" x14ac:dyDescent="0.25">
      <c r="D1834">
        <f t="shared" ca="1" si="41"/>
        <v>49.000678704395796</v>
      </c>
    </row>
    <row r="1835" spans="4:4" x14ac:dyDescent="0.25">
      <c r="D1835">
        <f t="shared" ca="1" si="41"/>
        <v>45.260436460044971</v>
      </c>
    </row>
    <row r="1836" spans="4:4" x14ac:dyDescent="0.25">
      <c r="D1836">
        <f t="shared" ca="1" si="41"/>
        <v>53.149115321443666</v>
      </c>
    </row>
    <row r="1837" spans="4:4" x14ac:dyDescent="0.25">
      <c r="D1837">
        <f t="shared" ca="1" si="41"/>
        <v>54.652706764646346</v>
      </c>
    </row>
    <row r="1838" spans="4:4" x14ac:dyDescent="0.25">
      <c r="D1838">
        <f t="shared" ca="1" si="41"/>
        <v>45.208877690497808</v>
      </c>
    </row>
    <row r="1839" spans="4:4" x14ac:dyDescent="0.25">
      <c r="D1839">
        <f t="shared" ca="1" si="41"/>
        <v>52.051261705492585</v>
      </c>
    </row>
    <row r="1840" spans="4:4" x14ac:dyDescent="0.25">
      <c r="D1840">
        <f t="shared" ca="1" si="41"/>
        <v>50.292109798319707</v>
      </c>
    </row>
    <row r="1841" spans="4:4" x14ac:dyDescent="0.25">
      <c r="D1841">
        <f t="shared" ca="1" si="41"/>
        <v>46.53412399304765</v>
      </c>
    </row>
    <row r="1842" spans="4:4" x14ac:dyDescent="0.25">
      <c r="D1842">
        <f t="shared" ca="1" si="41"/>
        <v>57.436483287111656</v>
      </c>
    </row>
    <row r="1843" spans="4:4" x14ac:dyDescent="0.25">
      <c r="D1843">
        <f t="shared" ca="1" si="41"/>
        <v>49.298336538932389</v>
      </c>
    </row>
    <row r="1844" spans="4:4" x14ac:dyDescent="0.25">
      <c r="D1844">
        <f t="shared" ca="1" si="41"/>
        <v>52.179007631139385</v>
      </c>
    </row>
    <row r="1845" spans="4:4" x14ac:dyDescent="0.25">
      <c r="D1845">
        <f t="shared" ca="1" si="41"/>
        <v>51.371011693392276</v>
      </c>
    </row>
    <row r="1846" spans="4:4" x14ac:dyDescent="0.25">
      <c r="D1846">
        <f t="shared" ca="1" si="41"/>
        <v>49.251343799316743</v>
      </c>
    </row>
    <row r="1847" spans="4:4" x14ac:dyDescent="0.25">
      <c r="D1847">
        <f t="shared" ca="1" si="41"/>
        <v>41.508100988846714</v>
      </c>
    </row>
    <row r="1848" spans="4:4" x14ac:dyDescent="0.25">
      <c r="D1848">
        <f t="shared" ca="1" si="41"/>
        <v>56.341641473388364</v>
      </c>
    </row>
    <row r="1849" spans="4:4" x14ac:dyDescent="0.25">
      <c r="D1849">
        <f t="shared" ca="1" si="41"/>
        <v>56.610833176389832</v>
      </c>
    </row>
    <row r="1850" spans="4:4" x14ac:dyDescent="0.25">
      <c r="D1850">
        <f t="shared" ca="1" si="41"/>
        <v>50.272709534059608</v>
      </c>
    </row>
    <row r="1851" spans="4:4" x14ac:dyDescent="0.25">
      <c r="D1851">
        <f t="shared" ca="1" si="41"/>
        <v>49.916975239315214</v>
      </c>
    </row>
    <row r="1852" spans="4:4" x14ac:dyDescent="0.25">
      <c r="D1852">
        <f t="shared" ca="1" si="41"/>
        <v>46.253317421816476</v>
      </c>
    </row>
    <row r="1853" spans="4:4" x14ac:dyDescent="0.25">
      <c r="D1853">
        <f t="shared" ca="1" si="41"/>
        <v>50.898833465036851</v>
      </c>
    </row>
    <row r="1854" spans="4:4" x14ac:dyDescent="0.25">
      <c r="D1854">
        <f t="shared" ca="1" si="41"/>
        <v>51.405605969819803</v>
      </c>
    </row>
    <row r="1855" spans="4:4" x14ac:dyDescent="0.25">
      <c r="D1855">
        <f t="shared" ca="1" si="41"/>
        <v>45.735856026069357</v>
      </c>
    </row>
    <row r="1856" spans="4:4" x14ac:dyDescent="0.25">
      <c r="D1856">
        <f t="shared" ca="1" si="41"/>
        <v>47.941756799927973</v>
      </c>
    </row>
    <row r="1857" spans="4:4" x14ac:dyDescent="0.25">
      <c r="D1857">
        <f t="shared" ca="1" si="41"/>
        <v>53.324629913329169</v>
      </c>
    </row>
    <row r="1858" spans="4:4" x14ac:dyDescent="0.25">
      <c r="D1858">
        <f t="shared" ca="1" si="41"/>
        <v>50.73875776061417</v>
      </c>
    </row>
    <row r="1859" spans="4:4" x14ac:dyDescent="0.25">
      <c r="D1859">
        <f t="shared" ref="D1859:D1922" ca="1" si="42">_xlfn.T.INV(RAND(),25)*$G$3+$F$3</f>
        <v>49.064212209167401</v>
      </c>
    </row>
    <row r="1860" spans="4:4" x14ac:dyDescent="0.25">
      <c r="D1860">
        <f t="shared" ca="1" si="42"/>
        <v>47.738208908337789</v>
      </c>
    </row>
    <row r="1861" spans="4:4" x14ac:dyDescent="0.25">
      <c r="D1861">
        <f t="shared" ca="1" si="42"/>
        <v>42.386886804395338</v>
      </c>
    </row>
    <row r="1862" spans="4:4" x14ac:dyDescent="0.25">
      <c r="D1862">
        <f t="shared" ca="1" si="42"/>
        <v>47.521821814587788</v>
      </c>
    </row>
    <row r="1863" spans="4:4" x14ac:dyDescent="0.25">
      <c r="D1863">
        <f t="shared" ca="1" si="42"/>
        <v>44.216421178631208</v>
      </c>
    </row>
    <row r="1864" spans="4:4" x14ac:dyDescent="0.25">
      <c r="D1864">
        <f t="shared" ca="1" si="42"/>
        <v>44.41139541861606</v>
      </c>
    </row>
    <row r="1865" spans="4:4" x14ac:dyDescent="0.25">
      <c r="D1865">
        <f t="shared" ca="1" si="42"/>
        <v>56.23905462496932</v>
      </c>
    </row>
    <row r="1866" spans="4:4" x14ac:dyDescent="0.25">
      <c r="D1866">
        <f t="shared" ca="1" si="42"/>
        <v>43.684840670934989</v>
      </c>
    </row>
    <row r="1867" spans="4:4" x14ac:dyDescent="0.25">
      <c r="D1867">
        <f t="shared" ca="1" si="42"/>
        <v>49.641135359837385</v>
      </c>
    </row>
    <row r="1868" spans="4:4" x14ac:dyDescent="0.25">
      <c r="D1868">
        <f t="shared" ca="1" si="42"/>
        <v>41.476720270536816</v>
      </c>
    </row>
    <row r="1869" spans="4:4" x14ac:dyDescent="0.25">
      <c r="D1869">
        <f t="shared" ca="1" si="42"/>
        <v>55.155420663093523</v>
      </c>
    </row>
    <row r="1870" spans="4:4" x14ac:dyDescent="0.25">
      <c r="D1870">
        <f t="shared" ca="1" si="42"/>
        <v>50.258932758134222</v>
      </c>
    </row>
    <row r="1871" spans="4:4" x14ac:dyDescent="0.25">
      <c r="D1871">
        <f t="shared" ca="1" si="42"/>
        <v>53.857013427725121</v>
      </c>
    </row>
    <row r="1872" spans="4:4" x14ac:dyDescent="0.25">
      <c r="D1872">
        <f t="shared" ca="1" si="42"/>
        <v>49.172472909176726</v>
      </c>
    </row>
    <row r="1873" spans="4:4" x14ac:dyDescent="0.25">
      <c r="D1873">
        <f t="shared" ca="1" si="42"/>
        <v>44.901145287736611</v>
      </c>
    </row>
    <row r="1874" spans="4:4" x14ac:dyDescent="0.25">
      <c r="D1874">
        <f t="shared" ca="1" si="42"/>
        <v>50.316916875877084</v>
      </c>
    </row>
    <row r="1875" spans="4:4" x14ac:dyDescent="0.25">
      <c r="D1875">
        <f t="shared" ca="1" si="42"/>
        <v>47.750055633624029</v>
      </c>
    </row>
    <row r="1876" spans="4:4" x14ac:dyDescent="0.25">
      <c r="D1876">
        <f t="shared" ca="1" si="42"/>
        <v>47.517613171468525</v>
      </c>
    </row>
    <row r="1877" spans="4:4" x14ac:dyDescent="0.25">
      <c r="D1877">
        <f t="shared" ca="1" si="42"/>
        <v>52.560542454457533</v>
      </c>
    </row>
    <row r="1878" spans="4:4" x14ac:dyDescent="0.25">
      <c r="D1878">
        <f t="shared" ca="1" si="42"/>
        <v>55.049283096027864</v>
      </c>
    </row>
    <row r="1879" spans="4:4" x14ac:dyDescent="0.25">
      <c r="D1879">
        <f t="shared" ca="1" si="42"/>
        <v>47.065520782292467</v>
      </c>
    </row>
    <row r="1880" spans="4:4" x14ac:dyDescent="0.25">
      <c r="D1880">
        <f t="shared" ca="1" si="42"/>
        <v>49.519378723030435</v>
      </c>
    </row>
    <row r="1881" spans="4:4" x14ac:dyDescent="0.25">
      <c r="D1881">
        <f t="shared" ca="1" si="42"/>
        <v>43.336931903475936</v>
      </c>
    </row>
    <row r="1882" spans="4:4" x14ac:dyDescent="0.25">
      <c r="D1882">
        <f t="shared" ca="1" si="42"/>
        <v>61.023500433688461</v>
      </c>
    </row>
    <row r="1883" spans="4:4" x14ac:dyDescent="0.25">
      <c r="D1883">
        <f t="shared" ca="1" si="42"/>
        <v>54.254635063882262</v>
      </c>
    </row>
    <row r="1884" spans="4:4" x14ac:dyDescent="0.25">
      <c r="D1884">
        <f t="shared" ca="1" si="42"/>
        <v>52.600247916586163</v>
      </c>
    </row>
    <row r="1885" spans="4:4" x14ac:dyDescent="0.25">
      <c r="D1885">
        <f t="shared" ca="1" si="42"/>
        <v>42.270628719825503</v>
      </c>
    </row>
    <row r="1886" spans="4:4" x14ac:dyDescent="0.25">
      <c r="D1886">
        <f t="shared" ca="1" si="42"/>
        <v>39.298333995034987</v>
      </c>
    </row>
    <row r="1887" spans="4:4" x14ac:dyDescent="0.25">
      <c r="D1887">
        <f t="shared" ca="1" si="42"/>
        <v>43.885004110645717</v>
      </c>
    </row>
    <row r="1888" spans="4:4" x14ac:dyDescent="0.25">
      <c r="D1888">
        <f t="shared" ca="1" si="42"/>
        <v>40.030849687058151</v>
      </c>
    </row>
    <row r="1889" spans="4:4" x14ac:dyDescent="0.25">
      <c r="D1889">
        <f t="shared" ca="1" si="42"/>
        <v>53.343664156455972</v>
      </c>
    </row>
    <row r="1890" spans="4:4" x14ac:dyDescent="0.25">
      <c r="D1890">
        <f t="shared" ca="1" si="42"/>
        <v>47.863740998804552</v>
      </c>
    </row>
    <row r="1891" spans="4:4" x14ac:dyDescent="0.25">
      <c r="D1891">
        <f t="shared" ca="1" si="42"/>
        <v>47.035133151902045</v>
      </c>
    </row>
    <row r="1892" spans="4:4" x14ac:dyDescent="0.25">
      <c r="D1892">
        <f t="shared" ca="1" si="42"/>
        <v>47.871472754473572</v>
      </c>
    </row>
    <row r="1893" spans="4:4" x14ac:dyDescent="0.25">
      <c r="D1893">
        <f t="shared" ca="1" si="42"/>
        <v>52.182851656466028</v>
      </c>
    </row>
    <row r="1894" spans="4:4" x14ac:dyDescent="0.25">
      <c r="D1894">
        <f t="shared" ca="1" si="42"/>
        <v>55.067558833456445</v>
      </c>
    </row>
    <row r="1895" spans="4:4" x14ac:dyDescent="0.25">
      <c r="D1895">
        <f t="shared" ca="1" si="42"/>
        <v>50.72097451620121</v>
      </c>
    </row>
    <row r="1896" spans="4:4" x14ac:dyDescent="0.25">
      <c r="D1896">
        <f t="shared" ca="1" si="42"/>
        <v>51.567899487774461</v>
      </c>
    </row>
    <row r="1897" spans="4:4" x14ac:dyDescent="0.25">
      <c r="D1897">
        <f t="shared" ca="1" si="42"/>
        <v>51.069264470474131</v>
      </c>
    </row>
    <row r="1898" spans="4:4" x14ac:dyDescent="0.25">
      <c r="D1898">
        <f t="shared" ca="1" si="42"/>
        <v>59.713593139640757</v>
      </c>
    </row>
    <row r="1899" spans="4:4" x14ac:dyDescent="0.25">
      <c r="D1899">
        <f t="shared" ca="1" si="42"/>
        <v>47.557455552822184</v>
      </c>
    </row>
    <row r="1900" spans="4:4" x14ac:dyDescent="0.25">
      <c r="D1900">
        <f t="shared" ca="1" si="42"/>
        <v>54.104024889047594</v>
      </c>
    </row>
    <row r="1901" spans="4:4" x14ac:dyDescent="0.25">
      <c r="D1901">
        <f t="shared" ca="1" si="42"/>
        <v>46.580385045485514</v>
      </c>
    </row>
    <row r="1902" spans="4:4" x14ac:dyDescent="0.25">
      <c r="D1902">
        <f t="shared" ca="1" si="42"/>
        <v>49.718583781188457</v>
      </c>
    </row>
    <row r="1903" spans="4:4" x14ac:dyDescent="0.25">
      <c r="D1903">
        <f t="shared" ca="1" si="42"/>
        <v>55.814916879740963</v>
      </c>
    </row>
    <row r="1904" spans="4:4" x14ac:dyDescent="0.25">
      <c r="D1904">
        <f t="shared" ca="1" si="42"/>
        <v>41.852293397768065</v>
      </c>
    </row>
    <row r="1905" spans="4:4" x14ac:dyDescent="0.25">
      <c r="D1905">
        <f t="shared" ca="1" si="42"/>
        <v>46.26428983471942</v>
      </c>
    </row>
    <row r="1906" spans="4:4" x14ac:dyDescent="0.25">
      <c r="D1906">
        <f t="shared" ca="1" si="42"/>
        <v>49.659292620674421</v>
      </c>
    </row>
    <row r="1907" spans="4:4" x14ac:dyDescent="0.25">
      <c r="D1907">
        <f t="shared" ca="1" si="42"/>
        <v>49.383579834183259</v>
      </c>
    </row>
    <row r="1908" spans="4:4" x14ac:dyDescent="0.25">
      <c r="D1908">
        <f t="shared" ca="1" si="42"/>
        <v>44.754361862360149</v>
      </c>
    </row>
    <row r="1909" spans="4:4" x14ac:dyDescent="0.25">
      <c r="D1909">
        <f t="shared" ca="1" si="42"/>
        <v>49.040463908467203</v>
      </c>
    </row>
    <row r="1910" spans="4:4" x14ac:dyDescent="0.25">
      <c r="D1910">
        <f t="shared" ca="1" si="42"/>
        <v>50.146788460145174</v>
      </c>
    </row>
    <row r="1911" spans="4:4" x14ac:dyDescent="0.25">
      <c r="D1911">
        <f t="shared" ca="1" si="42"/>
        <v>46.558392973343366</v>
      </c>
    </row>
    <row r="1912" spans="4:4" x14ac:dyDescent="0.25">
      <c r="D1912">
        <f t="shared" ca="1" si="42"/>
        <v>55.037239463345088</v>
      </c>
    </row>
    <row r="1913" spans="4:4" x14ac:dyDescent="0.25">
      <c r="D1913">
        <f t="shared" ca="1" si="42"/>
        <v>57.619633728808459</v>
      </c>
    </row>
    <row r="1914" spans="4:4" x14ac:dyDescent="0.25">
      <c r="D1914">
        <f t="shared" ca="1" si="42"/>
        <v>47.72902118754633</v>
      </c>
    </row>
    <row r="1915" spans="4:4" x14ac:dyDescent="0.25">
      <c r="D1915">
        <f t="shared" ca="1" si="42"/>
        <v>49.674846464695676</v>
      </c>
    </row>
    <row r="1916" spans="4:4" x14ac:dyDescent="0.25">
      <c r="D1916">
        <f t="shared" ca="1" si="42"/>
        <v>46.685484613923975</v>
      </c>
    </row>
    <row r="1917" spans="4:4" x14ac:dyDescent="0.25">
      <c r="D1917">
        <f t="shared" ca="1" si="42"/>
        <v>46.324747062737885</v>
      </c>
    </row>
    <row r="1918" spans="4:4" x14ac:dyDescent="0.25">
      <c r="D1918">
        <f t="shared" ca="1" si="42"/>
        <v>47.325294337227099</v>
      </c>
    </row>
    <row r="1919" spans="4:4" x14ac:dyDescent="0.25">
      <c r="D1919">
        <f t="shared" ca="1" si="42"/>
        <v>39.492354506519447</v>
      </c>
    </row>
    <row r="1920" spans="4:4" x14ac:dyDescent="0.25">
      <c r="D1920">
        <f t="shared" ca="1" si="42"/>
        <v>55.360516223342671</v>
      </c>
    </row>
    <row r="1921" spans="4:4" x14ac:dyDescent="0.25">
      <c r="D1921">
        <f t="shared" ca="1" si="42"/>
        <v>49.025452422565984</v>
      </c>
    </row>
    <row r="1922" spans="4:4" x14ac:dyDescent="0.25">
      <c r="D1922">
        <f t="shared" ca="1" si="42"/>
        <v>48.624620404094998</v>
      </c>
    </row>
    <row r="1923" spans="4:4" x14ac:dyDescent="0.25">
      <c r="D1923">
        <f t="shared" ref="D1923:D1986" ca="1" si="43">_xlfn.T.INV(RAND(),25)*$G$3+$F$3</f>
        <v>45.366505865742013</v>
      </c>
    </row>
    <row r="1924" spans="4:4" x14ac:dyDescent="0.25">
      <c r="D1924">
        <f t="shared" ca="1" si="43"/>
        <v>42.151082011440501</v>
      </c>
    </row>
    <row r="1925" spans="4:4" x14ac:dyDescent="0.25">
      <c r="D1925">
        <f t="shared" ca="1" si="43"/>
        <v>43.758338502506973</v>
      </c>
    </row>
    <row r="1926" spans="4:4" x14ac:dyDescent="0.25">
      <c r="D1926">
        <f t="shared" ca="1" si="43"/>
        <v>55.088171603687641</v>
      </c>
    </row>
    <row r="1927" spans="4:4" x14ac:dyDescent="0.25">
      <c r="D1927">
        <f t="shared" ca="1" si="43"/>
        <v>52.179491808176564</v>
      </c>
    </row>
    <row r="1928" spans="4:4" x14ac:dyDescent="0.25">
      <c r="D1928">
        <f t="shared" ca="1" si="43"/>
        <v>49.570323135216022</v>
      </c>
    </row>
    <row r="1929" spans="4:4" x14ac:dyDescent="0.25">
      <c r="D1929">
        <f t="shared" ca="1" si="43"/>
        <v>47.74695858272829</v>
      </c>
    </row>
    <row r="1930" spans="4:4" x14ac:dyDescent="0.25">
      <c r="D1930">
        <f t="shared" ca="1" si="43"/>
        <v>50.563713726665974</v>
      </c>
    </row>
    <row r="1931" spans="4:4" x14ac:dyDescent="0.25">
      <c r="D1931">
        <f t="shared" ca="1" si="43"/>
        <v>51.655735522254432</v>
      </c>
    </row>
    <row r="1932" spans="4:4" x14ac:dyDescent="0.25">
      <c r="D1932">
        <f t="shared" ca="1" si="43"/>
        <v>48.346154972323873</v>
      </c>
    </row>
    <row r="1933" spans="4:4" x14ac:dyDescent="0.25">
      <c r="D1933">
        <f t="shared" ca="1" si="43"/>
        <v>49.222744409850819</v>
      </c>
    </row>
    <row r="1934" spans="4:4" x14ac:dyDescent="0.25">
      <c r="D1934">
        <f t="shared" ca="1" si="43"/>
        <v>52.086055562039427</v>
      </c>
    </row>
    <row r="1935" spans="4:4" x14ac:dyDescent="0.25">
      <c r="D1935">
        <f t="shared" ca="1" si="43"/>
        <v>53.203144648956695</v>
      </c>
    </row>
    <row r="1936" spans="4:4" x14ac:dyDescent="0.25">
      <c r="D1936">
        <f t="shared" ca="1" si="43"/>
        <v>52.145503892067424</v>
      </c>
    </row>
    <row r="1937" spans="4:4" x14ac:dyDescent="0.25">
      <c r="D1937">
        <f t="shared" ca="1" si="43"/>
        <v>50.116979943518771</v>
      </c>
    </row>
    <row r="1938" spans="4:4" x14ac:dyDescent="0.25">
      <c r="D1938">
        <f t="shared" ca="1" si="43"/>
        <v>48.10215023588097</v>
      </c>
    </row>
    <row r="1939" spans="4:4" x14ac:dyDescent="0.25">
      <c r="D1939">
        <f t="shared" ca="1" si="43"/>
        <v>49.8916160953139</v>
      </c>
    </row>
    <row r="1940" spans="4:4" x14ac:dyDescent="0.25">
      <c r="D1940">
        <f t="shared" ca="1" si="43"/>
        <v>56.576436201722302</v>
      </c>
    </row>
    <row r="1941" spans="4:4" x14ac:dyDescent="0.25">
      <c r="D1941">
        <f t="shared" ca="1" si="43"/>
        <v>43.515965438149159</v>
      </c>
    </row>
    <row r="1942" spans="4:4" x14ac:dyDescent="0.25">
      <c r="D1942">
        <f t="shared" ca="1" si="43"/>
        <v>47.641587318815013</v>
      </c>
    </row>
    <row r="1943" spans="4:4" x14ac:dyDescent="0.25">
      <c r="D1943">
        <f t="shared" ca="1" si="43"/>
        <v>48.295270270786403</v>
      </c>
    </row>
    <row r="1944" spans="4:4" x14ac:dyDescent="0.25">
      <c r="D1944">
        <f t="shared" ca="1" si="43"/>
        <v>53.941868383840323</v>
      </c>
    </row>
    <row r="1945" spans="4:4" x14ac:dyDescent="0.25">
      <c r="D1945">
        <f t="shared" ca="1" si="43"/>
        <v>40.143483878531654</v>
      </c>
    </row>
    <row r="1946" spans="4:4" x14ac:dyDescent="0.25">
      <c r="D1946">
        <f t="shared" ca="1" si="43"/>
        <v>40.519471459049946</v>
      </c>
    </row>
    <row r="1947" spans="4:4" x14ac:dyDescent="0.25">
      <c r="D1947">
        <f t="shared" ca="1" si="43"/>
        <v>51.012785691999305</v>
      </c>
    </row>
    <row r="1948" spans="4:4" x14ac:dyDescent="0.25">
      <c r="D1948">
        <f t="shared" ca="1" si="43"/>
        <v>53.240956865096116</v>
      </c>
    </row>
    <row r="1949" spans="4:4" x14ac:dyDescent="0.25">
      <c r="D1949">
        <f t="shared" ca="1" si="43"/>
        <v>39.206428521093606</v>
      </c>
    </row>
    <row r="1950" spans="4:4" x14ac:dyDescent="0.25">
      <c r="D1950">
        <f t="shared" ca="1" si="43"/>
        <v>55.301747708207188</v>
      </c>
    </row>
    <row r="1951" spans="4:4" x14ac:dyDescent="0.25">
      <c r="D1951">
        <f t="shared" ca="1" si="43"/>
        <v>47.374058146407243</v>
      </c>
    </row>
    <row r="1952" spans="4:4" x14ac:dyDescent="0.25">
      <c r="D1952">
        <f t="shared" ca="1" si="43"/>
        <v>46.738372810451175</v>
      </c>
    </row>
    <row r="1953" spans="4:4" x14ac:dyDescent="0.25">
      <c r="D1953">
        <f t="shared" ca="1" si="43"/>
        <v>48.360752231343547</v>
      </c>
    </row>
    <row r="1954" spans="4:4" x14ac:dyDescent="0.25">
      <c r="D1954">
        <f t="shared" ca="1" si="43"/>
        <v>43.820115300084758</v>
      </c>
    </row>
    <row r="1955" spans="4:4" x14ac:dyDescent="0.25">
      <c r="D1955">
        <f t="shared" ca="1" si="43"/>
        <v>48.947619499936053</v>
      </c>
    </row>
    <row r="1956" spans="4:4" x14ac:dyDescent="0.25">
      <c r="D1956">
        <f t="shared" ca="1" si="43"/>
        <v>49.508546515146996</v>
      </c>
    </row>
    <row r="1957" spans="4:4" x14ac:dyDescent="0.25">
      <c r="D1957">
        <f t="shared" ca="1" si="43"/>
        <v>50.565155469467101</v>
      </c>
    </row>
    <row r="1958" spans="4:4" x14ac:dyDescent="0.25">
      <c r="D1958">
        <f t="shared" ca="1" si="43"/>
        <v>41.867763155834098</v>
      </c>
    </row>
    <row r="1959" spans="4:4" x14ac:dyDescent="0.25">
      <c r="D1959">
        <f t="shared" ca="1" si="43"/>
        <v>50.304309487283994</v>
      </c>
    </row>
    <row r="1960" spans="4:4" x14ac:dyDescent="0.25">
      <c r="D1960">
        <f t="shared" ca="1" si="43"/>
        <v>47.692164677263058</v>
      </c>
    </row>
    <row r="1961" spans="4:4" x14ac:dyDescent="0.25">
      <c r="D1961">
        <f t="shared" ca="1" si="43"/>
        <v>52.414675713748316</v>
      </c>
    </row>
    <row r="1962" spans="4:4" x14ac:dyDescent="0.25">
      <c r="D1962">
        <f t="shared" ca="1" si="43"/>
        <v>43.892292843552077</v>
      </c>
    </row>
    <row r="1963" spans="4:4" x14ac:dyDescent="0.25">
      <c r="D1963">
        <f t="shared" ca="1" si="43"/>
        <v>47.691566904142746</v>
      </c>
    </row>
    <row r="1964" spans="4:4" x14ac:dyDescent="0.25">
      <c r="D1964">
        <f t="shared" ca="1" si="43"/>
        <v>49.531079456066117</v>
      </c>
    </row>
    <row r="1965" spans="4:4" x14ac:dyDescent="0.25">
      <c r="D1965">
        <f t="shared" ca="1" si="43"/>
        <v>53.323469268477872</v>
      </c>
    </row>
    <row r="1966" spans="4:4" x14ac:dyDescent="0.25">
      <c r="D1966">
        <f t="shared" ca="1" si="43"/>
        <v>46.594560023561961</v>
      </c>
    </row>
    <row r="1967" spans="4:4" x14ac:dyDescent="0.25">
      <c r="D1967">
        <f t="shared" ca="1" si="43"/>
        <v>52.866409610393752</v>
      </c>
    </row>
    <row r="1968" spans="4:4" x14ac:dyDescent="0.25">
      <c r="D1968">
        <f t="shared" ca="1" si="43"/>
        <v>50.455837713751478</v>
      </c>
    </row>
    <row r="1969" spans="4:4" x14ac:dyDescent="0.25">
      <c r="D1969">
        <f t="shared" ca="1" si="43"/>
        <v>50.991224644619123</v>
      </c>
    </row>
    <row r="1970" spans="4:4" x14ac:dyDescent="0.25">
      <c r="D1970">
        <f t="shared" ca="1" si="43"/>
        <v>47.077860768872839</v>
      </c>
    </row>
    <row r="1971" spans="4:4" x14ac:dyDescent="0.25">
      <c r="D1971">
        <f t="shared" ca="1" si="43"/>
        <v>44.598960642161288</v>
      </c>
    </row>
    <row r="1972" spans="4:4" x14ac:dyDescent="0.25">
      <c r="D1972">
        <f t="shared" ca="1" si="43"/>
        <v>56.572788979718744</v>
      </c>
    </row>
    <row r="1973" spans="4:4" x14ac:dyDescent="0.25">
      <c r="D1973">
        <f t="shared" ca="1" si="43"/>
        <v>46.710612201981711</v>
      </c>
    </row>
    <row r="1974" spans="4:4" x14ac:dyDescent="0.25">
      <c r="D1974">
        <f t="shared" ca="1" si="43"/>
        <v>53.138810957897185</v>
      </c>
    </row>
    <row r="1975" spans="4:4" x14ac:dyDescent="0.25">
      <c r="D1975">
        <f t="shared" ca="1" si="43"/>
        <v>59.009560248731887</v>
      </c>
    </row>
    <row r="1976" spans="4:4" x14ac:dyDescent="0.25">
      <c r="D1976">
        <f t="shared" ca="1" si="43"/>
        <v>52.311835060137909</v>
      </c>
    </row>
    <row r="1977" spans="4:4" x14ac:dyDescent="0.25">
      <c r="D1977">
        <f t="shared" ca="1" si="43"/>
        <v>46.490738123493372</v>
      </c>
    </row>
    <row r="1978" spans="4:4" x14ac:dyDescent="0.25">
      <c r="D1978">
        <f t="shared" ca="1" si="43"/>
        <v>42.524408802123283</v>
      </c>
    </row>
    <row r="1979" spans="4:4" x14ac:dyDescent="0.25">
      <c r="D1979">
        <f t="shared" ca="1" si="43"/>
        <v>51.165282561470441</v>
      </c>
    </row>
    <row r="1980" spans="4:4" x14ac:dyDescent="0.25">
      <c r="D1980">
        <f t="shared" ca="1" si="43"/>
        <v>52.646337244788327</v>
      </c>
    </row>
    <row r="1981" spans="4:4" x14ac:dyDescent="0.25">
      <c r="D1981">
        <f t="shared" ca="1" si="43"/>
        <v>51.541745496340909</v>
      </c>
    </row>
    <row r="1982" spans="4:4" x14ac:dyDescent="0.25">
      <c r="D1982">
        <f t="shared" ca="1" si="43"/>
        <v>46.464839442189096</v>
      </c>
    </row>
    <row r="1983" spans="4:4" x14ac:dyDescent="0.25">
      <c r="D1983">
        <f t="shared" ca="1" si="43"/>
        <v>47.115778982862039</v>
      </c>
    </row>
    <row r="1984" spans="4:4" x14ac:dyDescent="0.25">
      <c r="D1984">
        <f t="shared" ca="1" si="43"/>
        <v>52.487179755493621</v>
      </c>
    </row>
    <row r="1985" spans="4:4" x14ac:dyDescent="0.25">
      <c r="D1985">
        <f t="shared" ca="1" si="43"/>
        <v>51.272100936141321</v>
      </c>
    </row>
    <row r="1986" spans="4:4" x14ac:dyDescent="0.25">
      <c r="D1986">
        <f t="shared" ca="1" si="43"/>
        <v>44.586805905677409</v>
      </c>
    </row>
    <row r="1987" spans="4:4" x14ac:dyDescent="0.25">
      <c r="D1987">
        <f t="shared" ref="D1987:D2050" ca="1" si="44">_xlfn.T.INV(RAND(),25)*$G$3+$F$3</f>
        <v>51.036356543752667</v>
      </c>
    </row>
    <row r="1988" spans="4:4" x14ac:dyDescent="0.25">
      <c r="D1988">
        <f t="shared" ca="1" si="44"/>
        <v>53.913460171354053</v>
      </c>
    </row>
    <row r="1989" spans="4:4" x14ac:dyDescent="0.25">
      <c r="D1989">
        <f t="shared" ca="1" si="44"/>
        <v>45.993866985285067</v>
      </c>
    </row>
    <row r="1990" spans="4:4" x14ac:dyDescent="0.25">
      <c r="D1990">
        <f t="shared" ca="1" si="44"/>
        <v>47.336004294656632</v>
      </c>
    </row>
    <row r="1991" spans="4:4" x14ac:dyDescent="0.25">
      <c r="D1991">
        <f t="shared" ca="1" si="44"/>
        <v>53.109588124199988</v>
      </c>
    </row>
    <row r="1992" spans="4:4" x14ac:dyDescent="0.25">
      <c r="D1992">
        <f t="shared" ca="1" si="44"/>
        <v>45.82583731018957</v>
      </c>
    </row>
    <row r="1993" spans="4:4" x14ac:dyDescent="0.25">
      <c r="D1993">
        <f t="shared" ca="1" si="44"/>
        <v>48.290009840134658</v>
      </c>
    </row>
    <row r="1994" spans="4:4" x14ac:dyDescent="0.25">
      <c r="D1994">
        <f t="shared" ca="1" si="44"/>
        <v>47.4179974121475</v>
      </c>
    </row>
    <row r="1995" spans="4:4" x14ac:dyDescent="0.25">
      <c r="D1995">
        <f t="shared" ca="1" si="44"/>
        <v>51.11991693456735</v>
      </c>
    </row>
    <row r="1996" spans="4:4" x14ac:dyDescent="0.25">
      <c r="D1996">
        <f t="shared" ca="1" si="44"/>
        <v>45.093163153186644</v>
      </c>
    </row>
    <row r="1997" spans="4:4" x14ac:dyDescent="0.25">
      <c r="D1997">
        <f t="shared" ca="1" si="44"/>
        <v>49.466877414301763</v>
      </c>
    </row>
    <row r="1998" spans="4:4" x14ac:dyDescent="0.25">
      <c r="D1998">
        <f t="shared" ca="1" si="44"/>
        <v>50.583861324435112</v>
      </c>
    </row>
    <row r="1999" spans="4:4" x14ac:dyDescent="0.25">
      <c r="D1999">
        <f t="shared" ca="1" si="44"/>
        <v>56.459501100874249</v>
      </c>
    </row>
    <row r="2000" spans="4:4" x14ac:dyDescent="0.25">
      <c r="D2000">
        <f t="shared" ca="1" si="44"/>
        <v>42.855400590186896</v>
      </c>
    </row>
    <row r="2001" spans="4:4" x14ac:dyDescent="0.25">
      <c r="D2001">
        <f t="shared" ca="1" si="44"/>
        <v>48.830162750454782</v>
      </c>
    </row>
    <row r="2002" spans="4:4" x14ac:dyDescent="0.25">
      <c r="D2002">
        <f t="shared" ca="1" si="44"/>
        <v>49.928737707254321</v>
      </c>
    </row>
    <row r="2003" spans="4:4" x14ac:dyDescent="0.25">
      <c r="D2003">
        <f t="shared" ca="1" si="44"/>
        <v>53.448183881145162</v>
      </c>
    </row>
    <row r="2004" spans="4:4" x14ac:dyDescent="0.25">
      <c r="D2004">
        <f t="shared" ca="1" si="44"/>
        <v>47.495202796606208</v>
      </c>
    </row>
    <row r="2005" spans="4:4" x14ac:dyDescent="0.25">
      <c r="D2005">
        <f t="shared" ca="1" si="44"/>
        <v>50.087111201456835</v>
      </c>
    </row>
    <row r="2006" spans="4:4" x14ac:dyDescent="0.25">
      <c r="D2006">
        <f t="shared" ca="1" si="44"/>
        <v>57.163990322851831</v>
      </c>
    </row>
    <row r="2007" spans="4:4" x14ac:dyDescent="0.25">
      <c r="D2007">
        <f t="shared" ca="1" si="44"/>
        <v>39.190230127563311</v>
      </c>
    </row>
    <row r="2008" spans="4:4" x14ac:dyDescent="0.25">
      <c r="D2008">
        <f t="shared" ca="1" si="44"/>
        <v>45.763857214138596</v>
      </c>
    </row>
    <row r="2009" spans="4:4" x14ac:dyDescent="0.25">
      <c r="D2009">
        <f t="shared" ca="1" si="44"/>
        <v>46.401685131036622</v>
      </c>
    </row>
    <row r="2010" spans="4:4" x14ac:dyDescent="0.25">
      <c r="D2010">
        <f t="shared" ca="1" si="44"/>
        <v>45.232701716766407</v>
      </c>
    </row>
    <row r="2011" spans="4:4" x14ac:dyDescent="0.25">
      <c r="D2011">
        <f t="shared" ca="1" si="44"/>
        <v>49.812789652037658</v>
      </c>
    </row>
    <row r="2012" spans="4:4" x14ac:dyDescent="0.25">
      <c r="D2012">
        <f t="shared" ca="1" si="44"/>
        <v>54.957332095087111</v>
      </c>
    </row>
    <row r="2013" spans="4:4" x14ac:dyDescent="0.25">
      <c r="D2013">
        <f t="shared" ca="1" si="44"/>
        <v>50.025400640841511</v>
      </c>
    </row>
    <row r="2014" spans="4:4" x14ac:dyDescent="0.25">
      <c r="D2014">
        <f t="shared" ca="1" si="44"/>
        <v>47.086489059905659</v>
      </c>
    </row>
    <row r="2015" spans="4:4" x14ac:dyDescent="0.25">
      <c r="D2015">
        <f t="shared" ca="1" si="44"/>
        <v>49.277860998062309</v>
      </c>
    </row>
    <row r="2016" spans="4:4" x14ac:dyDescent="0.25">
      <c r="D2016">
        <f t="shared" ca="1" si="44"/>
        <v>45.251740582161077</v>
      </c>
    </row>
    <row r="2017" spans="4:4" x14ac:dyDescent="0.25">
      <c r="D2017">
        <f t="shared" ca="1" si="44"/>
        <v>48.896733177854031</v>
      </c>
    </row>
    <row r="2018" spans="4:4" x14ac:dyDescent="0.25">
      <c r="D2018">
        <f t="shared" ca="1" si="44"/>
        <v>51.628720270176395</v>
      </c>
    </row>
    <row r="2019" spans="4:4" x14ac:dyDescent="0.25">
      <c r="D2019">
        <f t="shared" ca="1" si="44"/>
        <v>53.11749900860034</v>
      </c>
    </row>
    <row r="2020" spans="4:4" x14ac:dyDescent="0.25">
      <c r="D2020">
        <f t="shared" ca="1" si="44"/>
        <v>49.560811497852576</v>
      </c>
    </row>
    <row r="2021" spans="4:4" x14ac:dyDescent="0.25">
      <c r="D2021">
        <f t="shared" ca="1" si="44"/>
        <v>47.709148633950477</v>
      </c>
    </row>
    <row r="2022" spans="4:4" x14ac:dyDescent="0.25">
      <c r="D2022">
        <f t="shared" ca="1" si="44"/>
        <v>50.667322283420361</v>
      </c>
    </row>
    <row r="2023" spans="4:4" x14ac:dyDescent="0.25">
      <c r="D2023">
        <f t="shared" ca="1" si="44"/>
        <v>50.444640975220366</v>
      </c>
    </row>
    <row r="2024" spans="4:4" x14ac:dyDescent="0.25">
      <c r="D2024">
        <f t="shared" ca="1" si="44"/>
        <v>42.97911245980557</v>
      </c>
    </row>
    <row r="2025" spans="4:4" x14ac:dyDescent="0.25">
      <c r="D2025">
        <f t="shared" ca="1" si="44"/>
        <v>54.946856842428957</v>
      </c>
    </row>
    <row r="2026" spans="4:4" x14ac:dyDescent="0.25">
      <c r="D2026">
        <f t="shared" ca="1" si="44"/>
        <v>55.06312480766961</v>
      </c>
    </row>
    <row r="2027" spans="4:4" x14ac:dyDescent="0.25">
      <c r="D2027">
        <f t="shared" ca="1" si="44"/>
        <v>53.678234494738916</v>
      </c>
    </row>
    <row r="2028" spans="4:4" x14ac:dyDescent="0.25">
      <c r="D2028">
        <f t="shared" ca="1" si="44"/>
        <v>54.568872814410554</v>
      </c>
    </row>
    <row r="2029" spans="4:4" x14ac:dyDescent="0.25">
      <c r="D2029">
        <f t="shared" ca="1" si="44"/>
        <v>44.115952099770801</v>
      </c>
    </row>
    <row r="2030" spans="4:4" x14ac:dyDescent="0.25">
      <c r="D2030">
        <f t="shared" ca="1" si="44"/>
        <v>48.6328911757087</v>
      </c>
    </row>
    <row r="2031" spans="4:4" x14ac:dyDescent="0.25">
      <c r="D2031">
        <f t="shared" ca="1" si="44"/>
        <v>41.815508705417471</v>
      </c>
    </row>
    <row r="2032" spans="4:4" x14ac:dyDescent="0.25">
      <c r="D2032">
        <f t="shared" ca="1" si="44"/>
        <v>49.090535964653412</v>
      </c>
    </row>
    <row r="2033" spans="4:4" x14ac:dyDescent="0.25">
      <c r="D2033">
        <f t="shared" ca="1" si="44"/>
        <v>47.677925037806482</v>
      </c>
    </row>
    <row r="2034" spans="4:4" x14ac:dyDescent="0.25">
      <c r="D2034">
        <f t="shared" ca="1" si="44"/>
        <v>63.881069628925999</v>
      </c>
    </row>
    <row r="2035" spans="4:4" x14ac:dyDescent="0.25">
      <c r="D2035">
        <f t="shared" ca="1" si="44"/>
        <v>58.383256310391424</v>
      </c>
    </row>
    <row r="2036" spans="4:4" x14ac:dyDescent="0.25">
      <c r="D2036">
        <f t="shared" ca="1" si="44"/>
        <v>39.639022329706044</v>
      </c>
    </row>
    <row r="2037" spans="4:4" x14ac:dyDescent="0.25">
      <c r="D2037">
        <f t="shared" ca="1" si="44"/>
        <v>43.00634219437886</v>
      </c>
    </row>
    <row r="2038" spans="4:4" x14ac:dyDescent="0.25">
      <c r="D2038">
        <f t="shared" ca="1" si="44"/>
        <v>55.251748290969054</v>
      </c>
    </row>
    <row r="2039" spans="4:4" x14ac:dyDescent="0.25">
      <c r="D2039">
        <f t="shared" ca="1" si="44"/>
        <v>43.680724146532896</v>
      </c>
    </row>
    <row r="2040" spans="4:4" x14ac:dyDescent="0.25">
      <c r="D2040">
        <f t="shared" ca="1" si="44"/>
        <v>53.378507310740758</v>
      </c>
    </row>
    <row r="2041" spans="4:4" x14ac:dyDescent="0.25">
      <c r="D2041">
        <f t="shared" ca="1" si="44"/>
        <v>54.75551688731008</v>
      </c>
    </row>
    <row r="2042" spans="4:4" x14ac:dyDescent="0.25">
      <c r="D2042">
        <f t="shared" ca="1" si="44"/>
        <v>47.244703876510322</v>
      </c>
    </row>
    <row r="2043" spans="4:4" x14ac:dyDescent="0.25">
      <c r="D2043">
        <f t="shared" ca="1" si="44"/>
        <v>52.885663819721017</v>
      </c>
    </row>
    <row r="2044" spans="4:4" x14ac:dyDescent="0.25">
      <c r="D2044">
        <f t="shared" ca="1" si="44"/>
        <v>48.492937591315901</v>
      </c>
    </row>
    <row r="2045" spans="4:4" x14ac:dyDescent="0.25">
      <c r="D2045">
        <f t="shared" ca="1" si="44"/>
        <v>48.337127618232728</v>
      </c>
    </row>
    <row r="2046" spans="4:4" x14ac:dyDescent="0.25">
      <c r="D2046">
        <f t="shared" ca="1" si="44"/>
        <v>54.629450658311534</v>
      </c>
    </row>
    <row r="2047" spans="4:4" x14ac:dyDescent="0.25">
      <c r="D2047">
        <f t="shared" ca="1" si="44"/>
        <v>55.923689390814737</v>
      </c>
    </row>
    <row r="2048" spans="4:4" x14ac:dyDescent="0.25">
      <c r="D2048">
        <f t="shared" ca="1" si="44"/>
        <v>51.145896829834712</v>
      </c>
    </row>
    <row r="2049" spans="4:4" x14ac:dyDescent="0.25">
      <c r="D2049">
        <f t="shared" ca="1" si="44"/>
        <v>52.734610699901239</v>
      </c>
    </row>
    <row r="2050" spans="4:4" x14ac:dyDescent="0.25">
      <c r="D2050">
        <f t="shared" ca="1" si="44"/>
        <v>46.219628706671905</v>
      </c>
    </row>
    <row r="2051" spans="4:4" x14ac:dyDescent="0.25">
      <c r="D2051">
        <f t="shared" ref="D2051:D2114" ca="1" si="45">_xlfn.T.INV(RAND(),25)*$G$3+$F$3</f>
        <v>55.201530284784553</v>
      </c>
    </row>
    <row r="2052" spans="4:4" x14ac:dyDescent="0.25">
      <c r="D2052">
        <f t="shared" ca="1" si="45"/>
        <v>51.357148296242102</v>
      </c>
    </row>
    <row r="2053" spans="4:4" x14ac:dyDescent="0.25">
      <c r="D2053">
        <f t="shared" ca="1" si="45"/>
        <v>54.43420252153819</v>
      </c>
    </row>
    <row r="2054" spans="4:4" x14ac:dyDescent="0.25">
      <c r="D2054">
        <f t="shared" ca="1" si="45"/>
        <v>47.843097442588899</v>
      </c>
    </row>
    <row r="2055" spans="4:4" x14ac:dyDescent="0.25">
      <c r="D2055">
        <f t="shared" ca="1" si="45"/>
        <v>55.966386442535068</v>
      </c>
    </row>
    <row r="2056" spans="4:4" x14ac:dyDescent="0.25">
      <c r="D2056">
        <f t="shared" ca="1" si="45"/>
        <v>49.63050556862153</v>
      </c>
    </row>
    <row r="2057" spans="4:4" x14ac:dyDescent="0.25">
      <c r="D2057">
        <f t="shared" ca="1" si="45"/>
        <v>52.781614210373661</v>
      </c>
    </row>
    <row r="2058" spans="4:4" x14ac:dyDescent="0.25">
      <c r="D2058">
        <f t="shared" ca="1" si="45"/>
        <v>45.531222461558777</v>
      </c>
    </row>
    <row r="2059" spans="4:4" x14ac:dyDescent="0.25">
      <c r="D2059">
        <f t="shared" ca="1" si="45"/>
        <v>55.251401492716361</v>
      </c>
    </row>
    <row r="2060" spans="4:4" x14ac:dyDescent="0.25">
      <c r="D2060">
        <f t="shared" ca="1" si="45"/>
        <v>53.470897417115445</v>
      </c>
    </row>
    <row r="2061" spans="4:4" x14ac:dyDescent="0.25">
      <c r="D2061">
        <f t="shared" ca="1" si="45"/>
        <v>52.770113114811181</v>
      </c>
    </row>
    <row r="2062" spans="4:4" x14ac:dyDescent="0.25">
      <c r="D2062">
        <f t="shared" ca="1" si="45"/>
        <v>45.819333032990251</v>
      </c>
    </row>
    <row r="2063" spans="4:4" x14ac:dyDescent="0.25">
      <c r="D2063">
        <f t="shared" ca="1" si="45"/>
        <v>56.682123726047337</v>
      </c>
    </row>
    <row r="2064" spans="4:4" x14ac:dyDescent="0.25">
      <c r="D2064">
        <f t="shared" ca="1" si="45"/>
        <v>63.052506057302843</v>
      </c>
    </row>
    <row r="2065" spans="4:4" x14ac:dyDescent="0.25">
      <c r="D2065">
        <f t="shared" ca="1" si="45"/>
        <v>53.150583489195427</v>
      </c>
    </row>
    <row r="2066" spans="4:4" x14ac:dyDescent="0.25">
      <c r="D2066">
        <f t="shared" ca="1" si="45"/>
        <v>48.707031785058604</v>
      </c>
    </row>
    <row r="2067" spans="4:4" x14ac:dyDescent="0.25">
      <c r="D2067">
        <f t="shared" ca="1" si="45"/>
        <v>46.653515423273468</v>
      </c>
    </row>
    <row r="2068" spans="4:4" x14ac:dyDescent="0.25">
      <c r="D2068">
        <f t="shared" ca="1" si="45"/>
        <v>53.531914103568795</v>
      </c>
    </row>
    <row r="2069" spans="4:4" x14ac:dyDescent="0.25">
      <c r="D2069">
        <f t="shared" ca="1" si="45"/>
        <v>52.344497726801293</v>
      </c>
    </row>
    <row r="2070" spans="4:4" x14ac:dyDescent="0.25">
      <c r="D2070">
        <f t="shared" ca="1" si="45"/>
        <v>48.293533810615074</v>
      </c>
    </row>
    <row r="2071" spans="4:4" x14ac:dyDescent="0.25">
      <c r="D2071">
        <f t="shared" ca="1" si="45"/>
        <v>45.290396658010742</v>
      </c>
    </row>
    <row r="2072" spans="4:4" x14ac:dyDescent="0.25">
      <c r="D2072">
        <f t="shared" ca="1" si="45"/>
        <v>45.661229044823585</v>
      </c>
    </row>
    <row r="2073" spans="4:4" x14ac:dyDescent="0.25">
      <c r="D2073">
        <f t="shared" ca="1" si="45"/>
        <v>44.564437182706214</v>
      </c>
    </row>
    <row r="2074" spans="4:4" x14ac:dyDescent="0.25">
      <c r="D2074">
        <f t="shared" ca="1" si="45"/>
        <v>51.601995050673928</v>
      </c>
    </row>
    <row r="2075" spans="4:4" x14ac:dyDescent="0.25">
      <c r="D2075">
        <f t="shared" ca="1" si="45"/>
        <v>47.090389126552559</v>
      </c>
    </row>
    <row r="2076" spans="4:4" x14ac:dyDescent="0.25">
      <c r="D2076">
        <f t="shared" ca="1" si="45"/>
        <v>54.175383451612625</v>
      </c>
    </row>
    <row r="2077" spans="4:4" x14ac:dyDescent="0.25">
      <c r="D2077">
        <f t="shared" ca="1" si="45"/>
        <v>52.919337148753606</v>
      </c>
    </row>
    <row r="2078" spans="4:4" x14ac:dyDescent="0.25">
      <c r="D2078">
        <f t="shared" ca="1" si="45"/>
        <v>51.060460143800491</v>
      </c>
    </row>
    <row r="2079" spans="4:4" x14ac:dyDescent="0.25">
      <c r="D2079">
        <f t="shared" ca="1" si="45"/>
        <v>49.232881509125946</v>
      </c>
    </row>
    <row r="2080" spans="4:4" x14ac:dyDescent="0.25">
      <c r="D2080">
        <f t="shared" ca="1" si="45"/>
        <v>39.133538351193387</v>
      </c>
    </row>
    <row r="2081" spans="4:4" x14ac:dyDescent="0.25">
      <c r="D2081">
        <f t="shared" ca="1" si="45"/>
        <v>52.969677003149677</v>
      </c>
    </row>
    <row r="2082" spans="4:4" x14ac:dyDescent="0.25">
      <c r="D2082">
        <f t="shared" ca="1" si="45"/>
        <v>50.75371075029792</v>
      </c>
    </row>
    <row r="2083" spans="4:4" x14ac:dyDescent="0.25">
      <c r="D2083">
        <f t="shared" ca="1" si="45"/>
        <v>57.535522069354258</v>
      </c>
    </row>
    <row r="2084" spans="4:4" x14ac:dyDescent="0.25">
      <c r="D2084">
        <f t="shared" ca="1" si="45"/>
        <v>53.88843481720734</v>
      </c>
    </row>
    <row r="2085" spans="4:4" x14ac:dyDescent="0.25">
      <c r="D2085">
        <f t="shared" ca="1" si="45"/>
        <v>50.00820101505775</v>
      </c>
    </row>
    <row r="2086" spans="4:4" x14ac:dyDescent="0.25">
      <c r="D2086">
        <f t="shared" ca="1" si="45"/>
        <v>49.39276577199319</v>
      </c>
    </row>
    <row r="2087" spans="4:4" x14ac:dyDescent="0.25">
      <c r="D2087">
        <f t="shared" ca="1" si="45"/>
        <v>60.002611464065112</v>
      </c>
    </row>
    <row r="2088" spans="4:4" x14ac:dyDescent="0.25">
      <c r="D2088">
        <f t="shared" ca="1" si="45"/>
        <v>49.179928833538376</v>
      </c>
    </row>
    <row r="2089" spans="4:4" x14ac:dyDescent="0.25">
      <c r="D2089">
        <f t="shared" ca="1" si="45"/>
        <v>47.924447224831368</v>
      </c>
    </row>
    <row r="2090" spans="4:4" x14ac:dyDescent="0.25">
      <c r="D2090">
        <f t="shared" ca="1" si="45"/>
        <v>51.006599010264019</v>
      </c>
    </row>
    <row r="2091" spans="4:4" x14ac:dyDescent="0.25">
      <c r="D2091">
        <f t="shared" ca="1" si="45"/>
        <v>44.606590752029156</v>
      </c>
    </row>
    <row r="2092" spans="4:4" x14ac:dyDescent="0.25">
      <c r="D2092">
        <f t="shared" ca="1" si="45"/>
        <v>49.706204383329265</v>
      </c>
    </row>
    <row r="2093" spans="4:4" x14ac:dyDescent="0.25">
      <c r="D2093">
        <f t="shared" ca="1" si="45"/>
        <v>49.954358991093841</v>
      </c>
    </row>
    <row r="2094" spans="4:4" x14ac:dyDescent="0.25">
      <c r="D2094">
        <f t="shared" ca="1" si="45"/>
        <v>53.857332238732447</v>
      </c>
    </row>
    <row r="2095" spans="4:4" x14ac:dyDescent="0.25">
      <c r="D2095">
        <f t="shared" ca="1" si="45"/>
        <v>40.618844680086745</v>
      </c>
    </row>
    <row r="2096" spans="4:4" x14ac:dyDescent="0.25">
      <c r="D2096">
        <f t="shared" ca="1" si="45"/>
        <v>51.095736295086915</v>
      </c>
    </row>
    <row r="2097" spans="4:4" x14ac:dyDescent="0.25">
      <c r="D2097">
        <f t="shared" ca="1" si="45"/>
        <v>51.079620068236999</v>
      </c>
    </row>
    <row r="2098" spans="4:4" x14ac:dyDescent="0.25">
      <c r="D2098">
        <f t="shared" ca="1" si="45"/>
        <v>59.292533389472808</v>
      </c>
    </row>
    <row r="2099" spans="4:4" x14ac:dyDescent="0.25">
      <c r="D2099">
        <f t="shared" ca="1" si="45"/>
        <v>49.128854079541014</v>
      </c>
    </row>
    <row r="2100" spans="4:4" x14ac:dyDescent="0.25">
      <c r="D2100">
        <f t="shared" ca="1" si="45"/>
        <v>48.034867657937042</v>
      </c>
    </row>
    <row r="2101" spans="4:4" x14ac:dyDescent="0.25">
      <c r="D2101">
        <f t="shared" ca="1" si="45"/>
        <v>49.76440770914899</v>
      </c>
    </row>
    <row r="2102" spans="4:4" x14ac:dyDescent="0.25">
      <c r="D2102">
        <f t="shared" ca="1" si="45"/>
        <v>47.900555567161959</v>
      </c>
    </row>
    <row r="2103" spans="4:4" x14ac:dyDescent="0.25">
      <c r="D2103">
        <f t="shared" ca="1" si="45"/>
        <v>49.501744050324291</v>
      </c>
    </row>
    <row r="2104" spans="4:4" x14ac:dyDescent="0.25">
      <c r="D2104">
        <f t="shared" ca="1" si="45"/>
        <v>43.586219207561669</v>
      </c>
    </row>
    <row r="2105" spans="4:4" x14ac:dyDescent="0.25">
      <c r="D2105">
        <f t="shared" ca="1" si="45"/>
        <v>48.357900453627835</v>
      </c>
    </row>
    <row r="2106" spans="4:4" x14ac:dyDescent="0.25">
      <c r="D2106">
        <f t="shared" ca="1" si="45"/>
        <v>47.798087497786369</v>
      </c>
    </row>
    <row r="2107" spans="4:4" x14ac:dyDescent="0.25">
      <c r="D2107">
        <f t="shared" ca="1" si="45"/>
        <v>49.535112419932666</v>
      </c>
    </row>
    <row r="2108" spans="4:4" x14ac:dyDescent="0.25">
      <c r="D2108">
        <f t="shared" ca="1" si="45"/>
        <v>39.781181379967819</v>
      </c>
    </row>
    <row r="2109" spans="4:4" x14ac:dyDescent="0.25">
      <c r="D2109">
        <f t="shared" ca="1" si="45"/>
        <v>41.042020133353077</v>
      </c>
    </row>
    <row r="2110" spans="4:4" x14ac:dyDescent="0.25">
      <c r="D2110">
        <f t="shared" ca="1" si="45"/>
        <v>55.126170241438054</v>
      </c>
    </row>
    <row r="2111" spans="4:4" x14ac:dyDescent="0.25">
      <c r="D2111">
        <f t="shared" ca="1" si="45"/>
        <v>54.563313838134924</v>
      </c>
    </row>
    <row r="2112" spans="4:4" x14ac:dyDescent="0.25">
      <c r="D2112">
        <f t="shared" ca="1" si="45"/>
        <v>57.797390726210054</v>
      </c>
    </row>
    <row r="2113" spans="4:4" x14ac:dyDescent="0.25">
      <c r="D2113">
        <f t="shared" ca="1" si="45"/>
        <v>53.742344581434864</v>
      </c>
    </row>
    <row r="2114" spans="4:4" x14ac:dyDescent="0.25">
      <c r="D2114">
        <f t="shared" ca="1" si="45"/>
        <v>42.249946339526517</v>
      </c>
    </row>
    <row r="2115" spans="4:4" x14ac:dyDescent="0.25">
      <c r="D2115">
        <f t="shared" ref="D2115:D2178" ca="1" si="46">_xlfn.T.INV(RAND(),25)*$G$3+$F$3</f>
        <v>44.242540330485518</v>
      </c>
    </row>
    <row r="2116" spans="4:4" x14ac:dyDescent="0.25">
      <c r="D2116">
        <f t="shared" ca="1" si="46"/>
        <v>50.892312561247373</v>
      </c>
    </row>
    <row r="2117" spans="4:4" x14ac:dyDescent="0.25">
      <c r="D2117">
        <f t="shared" ca="1" si="46"/>
        <v>45.247972471424937</v>
      </c>
    </row>
    <row r="2118" spans="4:4" x14ac:dyDescent="0.25">
      <c r="D2118">
        <f t="shared" ca="1" si="46"/>
        <v>49.752007953418506</v>
      </c>
    </row>
    <row r="2119" spans="4:4" x14ac:dyDescent="0.25">
      <c r="D2119">
        <f t="shared" ca="1" si="46"/>
        <v>49.573623582908169</v>
      </c>
    </row>
    <row r="2120" spans="4:4" x14ac:dyDescent="0.25">
      <c r="D2120">
        <f t="shared" ca="1" si="46"/>
        <v>51.006978958728254</v>
      </c>
    </row>
    <row r="2121" spans="4:4" x14ac:dyDescent="0.25">
      <c r="D2121">
        <f t="shared" ca="1" si="46"/>
        <v>46.353491571749473</v>
      </c>
    </row>
    <row r="2122" spans="4:4" x14ac:dyDescent="0.25">
      <c r="D2122">
        <f t="shared" ca="1" si="46"/>
        <v>48.877718695861645</v>
      </c>
    </row>
    <row r="2123" spans="4:4" x14ac:dyDescent="0.25">
      <c r="D2123">
        <f t="shared" ca="1" si="46"/>
        <v>37.093185716888321</v>
      </c>
    </row>
    <row r="2124" spans="4:4" x14ac:dyDescent="0.25">
      <c r="D2124">
        <f t="shared" ca="1" si="46"/>
        <v>49.515951877960923</v>
      </c>
    </row>
    <row r="2125" spans="4:4" x14ac:dyDescent="0.25">
      <c r="D2125">
        <f t="shared" ca="1" si="46"/>
        <v>39.199124498611901</v>
      </c>
    </row>
    <row r="2126" spans="4:4" x14ac:dyDescent="0.25">
      <c r="D2126">
        <f t="shared" ca="1" si="46"/>
        <v>40.680732261489553</v>
      </c>
    </row>
    <row r="2127" spans="4:4" x14ac:dyDescent="0.25">
      <c r="D2127">
        <f t="shared" ca="1" si="46"/>
        <v>46.85087628638405</v>
      </c>
    </row>
    <row r="2128" spans="4:4" x14ac:dyDescent="0.25">
      <c r="D2128">
        <f t="shared" ca="1" si="46"/>
        <v>48.901003775768345</v>
      </c>
    </row>
    <row r="2129" spans="4:4" x14ac:dyDescent="0.25">
      <c r="D2129">
        <f t="shared" ca="1" si="46"/>
        <v>46.021641478052437</v>
      </c>
    </row>
    <row r="2130" spans="4:4" x14ac:dyDescent="0.25">
      <c r="D2130">
        <f t="shared" ca="1" si="46"/>
        <v>46.509438240475987</v>
      </c>
    </row>
    <row r="2131" spans="4:4" x14ac:dyDescent="0.25">
      <c r="D2131">
        <f t="shared" ca="1" si="46"/>
        <v>51.016648515664002</v>
      </c>
    </row>
    <row r="2132" spans="4:4" x14ac:dyDescent="0.25">
      <c r="D2132">
        <f t="shared" ca="1" si="46"/>
        <v>47.276447151155736</v>
      </c>
    </row>
    <row r="2133" spans="4:4" x14ac:dyDescent="0.25">
      <c r="D2133">
        <f t="shared" ca="1" si="46"/>
        <v>42.175028036557251</v>
      </c>
    </row>
    <row r="2134" spans="4:4" x14ac:dyDescent="0.25">
      <c r="D2134">
        <f t="shared" ca="1" si="46"/>
        <v>44.879667913945248</v>
      </c>
    </row>
    <row r="2135" spans="4:4" x14ac:dyDescent="0.25">
      <c r="D2135">
        <f t="shared" ca="1" si="46"/>
        <v>53.464356043352311</v>
      </c>
    </row>
    <row r="2136" spans="4:4" x14ac:dyDescent="0.25">
      <c r="D2136">
        <f t="shared" ca="1" si="46"/>
        <v>43.356311434488184</v>
      </c>
    </row>
    <row r="2137" spans="4:4" x14ac:dyDescent="0.25">
      <c r="D2137">
        <f t="shared" ca="1" si="46"/>
        <v>54.110916093190717</v>
      </c>
    </row>
    <row r="2138" spans="4:4" x14ac:dyDescent="0.25">
      <c r="D2138">
        <f t="shared" ca="1" si="46"/>
        <v>57.568267433044134</v>
      </c>
    </row>
    <row r="2139" spans="4:4" x14ac:dyDescent="0.25">
      <c r="D2139">
        <f t="shared" ca="1" si="46"/>
        <v>41.380640627825045</v>
      </c>
    </row>
    <row r="2140" spans="4:4" x14ac:dyDescent="0.25">
      <c r="D2140">
        <f t="shared" ca="1" si="46"/>
        <v>48.655825714536277</v>
      </c>
    </row>
    <row r="2141" spans="4:4" x14ac:dyDescent="0.25">
      <c r="D2141">
        <f t="shared" ca="1" si="46"/>
        <v>47.811550752675714</v>
      </c>
    </row>
    <row r="2142" spans="4:4" x14ac:dyDescent="0.25">
      <c r="D2142">
        <f t="shared" ca="1" si="46"/>
        <v>50.79688379242689</v>
      </c>
    </row>
    <row r="2143" spans="4:4" x14ac:dyDescent="0.25">
      <c r="D2143">
        <f t="shared" ca="1" si="46"/>
        <v>46.380892675307045</v>
      </c>
    </row>
    <row r="2144" spans="4:4" x14ac:dyDescent="0.25">
      <c r="D2144">
        <f t="shared" ca="1" si="46"/>
        <v>48.60830165458362</v>
      </c>
    </row>
    <row r="2145" spans="4:4" x14ac:dyDescent="0.25">
      <c r="D2145">
        <f t="shared" ca="1" si="46"/>
        <v>46.973166516929581</v>
      </c>
    </row>
    <row r="2146" spans="4:4" x14ac:dyDescent="0.25">
      <c r="D2146">
        <f t="shared" ca="1" si="46"/>
        <v>59.121916584468138</v>
      </c>
    </row>
    <row r="2147" spans="4:4" x14ac:dyDescent="0.25">
      <c r="D2147">
        <f t="shared" ca="1" si="46"/>
        <v>49.960931398192074</v>
      </c>
    </row>
    <row r="2148" spans="4:4" x14ac:dyDescent="0.25">
      <c r="D2148">
        <f t="shared" ca="1" si="46"/>
        <v>56.448990339384359</v>
      </c>
    </row>
    <row r="2149" spans="4:4" x14ac:dyDescent="0.25">
      <c r="D2149">
        <f t="shared" ca="1" si="46"/>
        <v>51.527009132899373</v>
      </c>
    </row>
    <row r="2150" spans="4:4" x14ac:dyDescent="0.25">
      <c r="D2150">
        <f t="shared" ca="1" si="46"/>
        <v>49.229940549339375</v>
      </c>
    </row>
    <row r="2151" spans="4:4" x14ac:dyDescent="0.25">
      <c r="D2151">
        <f t="shared" ca="1" si="46"/>
        <v>45.322178972208796</v>
      </c>
    </row>
    <row r="2152" spans="4:4" x14ac:dyDescent="0.25">
      <c r="D2152">
        <f t="shared" ca="1" si="46"/>
        <v>57.508804393692174</v>
      </c>
    </row>
    <row r="2153" spans="4:4" x14ac:dyDescent="0.25">
      <c r="D2153">
        <f t="shared" ca="1" si="46"/>
        <v>46.668221339315892</v>
      </c>
    </row>
    <row r="2154" spans="4:4" x14ac:dyDescent="0.25">
      <c r="D2154">
        <f t="shared" ca="1" si="46"/>
        <v>47.778941786526758</v>
      </c>
    </row>
    <row r="2155" spans="4:4" x14ac:dyDescent="0.25">
      <c r="D2155">
        <f t="shared" ca="1" si="46"/>
        <v>51.812570068684671</v>
      </c>
    </row>
    <row r="2156" spans="4:4" x14ac:dyDescent="0.25">
      <c r="D2156">
        <f t="shared" ca="1" si="46"/>
        <v>38.351599274433561</v>
      </c>
    </row>
    <row r="2157" spans="4:4" x14ac:dyDescent="0.25">
      <c r="D2157">
        <f t="shared" ca="1" si="46"/>
        <v>44.973622705733604</v>
      </c>
    </row>
    <row r="2158" spans="4:4" x14ac:dyDescent="0.25">
      <c r="D2158">
        <f t="shared" ca="1" si="46"/>
        <v>51.077622416925273</v>
      </c>
    </row>
    <row r="2159" spans="4:4" x14ac:dyDescent="0.25">
      <c r="D2159">
        <f t="shared" ca="1" si="46"/>
        <v>53.764815517706197</v>
      </c>
    </row>
    <row r="2160" spans="4:4" x14ac:dyDescent="0.25">
      <c r="D2160">
        <f t="shared" ca="1" si="46"/>
        <v>47.641528421175884</v>
      </c>
    </row>
    <row r="2161" spans="4:4" x14ac:dyDescent="0.25">
      <c r="D2161">
        <f t="shared" ca="1" si="46"/>
        <v>49.001130687043656</v>
      </c>
    </row>
    <row r="2162" spans="4:4" x14ac:dyDescent="0.25">
      <c r="D2162">
        <f t="shared" ca="1" si="46"/>
        <v>45.841990594095769</v>
      </c>
    </row>
    <row r="2163" spans="4:4" x14ac:dyDescent="0.25">
      <c r="D2163">
        <f t="shared" ca="1" si="46"/>
        <v>51.33225085874308</v>
      </c>
    </row>
    <row r="2164" spans="4:4" x14ac:dyDescent="0.25">
      <c r="D2164">
        <f t="shared" ca="1" si="46"/>
        <v>47.420713098935565</v>
      </c>
    </row>
    <row r="2165" spans="4:4" x14ac:dyDescent="0.25">
      <c r="D2165">
        <f t="shared" ca="1" si="46"/>
        <v>57.876933057282713</v>
      </c>
    </row>
    <row r="2166" spans="4:4" x14ac:dyDescent="0.25">
      <c r="D2166">
        <f t="shared" ca="1" si="46"/>
        <v>47.470671547962446</v>
      </c>
    </row>
    <row r="2167" spans="4:4" x14ac:dyDescent="0.25">
      <c r="D2167">
        <f t="shared" ca="1" si="46"/>
        <v>44.973874569674095</v>
      </c>
    </row>
    <row r="2168" spans="4:4" x14ac:dyDescent="0.25">
      <c r="D2168">
        <f t="shared" ca="1" si="46"/>
        <v>49.275596213349601</v>
      </c>
    </row>
    <row r="2169" spans="4:4" x14ac:dyDescent="0.25">
      <c r="D2169">
        <f t="shared" ca="1" si="46"/>
        <v>50.411683224428756</v>
      </c>
    </row>
    <row r="2170" spans="4:4" x14ac:dyDescent="0.25">
      <c r="D2170">
        <f t="shared" ca="1" si="46"/>
        <v>48.038277923718276</v>
      </c>
    </row>
    <row r="2171" spans="4:4" x14ac:dyDescent="0.25">
      <c r="D2171">
        <f t="shared" ca="1" si="46"/>
        <v>50.939176258668354</v>
      </c>
    </row>
    <row r="2172" spans="4:4" x14ac:dyDescent="0.25">
      <c r="D2172">
        <f t="shared" ca="1" si="46"/>
        <v>44.571862853724014</v>
      </c>
    </row>
    <row r="2173" spans="4:4" x14ac:dyDescent="0.25">
      <c r="D2173">
        <f t="shared" ca="1" si="46"/>
        <v>49.817810457878124</v>
      </c>
    </row>
    <row r="2174" spans="4:4" x14ac:dyDescent="0.25">
      <c r="D2174">
        <f t="shared" ca="1" si="46"/>
        <v>46.345109210675801</v>
      </c>
    </row>
    <row r="2175" spans="4:4" x14ac:dyDescent="0.25">
      <c r="D2175">
        <f t="shared" ca="1" si="46"/>
        <v>48.258450667112484</v>
      </c>
    </row>
    <row r="2176" spans="4:4" x14ac:dyDescent="0.25">
      <c r="D2176">
        <f t="shared" ca="1" si="46"/>
        <v>49.698866446025022</v>
      </c>
    </row>
    <row r="2177" spans="4:4" x14ac:dyDescent="0.25">
      <c r="D2177">
        <f t="shared" ca="1" si="46"/>
        <v>53.746697236993541</v>
      </c>
    </row>
    <row r="2178" spans="4:4" x14ac:dyDescent="0.25">
      <c r="D2178">
        <f t="shared" ca="1" si="46"/>
        <v>40.635158772762992</v>
      </c>
    </row>
    <row r="2179" spans="4:4" x14ac:dyDescent="0.25">
      <c r="D2179">
        <f t="shared" ref="D2179:D2242" ca="1" si="47">_xlfn.T.INV(RAND(),25)*$G$3+$F$3</f>
        <v>42.730796138304129</v>
      </c>
    </row>
    <row r="2180" spans="4:4" x14ac:dyDescent="0.25">
      <c r="D2180">
        <f t="shared" ca="1" si="47"/>
        <v>46.46814341604432</v>
      </c>
    </row>
    <row r="2181" spans="4:4" x14ac:dyDescent="0.25">
      <c r="D2181">
        <f t="shared" ca="1" si="47"/>
        <v>42.13129986303673</v>
      </c>
    </row>
    <row r="2182" spans="4:4" x14ac:dyDescent="0.25">
      <c r="D2182">
        <f t="shared" ca="1" si="47"/>
        <v>43.789079434079213</v>
      </c>
    </row>
    <row r="2183" spans="4:4" x14ac:dyDescent="0.25">
      <c r="D2183">
        <f t="shared" ca="1" si="47"/>
        <v>44.545830809483085</v>
      </c>
    </row>
    <row r="2184" spans="4:4" x14ac:dyDescent="0.25">
      <c r="D2184">
        <f t="shared" ca="1" si="47"/>
        <v>45.456359504261279</v>
      </c>
    </row>
    <row r="2185" spans="4:4" x14ac:dyDescent="0.25">
      <c r="D2185">
        <f t="shared" ca="1" si="47"/>
        <v>52.146369412962841</v>
      </c>
    </row>
    <row r="2186" spans="4:4" x14ac:dyDescent="0.25">
      <c r="D2186">
        <f t="shared" ca="1" si="47"/>
        <v>47.283915067306111</v>
      </c>
    </row>
    <row r="2187" spans="4:4" x14ac:dyDescent="0.25">
      <c r="D2187">
        <f t="shared" ca="1" si="47"/>
        <v>50.058170583617979</v>
      </c>
    </row>
    <row r="2188" spans="4:4" x14ac:dyDescent="0.25">
      <c r="D2188">
        <f t="shared" ca="1" si="47"/>
        <v>43.240890734898102</v>
      </c>
    </row>
    <row r="2189" spans="4:4" x14ac:dyDescent="0.25">
      <c r="D2189">
        <f t="shared" ca="1" si="47"/>
        <v>48.563287282025804</v>
      </c>
    </row>
    <row r="2190" spans="4:4" x14ac:dyDescent="0.25">
      <c r="D2190">
        <f t="shared" ca="1" si="47"/>
        <v>42.585110093917208</v>
      </c>
    </row>
    <row r="2191" spans="4:4" x14ac:dyDescent="0.25">
      <c r="D2191">
        <f t="shared" ca="1" si="47"/>
        <v>42.165727731551669</v>
      </c>
    </row>
    <row r="2192" spans="4:4" x14ac:dyDescent="0.25">
      <c r="D2192">
        <f t="shared" ca="1" si="47"/>
        <v>56.601902320743591</v>
      </c>
    </row>
    <row r="2193" spans="4:4" x14ac:dyDescent="0.25">
      <c r="D2193">
        <f t="shared" ca="1" si="47"/>
        <v>55.094547447170278</v>
      </c>
    </row>
    <row r="2194" spans="4:4" x14ac:dyDescent="0.25">
      <c r="D2194">
        <f t="shared" ca="1" si="47"/>
        <v>43.821555383122451</v>
      </c>
    </row>
    <row r="2195" spans="4:4" x14ac:dyDescent="0.25">
      <c r="D2195">
        <f t="shared" ca="1" si="47"/>
        <v>45.741045100569323</v>
      </c>
    </row>
    <row r="2196" spans="4:4" x14ac:dyDescent="0.25">
      <c r="D2196">
        <f t="shared" ca="1" si="47"/>
        <v>50.040287843395447</v>
      </c>
    </row>
    <row r="2197" spans="4:4" x14ac:dyDescent="0.25">
      <c r="D2197">
        <f t="shared" ca="1" si="47"/>
        <v>48.326920274049641</v>
      </c>
    </row>
    <row r="2198" spans="4:4" x14ac:dyDescent="0.25">
      <c r="D2198">
        <f t="shared" ca="1" si="47"/>
        <v>49.649019402435499</v>
      </c>
    </row>
    <row r="2199" spans="4:4" x14ac:dyDescent="0.25">
      <c r="D2199">
        <f t="shared" ca="1" si="47"/>
        <v>49.334518135612157</v>
      </c>
    </row>
    <row r="2200" spans="4:4" x14ac:dyDescent="0.25">
      <c r="D2200">
        <f t="shared" ca="1" si="47"/>
        <v>50.316180532398867</v>
      </c>
    </row>
    <row r="2201" spans="4:4" x14ac:dyDescent="0.25">
      <c r="D2201">
        <f t="shared" ca="1" si="47"/>
        <v>51.848376486235729</v>
      </c>
    </row>
    <row r="2202" spans="4:4" x14ac:dyDescent="0.25">
      <c r="D2202">
        <f t="shared" ca="1" si="47"/>
        <v>48.01819505349944</v>
      </c>
    </row>
    <row r="2203" spans="4:4" x14ac:dyDescent="0.25">
      <c r="D2203">
        <f t="shared" ca="1" si="47"/>
        <v>49.480436598642243</v>
      </c>
    </row>
    <row r="2204" spans="4:4" x14ac:dyDescent="0.25">
      <c r="D2204">
        <f t="shared" ca="1" si="47"/>
        <v>45.113731508062052</v>
      </c>
    </row>
    <row r="2205" spans="4:4" x14ac:dyDescent="0.25">
      <c r="D2205">
        <f t="shared" ca="1" si="47"/>
        <v>39.688889310137839</v>
      </c>
    </row>
    <row r="2206" spans="4:4" x14ac:dyDescent="0.25">
      <c r="D2206">
        <f t="shared" ca="1" si="47"/>
        <v>41.176966238270083</v>
      </c>
    </row>
    <row r="2207" spans="4:4" x14ac:dyDescent="0.25">
      <c r="D2207">
        <f t="shared" ca="1" si="47"/>
        <v>49.637646791724421</v>
      </c>
    </row>
    <row r="2208" spans="4:4" x14ac:dyDescent="0.25">
      <c r="D2208">
        <f t="shared" ca="1" si="47"/>
        <v>49.160288100141891</v>
      </c>
    </row>
    <row r="2209" spans="4:4" x14ac:dyDescent="0.25">
      <c r="D2209">
        <f t="shared" ca="1" si="47"/>
        <v>48.816988755136578</v>
      </c>
    </row>
    <row r="2210" spans="4:4" x14ac:dyDescent="0.25">
      <c r="D2210">
        <f t="shared" ca="1" si="47"/>
        <v>48.352698475336098</v>
      </c>
    </row>
    <row r="2211" spans="4:4" x14ac:dyDescent="0.25">
      <c r="D2211">
        <f t="shared" ca="1" si="47"/>
        <v>50.524540584768125</v>
      </c>
    </row>
    <row r="2212" spans="4:4" x14ac:dyDescent="0.25">
      <c r="D2212">
        <f t="shared" ca="1" si="47"/>
        <v>43.214508512001743</v>
      </c>
    </row>
    <row r="2213" spans="4:4" x14ac:dyDescent="0.25">
      <c r="D2213">
        <f t="shared" ca="1" si="47"/>
        <v>49.224112231401477</v>
      </c>
    </row>
    <row r="2214" spans="4:4" x14ac:dyDescent="0.25">
      <c r="D2214">
        <f t="shared" ca="1" si="47"/>
        <v>54.622895658405589</v>
      </c>
    </row>
    <row r="2215" spans="4:4" x14ac:dyDescent="0.25">
      <c r="D2215">
        <f t="shared" ca="1" si="47"/>
        <v>46.196710051238313</v>
      </c>
    </row>
    <row r="2216" spans="4:4" x14ac:dyDescent="0.25">
      <c r="D2216">
        <f t="shared" ca="1" si="47"/>
        <v>42.311046695691495</v>
      </c>
    </row>
    <row r="2217" spans="4:4" x14ac:dyDescent="0.25">
      <c r="D2217">
        <f t="shared" ca="1" si="47"/>
        <v>44.655613704685585</v>
      </c>
    </row>
    <row r="2218" spans="4:4" x14ac:dyDescent="0.25">
      <c r="D2218">
        <f t="shared" ca="1" si="47"/>
        <v>47.695976548178841</v>
      </c>
    </row>
    <row r="2219" spans="4:4" x14ac:dyDescent="0.25">
      <c r="D2219">
        <f t="shared" ca="1" si="47"/>
        <v>30.044519468363806</v>
      </c>
    </row>
    <row r="2220" spans="4:4" x14ac:dyDescent="0.25">
      <c r="D2220">
        <f t="shared" ca="1" si="47"/>
        <v>49.975186555303964</v>
      </c>
    </row>
    <row r="2221" spans="4:4" x14ac:dyDescent="0.25">
      <c r="D2221">
        <f t="shared" ca="1" si="47"/>
        <v>48.456433251959837</v>
      </c>
    </row>
    <row r="2222" spans="4:4" x14ac:dyDescent="0.25">
      <c r="D2222">
        <f t="shared" ca="1" si="47"/>
        <v>47.783064110821648</v>
      </c>
    </row>
    <row r="2223" spans="4:4" x14ac:dyDescent="0.25">
      <c r="D2223">
        <f t="shared" ca="1" si="47"/>
        <v>47.993187164894955</v>
      </c>
    </row>
    <row r="2224" spans="4:4" x14ac:dyDescent="0.25">
      <c r="D2224">
        <f t="shared" ca="1" si="47"/>
        <v>49.061016948360056</v>
      </c>
    </row>
    <row r="2225" spans="4:4" x14ac:dyDescent="0.25">
      <c r="D2225">
        <f t="shared" ca="1" si="47"/>
        <v>49.696225585761496</v>
      </c>
    </row>
    <row r="2226" spans="4:4" x14ac:dyDescent="0.25">
      <c r="D2226">
        <f t="shared" ca="1" si="47"/>
        <v>51.250902017903314</v>
      </c>
    </row>
    <row r="2227" spans="4:4" x14ac:dyDescent="0.25">
      <c r="D2227">
        <f t="shared" ca="1" si="47"/>
        <v>47.469685025397681</v>
      </c>
    </row>
    <row r="2228" spans="4:4" x14ac:dyDescent="0.25">
      <c r="D2228">
        <f t="shared" ca="1" si="47"/>
        <v>49.959614805294351</v>
      </c>
    </row>
    <row r="2229" spans="4:4" x14ac:dyDescent="0.25">
      <c r="D2229">
        <f t="shared" ca="1" si="47"/>
        <v>50.395700679437553</v>
      </c>
    </row>
    <row r="2230" spans="4:4" x14ac:dyDescent="0.25">
      <c r="D2230">
        <f t="shared" ca="1" si="47"/>
        <v>42.96989207510871</v>
      </c>
    </row>
    <row r="2231" spans="4:4" x14ac:dyDescent="0.25">
      <c r="D2231">
        <f t="shared" ca="1" si="47"/>
        <v>48.682466752067789</v>
      </c>
    </row>
    <row r="2232" spans="4:4" x14ac:dyDescent="0.25">
      <c r="D2232">
        <f t="shared" ca="1" si="47"/>
        <v>44.070488370342865</v>
      </c>
    </row>
    <row r="2233" spans="4:4" x14ac:dyDescent="0.25">
      <c r="D2233">
        <f t="shared" ca="1" si="47"/>
        <v>47.325159710323192</v>
      </c>
    </row>
    <row r="2234" spans="4:4" x14ac:dyDescent="0.25">
      <c r="D2234">
        <f t="shared" ca="1" si="47"/>
        <v>45.706552353397107</v>
      </c>
    </row>
    <row r="2235" spans="4:4" x14ac:dyDescent="0.25">
      <c r="D2235">
        <f t="shared" ca="1" si="47"/>
        <v>52.080953780347166</v>
      </c>
    </row>
    <row r="2236" spans="4:4" x14ac:dyDescent="0.25">
      <c r="D2236">
        <f t="shared" ca="1" si="47"/>
        <v>55.892556075856568</v>
      </c>
    </row>
    <row r="2237" spans="4:4" x14ac:dyDescent="0.25">
      <c r="D2237">
        <f t="shared" ca="1" si="47"/>
        <v>52.287868277461953</v>
      </c>
    </row>
    <row r="2238" spans="4:4" x14ac:dyDescent="0.25">
      <c r="D2238">
        <f t="shared" ca="1" si="47"/>
        <v>48.30948035832467</v>
      </c>
    </row>
    <row r="2239" spans="4:4" x14ac:dyDescent="0.25">
      <c r="D2239">
        <f t="shared" ca="1" si="47"/>
        <v>48.276667670416245</v>
      </c>
    </row>
    <row r="2240" spans="4:4" x14ac:dyDescent="0.25">
      <c r="D2240">
        <f t="shared" ca="1" si="47"/>
        <v>51.838100511909346</v>
      </c>
    </row>
    <row r="2241" spans="4:4" x14ac:dyDescent="0.25">
      <c r="D2241">
        <f t="shared" ca="1" si="47"/>
        <v>46.669435726013589</v>
      </c>
    </row>
    <row r="2242" spans="4:4" x14ac:dyDescent="0.25">
      <c r="D2242">
        <f t="shared" ca="1" si="47"/>
        <v>51.908010551543214</v>
      </c>
    </row>
    <row r="2243" spans="4:4" x14ac:dyDescent="0.25">
      <c r="D2243">
        <f t="shared" ref="D2243:D2306" ca="1" si="48">_xlfn.T.INV(RAND(),25)*$G$3+$F$3</f>
        <v>50.955467496135277</v>
      </c>
    </row>
    <row r="2244" spans="4:4" x14ac:dyDescent="0.25">
      <c r="D2244">
        <f t="shared" ca="1" si="48"/>
        <v>44.341019557273739</v>
      </c>
    </row>
    <row r="2245" spans="4:4" x14ac:dyDescent="0.25">
      <c r="D2245">
        <f t="shared" ca="1" si="48"/>
        <v>49.743152261574927</v>
      </c>
    </row>
    <row r="2246" spans="4:4" x14ac:dyDescent="0.25">
      <c r="D2246">
        <f t="shared" ca="1" si="48"/>
        <v>49.951008154172321</v>
      </c>
    </row>
    <row r="2247" spans="4:4" x14ac:dyDescent="0.25">
      <c r="D2247">
        <f t="shared" ca="1" si="48"/>
        <v>56.407504076426441</v>
      </c>
    </row>
    <row r="2248" spans="4:4" x14ac:dyDescent="0.25">
      <c r="D2248">
        <f t="shared" ca="1" si="48"/>
        <v>46.31322419943433</v>
      </c>
    </row>
    <row r="2249" spans="4:4" x14ac:dyDescent="0.25">
      <c r="D2249">
        <f t="shared" ca="1" si="48"/>
        <v>47.088432291202615</v>
      </c>
    </row>
    <row r="2250" spans="4:4" x14ac:dyDescent="0.25">
      <c r="D2250">
        <f t="shared" ca="1" si="48"/>
        <v>45.245247086849815</v>
      </c>
    </row>
    <row r="2251" spans="4:4" x14ac:dyDescent="0.25">
      <c r="D2251">
        <f t="shared" ca="1" si="48"/>
        <v>46.968700122938074</v>
      </c>
    </row>
    <row r="2252" spans="4:4" x14ac:dyDescent="0.25">
      <c r="D2252">
        <f t="shared" ca="1" si="48"/>
        <v>49.280791666485278</v>
      </c>
    </row>
    <row r="2253" spans="4:4" x14ac:dyDescent="0.25">
      <c r="D2253">
        <f t="shared" ca="1" si="48"/>
        <v>49.937450629416567</v>
      </c>
    </row>
    <row r="2254" spans="4:4" x14ac:dyDescent="0.25">
      <c r="D2254">
        <f t="shared" ca="1" si="48"/>
        <v>46.099072395897792</v>
      </c>
    </row>
    <row r="2255" spans="4:4" x14ac:dyDescent="0.25">
      <c r="D2255">
        <f t="shared" ca="1" si="48"/>
        <v>46.427134829675431</v>
      </c>
    </row>
    <row r="2256" spans="4:4" x14ac:dyDescent="0.25">
      <c r="D2256">
        <f t="shared" ca="1" si="48"/>
        <v>48.908349316594325</v>
      </c>
    </row>
    <row r="2257" spans="4:4" x14ac:dyDescent="0.25">
      <c r="D2257">
        <f t="shared" ca="1" si="48"/>
        <v>45.137028989344998</v>
      </c>
    </row>
    <row r="2258" spans="4:4" x14ac:dyDescent="0.25">
      <c r="D2258">
        <f t="shared" ca="1" si="48"/>
        <v>48.69024750286367</v>
      </c>
    </row>
    <row r="2259" spans="4:4" x14ac:dyDescent="0.25">
      <c r="D2259">
        <f t="shared" ca="1" si="48"/>
        <v>43.16886856177468</v>
      </c>
    </row>
    <row r="2260" spans="4:4" x14ac:dyDescent="0.25">
      <c r="D2260">
        <f t="shared" ca="1" si="48"/>
        <v>48.170119602357296</v>
      </c>
    </row>
    <row r="2261" spans="4:4" x14ac:dyDescent="0.25">
      <c r="D2261">
        <f t="shared" ca="1" si="48"/>
        <v>36.675011186492988</v>
      </c>
    </row>
    <row r="2262" spans="4:4" x14ac:dyDescent="0.25">
      <c r="D2262">
        <f t="shared" ca="1" si="48"/>
        <v>58.767514698439058</v>
      </c>
    </row>
    <row r="2263" spans="4:4" x14ac:dyDescent="0.25">
      <c r="D2263">
        <f t="shared" ca="1" si="48"/>
        <v>54.109326322536631</v>
      </c>
    </row>
    <row r="2264" spans="4:4" x14ac:dyDescent="0.25">
      <c r="D2264">
        <f t="shared" ca="1" si="48"/>
        <v>51.574856865498703</v>
      </c>
    </row>
    <row r="2265" spans="4:4" x14ac:dyDescent="0.25">
      <c r="D2265">
        <f t="shared" ca="1" si="48"/>
        <v>59.508029420950479</v>
      </c>
    </row>
    <row r="2266" spans="4:4" x14ac:dyDescent="0.25">
      <c r="D2266">
        <f t="shared" ca="1" si="48"/>
        <v>51.102668841259145</v>
      </c>
    </row>
    <row r="2267" spans="4:4" x14ac:dyDescent="0.25">
      <c r="D2267">
        <f t="shared" ca="1" si="48"/>
        <v>50.104063280506573</v>
      </c>
    </row>
    <row r="2268" spans="4:4" x14ac:dyDescent="0.25">
      <c r="D2268">
        <f t="shared" ca="1" si="48"/>
        <v>49.72082928761904</v>
      </c>
    </row>
    <row r="2269" spans="4:4" x14ac:dyDescent="0.25">
      <c r="D2269">
        <f t="shared" ca="1" si="48"/>
        <v>54.150567035166929</v>
      </c>
    </row>
    <row r="2270" spans="4:4" x14ac:dyDescent="0.25">
      <c r="D2270">
        <f t="shared" ca="1" si="48"/>
        <v>48.713419625948021</v>
      </c>
    </row>
    <row r="2271" spans="4:4" x14ac:dyDescent="0.25">
      <c r="D2271">
        <f t="shared" ca="1" si="48"/>
        <v>41.283143369813814</v>
      </c>
    </row>
    <row r="2272" spans="4:4" x14ac:dyDescent="0.25">
      <c r="D2272">
        <f t="shared" ca="1" si="48"/>
        <v>51.091405562509884</v>
      </c>
    </row>
    <row r="2273" spans="4:4" x14ac:dyDescent="0.25">
      <c r="D2273">
        <f t="shared" ca="1" si="48"/>
        <v>52.975992848626802</v>
      </c>
    </row>
    <row r="2274" spans="4:4" x14ac:dyDescent="0.25">
      <c r="D2274">
        <f t="shared" ca="1" si="48"/>
        <v>62.857674099517688</v>
      </c>
    </row>
    <row r="2275" spans="4:4" x14ac:dyDescent="0.25">
      <c r="D2275">
        <f t="shared" ca="1" si="48"/>
        <v>47.260539520369022</v>
      </c>
    </row>
    <row r="2276" spans="4:4" x14ac:dyDescent="0.25">
      <c r="D2276">
        <f t="shared" ca="1" si="48"/>
        <v>49.298036930194051</v>
      </c>
    </row>
    <row r="2277" spans="4:4" x14ac:dyDescent="0.25">
      <c r="D2277">
        <f t="shared" ca="1" si="48"/>
        <v>47.038449651103967</v>
      </c>
    </row>
    <row r="2278" spans="4:4" x14ac:dyDescent="0.25">
      <c r="D2278">
        <f t="shared" ca="1" si="48"/>
        <v>53.920479373501124</v>
      </c>
    </row>
    <row r="2279" spans="4:4" x14ac:dyDescent="0.25">
      <c r="D2279">
        <f t="shared" ca="1" si="48"/>
        <v>52.850908365172671</v>
      </c>
    </row>
    <row r="2280" spans="4:4" x14ac:dyDescent="0.25">
      <c r="D2280">
        <f t="shared" ca="1" si="48"/>
        <v>49.093201288010626</v>
      </c>
    </row>
    <row r="2281" spans="4:4" x14ac:dyDescent="0.25">
      <c r="D2281">
        <f t="shared" ca="1" si="48"/>
        <v>49.107602465724909</v>
      </c>
    </row>
    <row r="2282" spans="4:4" x14ac:dyDescent="0.25">
      <c r="D2282">
        <f t="shared" ca="1" si="48"/>
        <v>50.001731404537331</v>
      </c>
    </row>
    <row r="2283" spans="4:4" x14ac:dyDescent="0.25">
      <c r="D2283">
        <f t="shared" ca="1" si="48"/>
        <v>44.97019901326258</v>
      </c>
    </row>
    <row r="2284" spans="4:4" x14ac:dyDescent="0.25">
      <c r="D2284">
        <f t="shared" ca="1" si="48"/>
        <v>48.944147190579955</v>
      </c>
    </row>
    <row r="2285" spans="4:4" x14ac:dyDescent="0.25">
      <c r="D2285">
        <f t="shared" ca="1" si="48"/>
        <v>47.091540186369556</v>
      </c>
    </row>
    <row r="2286" spans="4:4" x14ac:dyDescent="0.25">
      <c r="D2286">
        <f t="shared" ca="1" si="48"/>
        <v>41.797379667478417</v>
      </c>
    </row>
    <row r="2287" spans="4:4" x14ac:dyDescent="0.25">
      <c r="D2287">
        <f t="shared" ca="1" si="48"/>
        <v>48.016270159050073</v>
      </c>
    </row>
    <row r="2288" spans="4:4" x14ac:dyDescent="0.25">
      <c r="D2288">
        <f t="shared" ca="1" si="48"/>
        <v>50.819354932493773</v>
      </c>
    </row>
    <row r="2289" spans="4:4" x14ac:dyDescent="0.25">
      <c r="D2289">
        <f t="shared" ca="1" si="48"/>
        <v>44.629284237619402</v>
      </c>
    </row>
    <row r="2290" spans="4:4" x14ac:dyDescent="0.25">
      <c r="D2290">
        <f t="shared" ca="1" si="48"/>
        <v>49.558230817019229</v>
      </c>
    </row>
    <row r="2291" spans="4:4" x14ac:dyDescent="0.25">
      <c r="D2291">
        <f t="shared" ca="1" si="48"/>
        <v>53.061013456881412</v>
      </c>
    </row>
    <row r="2292" spans="4:4" x14ac:dyDescent="0.25">
      <c r="D2292">
        <f t="shared" ca="1" si="48"/>
        <v>55.480112622989928</v>
      </c>
    </row>
    <row r="2293" spans="4:4" x14ac:dyDescent="0.25">
      <c r="D2293">
        <f t="shared" ca="1" si="48"/>
        <v>48.524537694994116</v>
      </c>
    </row>
    <row r="2294" spans="4:4" x14ac:dyDescent="0.25">
      <c r="D2294">
        <f t="shared" ca="1" si="48"/>
        <v>57.130421139048273</v>
      </c>
    </row>
    <row r="2295" spans="4:4" x14ac:dyDescent="0.25">
      <c r="D2295">
        <f t="shared" ca="1" si="48"/>
        <v>49.851665873647704</v>
      </c>
    </row>
    <row r="2296" spans="4:4" x14ac:dyDescent="0.25">
      <c r="D2296">
        <f t="shared" ca="1" si="48"/>
        <v>45.804764150884807</v>
      </c>
    </row>
    <row r="2297" spans="4:4" x14ac:dyDescent="0.25">
      <c r="D2297">
        <f t="shared" ca="1" si="48"/>
        <v>48.142771034636645</v>
      </c>
    </row>
    <row r="2298" spans="4:4" x14ac:dyDescent="0.25">
      <c r="D2298">
        <f t="shared" ca="1" si="48"/>
        <v>40.210307276657844</v>
      </c>
    </row>
    <row r="2299" spans="4:4" x14ac:dyDescent="0.25">
      <c r="D2299">
        <f t="shared" ca="1" si="48"/>
        <v>46.844627100076899</v>
      </c>
    </row>
    <row r="2300" spans="4:4" x14ac:dyDescent="0.25">
      <c r="D2300">
        <f t="shared" ca="1" si="48"/>
        <v>57.04470668712753</v>
      </c>
    </row>
    <row r="2301" spans="4:4" x14ac:dyDescent="0.25">
      <c r="D2301">
        <f t="shared" ca="1" si="48"/>
        <v>50.54542030589247</v>
      </c>
    </row>
    <row r="2302" spans="4:4" x14ac:dyDescent="0.25">
      <c r="D2302">
        <f t="shared" ca="1" si="48"/>
        <v>45.953304005498246</v>
      </c>
    </row>
    <row r="2303" spans="4:4" x14ac:dyDescent="0.25">
      <c r="D2303">
        <f t="shared" ca="1" si="48"/>
        <v>43.27198675067843</v>
      </c>
    </row>
    <row r="2304" spans="4:4" x14ac:dyDescent="0.25">
      <c r="D2304">
        <f t="shared" ca="1" si="48"/>
        <v>55.444213788155437</v>
      </c>
    </row>
    <row r="2305" spans="4:4" x14ac:dyDescent="0.25">
      <c r="D2305">
        <f t="shared" ca="1" si="48"/>
        <v>52.29414092611399</v>
      </c>
    </row>
    <row r="2306" spans="4:4" x14ac:dyDescent="0.25">
      <c r="D2306">
        <f t="shared" ca="1" si="48"/>
        <v>52.478074885281856</v>
      </c>
    </row>
    <row r="2307" spans="4:4" x14ac:dyDescent="0.25">
      <c r="D2307">
        <f t="shared" ref="D2307:D2370" ca="1" si="49">_xlfn.T.INV(RAND(),25)*$G$3+$F$3</f>
        <v>47.634766582196256</v>
      </c>
    </row>
    <row r="2308" spans="4:4" x14ac:dyDescent="0.25">
      <c r="D2308">
        <f t="shared" ca="1" si="49"/>
        <v>43.796128140849163</v>
      </c>
    </row>
    <row r="2309" spans="4:4" x14ac:dyDescent="0.25">
      <c r="D2309">
        <f t="shared" ca="1" si="49"/>
        <v>51.747587359273062</v>
      </c>
    </row>
    <row r="2310" spans="4:4" x14ac:dyDescent="0.25">
      <c r="D2310">
        <f t="shared" ca="1" si="49"/>
        <v>55.632694722631086</v>
      </c>
    </row>
    <row r="2311" spans="4:4" x14ac:dyDescent="0.25">
      <c r="D2311">
        <f t="shared" ca="1" si="49"/>
        <v>41.682419042269039</v>
      </c>
    </row>
    <row r="2312" spans="4:4" x14ac:dyDescent="0.25">
      <c r="D2312">
        <f t="shared" ca="1" si="49"/>
        <v>57.973903281536337</v>
      </c>
    </row>
    <row r="2313" spans="4:4" x14ac:dyDescent="0.25">
      <c r="D2313">
        <f t="shared" ca="1" si="49"/>
        <v>44.235818571999957</v>
      </c>
    </row>
    <row r="2314" spans="4:4" x14ac:dyDescent="0.25">
      <c r="D2314">
        <f t="shared" ca="1" si="49"/>
        <v>47.914907461362553</v>
      </c>
    </row>
    <row r="2315" spans="4:4" x14ac:dyDescent="0.25">
      <c r="D2315">
        <f t="shared" ca="1" si="49"/>
        <v>51.139827497248078</v>
      </c>
    </row>
    <row r="2316" spans="4:4" x14ac:dyDescent="0.25">
      <c r="D2316">
        <f t="shared" ca="1" si="49"/>
        <v>50.78213510406087</v>
      </c>
    </row>
    <row r="2317" spans="4:4" x14ac:dyDescent="0.25">
      <c r="D2317">
        <f t="shared" ca="1" si="49"/>
        <v>54.100325623111239</v>
      </c>
    </row>
    <row r="2318" spans="4:4" x14ac:dyDescent="0.25">
      <c r="D2318">
        <f t="shared" ca="1" si="49"/>
        <v>50.028784338857498</v>
      </c>
    </row>
    <row r="2319" spans="4:4" x14ac:dyDescent="0.25">
      <c r="D2319">
        <f t="shared" ca="1" si="49"/>
        <v>47.190528268687331</v>
      </c>
    </row>
    <row r="2320" spans="4:4" x14ac:dyDescent="0.25">
      <c r="D2320">
        <f t="shared" ca="1" si="49"/>
        <v>50.926298305799293</v>
      </c>
    </row>
    <row r="2321" spans="4:4" x14ac:dyDescent="0.25">
      <c r="D2321">
        <f t="shared" ca="1" si="49"/>
        <v>49.007147161456885</v>
      </c>
    </row>
    <row r="2322" spans="4:4" x14ac:dyDescent="0.25">
      <c r="D2322">
        <f t="shared" ca="1" si="49"/>
        <v>53.148039306382813</v>
      </c>
    </row>
    <row r="2323" spans="4:4" x14ac:dyDescent="0.25">
      <c r="D2323">
        <f t="shared" ca="1" si="49"/>
        <v>52.389823596301376</v>
      </c>
    </row>
    <row r="2324" spans="4:4" x14ac:dyDescent="0.25">
      <c r="D2324">
        <f t="shared" ca="1" si="49"/>
        <v>51.104611011630475</v>
      </c>
    </row>
    <row r="2325" spans="4:4" x14ac:dyDescent="0.25">
      <c r="D2325">
        <f t="shared" ca="1" si="49"/>
        <v>48.463820501787843</v>
      </c>
    </row>
    <row r="2326" spans="4:4" x14ac:dyDescent="0.25">
      <c r="D2326">
        <f t="shared" ca="1" si="49"/>
        <v>47.533989960903675</v>
      </c>
    </row>
    <row r="2327" spans="4:4" x14ac:dyDescent="0.25">
      <c r="D2327">
        <f t="shared" ca="1" si="49"/>
        <v>48.811808291449005</v>
      </c>
    </row>
    <row r="2328" spans="4:4" x14ac:dyDescent="0.25">
      <c r="D2328">
        <f t="shared" ca="1" si="49"/>
        <v>49.220486241522593</v>
      </c>
    </row>
    <row r="2329" spans="4:4" x14ac:dyDescent="0.25">
      <c r="D2329">
        <f t="shared" ca="1" si="49"/>
        <v>43.760531682021934</v>
      </c>
    </row>
    <row r="2330" spans="4:4" x14ac:dyDescent="0.25">
      <c r="D2330">
        <f t="shared" ca="1" si="49"/>
        <v>40.120915917131072</v>
      </c>
    </row>
    <row r="2331" spans="4:4" x14ac:dyDescent="0.25">
      <c r="D2331">
        <f t="shared" ca="1" si="49"/>
        <v>52.305599157194884</v>
      </c>
    </row>
    <row r="2332" spans="4:4" x14ac:dyDescent="0.25">
      <c r="D2332">
        <f t="shared" ca="1" si="49"/>
        <v>53.369702169617611</v>
      </c>
    </row>
    <row r="2333" spans="4:4" x14ac:dyDescent="0.25">
      <c r="D2333">
        <f t="shared" ca="1" si="49"/>
        <v>44.068881493929823</v>
      </c>
    </row>
    <row r="2334" spans="4:4" x14ac:dyDescent="0.25">
      <c r="D2334">
        <f t="shared" ca="1" si="49"/>
        <v>54.166728110348103</v>
      </c>
    </row>
    <row r="2335" spans="4:4" x14ac:dyDescent="0.25">
      <c r="D2335">
        <f t="shared" ca="1" si="49"/>
        <v>40.315892141246771</v>
      </c>
    </row>
    <row r="2336" spans="4:4" x14ac:dyDescent="0.25">
      <c r="D2336">
        <f t="shared" ca="1" si="49"/>
        <v>48.398904888330293</v>
      </c>
    </row>
    <row r="2337" spans="4:4" x14ac:dyDescent="0.25">
      <c r="D2337">
        <f t="shared" ca="1" si="49"/>
        <v>58.602774429366633</v>
      </c>
    </row>
    <row r="2338" spans="4:4" x14ac:dyDescent="0.25">
      <c r="D2338">
        <f t="shared" ca="1" si="49"/>
        <v>40.248564270789672</v>
      </c>
    </row>
    <row r="2339" spans="4:4" x14ac:dyDescent="0.25">
      <c r="D2339">
        <f t="shared" ca="1" si="49"/>
        <v>50.279842143775468</v>
      </c>
    </row>
    <row r="2340" spans="4:4" x14ac:dyDescent="0.25">
      <c r="D2340">
        <f t="shared" ca="1" si="49"/>
        <v>52.773407132063696</v>
      </c>
    </row>
    <row r="2341" spans="4:4" x14ac:dyDescent="0.25">
      <c r="D2341">
        <f t="shared" ca="1" si="49"/>
        <v>44.390793421272626</v>
      </c>
    </row>
    <row r="2342" spans="4:4" x14ac:dyDescent="0.25">
      <c r="D2342">
        <f t="shared" ca="1" si="49"/>
        <v>48.420421898177111</v>
      </c>
    </row>
    <row r="2343" spans="4:4" x14ac:dyDescent="0.25">
      <c r="D2343">
        <f t="shared" ca="1" si="49"/>
        <v>45.014612329000599</v>
      </c>
    </row>
    <row r="2344" spans="4:4" x14ac:dyDescent="0.25">
      <c r="D2344">
        <f t="shared" ca="1" si="49"/>
        <v>56.46144753232295</v>
      </c>
    </row>
    <row r="2345" spans="4:4" x14ac:dyDescent="0.25">
      <c r="D2345">
        <f t="shared" ca="1" si="49"/>
        <v>49.435349681090877</v>
      </c>
    </row>
    <row r="2346" spans="4:4" x14ac:dyDescent="0.25">
      <c r="D2346">
        <f t="shared" ca="1" si="49"/>
        <v>51.161550927933611</v>
      </c>
    </row>
    <row r="2347" spans="4:4" x14ac:dyDescent="0.25">
      <c r="D2347">
        <f t="shared" ca="1" si="49"/>
        <v>49.246891001869002</v>
      </c>
    </row>
    <row r="2348" spans="4:4" x14ac:dyDescent="0.25">
      <c r="D2348">
        <f t="shared" ca="1" si="49"/>
        <v>43.669643223972948</v>
      </c>
    </row>
    <row r="2349" spans="4:4" x14ac:dyDescent="0.25">
      <c r="D2349">
        <f t="shared" ca="1" si="49"/>
        <v>47.290750313957794</v>
      </c>
    </row>
    <row r="2350" spans="4:4" x14ac:dyDescent="0.25">
      <c r="D2350">
        <f t="shared" ca="1" si="49"/>
        <v>50.223415509613666</v>
      </c>
    </row>
    <row r="2351" spans="4:4" x14ac:dyDescent="0.25">
      <c r="D2351">
        <f t="shared" ca="1" si="49"/>
        <v>50.226468586286863</v>
      </c>
    </row>
    <row r="2352" spans="4:4" x14ac:dyDescent="0.25">
      <c r="D2352">
        <f t="shared" ca="1" si="49"/>
        <v>50.622433374983757</v>
      </c>
    </row>
    <row r="2353" spans="4:4" x14ac:dyDescent="0.25">
      <c r="D2353">
        <f t="shared" ca="1" si="49"/>
        <v>54.522785998519858</v>
      </c>
    </row>
    <row r="2354" spans="4:4" x14ac:dyDescent="0.25">
      <c r="D2354">
        <f t="shared" ca="1" si="49"/>
        <v>53.312509602126369</v>
      </c>
    </row>
    <row r="2355" spans="4:4" x14ac:dyDescent="0.25">
      <c r="D2355">
        <f t="shared" ca="1" si="49"/>
        <v>48.807442743180445</v>
      </c>
    </row>
    <row r="2356" spans="4:4" x14ac:dyDescent="0.25">
      <c r="D2356">
        <f t="shared" ca="1" si="49"/>
        <v>61.342022485756345</v>
      </c>
    </row>
    <row r="2357" spans="4:4" x14ac:dyDescent="0.25">
      <c r="D2357">
        <f t="shared" ca="1" si="49"/>
        <v>45.759605903968897</v>
      </c>
    </row>
    <row r="2358" spans="4:4" x14ac:dyDescent="0.25">
      <c r="D2358">
        <f t="shared" ca="1" si="49"/>
        <v>48.37372171202945</v>
      </c>
    </row>
    <row r="2359" spans="4:4" x14ac:dyDescent="0.25">
      <c r="D2359">
        <f t="shared" ca="1" si="49"/>
        <v>57.43233603681275</v>
      </c>
    </row>
    <row r="2360" spans="4:4" x14ac:dyDescent="0.25">
      <c r="D2360">
        <f t="shared" ca="1" si="49"/>
        <v>42.275239294031572</v>
      </c>
    </row>
    <row r="2361" spans="4:4" x14ac:dyDescent="0.25">
      <c r="D2361">
        <f t="shared" ca="1" si="49"/>
        <v>47.436095313091762</v>
      </c>
    </row>
    <row r="2362" spans="4:4" x14ac:dyDescent="0.25">
      <c r="D2362">
        <f t="shared" ca="1" si="49"/>
        <v>45.490729242952149</v>
      </c>
    </row>
    <row r="2363" spans="4:4" x14ac:dyDescent="0.25">
      <c r="D2363">
        <f t="shared" ca="1" si="49"/>
        <v>47.167223964199856</v>
      </c>
    </row>
    <row r="2364" spans="4:4" x14ac:dyDescent="0.25">
      <c r="D2364">
        <f t="shared" ca="1" si="49"/>
        <v>55.209508794701804</v>
      </c>
    </row>
    <row r="2365" spans="4:4" x14ac:dyDescent="0.25">
      <c r="D2365">
        <f t="shared" ca="1" si="49"/>
        <v>40.847583679480927</v>
      </c>
    </row>
    <row r="2366" spans="4:4" x14ac:dyDescent="0.25">
      <c r="D2366">
        <f t="shared" ca="1" si="49"/>
        <v>52.96157777901702</v>
      </c>
    </row>
    <row r="2367" spans="4:4" x14ac:dyDescent="0.25">
      <c r="D2367">
        <f t="shared" ca="1" si="49"/>
        <v>54.559882015921126</v>
      </c>
    </row>
    <row r="2368" spans="4:4" x14ac:dyDescent="0.25">
      <c r="D2368">
        <f t="shared" ca="1" si="49"/>
        <v>49.438544134801944</v>
      </c>
    </row>
    <row r="2369" spans="4:4" x14ac:dyDescent="0.25">
      <c r="D2369">
        <f t="shared" ca="1" si="49"/>
        <v>49.158940242425828</v>
      </c>
    </row>
    <row r="2370" spans="4:4" x14ac:dyDescent="0.25">
      <c r="D2370">
        <f t="shared" ca="1" si="49"/>
        <v>39.251196313634161</v>
      </c>
    </row>
    <row r="2371" spans="4:4" x14ac:dyDescent="0.25">
      <c r="D2371">
        <f t="shared" ref="D2371:D2434" ca="1" si="50">_xlfn.T.INV(RAND(),25)*$G$3+$F$3</f>
        <v>48.447086152163735</v>
      </c>
    </row>
    <row r="2372" spans="4:4" x14ac:dyDescent="0.25">
      <c r="D2372">
        <f t="shared" ca="1" si="50"/>
        <v>41.017327170617527</v>
      </c>
    </row>
    <row r="2373" spans="4:4" x14ac:dyDescent="0.25">
      <c r="D2373">
        <f t="shared" ca="1" si="50"/>
        <v>54.547061884521739</v>
      </c>
    </row>
    <row r="2374" spans="4:4" x14ac:dyDescent="0.25">
      <c r="D2374">
        <f t="shared" ca="1" si="50"/>
        <v>51.273113565800315</v>
      </c>
    </row>
    <row r="2375" spans="4:4" x14ac:dyDescent="0.25">
      <c r="D2375">
        <f t="shared" ca="1" si="50"/>
        <v>52.098762971550251</v>
      </c>
    </row>
    <row r="2376" spans="4:4" x14ac:dyDescent="0.25">
      <c r="D2376">
        <f t="shared" ca="1" si="50"/>
        <v>51.212243485443373</v>
      </c>
    </row>
    <row r="2377" spans="4:4" x14ac:dyDescent="0.25">
      <c r="D2377">
        <f t="shared" ca="1" si="50"/>
        <v>46.096172182126125</v>
      </c>
    </row>
    <row r="2378" spans="4:4" x14ac:dyDescent="0.25">
      <c r="D2378">
        <f t="shared" ca="1" si="50"/>
        <v>51.510407993172876</v>
      </c>
    </row>
    <row r="2379" spans="4:4" x14ac:dyDescent="0.25">
      <c r="D2379">
        <f t="shared" ca="1" si="50"/>
        <v>49.291899572096156</v>
      </c>
    </row>
    <row r="2380" spans="4:4" x14ac:dyDescent="0.25">
      <c r="D2380">
        <f t="shared" ca="1" si="50"/>
        <v>42.814387369172927</v>
      </c>
    </row>
    <row r="2381" spans="4:4" x14ac:dyDescent="0.25">
      <c r="D2381">
        <f t="shared" ca="1" si="50"/>
        <v>48.448254790008036</v>
      </c>
    </row>
    <row r="2382" spans="4:4" x14ac:dyDescent="0.25">
      <c r="D2382">
        <f t="shared" ca="1" si="50"/>
        <v>43.026366043656324</v>
      </c>
    </row>
    <row r="2383" spans="4:4" x14ac:dyDescent="0.25">
      <c r="D2383">
        <f t="shared" ca="1" si="50"/>
        <v>56.353646512802975</v>
      </c>
    </row>
    <row r="2384" spans="4:4" x14ac:dyDescent="0.25">
      <c r="D2384">
        <f t="shared" ca="1" si="50"/>
        <v>54.469101839557737</v>
      </c>
    </row>
    <row r="2385" spans="4:4" x14ac:dyDescent="0.25">
      <c r="D2385">
        <f t="shared" ca="1" si="50"/>
        <v>50.999159481895617</v>
      </c>
    </row>
    <row r="2386" spans="4:4" x14ac:dyDescent="0.25">
      <c r="D2386">
        <f t="shared" ca="1" si="50"/>
        <v>45.508418497227808</v>
      </c>
    </row>
    <row r="2387" spans="4:4" x14ac:dyDescent="0.25">
      <c r="D2387">
        <f t="shared" ca="1" si="50"/>
        <v>42.282214441382052</v>
      </c>
    </row>
    <row r="2388" spans="4:4" x14ac:dyDescent="0.25">
      <c r="D2388">
        <f t="shared" ca="1" si="50"/>
        <v>48.544082593465312</v>
      </c>
    </row>
    <row r="2389" spans="4:4" x14ac:dyDescent="0.25">
      <c r="D2389">
        <f t="shared" ca="1" si="50"/>
        <v>56.684549531321132</v>
      </c>
    </row>
    <row r="2390" spans="4:4" x14ac:dyDescent="0.25">
      <c r="D2390">
        <f t="shared" ca="1" si="50"/>
        <v>45.91595594572334</v>
      </c>
    </row>
    <row r="2391" spans="4:4" x14ac:dyDescent="0.25">
      <c r="D2391">
        <f t="shared" ca="1" si="50"/>
        <v>49.636021268220048</v>
      </c>
    </row>
    <row r="2392" spans="4:4" x14ac:dyDescent="0.25">
      <c r="D2392">
        <f t="shared" ca="1" si="50"/>
        <v>53.576762233133309</v>
      </c>
    </row>
    <row r="2393" spans="4:4" x14ac:dyDescent="0.25">
      <c r="D2393">
        <f t="shared" ca="1" si="50"/>
        <v>60.814708279286513</v>
      </c>
    </row>
    <row r="2394" spans="4:4" x14ac:dyDescent="0.25">
      <c r="D2394">
        <f t="shared" ca="1" si="50"/>
        <v>50.36500700793416</v>
      </c>
    </row>
    <row r="2395" spans="4:4" x14ac:dyDescent="0.25">
      <c r="D2395">
        <f t="shared" ca="1" si="50"/>
        <v>51.337659002225749</v>
      </c>
    </row>
    <row r="2396" spans="4:4" x14ac:dyDescent="0.25">
      <c r="D2396">
        <f t="shared" ca="1" si="50"/>
        <v>48.709403454204896</v>
      </c>
    </row>
    <row r="2397" spans="4:4" x14ac:dyDescent="0.25">
      <c r="D2397">
        <f t="shared" ca="1" si="50"/>
        <v>55.279667662895655</v>
      </c>
    </row>
    <row r="2398" spans="4:4" x14ac:dyDescent="0.25">
      <c r="D2398">
        <f t="shared" ca="1" si="50"/>
        <v>52.484444696707612</v>
      </c>
    </row>
    <row r="2399" spans="4:4" x14ac:dyDescent="0.25">
      <c r="D2399">
        <f t="shared" ca="1" si="50"/>
        <v>45.640585141009275</v>
      </c>
    </row>
    <row r="2400" spans="4:4" x14ac:dyDescent="0.25">
      <c r="D2400">
        <f t="shared" ca="1" si="50"/>
        <v>51.879069013558556</v>
      </c>
    </row>
    <row r="2401" spans="4:4" x14ac:dyDescent="0.25">
      <c r="D2401">
        <f t="shared" ca="1" si="50"/>
        <v>47.721671260119273</v>
      </c>
    </row>
    <row r="2402" spans="4:4" x14ac:dyDescent="0.25">
      <c r="D2402">
        <f t="shared" ca="1" si="50"/>
        <v>54.711553433953043</v>
      </c>
    </row>
    <row r="2403" spans="4:4" x14ac:dyDescent="0.25">
      <c r="D2403">
        <f t="shared" ca="1" si="50"/>
        <v>52.195075284797156</v>
      </c>
    </row>
    <row r="2404" spans="4:4" x14ac:dyDescent="0.25">
      <c r="D2404">
        <f t="shared" ca="1" si="50"/>
        <v>46.949041882670947</v>
      </c>
    </row>
    <row r="2405" spans="4:4" x14ac:dyDescent="0.25">
      <c r="D2405">
        <f t="shared" ca="1" si="50"/>
        <v>43.474245092077894</v>
      </c>
    </row>
    <row r="2406" spans="4:4" x14ac:dyDescent="0.25">
      <c r="D2406">
        <f t="shared" ca="1" si="50"/>
        <v>43.066063850498431</v>
      </c>
    </row>
    <row r="2407" spans="4:4" x14ac:dyDescent="0.25">
      <c r="D2407">
        <f t="shared" ca="1" si="50"/>
        <v>51.82199716501394</v>
      </c>
    </row>
    <row r="2408" spans="4:4" x14ac:dyDescent="0.25">
      <c r="D2408">
        <f t="shared" ca="1" si="50"/>
        <v>51.374899725384537</v>
      </c>
    </row>
    <row r="2409" spans="4:4" x14ac:dyDescent="0.25">
      <c r="D2409">
        <f t="shared" ca="1" si="50"/>
        <v>56.933369444553414</v>
      </c>
    </row>
    <row r="2410" spans="4:4" x14ac:dyDescent="0.25">
      <c r="D2410">
        <f t="shared" ca="1" si="50"/>
        <v>59.943167640038766</v>
      </c>
    </row>
    <row r="2411" spans="4:4" x14ac:dyDescent="0.25">
      <c r="D2411">
        <f t="shared" ca="1" si="50"/>
        <v>52.585376059881085</v>
      </c>
    </row>
    <row r="2412" spans="4:4" x14ac:dyDescent="0.25">
      <c r="D2412">
        <f t="shared" ca="1" si="50"/>
        <v>43.509253210437549</v>
      </c>
    </row>
    <row r="2413" spans="4:4" x14ac:dyDescent="0.25">
      <c r="D2413">
        <f t="shared" ca="1" si="50"/>
        <v>49.62087801457038</v>
      </c>
    </row>
    <row r="2414" spans="4:4" x14ac:dyDescent="0.25">
      <c r="D2414">
        <f t="shared" ca="1" si="50"/>
        <v>52.657605104738032</v>
      </c>
    </row>
    <row r="2415" spans="4:4" x14ac:dyDescent="0.25">
      <c r="D2415">
        <f t="shared" ca="1" si="50"/>
        <v>53.604653765779922</v>
      </c>
    </row>
    <row r="2416" spans="4:4" x14ac:dyDescent="0.25">
      <c r="D2416">
        <f t="shared" ca="1" si="50"/>
        <v>48.390567827579147</v>
      </c>
    </row>
    <row r="2417" spans="4:4" x14ac:dyDescent="0.25">
      <c r="D2417">
        <f t="shared" ca="1" si="50"/>
        <v>46.975742290737415</v>
      </c>
    </row>
    <row r="2418" spans="4:4" x14ac:dyDescent="0.25">
      <c r="D2418">
        <f t="shared" ca="1" si="50"/>
        <v>26.891124920807503</v>
      </c>
    </row>
    <row r="2419" spans="4:4" x14ac:dyDescent="0.25">
      <c r="D2419">
        <f t="shared" ca="1" si="50"/>
        <v>48.384073948814006</v>
      </c>
    </row>
    <row r="2420" spans="4:4" x14ac:dyDescent="0.25">
      <c r="D2420">
        <f t="shared" ca="1" si="50"/>
        <v>48.684664047640986</v>
      </c>
    </row>
    <row r="2421" spans="4:4" x14ac:dyDescent="0.25">
      <c r="D2421">
        <f t="shared" ca="1" si="50"/>
        <v>56.572675222689689</v>
      </c>
    </row>
    <row r="2422" spans="4:4" x14ac:dyDescent="0.25">
      <c r="D2422">
        <f t="shared" ca="1" si="50"/>
        <v>49.610334197418553</v>
      </c>
    </row>
    <row r="2423" spans="4:4" x14ac:dyDescent="0.25">
      <c r="D2423">
        <f t="shared" ca="1" si="50"/>
        <v>54.381310492557851</v>
      </c>
    </row>
    <row r="2424" spans="4:4" x14ac:dyDescent="0.25">
      <c r="D2424">
        <f t="shared" ca="1" si="50"/>
        <v>51.982124522784559</v>
      </c>
    </row>
    <row r="2425" spans="4:4" x14ac:dyDescent="0.25">
      <c r="D2425">
        <f t="shared" ca="1" si="50"/>
        <v>47.25250674139356</v>
      </c>
    </row>
    <row r="2426" spans="4:4" x14ac:dyDescent="0.25">
      <c r="D2426">
        <f t="shared" ca="1" si="50"/>
        <v>53.999600428420294</v>
      </c>
    </row>
    <row r="2427" spans="4:4" x14ac:dyDescent="0.25">
      <c r="D2427">
        <f t="shared" ca="1" si="50"/>
        <v>44.981929584192279</v>
      </c>
    </row>
    <row r="2428" spans="4:4" x14ac:dyDescent="0.25">
      <c r="D2428">
        <f t="shared" ca="1" si="50"/>
        <v>50.554924632842656</v>
      </c>
    </row>
    <row r="2429" spans="4:4" x14ac:dyDescent="0.25">
      <c r="D2429">
        <f t="shared" ca="1" si="50"/>
        <v>55.903211399785981</v>
      </c>
    </row>
    <row r="2430" spans="4:4" x14ac:dyDescent="0.25">
      <c r="D2430">
        <f t="shared" ca="1" si="50"/>
        <v>47.575527291593247</v>
      </c>
    </row>
    <row r="2431" spans="4:4" x14ac:dyDescent="0.25">
      <c r="D2431">
        <f t="shared" ca="1" si="50"/>
        <v>48.526955938402914</v>
      </c>
    </row>
    <row r="2432" spans="4:4" x14ac:dyDescent="0.25">
      <c r="D2432">
        <f t="shared" ca="1" si="50"/>
        <v>53.591813169477994</v>
      </c>
    </row>
    <row r="2433" spans="4:4" x14ac:dyDescent="0.25">
      <c r="D2433">
        <f t="shared" ca="1" si="50"/>
        <v>46.466865022458272</v>
      </c>
    </row>
    <row r="2434" spans="4:4" x14ac:dyDescent="0.25">
      <c r="D2434">
        <f t="shared" ca="1" si="50"/>
        <v>42.908794717594084</v>
      </c>
    </row>
    <row r="2435" spans="4:4" x14ac:dyDescent="0.25">
      <c r="D2435">
        <f t="shared" ref="D2435:D2498" ca="1" si="51">_xlfn.T.INV(RAND(),25)*$G$3+$F$3</f>
        <v>53.01342941779302</v>
      </c>
    </row>
    <row r="2436" spans="4:4" x14ac:dyDescent="0.25">
      <c r="D2436">
        <f t="shared" ca="1" si="51"/>
        <v>53.584606969196038</v>
      </c>
    </row>
    <row r="2437" spans="4:4" x14ac:dyDescent="0.25">
      <c r="D2437">
        <f t="shared" ca="1" si="51"/>
        <v>52.596101027683446</v>
      </c>
    </row>
    <row r="2438" spans="4:4" x14ac:dyDescent="0.25">
      <c r="D2438">
        <f t="shared" ca="1" si="51"/>
        <v>51.288608867525184</v>
      </c>
    </row>
    <row r="2439" spans="4:4" x14ac:dyDescent="0.25">
      <c r="D2439">
        <f t="shared" ca="1" si="51"/>
        <v>48.619118408176156</v>
      </c>
    </row>
    <row r="2440" spans="4:4" x14ac:dyDescent="0.25">
      <c r="D2440">
        <f t="shared" ca="1" si="51"/>
        <v>51.399375737746567</v>
      </c>
    </row>
    <row r="2441" spans="4:4" x14ac:dyDescent="0.25">
      <c r="D2441">
        <f t="shared" ca="1" si="51"/>
        <v>43.324096148979756</v>
      </c>
    </row>
    <row r="2442" spans="4:4" x14ac:dyDescent="0.25">
      <c r="D2442">
        <f t="shared" ca="1" si="51"/>
        <v>55.907186274031965</v>
      </c>
    </row>
    <row r="2443" spans="4:4" x14ac:dyDescent="0.25">
      <c r="D2443">
        <f t="shared" ca="1" si="51"/>
        <v>54.586145781671128</v>
      </c>
    </row>
    <row r="2444" spans="4:4" x14ac:dyDescent="0.25">
      <c r="D2444">
        <f t="shared" ca="1" si="51"/>
        <v>50.430396241564054</v>
      </c>
    </row>
    <row r="2445" spans="4:4" x14ac:dyDescent="0.25">
      <c r="D2445">
        <f t="shared" ca="1" si="51"/>
        <v>50.97366067210686</v>
      </c>
    </row>
    <row r="2446" spans="4:4" x14ac:dyDescent="0.25">
      <c r="D2446">
        <f t="shared" ca="1" si="51"/>
        <v>53.145022183959817</v>
      </c>
    </row>
    <row r="2447" spans="4:4" x14ac:dyDescent="0.25">
      <c r="D2447">
        <f t="shared" ca="1" si="51"/>
        <v>53.674132022198712</v>
      </c>
    </row>
    <row r="2448" spans="4:4" x14ac:dyDescent="0.25">
      <c r="D2448">
        <f t="shared" ca="1" si="51"/>
        <v>46.63520153011423</v>
      </c>
    </row>
    <row r="2449" spans="4:4" x14ac:dyDescent="0.25">
      <c r="D2449">
        <f t="shared" ca="1" si="51"/>
        <v>55.124697816288851</v>
      </c>
    </row>
    <row r="2450" spans="4:4" x14ac:dyDescent="0.25">
      <c r="D2450">
        <f t="shared" ca="1" si="51"/>
        <v>49.202384325903303</v>
      </c>
    </row>
    <row r="2451" spans="4:4" x14ac:dyDescent="0.25">
      <c r="D2451">
        <f t="shared" ca="1" si="51"/>
        <v>52.364328763233722</v>
      </c>
    </row>
    <row r="2452" spans="4:4" x14ac:dyDescent="0.25">
      <c r="D2452">
        <f t="shared" ca="1" si="51"/>
        <v>51.555040546053867</v>
      </c>
    </row>
    <row r="2453" spans="4:4" x14ac:dyDescent="0.25">
      <c r="D2453">
        <f t="shared" ca="1" si="51"/>
        <v>54.601723191809512</v>
      </c>
    </row>
    <row r="2454" spans="4:4" x14ac:dyDescent="0.25">
      <c r="D2454">
        <f t="shared" ca="1" si="51"/>
        <v>53.272818478011047</v>
      </c>
    </row>
    <row r="2455" spans="4:4" x14ac:dyDescent="0.25">
      <c r="D2455">
        <f t="shared" ca="1" si="51"/>
        <v>48.33741703869778</v>
      </c>
    </row>
    <row r="2456" spans="4:4" x14ac:dyDescent="0.25">
      <c r="D2456">
        <f t="shared" ca="1" si="51"/>
        <v>48.230649364263428</v>
      </c>
    </row>
    <row r="2457" spans="4:4" x14ac:dyDescent="0.25">
      <c r="D2457">
        <f t="shared" ca="1" si="51"/>
        <v>46.054945945991065</v>
      </c>
    </row>
    <row r="2458" spans="4:4" x14ac:dyDescent="0.25">
      <c r="D2458">
        <f t="shared" ca="1" si="51"/>
        <v>49.602368495141064</v>
      </c>
    </row>
    <row r="2459" spans="4:4" x14ac:dyDescent="0.25">
      <c r="D2459">
        <f t="shared" ca="1" si="51"/>
        <v>58.329849259644064</v>
      </c>
    </row>
    <row r="2460" spans="4:4" x14ac:dyDescent="0.25">
      <c r="D2460">
        <f t="shared" ca="1" si="51"/>
        <v>47.179138617686313</v>
      </c>
    </row>
    <row r="2461" spans="4:4" x14ac:dyDescent="0.25">
      <c r="D2461">
        <f t="shared" ca="1" si="51"/>
        <v>49.60086995392259</v>
      </c>
    </row>
    <row r="2462" spans="4:4" x14ac:dyDescent="0.25">
      <c r="D2462">
        <f t="shared" ca="1" si="51"/>
        <v>50.155815018189145</v>
      </c>
    </row>
    <row r="2463" spans="4:4" x14ac:dyDescent="0.25">
      <c r="D2463">
        <f t="shared" ca="1" si="51"/>
        <v>54.691712437919819</v>
      </c>
    </row>
    <row r="2464" spans="4:4" x14ac:dyDescent="0.25">
      <c r="D2464">
        <f t="shared" ca="1" si="51"/>
        <v>49.875670474561574</v>
      </c>
    </row>
    <row r="2465" spans="4:4" x14ac:dyDescent="0.25">
      <c r="D2465">
        <f t="shared" ca="1" si="51"/>
        <v>59.587968503157981</v>
      </c>
    </row>
    <row r="2466" spans="4:4" x14ac:dyDescent="0.25">
      <c r="D2466">
        <f t="shared" ca="1" si="51"/>
        <v>43.793437094538582</v>
      </c>
    </row>
    <row r="2467" spans="4:4" x14ac:dyDescent="0.25">
      <c r="D2467">
        <f t="shared" ca="1" si="51"/>
        <v>43.032328757859943</v>
      </c>
    </row>
    <row r="2468" spans="4:4" x14ac:dyDescent="0.25">
      <c r="D2468">
        <f t="shared" ca="1" si="51"/>
        <v>47.734489592411194</v>
      </c>
    </row>
    <row r="2469" spans="4:4" x14ac:dyDescent="0.25">
      <c r="D2469">
        <f t="shared" ca="1" si="51"/>
        <v>46.733663072147728</v>
      </c>
    </row>
    <row r="2470" spans="4:4" x14ac:dyDescent="0.25">
      <c r="D2470">
        <f t="shared" ca="1" si="51"/>
        <v>38.604530050925469</v>
      </c>
    </row>
    <row r="2471" spans="4:4" x14ac:dyDescent="0.25">
      <c r="D2471">
        <f t="shared" ca="1" si="51"/>
        <v>46.804838010211689</v>
      </c>
    </row>
    <row r="2472" spans="4:4" x14ac:dyDescent="0.25">
      <c r="D2472">
        <f t="shared" ca="1" si="51"/>
        <v>46.464921593164171</v>
      </c>
    </row>
    <row r="2473" spans="4:4" x14ac:dyDescent="0.25">
      <c r="D2473">
        <f t="shared" ca="1" si="51"/>
        <v>61.43930471038442</v>
      </c>
    </row>
    <row r="2474" spans="4:4" x14ac:dyDescent="0.25">
      <c r="D2474">
        <f t="shared" ca="1" si="51"/>
        <v>50.912796369153753</v>
      </c>
    </row>
    <row r="2475" spans="4:4" x14ac:dyDescent="0.25">
      <c r="D2475">
        <f t="shared" ca="1" si="51"/>
        <v>48.930709362989042</v>
      </c>
    </row>
    <row r="2476" spans="4:4" x14ac:dyDescent="0.25">
      <c r="D2476">
        <f t="shared" ca="1" si="51"/>
        <v>46.170924956407589</v>
      </c>
    </row>
    <row r="2477" spans="4:4" x14ac:dyDescent="0.25">
      <c r="D2477">
        <f t="shared" ca="1" si="51"/>
        <v>42.190829588518525</v>
      </c>
    </row>
    <row r="2478" spans="4:4" x14ac:dyDescent="0.25">
      <c r="D2478">
        <f t="shared" ca="1" si="51"/>
        <v>46.849842852187436</v>
      </c>
    </row>
    <row r="2479" spans="4:4" x14ac:dyDescent="0.25">
      <c r="D2479">
        <f t="shared" ca="1" si="51"/>
        <v>45.931056222910215</v>
      </c>
    </row>
    <row r="2480" spans="4:4" x14ac:dyDescent="0.25">
      <c r="D2480">
        <f t="shared" ca="1" si="51"/>
        <v>49.531555839767044</v>
      </c>
    </row>
    <row r="2481" spans="4:4" x14ac:dyDescent="0.25">
      <c r="D2481">
        <f t="shared" ca="1" si="51"/>
        <v>38.574306326906594</v>
      </c>
    </row>
    <row r="2482" spans="4:4" x14ac:dyDescent="0.25">
      <c r="D2482">
        <f t="shared" ca="1" si="51"/>
        <v>52.034329799012738</v>
      </c>
    </row>
    <row r="2483" spans="4:4" x14ac:dyDescent="0.25">
      <c r="D2483">
        <f t="shared" ca="1" si="51"/>
        <v>58.448959068014801</v>
      </c>
    </row>
    <row r="2484" spans="4:4" x14ac:dyDescent="0.25">
      <c r="D2484">
        <f t="shared" ca="1" si="51"/>
        <v>36.611920093073039</v>
      </c>
    </row>
    <row r="2485" spans="4:4" x14ac:dyDescent="0.25">
      <c r="D2485">
        <f t="shared" ca="1" si="51"/>
        <v>50.991284174383232</v>
      </c>
    </row>
    <row r="2486" spans="4:4" x14ac:dyDescent="0.25">
      <c r="D2486">
        <f t="shared" ca="1" si="51"/>
        <v>50.801722087561778</v>
      </c>
    </row>
    <row r="2487" spans="4:4" x14ac:dyDescent="0.25">
      <c r="D2487">
        <f t="shared" ca="1" si="51"/>
        <v>40.121890993159411</v>
      </c>
    </row>
    <row r="2488" spans="4:4" x14ac:dyDescent="0.25">
      <c r="D2488">
        <f t="shared" ca="1" si="51"/>
        <v>52.198839829751876</v>
      </c>
    </row>
    <row r="2489" spans="4:4" x14ac:dyDescent="0.25">
      <c r="D2489">
        <f t="shared" ca="1" si="51"/>
        <v>47.737281832529661</v>
      </c>
    </row>
    <row r="2490" spans="4:4" x14ac:dyDescent="0.25">
      <c r="D2490">
        <f t="shared" ca="1" si="51"/>
        <v>55.919304328412053</v>
      </c>
    </row>
    <row r="2491" spans="4:4" x14ac:dyDescent="0.25">
      <c r="D2491">
        <f t="shared" ca="1" si="51"/>
        <v>47.138208383061915</v>
      </c>
    </row>
    <row r="2492" spans="4:4" x14ac:dyDescent="0.25">
      <c r="D2492">
        <f t="shared" ca="1" si="51"/>
        <v>43.789265186981105</v>
      </c>
    </row>
    <row r="2493" spans="4:4" x14ac:dyDescent="0.25">
      <c r="D2493">
        <f t="shared" ca="1" si="51"/>
        <v>39.532261783593988</v>
      </c>
    </row>
    <row r="2494" spans="4:4" x14ac:dyDescent="0.25">
      <c r="D2494">
        <f t="shared" ca="1" si="51"/>
        <v>51.997268516498721</v>
      </c>
    </row>
    <row r="2495" spans="4:4" x14ac:dyDescent="0.25">
      <c r="D2495">
        <f t="shared" ca="1" si="51"/>
        <v>56.842663938883746</v>
      </c>
    </row>
    <row r="2496" spans="4:4" x14ac:dyDescent="0.25">
      <c r="D2496">
        <f t="shared" ca="1" si="51"/>
        <v>71.546237929108216</v>
      </c>
    </row>
    <row r="2497" spans="4:4" x14ac:dyDescent="0.25">
      <c r="D2497">
        <f t="shared" ca="1" si="51"/>
        <v>44.65122135946379</v>
      </c>
    </row>
    <row r="2498" spans="4:4" x14ac:dyDescent="0.25">
      <c r="D2498">
        <f t="shared" ca="1" si="51"/>
        <v>48.045732862992132</v>
      </c>
    </row>
    <row r="2499" spans="4:4" x14ac:dyDescent="0.25">
      <c r="D2499">
        <f t="shared" ref="D2499:D2562" ca="1" si="52">_xlfn.T.INV(RAND(),25)*$G$3+$F$3</f>
        <v>48.61617973883034</v>
      </c>
    </row>
    <row r="2500" spans="4:4" x14ac:dyDescent="0.25">
      <c r="D2500">
        <f t="shared" ca="1" si="52"/>
        <v>51.137574854987591</v>
      </c>
    </row>
    <row r="2501" spans="4:4" x14ac:dyDescent="0.25">
      <c r="D2501">
        <f t="shared" ca="1" si="52"/>
        <v>52.017539143969216</v>
      </c>
    </row>
    <row r="2502" spans="4:4" x14ac:dyDescent="0.25">
      <c r="D2502">
        <f t="shared" ca="1" si="52"/>
        <v>40.728366509224038</v>
      </c>
    </row>
    <row r="2503" spans="4:4" x14ac:dyDescent="0.25">
      <c r="D2503">
        <f t="shared" ca="1" si="52"/>
        <v>49.506512085347467</v>
      </c>
    </row>
    <row r="2504" spans="4:4" x14ac:dyDescent="0.25">
      <c r="D2504">
        <f t="shared" ca="1" si="52"/>
        <v>53.308091835403644</v>
      </c>
    </row>
    <row r="2505" spans="4:4" x14ac:dyDescent="0.25">
      <c r="D2505">
        <f t="shared" ca="1" si="52"/>
        <v>50.502797275919534</v>
      </c>
    </row>
    <row r="2506" spans="4:4" x14ac:dyDescent="0.25">
      <c r="D2506">
        <f t="shared" ca="1" si="52"/>
        <v>52.078825949681772</v>
      </c>
    </row>
    <row r="2507" spans="4:4" x14ac:dyDescent="0.25">
      <c r="D2507">
        <f t="shared" ca="1" si="52"/>
        <v>49.657047219841914</v>
      </c>
    </row>
    <row r="2508" spans="4:4" x14ac:dyDescent="0.25">
      <c r="D2508">
        <f t="shared" ca="1" si="52"/>
        <v>52.253216186992944</v>
      </c>
    </row>
    <row r="2509" spans="4:4" x14ac:dyDescent="0.25">
      <c r="D2509">
        <f t="shared" ca="1" si="52"/>
        <v>56.789150700869193</v>
      </c>
    </row>
    <row r="2510" spans="4:4" x14ac:dyDescent="0.25">
      <c r="D2510">
        <f t="shared" ca="1" si="52"/>
        <v>50.685836832242472</v>
      </c>
    </row>
    <row r="2511" spans="4:4" x14ac:dyDescent="0.25">
      <c r="D2511">
        <f t="shared" ca="1" si="52"/>
        <v>48.63444902403802</v>
      </c>
    </row>
    <row r="2512" spans="4:4" x14ac:dyDescent="0.25">
      <c r="D2512">
        <f t="shared" ca="1" si="52"/>
        <v>45.934204513478413</v>
      </c>
    </row>
    <row r="2513" spans="4:4" x14ac:dyDescent="0.25">
      <c r="D2513">
        <f t="shared" ca="1" si="52"/>
        <v>54.637723958145678</v>
      </c>
    </row>
    <row r="2514" spans="4:4" x14ac:dyDescent="0.25">
      <c r="D2514">
        <f t="shared" ca="1" si="52"/>
        <v>53.379921843327033</v>
      </c>
    </row>
    <row r="2515" spans="4:4" x14ac:dyDescent="0.25">
      <c r="D2515">
        <f t="shared" ca="1" si="52"/>
        <v>45.602868242745238</v>
      </c>
    </row>
    <row r="2516" spans="4:4" x14ac:dyDescent="0.25">
      <c r="D2516">
        <f t="shared" ca="1" si="52"/>
        <v>43.605083434022191</v>
      </c>
    </row>
    <row r="2517" spans="4:4" x14ac:dyDescent="0.25">
      <c r="D2517">
        <f t="shared" ca="1" si="52"/>
        <v>47.744509321072819</v>
      </c>
    </row>
    <row r="2518" spans="4:4" x14ac:dyDescent="0.25">
      <c r="D2518">
        <f t="shared" ca="1" si="52"/>
        <v>51.051292376422559</v>
      </c>
    </row>
    <row r="2519" spans="4:4" x14ac:dyDescent="0.25">
      <c r="D2519">
        <f t="shared" ca="1" si="52"/>
        <v>51.608561663189562</v>
      </c>
    </row>
    <row r="2520" spans="4:4" x14ac:dyDescent="0.25">
      <c r="D2520">
        <f t="shared" ca="1" si="52"/>
        <v>49.166063608467375</v>
      </c>
    </row>
    <row r="2521" spans="4:4" x14ac:dyDescent="0.25">
      <c r="D2521">
        <f t="shared" ca="1" si="52"/>
        <v>52.092470011331137</v>
      </c>
    </row>
    <row r="2522" spans="4:4" x14ac:dyDescent="0.25">
      <c r="D2522">
        <f t="shared" ca="1" si="52"/>
        <v>45.195537190095855</v>
      </c>
    </row>
    <row r="2523" spans="4:4" x14ac:dyDescent="0.25">
      <c r="D2523">
        <f t="shared" ca="1" si="52"/>
        <v>57.89403144747785</v>
      </c>
    </row>
    <row r="2524" spans="4:4" x14ac:dyDescent="0.25">
      <c r="D2524">
        <f t="shared" ca="1" si="52"/>
        <v>47.053848081682339</v>
      </c>
    </row>
    <row r="2525" spans="4:4" x14ac:dyDescent="0.25">
      <c r="D2525">
        <f t="shared" ca="1" si="52"/>
        <v>49.693350292498806</v>
      </c>
    </row>
    <row r="2526" spans="4:4" x14ac:dyDescent="0.25">
      <c r="D2526">
        <f t="shared" ca="1" si="52"/>
        <v>43.102799734081039</v>
      </c>
    </row>
    <row r="2527" spans="4:4" x14ac:dyDescent="0.25">
      <c r="D2527">
        <f t="shared" ca="1" si="52"/>
        <v>43.970052589617183</v>
      </c>
    </row>
    <row r="2528" spans="4:4" x14ac:dyDescent="0.25">
      <c r="D2528">
        <f t="shared" ca="1" si="52"/>
        <v>39.885136379429269</v>
      </c>
    </row>
    <row r="2529" spans="4:4" x14ac:dyDescent="0.25">
      <c r="D2529">
        <f t="shared" ca="1" si="52"/>
        <v>48.165230528794666</v>
      </c>
    </row>
    <row r="2530" spans="4:4" x14ac:dyDescent="0.25">
      <c r="D2530">
        <f t="shared" ca="1" si="52"/>
        <v>50.41348104170207</v>
      </c>
    </row>
    <row r="2531" spans="4:4" x14ac:dyDescent="0.25">
      <c r="D2531">
        <f t="shared" ca="1" si="52"/>
        <v>44.400562859985676</v>
      </c>
    </row>
    <row r="2532" spans="4:4" x14ac:dyDescent="0.25">
      <c r="D2532">
        <f t="shared" ca="1" si="52"/>
        <v>50.838705786083082</v>
      </c>
    </row>
    <row r="2533" spans="4:4" x14ac:dyDescent="0.25">
      <c r="D2533">
        <f t="shared" ca="1" si="52"/>
        <v>50.57126365365346</v>
      </c>
    </row>
    <row r="2534" spans="4:4" x14ac:dyDescent="0.25">
      <c r="D2534">
        <f t="shared" ca="1" si="52"/>
        <v>51.588802765401013</v>
      </c>
    </row>
    <row r="2535" spans="4:4" x14ac:dyDescent="0.25">
      <c r="D2535">
        <f t="shared" ca="1" si="52"/>
        <v>54.129715868568802</v>
      </c>
    </row>
    <row r="2536" spans="4:4" x14ac:dyDescent="0.25">
      <c r="D2536">
        <f t="shared" ca="1" si="52"/>
        <v>38.999866108981585</v>
      </c>
    </row>
    <row r="2537" spans="4:4" x14ac:dyDescent="0.25">
      <c r="D2537">
        <f t="shared" ca="1" si="52"/>
        <v>49.072606912001206</v>
      </c>
    </row>
    <row r="2538" spans="4:4" x14ac:dyDescent="0.25">
      <c r="D2538">
        <f t="shared" ca="1" si="52"/>
        <v>53.219274965421867</v>
      </c>
    </row>
    <row r="2539" spans="4:4" x14ac:dyDescent="0.25">
      <c r="D2539">
        <f t="shared" ca="1" si="52"/>
        <v>51.725873910316587</v>
      </c>
    </row>
    <row r="2540" spans="4:4" x14ac:dyDescent="0.25">
      <c r="D2540">
        <f t="shared" ca="1" si="52"/>
        <v>54.940788712594781</v>
      </c>
    </row>
    <row r="2541" spans="4:4" x14ac:dyDescent="0.25">
      <c r="D2541">
        <f t="shared" ca="1" si="52"/>
        <v>47.552484596554471</v>
      </c>
    </row>
    <row r="2542" spans="4:4" x14ac:dyDescent="0.25">
      <c r="D2542">
        <f t="shared" ca="1" si="52"/>
        <v>51.01477918221957</v>
      </c>
    </row>
    <row r="2543" spans="4:4" x14ac:dyDescent="0.25">
      <c r="D2543">
        <f t="shared" ca="1" si="52"/>
        <v>57.005598628964073</v>
      </c>
    </row>
    <row r="2544" spans="4:4" x14ac:dyDescent="0.25">
      <c r="D2544">
        <f t="shared" ca="1" si="52"/>
        <v>43.474762514843064</v>
      </c>
    </row>
    <row r="2545" spans="4:4" x14ac:dyDescent="0.25">
      <c r="D2545">
        <f t="shared" ca="1" si="52"/>
        <v>48.980407571379693</v>
      </c>
    </row>
    <row r="2546" spans="4:4" x14ac:dyDescent="0.25">
      <c r="D2546">
        <f t="shared" ca="1" si="52"/>
        <v>53.534016397363928</v>
      </c>
    </row>
    <row r="2547" spans="4:4" x14ac:dyDescent="0.25">
      <c r="D2547">
        <f t="shared" ca="1" si="52"/>
        <v>51.919359151063304</v>
      </c>
    </row>
    <row r="2548" spans="4:4" x14ac:dyDescent="0.25">
      <c r="D2548">
        <f t="shared" ca="1" si="52"/>
        <v>56.194878684618267</v>
      </c>
    </row>
    <row r="2549" spans="4:4" x14ac:dyDescent="0.25">
      <c r="D2549">
        <f t="shared" ca="1" si="52"/>
        <v>46.096854500978743</v>
      </c>
    </row>
    <row r="2550" spans="4:4" x14ac:dyDescent="0.25">
      <c r="D2550">
        <f t="shared" ca="1" si="52"/>
        <v>43.035507720933339</v>
      </c>
    </row>
    <row r="2551" spans="4:4" x14ac:dyDescent="0.25">
      <c r="D2551">
        <f t="shared" ca="1" si="52"/>
        <v>40.720174064302498</v>
      </c>
    </row>
    <row r="2552" spans="4:4" x14ac:dyDescent="0.25">
      <c r="D2552">
        <f t="shared" ca="1" si="52"/>
        <v>54.382403836163796</v>
      </c>
    </row>
    <row r="2553" spans="4:4" x14ac:dyDescent="0.25">
      <c r="D2553">
        <f t="shared" ca="1" si="52"/>
        <v>41.41952682721351</v>
      </c>
    </row>
    <row r="2554" spans="4:4" x14ac:dyDescent="0.25">
      <c r="D2554">
        <f t="shared" ca="1" si="52"/>
        <v>45.646382974026579</v>
      </c>
    </row>
    <row r="2555" spans="4:4" x14ac:dyDescent="0.25">
      <c r="D2555">
        <f t="shared" ca="1" si="52"/>
        <v>46.938086350987355</v>
      </c>
    </row>
    <row r="2556" spans="4:4" x14ac:dyDescent="0.25">
      <c r="D2556">
        <f t="shared" ca="1" si="52"/>
        <v>52.632092120953629</v>
      </c>
    </row>
    <row r="2557" spans="4:4" x14ac:dyDescent="0.25">
      <c r="D2557">
        <f t="shared" ca="1" si="52"/>
        <v>49.307085013528152</v>
      </c>
    </row>
    <row r="2558" spans="4:4" x14ac:dyDescent="0.25">
      <c r="D2558">
        <f t="shared" ca="1" si="52"/>
        <v>44.480464276649791</v>
      </c>
    </row>
    <row r="2559" spans="4:4" x14ac:dyDescent="0.25">
      <c r="D2559">
        <f t="shared" ca="1" si="52"/>
        <v>55.353488356286611</v>
      </c>
    </row>
    <row r="2560" spans="4:4" x14ac:dyDescent="0.25">
      <c r="D2560">
        <f t="shared" ca="1" si="52"/>
        <v>52.304830704370566</v>
      </c>
    </row>
    <row r="2561" spans="4:4" x14ac:dyDescent="0.25">
      <c r="D2561">
        <f t="shared" ca="1" si="52"/>
        <v>53.483356365812355</v>
      </c>
    </row>
    <row r="2562" spans="4:4" x14ac:dyDescent="0.25">
      <c r="D2562">
        <f t="shared" ca="1" si="52"/>
        <v>48.859636237092325</v>
      </c>
    </row>
    <row r="2563" spans="4:4" x14ac:dyDescent="0.25">
      <c r="D2563">
        <f t="shared" ref="D2563:D2626" ca="1" si="53">_xlfn.T.INV(RAND(),25)*$G$3+$F$3</f>
        <v>41.756443405290398</v>
      </c>
    </row>
    <row r="2564" spans="4:4" x14ac:dyDescent="0.25">
      <c r="D2564">
        <f t="shared" ca="1" si="53"/>
        <v>55.894658172461362</v>
      </c>
    </row>
    <row r="2565" spans="4:4" x14ac:dyDescent="0.25">
      <c r="D2565">
        <f t="shared" ca="1" si="53"/>
        <v>48.005995123977627</v>
      </c>
    </row>
    <row r="2566" spans="4:4" x14ac:dyDescent="0.25">
      <c r="D2566">
        <f t="shared" ca="1" si="53"/>
        <v>48.63184438838713</v>
      </c>
    </row>
    <row r="2567" spans="4:4" x14ac:dyDescent="0.25">
      <c r="D2567">
        <f t="shared" ca="1" si="53"/>
        <v>47.746964356688032</v>
      </c>
    </row>
    <row r="2568" spans="4:4" x14ac:dyDescent="0.25">
      <c r="D2568">
        <f t="shared" ca="1" si="53"/>
        <v>40.846509161300879</v>
      </c>
    </row>
    <row r="2569" spans="4:4" x14ac:dyDescent="0.25">
      <c r="D2569">
        <f t="shared" ca="1" si="53"/>
        <v>48.526801325371395</v>
      </c>
    </row>
    <row r="2570" spans="4:4" x14ac:dyDescent="0.25">
      <c r="D2570">
        <f t="shared" ca="1" si="53"/>
        <v>53.730322711720497</v>
      </c>
    </row>
    <row r="2571" spans="4:4" x14ac:dyDescent="0.25">
      <c r="D2571">
        <f t="shared" ca="1" si="53"/>
        <v>55.759706558547087</v>
      </c>
    </row>
    <row r="2572" spans="4:4" x14ac:dyDescent="0.25">
      <c r="D2572">
        <f t="shared" ca="1" si="53"/>
        <v>51.635153531164526</v>
      </c>
    </row>
    <row r="2573" spans="4:4" x14ac:dyDescent="0.25">
      <c r="D2573">
        <f t="shared" ca="1" si="53"/>
        <v>52.68119640446232</v>
      </c>
    </row>
    <row r="2574" spans="4:4" x14ac:dyDescent="0.25">
      <c r="D2574">
        <f t="shared" ca="1" si="53"/>
        <v>51.429795293731409</v>
      </c>
    </row>
    <row r="2575" spans="4:4" x14ac:dyDescent="0.25">
      <c r="D2575">
        <f t="shared" ca="1" si="53"/>
        <v>47.324888901411185</v>
      </c>
    </row>
    <row r="2576" spans="4:4" x14ac:dyDescent="0.25">
      <c r="D2576">
        <f t="shared" ca="1" si="53"/>
        <v>46.139461901217153</v>
      </c>
    </row>
    <row r="2577" spans="4:4" x14ac:dyDescent="0.25">
      <c r="D2577">
        <f t="shared" ca="1" si="53"/>
        <v>54.315292418509593</v>
      </c>
    </row>
    <row r="2578" spans="4:4" x14ac:dyDescent="0.25">
      <c r="D2578">
        <f t="shared" ca="1" si="53"/>
        <v>46.11056472596583</v>
      </c>
    </row>
    <row r="2579" spans="4:4" x14ac:dyDescent="0.25">
      <c r="D2579">
        <f t="shared" ca="1" si="53"/>
        <v>43.260530804129885</v>
      </c>
    </row>
    <row r="2580" spans="4:4" x14ac:dyDescent="0.25">
      <c r="D2580">
        <f t="shared" ca="1" si="53"/>
        <v>52.547694045252221</v>
      </c>
    </row>
    <row r="2581" spans="4:4" x14ac:dyDescent="0.25">
      <c r="D2581">
        <f t="shared" ca="1" si="53"/>
        <v>50.004369822422497</v>
      </c>
    </row>
    <row r="2582" spans="4:4" x14ac:dyDescent="0.25">
      <c r="D2582">
        <f t="shared" ca="1" si="53"/>
        <v>54.90585974485461</v>
      </c>
    </row>
    <row r="2583" spans="4:4" x14ac:dyDescent="0.25">
      <c r="D2583">
        <f t="shared" ca="1" si="53"/>
        <v>57.990042117873642</v>
      </c>
    </row>
    <row r="2584" spans="4:4" x14ac:dyDescent="0.25">
      <c r="D2584">
        <f t="shared" ca="1" si="53"/>
        <v>50.410126424324446</v>
      </c>
    </row>
    <row r="2585" spans="4:4" x14ac:dyDescent="0.25">
      <c r="D2585">
        <f t="shared" ca="1" si="53"/>
        <v>49.214794574998606</v>
      </c>
    </row>
    <row r="2586" spans="4:4" x14ac:dyDescent="0.25">
      <c r="D2586">
        <f t="shared" ca="1" si="53"/>
        <v>50.480421165306666</v>
      </c>
    </row>
    <row r="2587" spans="4:4" x14ac:dyDescent="0.25">
      <c r="D2587">
        <f t="shared" ca="1" si="53"/>
        <v>54.215042911981499</v>
      </c>
    </row>
    <row r="2588" spans="4:4" x14ac:dyDescent="0.25">
      <c r="D2588">
        <f t="shared" ca="1" si="53"/>
        <v>45.724583068593581</v>
      </c>
    </row>
    <row r="2589" spans="4:4" x14ac:dyDescent="0.25">
      <c r="D2589">
        <f t="shared" ca="1" si="53"/>
        <v>54.808962219274008</v>
      </c>
    </row>
    <row r="2590" spans="4:4" x14ac:dyDescent="0.25">
      <c r="D2590">
        <f t="shared" ca="1" si="53"/>
        <v>58.291415059892628</v>
      </c>
    </row>
    <row r="2591" spans="4:4" x14ac:dyDescent="0.25">
      <c r="D2591">
        <f t="shared" ca="1" si="53"/>
        <v>44.680885065459215</v>
      </c>
    </row>
    <row r="2592" spans="4:4" x14ac:dyDescent="0.25">
      <c r="D2592">
        <f t="shared" ca="1" si="53"/>
        <v>49.696813081634296</v>
      </c>
    </row>
    <row r="2593" spans="4:4" x14ac:dyDescent="0.25">
      <c r="D2593">
        <f t="shared" ca="1" si="53"/>
        <v>51.430756338702366</v>
      </c>
    </row>
    <row r="2594" spans="4:4" x14ac:dyDescent="0.25">
      <c r="D2594">
        <f t="shared" ca="1" si="53"/>
        <v>46.299358191547746</v>
      </c>
    </row>
    <row r="2595" spans="4:4" x14ac:dyDescent="0.25">
      <c r="D2595">
        <f t="shared" ca="1" si="53"/>
        <v>40.150038699109828</v>
      </c>
    </row>
    <row r="2596" spans="4:4" x14ac:dyDescent="0.25">
      <c r="D2596">
        <f t="shared" ca="1" si="53"/>
        <v>46.2406681337647</v>
      </c>
    </row>
    <row r="2597" spans="4:4" x14ac:dyDescent="0.25">
      <c r="D2597">
        <f t="shared" ca="1" si="53"/>
        <v>47.751779346135187</v>
      </c>
    </row>
    <row r="2598" spans="4:4" x14ac:dyDescent="0.25">
      <c r="D2598">
        <f t="shared" ca="1" si="53"/>
        <v>48.99199497484927</v>
      </c>
    </row>
    <row r="2599" spans="4:4" x14ac:dyDescent="0.25">
      <c r="D2599">
        <f t="shared" ca="1" si="53"/>
        <v>50.083483144597295</v>
      </c>
    </row>
    <row r="2600" spans="4:4" x14ac:dyDescent="0.25">
      <c r="D2600">
        <f t="shared" ca="1" si="53"/>
        <v>52.641826396227373</v>
      </c>
    </row>
    <row r="2601" spans="4:4" x14ac:dyDescent="0.25">
      <c r="D2601">
        <f t="shared" ca="1" si="53"/>
        <v>46.388547718391003</v>
      </c>
    </row>
    <row r="2602" spans="4:4" x14ac:dyDescent="0.25">
      <c r="D2602">
        <f t="shared" ca="1" si="53"/>
        <v>50.080308849437962</v>
      </c>
    </row>
    <row r="2603" spans="4:4" x14ac:dyDescent="0.25">
      <c r="D2603">
        <f t="shared" ca="1" si="53"/>
        <v>43.577747720694425</v>
      </c>
    </row>
    <row r="2604" spans="4:4" x14ac:dyDescent="0.25">
      <c r="D2604">
        <f t="shared" ca="1" si="53"/>
        <v>54.695433078815185</v>
      </c>
    </row>
    <row r="2605" spans="4:4" x14ac:dyDescent="0.25">
      <c r="D2605">
        <f t="shared" ca="1" si="53"/>
        <v>46.703692583620814</v>
      </c>
    </row>
    <row r="2606" spans="4:4" x14ac:dyDescent="0.25">
      <c r="D2606">
        <f t="shared" ca="1" si="53"/>
        <v>47.919400780887877</v>
      </c>
    </row>
    <row r="2607" spans="4:4" x14ac:dyDescent="0.25">
      <c r="D2607">
        <f t="shared" ca="1" si="53"/>
        <v>51.995675947367822</v>
      </c>
    </row>
    <row r="2608" spans="4:4" x14ac:dyDescent="0.25">
      <c r="D2608">
        <f t="shared" ca="1" si="53"/>
        <v>62.889330706614828</v>
      </c>
    </row>
    <row r="2609" spans="4:4" x14ac:dyDescent="0.25">
      <c r="D2609">
        <f t="shared" ca="1" si="53"/>
        <v>52.13770560615616</v>
      </c>
    </row>
    <row r="2610" spans="4:4" x14ac:dyDescent="0.25">
      <c r="D2610">
        <f t="shared" ca="1" si="53"/>
        <v>54.536204245280153</v>
      </c>
    </row>
    <row r="2611" spans="4:4" x14ac:dyDescent="0.25">
      <c r="D2611">
        <f t="shared" ca="1" si="53"/>
        <v>44.976168265108882</v>
      </c>
    </row>
    <row r="2612" spans="4:4" x14ac:dyDescent="0.25">
      <c r="D2612">
        <f t="shared" ca="1" si="53"/>
        <v>47.587630823065993</v>
      </c>
    </row>
    <row r="2613" spans="4:4" x14ac:dyDescent="0.25">
      <c r="D2613">
        <f t="shared" ca="1" si="53"/>
        <v>47.636931162278231</v>
      </c>
    </row>
    <row r="2614" spans="4:4" x14ac:dyDescent="0.25">
      <c r="D2614">
        <f t="shared" ca="1" si="53"/>
        <v>60.028717077510017</v>
      </c>
    </row>
    <row r="2615" spans="4:4" x14ac:dyDescent="0.25">
      <c r="D2615">
        <f t="shared" ca="1" si="53"/>
        <v>55.841117026599953</v>
      </c>
    </row>
    <row r="2616" spans="4:4" x14ac:dyDescent="0.25">
      <c r="D2616">
        <f t="shared" ca="1" si="53"/>
        <v>49.014317689299702</v>
      </c>
    </row>
    <row r="2617" spans="4:4" x14ac:dyDescent="0.25">
      <c r="D2617">
        <f t="shared" ca="1" si="53"/>
        <v>49.747817645895353</v>
      </c>
    </row>
    <row r="2618" spans="4:4" x14ac:dyDescent="0.25">
      <c r="D2618">
        <f t="shared" ca="1" si="53"/>
        <v>45.716973659604321</v>
      </c>
    </row>
    <row r="2619" spans="4:4" x14ac:dyDescent="0.25">
      <c r="D2619">
        <f t="shared" ca="1" si="53"/>
        <v>50.571490700892497</v>
      </c>
    </row>
    <row r="2620" spans="4:4" x14ac:dyDescent="0.25">
      <c r="D2620">
        <f t="shared" ca="1" si="53"/>
        <v>38.604309011419616</v>
      </c>
    </row>
    <row r="2621" spans="4:4" x14ac:dyDescent="0.25">
      <c r="D2621">
        <f t="shared" ca="1" si="53"/>
        <v>57.101869805519563</v>
      </c>
    </row>
    <row r="2622" spans="4:4" x14ac:dyDescent="0.25">
      <c r="D2622">
        <f t="shared" ca="1" si="53"/>
        <v>53.243834532470899</v>
      </c>
    </row>
    <row r="2623" spans="4:4" x14ac:dyDescent="0.25">
      <c r="D2623">
        <f t="shared" ca="1" si="53"/>
        <v>53.802146871585514</v>
      </c>
    </row>
    <row r="2624" spans="4:4" x14ac:dyDescent="0.25">
      <c r="D2624">
        <f t="shared" ca="1" si="53"/>
        <v>46.370895947988437</v>
      </c>
    </row>
    <row r="2625" spans="4:4" x14ac:dyDescent="0.25">
      <c r="D2625">
        <f t="shared" ca="1" si="53"/>
        <v>50.090178694242084</v>
      </c>
    </row>
    <row r="2626" spans="4:4" x14ac:dyDescent="0.25">
      <c r="D2626">
        <f t="shared" ca="1" si="53"/>
        <v>49.856113675463476</v>
      </c>
    </row>
    <row r="2627" spans="4:4" x14ac:dyDescent="0.25">
      <c r="D2627">
        <f t="shared" ref="D2627:D2690" ca="1" si="54">_xlfn.T.INV(RAND(),25)*$G$3+$F$3</f>
        <v>47.369617849803376</v>
      </c>
    </row>
    <row r="2628" spans="4:4" x14ac:dyDescent="0.25">
      <c r="D2628">
        <f t="shared" ca="1" si="54"/>
        <v>52.902611123277822</v>
      </c>
    </row>
    <row r="2629" spans="4:4" x14ac:dyDescent="0.25">
      <c r="D2629">
        <f t="shared" ca="1" si="54"/>
        <v>51.542222392738914</v>
      </c>
    </row>
    <row r="2630" spans="4:4" x14ac:dyDescent="0.25">
      <c r="D2630">
        <f t="shared" ca="1" si="54"/>
        <v>65.84278802051864</v>
      </c>
    </row>
    <row r="2631" spans="4:4" x14ac:dyDescent="0.25">
      <c r="D2631">
        <f t="shared" ca="1" si="54"/>
        <v>51.385888888325418</v>
      </c>
    </row>
    <row r="2632" spans="4:4" x14ac:dyDescent="0.25">
      <c r="D2632">
        <f t="shared" ca="1" si="54"/>
        <v>44.846287148479824</v>
      </c>
    </row>
    <row r="2633" spans="4:4" x14ac:dyDescent="0.25">
      <c r="D2633">
        <f t="shared" ca="1" si="54"/>
        <v>53.975458188137452</v>
      </c>
    </row>
    <row r="2634" spans="4:4" x14ac:dyDescent="0.25">
      <c r="D2634">
        <f t="shared" ca="1" si="54"/>
        <v>43.157509488554822</v>
      </c>
    </row>
    <row r="2635" spans="4:4" x14ac:dyDescent="0.25">
      <c r="D2635">
        <f t="shared" ca="1" si="54"/>
        <v>52.135636543898123</v>
      </c>
    </row>
    <row r="2636" spans="4:4" x14ac:dyDescent="0.25">
      <c r="D2636">
        <f t="shared" ca="1" si="54"/>
        <v>53.753609483397135</v>
      </c>
    </row>
    <row r="2637" spans="4:4" x14ac:dyDescent="0.25">
      <c r="D2637">
        <f t="shared" ca="1" si="54"/>
        <v>46.308492782339286</v>
      </c>
    </row>
    <row r="2638" spans="4:4" x14ac:dyDescent="0.25">
      <c r="D2638">
        <f t="shared" ca="1" si="54"/>
        <v>50.830287076119404</v>
      </c>
    </row>
    <row r="2639" spans="4:4" x14ac:dyDescent="0.25">
      <c r="D2639">
        <f t="shared" ca="1" si="54"/>
        <v>56.729561526186075</v>
      </c>
    </row>
    <row r="2640" spans="4:4" x14ac:dyDescent="0.25">
      <c r="D2640">
        <f t="shared" ca="1" si="54"/>
        <v>39.018728958783512</v>
      </c>
    </row>
    <row r="2641" spans="4:4" x14ac:dyDescent="0.25">
      <c r="D2641">
        <f t="shared" ca="1" si="54"/>
        <v>39.850603756444499</v>
      </c>
    </row>
    <row r="2642" spans="4:4" x14ac:dyDescent="0.25">
      <c r="D2642">
        <f t="shared" ca="1" si="54"/>
        <v>50.004187655914357</v>
      </c>
    </row>
    <row r="2643" spans="4:4" x14ac:dyDescent="0.25">
      <c r="D2643">
        <f t="shared" ca="1" si="54"/>
        <v>53.547720084866889</v>
      </c>
    </row>
    <row r="2644" spans="4:4" x14ac:dyDescent="0.25">
      <c r="D2644">
        <f t="shared" ca="1" si="54"/>
        <v>52.980939017054197</v>
      </c>
    </row>
    <row r="2645" spans="4:4" x14ac:dyDescent="0.25">
      <c r="D2645">
        <f t="shared" ca="1" si="54"/>
        <v>50.033753385520662</v>
      </c>
    </row>
    <row r="2646" spans="4:4" x14ac:dyDescent="0.25">
      <c r="D2646">
        <f t="shared" ca="1" si="54"/>
        <v>48.615084789562019</v>
      </c>
    </row>
    <row r="2647" spans="4:4" x14ac:dyDescent="0.25">
      <c r="D2647">
        <f t="shared" ca="1" si="54"/>
        <v>51.719610396044992</v>
      </c>
    </row>
    <row r="2648" spans="4:4" x14ac:dyDescent="0.25">
      <c r="D2648">
        <f t="shared" ca="1" si="54"/>
        <v>54.418724872170991</v>
      </c>
    </row>
    <row r="2649" spans="4:4" x14ac:dyDescent="0.25">
      <c r="D2649">
        <f t="shared" ca="1" si="54"/>
        <v>49.925035457652008</v>
      </c>
    </row>
    <row r="2650" spans="4:4" x14ac:dyDescent="0.25">
      <c r="D2650">
        <f t="shared" ca="1" si="54"/>
        <v>39.95371683248527</v>
      </c>
    </row>
    <row r="2651" spans="4:4" x14ac:dyDescent="0.25">
      <c r="D2651">
        <f t="shared" ca="1" si="54"/>
        <v>44.020062056252137</v>
      </c>
    </row>
    <row r="2652" spans="4:4" x14ac:dyDescent="0.25">
      <c r="D2652">
        <f t="shared" ca="1" si="54"/>
        <v>57.012879848923333</v>
      </c>
    </row>
    <row r="2653" spans="4:4" x14ac:dyDescent="0.25">
      <c r="D2653">
        <f t="shared" ca="1" si="54"/>
        <v>50.388027181238506</v>
      </c>
    </row>
    <row r="2654" spans="4:4" x14ac:dyDescent="0.25">
      <c r="D2654">
        <f t="shared" ca="1" si="54"/>
        <v>52.95758549502947</v>
      </c>
    </row>
    <row r="2655" spans="4:4" x14ac:dyDescent="0.25">
      <c r="D2655">
        <f t="shared" ca="1" si="54"/>
        <v>46.08055585450645</v>
      </c>
    </row>
    <row r="2656" spans="4:4" x14ac:dyDescent="0.25">
      <c r="D2656">
        <f t="shared" ca="1" si="54"/>
        <v>52.16984745584513</v>
      </c>
    </row>
    <row r="2657" spans="4:4" x14ac:dyDescent="0.25">
      <c r="D2657">
        <f t="shared" ca="1" si="54"/>
        <v>50.876332577187164</v>
      </c>
    </row>
    <row r="2658" spans="4:4" x14ac:dyDescent="0.25">
      <c r="D2658">
        <f t="shared" ca="1" si="54"/>
        <v>58.854918351066623</v>
      </c>
    </row>
    <row r="2659" spans="4:4" x14ac:dyDescent="0.25">
      <c r="D2659">
        <f t="shared" ca="1" si="54"/>
        <v>55.591791266530514</v>
      </c>
    </row>
    <row r="2660" spans="4:4" x14ac:dyDescent="0.25">
      <c r="D2660">
        <f t="shared" ca="1" si="54"/>
        <v>49.523614728958222</v>
      </c>
    </row>
    <row r="2661" spans="4:4" x14ac:dyDescent="0.25">
      <c r="D2661">
        <f t="shared" ca="1" si="54"/>
        <v>51.109853740074101</v>
      </c>
    </row>
    <row r="2662" spans="4:4" x14ac:dyDescent="0.25">
      <c r="D2662">
        <f t="shared" ca="1" si="54"/>
        <v>53.697571760543219</v>
      </c>
    </row>
    <row r="2663" spans="4:4" x14ac:dyDescent="0.25">
      <c r="D2663">
        <f t="shared" ca="1" si="54"/>
        <v>55.176747526653884</v>
      </c>
    </row>
    <row r="2664" spans="4:4" x14ac:dyDescent="0.25">
      <c r="D2664">
        <f t="shared" ca="1" si="54"/>
        <v>43.372388719175412</v>
      </c>
    </row>
    <row r="2665" spans="4:4" x14ac:dyDescent="0.25">
      <c r="D2665">
        <f t="shared" ca="1" si="54"/>
        <v>45.747162723150538</v>
      </c>
    </row>
    <row r="2666" spans="4:4" x14ac:dyDescent="0.25">
      <c r="D2666">
        <f t="shared" ca="1" si="54"/>
        <v>49.747149731788625</v>
      </c>
    </row>
    <row r="2667" spans="4:4" x14ac:dyDescent="0.25">
      <c r="D2667">
        <f t="shared" ca="1" si="54"/>
        <v>42.881959263623429</v>
      </c>
    </row>
    <row r="2668" spans="4:4" x14ac:dyDescent="0.25">
      <c r="D2668">
        <f t="shared" ca="1" si="54"/>
        <v>55.932458778016183</v>
      </c>
    </row>
    <row r="2669" spans="4:4" x14ac:dyDescent="0.25">
      <c r="D2669">
        <f t="shared" ca="1" si="54"/>
        <v>38.085530707746528</v>
      </c>
    </row>
    <row r="2670" spans="4:4" x14ac:dyDescent="0.25">
      <c r="D2670">
        <f t="shared" ca="1" si="54"/>
        <v>52.918035377901234</v>
      </c>
    </row>
    <row r="2671" spans="4:4" x14ac:dyDescent="0.25">
      <c r="D2671">
        <f t="shared" ca="1" si="54"/>
        <v>46.162375739871464</v>
      </c>
    </row>
    <row r="2672" spans="4:4" x14ac:dyDescent="0.25">
      <c r="D2672">
        <f t="shared" ca="1" si="54"/>
        <v>50.982663982531825</v>
      </c>
    </row>
    <row r="2673" spans="4:4" x14ac:dyDescent="0.25">
      <c r="D2673">
        <f t="shared" ca="1" si="54"/>
        <v>46.646586034268658</v>
      </c>
    </row>
    <row r="2674" spans="4:4" x14ac:dyDescent="0.25">
      <c r="D2674">
        <f t="shared" ca="1" si="54"/>
        <v>51.296077596814413</v>
      </c>
    </row>
    <row r="2675" spans="4:4" x14ac:dyDescent="0.25">
      <c r="D2675">
        <f t="shared" ca="1" si="54"/>
        <v>54.738510340567558</v>
      </c>
    </row>
    <row r="2676" spans="4:4" x14ac:dyDescent="0.25">
      <c r="D2676">
        <f t="shared" ca="1" si="54"/>
        <v>46.304622302250166</v>
      </c>
    </row>
    <row r="2677" spans="4:4" x14ac:dyDescent="0.25">
      <c r="D2677">
        <f t="shared" ca="1" si="54"/>
        <v>53.358369339019404</v>
      </c>
    </row>
    <row r="2678" spans="4:4" x14ac:dyDescent="0.25">
      <c r="D2678">
        <f t="shared" ca="1" si="54"/>
        <v>50.540483484127932</v>
      </c>
    </row>
    <row r="2679" spans="4:4" x14ac:dyDescent="0.25">
      <c r="D2679">
        <f t="shared" ca="1" si="54"/>
        <v>46.882818106705059</v>
      </c>
    </row>
    <row r="2680" spans="4:4" x14ac:dyDescent="0.25">
      <c r="D2680">
        <f t="shared" ca="1" si="54"/>
        <v>42.581494859974342</v>
      </c>
    </row>
    <row r="2681" spans="4:4" x14ac:dyDescent="0.25">
      <c r="D2681">
        <f t="shared" ca="1" si="54"/>
        <v>54.83921006157852</v>
      </c>
    </row>
    <row r="2682" spans="4:4" x14ac:dyDescent="0.25">
      <c r="D2682">
        <f t="shared" ca="1" si="54"/>
        <v>39.072841728709619</v>
      </c>
    </row>
    <row r="2683" spans="4:4" x14ac:dyDescent="0.25">
      <c r="D2683">
        <f t="shared" ca="1" si="54"/>
        <v>48.377814353083245</v>
      </c>
    </row>
    <row r="2684" spans="4:4" x14ac:dyDescent="0.25">
      <c r="D2684">
        <f t="shared" ca="1" si="54"/>
        <v>47.730699076849689</v>
      </c>
    </row>
    <row r="2685" spans="4:4" x14ac:dyDescent="0.25">
      <c r="D2685">
        <f t="shared" ca="1" si="54"/>
        <v>46.996370006966153</v>
      </c>
    </row>
    <row r="2686" spans="4:4" x14ac:dyDescent="0.25">
      <c r="D2686">
        <f t="shared" ca="1" si="54"/>
        <v>36.829169095992711</v>
      </c>
    </row>
    <row r="2687" spans="4:4" x14ac:dyDescent="0.25">
      <c r="D2687">
        <f t="shared" ca="1" si="54"/>
        <v>50.911041686965305</v>
      </c>
    </row>
    <row r="2688" spans="4:4" x14ac:dyDescent="0.25">
      <c r="D2688">
        <f t="shared" ca="1" si="54"/>
        <v>56.113593839804579</v>
      </c>
    </row>
    <row r="2689" spans="4:4" x14ac:dyDescent="0.25">
      <c r="D2689">
        <f t="shared" ca="1" si="54"/>
        <v>48.878404900772402</v>
      </c>
    </row>
    <row r="2690" spans="4:4" x14ac:dyDescent="0.25">
      <c r="D2690">
        <f t="shared" ca="1" si="54"/>
        <v>49.038992693034345</v>
      </c>
    </row>
    <row r="2691" spans="4:4" x14ac:dyDescent="0.25">
      <c r="D2691">
        <f t="shared" ref="D2691:D2754" ca="1" si="55">_xlfn.T.INV(RAND(),25)*$G$3+$F$3</f>
        <v>48.161642266687316</v>
      </c>
    </row>
    <row r="2692" spans="4:4" x14ac:dyDescent="0.25">
      <c r="D2692">
        <f t="shared" ca="1" si="55"/>
        <v>50.593449473869747</v>
      </c>
    </row>
    <row r="2693" spans="4:4" x14ac:dyDescent="0.25">
      <c r="D2693">
        <f t="shared" ca="1" si="55"/>
        <v>40.961555640282143</v>
      </c>
    </row>
    <row r="2694" spans="4:4" x14ac:dyDescent="0.25">
      <c r="D2694">
        <f t="shared" ca="1" si="55"/>
        <v>46.136743708822664</v>
      </c>
    </row>
    <row r="2695" spans="4:4" x14ac:dyDescent="0.25">
      <c r="D2695">
        <f t="shared" ca="1" si="55"/>
        <v>42.668203498938659</v>
      </c>
    </row>
    <row r="2696" spans="4:4" x14ac:dyDescent="0.25">
      <c r="D2696">
        <f t="shared" ca="1" si="55"/>
        <v>41.130772325088714</v>
      </c>
    </row>
    <row r="2697" spans="4:4" x14ac:dyDescent="0.25">
      <c r="D2697">
        <f t="shared" ca="1" si="55"/>
        <v>49.516803383658676</v>
      </c>
    </row>
    <row r="2698" spans="4:4" x14ac:dyDescent="0.25">
      <c r="D2698">
        <f t="shared" ca="1" si="55"/>
        <v>56.839257391152778</v>
      </c>
    </row>
    <row r="2699" spans="4:4" x14ac:dyDescent="0.25">
      <c r="D2699">
        <f t="shared" ca="1" si="55"/>
        <v>47.433592221980433</v>
      </c>
    </row>
    <row r="2700" spans="4:4" x14ac:dyDescent="0.25">
      <c r="D2700">
        <f t="shared" ca="1" si="55"/>
        <v>49.807518974759112</v>
      </c>
    </row>
    <row r="2701" spans="4:4" x14ac:dyDescent="0.25">
      <c r="D2701">
        <f t="shared" ca="1" si="55"/>
        <v>53.571552042000214</v>
      </c>
    </row>
    <row r="2702" spans="4:4" x14ac:dyDescent="0.25">
      <c r="D2702">
        <f t="shared" ca="1" si="55"/>
        <v>55.309857360581141</v>
      </c>
    </row>
    <row r="2703" spans="4:4" x14ac:dyDescent="0.25">
      <c r="D2703">
        <f t="shared" ca="1" si="55"/>
        <v>47.568404422281674</v>
      </c>
    </row>
    <row r="2704" spans="4:4" x14ac:dyDescent="0.25">
      <c r="D2704">
        <f t="shared" ca="1" si="55"/>
        <v>52.618621545835737</v>
      </c>
    </row>
    <row r="2705" spans="4:4" x14ac:dyDescent="0.25">
      <c r="D2705">
        <f t="shared" ca="1" si="55"/>
        <v>49.098912496533167</v>
      </c>
    </row>
    <row r="2706" spans="4:4" x14ac:dyDescent="0.25">
      <c r="D2706">
        <f t="shared" ca="1" si="55"/>
        <v>47.361174164253214</v>
      </c>
    </row>
    <row r="2707" spans="4:4" x14ac:dyDescent="0.25">
      <c r="D2707">
        <f t="shared" ca="1" si="55"/>
        <v>38.777554234635076</v>
      </c>
    </row>
    <row r="2708" spans="4:4" x14ac:dyDescent="0.25">
      <c r="D2708">
        <f t="shared" ca="1" si="55"/>
        <v>43.005641752937088</v>
      </c>
    </row>
    <row r="2709" spans="4:4" x14ac:dyDescent="0.25">
      <c r="D2709">
        <f t="shared" ca="1" si="55"/>
        <v>46.487776229190125</v>
      </c>
    </row>
    <row r="2710" spans="4:4" x14ac:dyDescent="0.25">
      <c r="D2710">
        <f t="shared" ca="1" si="55"/>
        <v>59.698181927422468</v>
      </c>
    </row>
    <row r="2711" spans="4:4" x14ac:dyDescent="0.25">
      <c r="D2711">
        <f t="shared" ca="1" si="55"/>
        <v>50.67141122024902</v>
      </c>
    </row>
    <row r="2712" spans="4:4" x14ac:dyDescent="0.25">
      <c r="D2712">
        <f t="shared" ca="1" si="55"/>
        <v>40.977157447827253</v>
      </c>
    </row>
    <row r="2713" spans="4:4" x14ac:dyDescent="0.25">
      <c r="D2713">
        <f t="shared" ca="1" si="55"/>
        <v>47.202381788831154</v>
      </c>
    </row>
    <row r="2714" spans="4:4" x14ac:dyDescent="0.25">
      <c r="D2714">
        <f t="shared" ca="1" si="55"/>
        <v>50.897694048923782</v>
      </c>
    </row>
    <row r="2715" spans="4:4" x14ac:dyDescent="0.25">
      <c r="D2715">
        <f t="shared" ca="1" si="55"/>
        <v>55.433910859770187</v>
      </c>
    </row>
    <row r="2716" spans="4:4" x14ac:dyDescent="0.25">
      <c r="D2716">
        <f t="shared" ca="1" si="55"/>
        <v>53.712844822940298</v>
      </c>
    </row>
    <row r="2717" spans="4:4" x14ac:dyDescent="0.25">
      <c r="D2717">
        <f t="shared" ca="1" si="55"/>
        <v>53.199432399145394</v>
      </c>
    </row>
    <row r="2718" spans="4:4" x14ac:dyDescent="0.25">
      <c r="D2718">
        <f t="shared" ca="1" si="55"/>
        <v>52.392128449712615</v>
      </c>
    </row>
    <row r="2719" spans="4:4" x14ac:dyDescent="0.25">
      <c r="D2719">
        <f t="shared" ca="1" si="55"/>
        <v>55.544247343513682</v>
      </c>
    </row>
    <row r="2720" spans="4:4" x14ac:dyDescent="0.25">
      <c r="D2720">
        <f t="shared" ca="1" si="55"/>
        <v>49.701332438185531</v>
      </c>
    </row>
    <row r="2721" spans="4:4" x14ac:dyDescent="0.25">
      <c r="D2721">
        <f t="shared" ca="1" si="55"/>
        <v>46.86225575824772</v>
      </c>
    </row>
    <row r="2722" spans="4:4" x14ac:dyDescent="0.25">
      <c r="D2722">
        <f t="shared" ca="1" si="55"/>
        <v>54.686369855392293</v>
      </c>
    </row>
    <row r="2723" spans="4:4" x14ac:dyDescent="0.25">
      <c r="D2723">
        <f t="shared" ca="1" si="55"/>
        <v>45.561167085275493</v>
      </c>
    </row>
    <row r="2724" spans="4:4" x14ac:dyDescent="0.25">
      <c r="D2724">
        <f t="shared" ca="1" si="55"/>
        <v>49.616974485891298</v>
      </c>
    </row>
    <row r="2725" spans="4:4" x14ac:dyDescent="0.25">
      <c r="D2725">
        <f t="shared" ca="1" si="55"/>
        <v>43.813852260435219</v>
      </c>
    </row>
    <row r="2726" spans="4:4" x14ac:dyDescent="0.25">
      <c r="D2726">
        <f t="shared" ca="1" si="55"/>
        <v>47.79780845757363</v>
      </c>
    </row>
    <row r="2727" spans="4:4" x14ac:dyDescent="0.25">
      <c r="D2727">
        <f t="shared" ca="1" si="55"/>
        <v>56.718316927174804</v>
      </c>
    </row>
    <row r="2728" spans="4:4" x14ac:dyDescent="0.25">
      <c r="D2728">
        <f t="shared" ca="1" si="55"/>
        <v>51.291179828081901</v>
      </c>
    </row>
    <row r="2729" spans="4:4" x14ac:dyDescent="0.25">
      <c r="D2729">
        <f t="shared" ca="1" si="55"/>
        <v>45.798845328645378</v>
      </c>
    </row>
    <row r="2730" spans="4:4" x14ac:dyDescent="0.25">
      <c r="D2730">
        <f t="shared" ca="1" si="55"/>
        <v>58.93795523562126</v>
      </c>
    </row>
    <row r="2731" spans="4:4" x14ac:dyDescent="0.25">
      <c r="D2731">
        <f t="shared" ca="1" si="55"/>
        <v>44.009000632955669</v>
      </c>
    </row>
    <row r="2732" spans="4:4" x14ac:dyDescent="0.25">
      <c r="D2732">
        <f t="shared" ca="1" si="55"/>
        <v>48.18806674274159</v>
      </c>
    </row>
    <row r="2733" spans="4:4" x14ac:dyDescent="0.25">
      <c r="D2733">
        <f t="shared" ca="1" si="55"/>
        <v>52.229392165636199</v>
      </c>
    </row>
    <row r="2734" spans="4:4" x14ac:dyDescent="0.25">
      <c r="D2734">
        <f t="shared" ca="1" si="55"/>
        <v>57.429628483597646</v>
      </c>
    </row>
    <row r="2735" spans="4:4" x14ac:dyDescent="0.25">
      <c r="D2735">
        <f t="shared" ca="1" si="55"/>
        <v>48.234843257890553</v>
      </c>
    </row>
    <row r="2736" spans="4:4" x14ac:dyDescent="0.25">
      <c r="D2736">
        <f t="shared" ca="1" si="55"/>
        <v>49.064237891934631</v>
      </c>
    </row>
    <row r="2737" spans="4:4" x14ac:dyDescent="0.25">
      <c r="D2737">
        <f t="shared" ca="1" si="55"/>
        <v>47.046018021274186</v>
      </c>
    </row>
    <row r="2738" spans="4:4" x14ac:dyDescent="0.25">
      <c r="D2738">
        <f t="shared" ca="1" si="55"/>
        <v>54.027830195042405</v>
      </c>
    </row>
    <row r="2739" spans="4:4" x14ac:dyDescent="0.25">
      <c r="D2739">
        <f t="shared" ca="1" si="55"/>
        <v>41.508999249156197</v>
      </c>
    </row>
    <row r="2740" spans="4:4" x14ac:dyDescent="0.25">
      <c r="D2740">
        <f t="shared" ca="1" si="55"/>
        <v>52.117603122715948</v>
      </c>
    </row>
    <row r="2741" spans="4:4" x14ac:dyDescent="0.25">
      <c r="D2741">
        <f t="shared" ca="1" si="55"/>
        <v>52.696041217378401</v>
      </c>
    </row>
    <row r="2742" spans="4:4" x14ac:dyDescent="0.25">
      <c r="D2742">
        <f t="shared" ca="1" si="55"/>
        <v>47.483686844619008</v>
      </c>
    </row>
    <row r="2743" spans="4:4" x14ac:dyDescent="0.25">
      <c r="D2743">
        <f t="shared" ca="1" si="55"/>
        <v>54.47697755679259</v>
      </c>
    </row>
    <row r="2744" spans="4:4" x14ac:dyDescent="0.25">
      <c r="D2744">
        <f t="shared" ca="1" si="55"/>
        <v>47.202997623084656</v>
      </c>
    </row>
    <row r="2745" spans="4:4" x14ac:dyDescent="0.25">
      <c r="D2745">
        <f t="shared" ca="1" si="55"/>
        <v>49.654105154149242</v>
      </c>
    </row>
    <row r="2746" spans="4:4" x14ac:dyDescent="0.25">
      <c r="D2746">
        <f t="shared" ca="1" si="55"/>
        <v>47.32163241139331</v>
      </c>
    </row>
    <row r="2747" spans="4:4" x14ac:dyDescent="0.25">
      <c r="D2747">
        <f t="shared" ca="1" si="55"/>
        <v>45.315887844368582</v>
      </c>
    </row>
    <row r="2748" spans="4:4" x14ac:dyDescent="0.25">
      <c r="D2748">
        <f t="shared" ca="1" si="55"/>
        <v>42.586728526674321</v>
      </c>
    </row>
    <row r="2749" spans="4:4" x14ac:dyDescent="0.25">
      <c r="D2749">
        <f t="shared" ca="1" si="55"/>
        <v>49.160867621937449</v>
      </c>
    </row>
    <row r="2750" spans="4:4" x14ac:dyDescent="0.25">
      <c r="D2750">
        <f t="shared" ca="1" si="55"/>
        <v>58.588888049975374</v>
      </c>
    </row>
    <row r="2751" spans="4:4" x14ac:dyDescent="0.25">
      <c r="D2751">
        <f t="shared" ca="1" si="55"/>
        <v>46.62273339986551</v>
      </c>
    </row>
    <row r="2752" spans="4:4" x14ac:dyDescent="0.25">
      <c r="D2752">
        <f t="shared" ca="1" si="55"/>
        <v>45.633825132885804</v>
      </c>
    </row>
    <row r="2753" spans="4:4" x14ac:dyDescent="0.25">
      <c r="D2753">
        <f t="shared" ca="1" si="55"/>
        <v>51.500713989602374</v>
      </c>
    </row>
    <row r="2754" spans="4:4" x14ac:dyDescent="0.25">
      <c r="D2754">
        <f t="shared" ca="1" si="55"/>
        <v>40.99631074026923</v>
      </c>
    </row>
    <row r="2755" spans="4:4" x14ac:dyDescent="0.25">
      <c r="D2755">
        <f t="shared" ref="D2755:D2818" ca="1" si="56">_xlfn.T.INV(RAND(),25)*$G$3+$F$3</f>
        <v>43.098482318064157</v>
      </c>
    </row>
    <row r="2756" spans="4:4" x14ac:dyDescent="0.25">
      <c r="D2756">
        <f t="shared" ca="1" si="56"/>
        <v>51.67440892647884</v>
      </c>
    </row>
    <row r="2757" spans="4:4" x14ac:dyDescent="0.25">
      <c r="D2757">
        <f t="shared" ca="1" si="56"/>
        <v>48.930630338498219</v>
      </c>
    </row>
    <row r="2758" spans="4:4" x14ac:dyDescent="0.25">
      <c r="D2758">
        <f t="shared" ca="1" si="56"/>
        <v>47.144325212058916</v>
      </c>
    </row>
    <row r="2759" spans="4:4" x14ac:dyDescent="0.25">
      <c r="D2759">
        <f t="shared" ca="1" si="56"/>
        <v>49.546792022265521</v>
      </c>
    </row>
    <row r="2760" spans="4:4" x14ac:dyDescent="0.25">
      <c r="D2760">
        <f t="shared" ca="1" si="56"/>
        <v>54.307130909053775</v>
      </c>
    </row>
    <row r="2761" spans="4:4" x14ac:dyDescent="0.25">
      <c r="D2761">
        <f t="shared" ca="1" si="56"/>
        <v>50.847069374477158</v>
      </c>
    </row>
    <row r="2762" spans="4:4" x14ac:dyDescent="0.25">
      <c r="D2762">
        <f t="shared" ca="1" si="56"/>
        <v>53.264627271343613</v>
      </c>
    </row>
    <row r="2763" spans="4:4" x14ac:dyDescent="0.25">
      <c r="D2763">
        <f t="shared" ca="1" si="56"/>
        <v>50.813151652019542</v>
      </c>
    </row>
    <row r="2764" spans="4:4" x14ac:dyDescent="0.25">
      <c r="D2764">
        <f t="shared" ca="1" si="56"/>
        <v>50.548065405219546</v>
      </c>
    </row>
    <row r="2765" spans="4:4" x14ac:dyDescent="0.25">
      <c r="D2765">
        <f t="shared" ca="1" si="56"/>
        <v>51.043344897485333</v>
      </c>
    </row>
    <row r="2766" spans="4:4" x14ac:dyDescent="0.25">
      <c r="D2766">
        <f t="shared" ca="1" si="56"/>
        <v>46.00710541982734</v>
      </c>
    </row>
    <row r="2767" spans="4:4" x14ac:dyDescent="0.25">
      <c r="D2767">
        <f t="shared" ca="1" si="56"/>
        <v>46.608283875993223</v>
      </c>
    </row>
    <row r="2768" spans="4:4" x14ac:dyDescent="0.25">
      <c r="D2768">
        <f t="shared" ca="1" si="56"/>
        <v>48.952426668136027</v>
      </c>
    </row>
    <row r="2769" spans="4:4" x14ac:dyDescent="0.25">
      <c r="D2769">
        <f t="shared" ca="1" si="56"/>
        <v>49.777257845769235</v>
      </c>
    </row>
    <row r="2770" spans="4:4" x14ac:dyDescent="0.25">
      <c r="D2770">
        <f t="shared" ca="1" si="56"/>
        <v>51.197145076008361</v>
      </c>
    </row>
    <row r="2771" spans="4:4" x14ac:dyDescent="0.25">
      <c r="D2771">
        <f t="shared" ca="1" si="56"/>
        <v>52.095574832733163</v>
      </c>
    </row>
    <row r="2772" spans="4:4" x14ac:dyDescent="0.25">
      <c r="D2772">
        <f t="shared" ca="1" si="56"/>
        <v>44.568967305291714</v>
      </c>
    </row>
    <row r="2773" spans="4:4" x14ac:dyDescent="0.25">
      <c r="D2773">
        <f t="shared" ca="1" si="56"/>
        <v>48.293758123248303</v>
      </c>
    </row>
    <row r="2774" spans="4:4" x14ac:dyDescent="0.25">
      <c r="D2774">
        <f t="shared" ca="1" si="56"/>
        <v>50.48954412726944</v>
      </c>
    </row>
    <row r="2775" spans="4:4" x14ac:dyDescent="0.25">
      <c r="D2775">
        <f t="shared" ca="1" si="56"/>
        <v>47.534540739872455</v>
      </c>
    </row>
    <row r="2776" spans="4:4" x14ac:dyDescent="0.25">
      <c r="D2776">
        <f t="shared" ca="1" si="56"/>
        <v>44.18026671664709</v>
      </c>
    </row>
    <row r="2777" spans="4:4" x14ac:dyDescent="0.25">
      <c r="D2777">
        <f t="shared" ca="1" si="56"/>
        <v>44.403889784330019</v>
      </c>
    </row>
    <row r="2778" spans="4:4" x14ac:dyDescent="0.25">
      <c r="D2778">
        <f t="shared" ca="1" si="56"/>
        <v>41.09006628667791</v>
      </c>
    </row>
    <row r="2779" spans="4:4" x14ac:dyDescent="0.25">
      <c r="D2779">
        <f t="shared" ca="1" si="56"/>
        <v>48.879151903693341</v>
      </c>
    </row>
    <row r="2780" spans="4:4" x14ac:dyDescent="0.25">
      <c r="D2780">
        <f t="shared" ca="1" si="56"/>
        <v>43.378544191235036</v>
      </c>
    </row>
    <row r="2781" spans="4:4" x14ac:dyDescent="0.25">
      <c r="D2781">
        <f t="shared" ca="1" si="56"/>
        <v>49.08410727754606</v>
      </c>
    </row>
    <row r="2782" spans="4:4" x14ac:dyDescent="0.25">
      <c r="D2782">
        <f t="shared" ca="1" si="56"/>
        <v>51.903520078911605</v>
      </c>
    </row>
    <row r="2783" spans="4:4" x14ac:dyDescent="0.25">
      <c r="D2783">
        <f t="shared" ca="1" si="56"/>
        <v>50.52756923695928</v>
      </c>
    </row>
    <row r="2784" spans="4:4" x14ac:dyDescent="0.25">
      <c r="D2784">
        <f t="shared" ca="1" si="56"/>
        <v>50.201589701111835</v>
      </c>
    </row>
    <row r="2785" spans="4:4" x14ac:dyDescent="0.25">
      <c r="D2785">
        <f t="shared" ca="1" si="56"/>
        <v>48.502402734825139</v>
      </c>
    </row>
    <row r="2786" spans="4:4" x14ac:dyDescent="0.25">
      <c r="D2786">
        <f t="shared" ca="1" si="56"/>
        <v>45.286650300659183</v>
      </c>
    </row>
    <row r="2787" spans="4:4" x14ac:dyDescent="0.25">
      <c r="D2787">
        <f t="shared" ca="1" si="56"/>
        <v>53.545642117703558</v>
      </c>
    </row>
    <row r="2788" spans="4:4" x14ac:dyDescent="0.25">
      <c r="D2788">
        <f t="shared" ca="1" si="56"/>
        <v>42.70805994481811</v>
      </c>
    </row>
    <row r="2789" spans="4:4" x14ac:dyDescent="0.25">
      <c r="D2789">
        <f t="shared" ca="1" si="56"/>
        <v>50.340485262594321</v>
      </c>
    </row>
    <row r="2790" spans="4:4" x14ac:dyDescent="0.25">
      <c r="D2790">
        <f t="shared" ca="1" si="56"/>
        <v>42.165713598273918</v>
      </c>
    </row>
    <row r="2791" spans="4:4" x14ac:dyDescent="0.25">
      <c r="D2791">
        <f t="shared" ca="1" si="56"/>
        <v>52.818378691034091</v>
      </c>
    </row>
    <row r="2792" spans="4:4" x14ac:dyDescent="0.25">
      <c r="D2792">
        <f t="shared" ca="1" si="56"/>
        <v>55.316048039580153</v>
      </c>
    </row>
    <row r="2793" spans="4:4" x14ac:dyDescent="0.25">
      <c r="D2793">
        <f t="shared" ca="1" si="56"/>
        <v>51.703499842492796</v>
      </c>
    </row>
    <row r="2794" spans="4:4" x14ac:dyDescent="0.25">
      <c r="D2794">
        <f t="shared" ca="1" si="56"/>
        <v>44.036594983985594</v>
      </c>
    </row>
    <row r="2795" spans="4:4" x14ac:dyDescent="0.25">
      <c r="D2795">
        <f t="shared" ca="1" si="56"/>
        <v>51.852546239860118</v>
      </c>
    </row>
    <row r="2796" spans="4:4" x14ac:dyDescent="0.25">
      <c r="D2796">
        <f t="shared" ca="1" si="56"/>
        <v>48.048706886579069</v>
      </c>
    </row>
    <row r="2797" spans="4:4" x14ac:dyDescent="0.25">
      <c r="D2797">
        <f t="shared" ca="1" si="56"/>
        <v>50.071427146701517</v>
      </c>
    </row>
    <row r="2798" spans="4:4" x14ac:dyDescent="0.25">
      <c r="D2798">
        <f t="shared" ca="1" si="56"/>
        <v>50.01897438262624</v>
      </c>
    </row>
    <row r="2799" spans="4:4" x14ac:dyDescent="0.25">
      <c r="D2799">
        <f t="shared" ca="1" si="56"/>
        <v>54.269428299357138</v>
      </c>
    </row>
    <row r="2800" spans="4:4" x14ac:dyDescent="0.25">
      <c r="D2800">
        <f t="shared" ca="1" si="56"/>
        <v>47.57198020188752</v>
      </c>
    </row>
    <row r="2801" spans="4:4" x14ac:dyDescent="0.25">
      <c r="D2801">
        <f t="shared" ca="1" si="56"/>
        <v>54.467122048342276</v>
      </c>
    </row>
    <row r="2802" spans="4:4" x14ac:dyDescent="0.25">
      <c r="D2802">
        <f t="shared" ca="1" si="56"/>
        <v>54.880853313201222</v>
      </c>
    </row>
    <row r="2803" spans="4:4" x14ac:dyDescent="0.25">
      <c r="D2803">
        <f t="shared" ca="1" si="56"/>
        <v>56.763392399829648</v>
      </c>
    </row>
    <row r="2804" spans="4:4" x14ac:dyDescent="0.25">
      <c r="D2804">
        <f t="shared" ca="1" si="56"/>
        <v>52.91608226327898</v>
      </c>
    </row>
    <row r="2805" spans="4:4" x14ac:dyDescent="0.25">
      <c r="D2805">
        <f t="shared" ca="1" si="56"/>
        <v>43.78640157324044</v>
      </c>
    </row>
    <row r="2806" spans="4:4" x14ac:dyDescent="0.25">
      <c r="D2806">
        <f t="shared" ca="1" si="56"/>
        <v>51.994779975363329</v>
      </c>
    </row>
    <row r="2807" spans="4:4" x14ac:dyDescent="0.25">
      <c r="D2807">
        <f t="shared" ca="1" si="56"/>
        <v>39.003338163886077</v>
      </c>
    </row>
    <row r="2808" spans="4:4" x14ac:dyDescent="0.25">
      <c r="D2808">
        <f t="shared" ca="1" si="56"/>
        <v>49.3002857925377</v>
      </c>
    </row>
    <row r="2809" spans="4:4" x14ac:dyDescent="0.25">
      <c r="D2809">
        <f t="shared" ca="1" si="56"/>
        <v>55.455201881440061</v>
      </c>
    </row>
    <row r="2810" spans="4:4" x14ac:dyDescent="0.25">
      <c r="D2810">
        <f t="shared" ca="1" si="56"/>
        <v>43.673790853661266</v>
      </c>
    </row>
    <row r="2811" spans="4:4" x14ac:dyDescent="0.25">
      <c r="D2811">
        <f t="shared" ca="1" si="56"/>
        <v>40.987770933480206</v>
      </c>
    </row>
    <row r="2812" spans="4:4" x14ac:dyDescent="0.25">
      <c r="D2812">
        <f t="shared" ca="1" si="56"/>
        <v>54.755964570946659</v>
      </c>
    </row>
    <row r="2813" spans="4:4" x14ac:dyDescent="0.25">
      <c r="D2813">
        <f t="shared" ca="1" si="56"/>
        <v>48.452740845961983</v>
      </c>
    </row>
    <row r="2814" spans="4:4" x14ac:dyDescent="0.25">
      <c r="D2814">
        <f t="shared" ca="1" si="56"/>
        <v>53.603953235767449</v>
      </c>
    </row>
    <row r="2815" spans="4:4" x14ac:dyDescent="0.25">
      <c r="D2815">
        <f t="shared" ca="1" si="56"/>
        <v>53.880817505668851</v>
      </c>
    </row>
    <row r="2816" spans="4:4" x14ac:dyDescent="0.25">
      <c r="D2816">
        <f t="shared" ca="1" si="56"/>
        <v>46.390400624444467</v>
      </c>
    </row>
    <row r="2817" spans="4:4" x14ac:dyDescent="0.25">
      <c r="D2817">
        <f t="shared" ca="1" si="56"/>
        <v>52.418102038917105</v>
      </c>
    </row>
    <row r="2818" spans="4:4" x14ac:dyDescent="0.25">
      <c r="D2818">
        <f t="shared" ca="1" si="56"/>
        <v>48.037184207327954</v>
      </c>
    </row>
    <row r="2819" spans="4:4" x14ac:dyDescent="0.25">
      <c r="D2819">
        <f t="shared" ref="D2819:D2882" ca="1" si="57">_xlfn.T.INV(RAND(),25)*$G$3+$F$3</f>
        <v>49.660698747184824</v>
      </c>
    </row>
    <row r="2820" spans="4:4" x14ac:dyDescent="0.25">
      <c r="D2820">
        <f t="shared" ca="1" si="57"/>
        <v>51.832712845180744</v>
      </c>
    </row>
    <row r="2821" spans="4:4" x14ac:dyDescent="0.25">
      <c r="D2821">
        <f t="shared" ca="1" si="57"/>
        <v>45.985946616693205</v>
      </c>
    </row>
    <row r="2822" spans="4:4" x14ac:dyDescent="0.25">
      <c r="D2822">
        <f t="shared" ca="1" si="57"/>
        <v>57.935952669493716</v>
      </c>
    </row>
    <row r="2823" spans="4:4" x14ac:dyDescent="0.25">
      <c r="D2823">
        <f t="shared" ca="1" si="57"/>
        <v>52.300541787117155</v>
      </c>
    </row>
    <row r="2824" spans="4:4" x14ac:dyDescent="0.25">
      <c r="D2824">
        <f t="shared" ca="1" si="57"/>
        <v>48.919491132460131</v>
      </c>
    </row>
    <row r="2825" spans="4:4" x14ac:dyDescent="0.25">
      <c r="D2825">
        <f t="shared" ca="1" si="57"/>
        <v>47.024518332682774</v>
      </c>
    </row>
    <row r="2826" spans="4:4" x14ac:dyDescent="0.25">
      <c r="D2826">
        <f t="shared" ca="1" si="57"/>
        <v>40.791493449713769</v>
      </c>
    </row>
    <row r="2827" spans="4:4" x14ac:dyDescent="0.25">
      <c r="D2827">
        <f t="shared" ca="1" si="57"/>
        <v>53.340161118301928</v>
      </c>
    </row>
    <row r="2828" spans="4:4" x14ac:dyDescent="0.25">
      <c r="D2828">
        <f t="shared" ca="1" si="57"/>
        <v>50.907041138033556</v>
      </c>
    </row>
    <row r="2829" spans="4:4" x14ac:dyDescent="0.25">
      <c r="D2829">
        <f t="shared" ca="1" si="57"/>
        <v>43.22246472228845</v>
      </c>
    </row>
    <row r="2830" spans="4:4" x14ac:dyDescent="0.25">
      <c r="D2830">
        <f t="shared" ca="1" si="57"/>
        <v>46.815221171238875</v>
      </c>
    </row>
    <row r="2831" spans="4:4" x14ac:dyDescent="0.25">
      <c r="D2831">
        <f t="shared" ca="1" si="57"/>
        <v>51.614965861899435</v>
      </c>
    </row>
    <row r="2832" spans="4:4" x14ac:dyDescent="0.25">
      <c r="D2832">
        <f t="shared" ca="1" si="57"/>
        <v>43.097418558556996</v>
      </c>
    </row>
    <row r="2833" spans="4:4" x14ac:dyDescent="0.25">
      <c r="D2833">
        <f t="shared" ca="1" si="57"/>
        <v>40.330513474810132</v>
      </c>
    </row>
    <row r="2834" spans="4:4" x14ac:dyDescent="0.25">
      <c r="D2834">
        <f t="shared" ca="1" si="57"/>
        <v>55.753636460963222</v>
      </c>
    </row>
    <row r="2835" spans="4:4" x14ac:dyDescent="0.25">
      <c r="D2835">
        <f t="shared" ca="1" si="57"/>
        <v>48.396985651214564</v>
      </c>
    </row>
    <row r="2836" spans="4:4" x14ac:dyDescent="0.25">
      <c r="D2836">
        <f t="shared" ca="1" si="57"/>
        <v>44.990192822219242</v>
      </c>
    </row>
    <row r="2837" spans="4:4" x14ac:dyDescent="0.25">
      <c r="D2837">
        <f t="shared" ca="1" si="57"/>
        <v>45.137304449119185</v>
      </c>
    </row>
    <row r="2838" spans="4:4" x14ac:dyDescent="0.25">
      <c r="D2838">
        <f t="shared" ca="1" si="57"/>
        <v>53.071855823083013</v>
      </c>
    </row>
    <row r="2839" spans="4:4" x14ac:dyDescent="0.25">
      <c r="D2839">
        <f t="shared" ca="1" si="57"/>
        <v>54.135434928560855</v>
      </c>
    </row>
    <row r="2840" spans="4:4" x14ac:dyDescent="0.25">
      <c r="D2840">
        <f t="shared" ca="1" si="57"/>
        <v>47.365606322822131</v>
      </c>
    </row>
    <row r="2841" spans="4:4" x14ac:dyDescent="0.25">
      <c r="D2841">
        <f t="shared" ca="1" si="57"/>
        <v>52.822496209204161</v>
      </c>
    </row>
    <row r="2842" spans="4:4" x14ac:dyDescent="0.25">
      <c r="D2842">
        <f t="shared" ca="1" si="57"/>
        <v>45.275695483617802</v>
      </c>
    </row>
    <row r="2843" spans="4:4" x14ac:dyDescent="0.25">
      <c r="D2843">
        <f t="shared" ca="1" si="57"/>
        <v>52.236706600136714</v>
      </c>
    </row>
    <row r="2844" spans="4:4" x14ac:dyDescent="0.25">
      <c r="D2844">
        <f t="shared" ca="1" si="57"/>
        <v>46.789481245318498</v>
      </c>
    </row>
    <row r="2845" spans="4:4" x14ac:dyDescent="0.25">
      <c r="D2845">
        <f t="shared" ca="1" si="57"/>
        <v>46.086959897806366</v>
      </c>
    </row>
    <row r="2846" spans="4:4" x14ac:dyDescent="0.25">
      <c r="D2846">
        <f t="shared" ca="1" si="57"/>
        <v>50.286129535352885</v>
      </c>
    </row>
    <row r="2847" spans="4:4" x14ac:dyDescent="0.25">
      <c r="D2847">
        <f t="shared" ca="1" si="57"/>
        <v>48.355636581349849</v>
      </c>
    </row>
    <row r="2848" spans="4:4" x14ac:dyDescent="0.25">
      <c r="D2848">
        <f t="shared" ca="1" si="57"/>
        <v>52.685353598631593</v>
      </c>
    </row>
    <row r="2849" spans="4:4" x14ac:dyDescent="0.25">
      <c r="D2849">
        <f t="shared" ca="1" si="57"/>
        <v>50.327691364538367</v>
      </c>
    </row>
    <row r="2850" spans="4:4" x14ac:dyDescent="0.25">
      <c r="D2850">
        <f t="shared" ca="1" si="57"/>
        <v>41.554905458667172</v>
      </c>
    </row>
    <row r="2851" spans="4:4" x14ac:dyDescent="0.25">
      <c r="D2851">
        <f t="shared" ca="1" si="57"/>
        <v>52.297548813295634</v>
      </c>
    </row>
    <row r="2852" spans="4:4" x14ac:dyDescent="0.25">
      <c r="D2852">
        <f t="shared" ca="1" si="57"/>
        <v>47.427923987636056</v>
      </c>
    </row>
    <row r="2853" spans="4:4" x14ac:dyDescent="0.25">
      <c r="D2853">
        <f t="shared" ca="1" si="57"/>
        <v>52.40140581816194</v>
      </c>
    </row>
    <row r="2854" spans="4:4" x14ac:dyDescent="0.25">
      <c r="D2854">
        <f t="shared" ca="1" si="57"/>
        <v>50.866671949076348</v>
      </c>
    </row>
    <row r="2855" spans="4:4" x14ac:dyDescent="0.25">
      <c r="D2855">
        <f t="shared" ca="1" si="57"/>
        <v>49.554588305062609</v>
      </c>
    </row>
    <row r="2856" spans="4:4" x14ac:dyDescent="0.25">
      <c r="D2856">
        <f t="shared" ca="1" si="57"/>
        <v>46.788832466330305</v>
      </c>
    </row>
    <row r="2857" spans="4:4" x14ac:dyDescent="0.25">
      <c r="D2857">
        <f t="shared" ca="1" si="57"/>
        <v>46.718574079720625</v>
      </c>
    </row>
    <row r="2858" spans="4:4" x14ac:dyDescent="0.25">
      <c r="D2858">
        <f t="shared" ca="1" si="57"/>
        <v>51.084675633589626</v>
      </c>
    </row>
    <row r="2859" spans="4:4" x14ac:dyDescent="0.25">
      <c r="D2859">
        <f t="shared" ca="1" si="57"/>
        <v>62.957981153692025</v>
      </c>
    </row>
    <row r="2860" spans="4:4" x14ac:dyDescent="0.25">
      <c r="D2860">
        <f t="shared" ca="1" si="57"/>
        <v>52.874682266384617</v>
      </c>
    </row>
    <row r="2861" spans="4:4" x14ac:dyDescent="0.25">
      <c r="D2861">
        <f t="shared" ca="1" si="57"/>
        <v>48.005699158884809</v>
      </c>
    </row>
    <row r="2862" spans="4:4" x14ac:dyDescent="0.25">
      <c r="D2862">
        <f t="shared" ca="1" si="57"/>
        <v>49.926140150532277</v>
      </c>
    </row>
    <row r="2863" spans="4:4" x14ac:dyDescent="0.25">
      <c r="D2863">
        <f t="shared" ca="1" si="57"/>
        <v>58.78839324023501</v>
      </c>
    </row>
    <row r="2864" spans="4:4" x14ac:dyDescent="0.25">
      <c r="D2864">
        <f t="shared" ca="1" si="57"/>
        <v>47.237370453756412</v>
      </c>
    </row>
    <row r="2865" spans="4:4" x14ac:dyDescent="0.25">
      <c r="D2865">
        <f t="shared" ca="1" si="57"/>
        <v>48.279800607153433</v>
      </c>
    </row>
    <row r="2866" spans="4:4" x14ac:dyDescent="0.25">
      <c r="D2866">
        <f t="shared" ca="1" si="57"/>
        <v>53.883375223208134</v>
      </c>
    </row>
    <row r="2867" spans="4:4" x14ac:dyDescent="0.25">
      <c r="D2867">
        <f t="shared" ca="1" si="57"/>
        <v>42.230694352265182</v>
      </c>
    </row>
    <row r="2868" spans="4:4" x14ac:dyDescent="0.25">
      <c r="D2868">
        <f t="shared" ca="1" si="57"/>
        <v>42.337050126389201</v>
      </c>
    </row>
    <row r="2869" spans="4:4" x14ac:dyDescent="0.25">
      <c r="D2869">
        <f t="shared" ca="1" si="57"/>
        <v>58.259960976307688</v>
      </c>
    </row>
    <row r="2870" spans="4:4" x14ac:dyDescent="0.25">
      <c r="D2870">
        <f t="shared" ca="1" si="57"/>
        <v>39.055704083919011</v>
      </c>
    </row>
    <row r="2871" spans="4:4" x14ac:dyDescent="0.25">
      <c r="D2871">
        <f t="shared" ca="1" si="57"/>
        <v>48.076284569288369</v>
      </c>
    </row>
    <row r="2872" spans="4:4" x14ac:dyDescent="0.25">
      <c r="D2872">
        <f t="shared" ca="1" si="57"/>
        <v>52.948666200023872</v>
      </c>
    </row>
    <row r="2873" spans="4:4" x14ac:dyDescent="0.25">
      <c r="D2873">
        <f t="shared" ca="1" si="57"/>
        <v>55.283103831972397</v>
      </c>
    </row>
    <row r="2874" spans="4:4" x14ac:dyDescent="0.25">
      <c r="D2874">
        <f t="shared" ca="1" si="57"/>
        <v>56.94347595016643</v>
      </c>
    </row>
    <row r="2875" spans="4:4" x14ac:dyDescent="0.25">
      <c r="D2875">
        <f t="shared" ca="1" si="57"/>
        <v>54.130412367701425</v>
      </c>
    </row>
    <row r="2876" spans="4:4" x14ac:dyDescent="0.25">
      <c r="D2876">
        <f t="shared" ca="1" si="57"/>
        <v>50.407231404706671</v>
      </c>
    </row>
    <row r="2877" spans="4:4" x14ac:dyDescent="0.25">
      <c r="D2877">
        <f t="shared" ca="1" si="57"/>
        <v>54.58529587185609</v>
      </c>
    </row>
    <row r="2878" spans="4:4" x14ac:dyDescent="0.25">
      <c r="D2878">
        <f t="shared" ca="1" si="57"/>
        <v>42.326025735150715</v>
      </c>
    </row>
    <row r="2879" spans="4:4" x14ac:dyDescent="0.25">
      <c r="D2879">
        <f t="shared" ca="1" si="57"/>
        <v>52.247584794825116</v>
      </c>
    </row>
    <row r="2880" spans="4:4" x14ac:dyDescent="0.25">
      <c r="D2880">
        <f t="shared" ca="1" si="57"/>
        <v>47.993265256524474</v>
      </c>
    </row>
    <row r="2881" spans="4:4" x14ac:dyDescent="0.25">
      <c r="D2881">
        <f t="shared" ca="1" si="57"/>
        <v>50.522214811677294</v>
      </c>
    </row>
    <row r="2882" spans="4:4" x14ac:dyDescent="0.25">
      <c r="D2882">
        <f t="shared" ca="1" si="57"/>
        <v>46.116904497021132</v>
      </c>
    </row>
    <row r="2883" spans="4:4" x14ac:dyDescent="0.25">
      <c r="D2883">
        <f t="shared" ref="D2883:D2946" ca="1" si="58">_xlfn.T.INV(RAND(),25)*$G$3+$F$3</f>
        <v>51.761494041741692</v>
      </c>
    </row>
    <row r="2884" spans="4:4" x14ac:dyDescent="0.25">
      <c r="D2884">
        <f t="shared" ca="1" si="58"/>
        <v>51.722610026277977</v>
      </c>
    </row>
    <row r="2885" spans="4:4" x14ac:dyDescent="0.25">
      <c r="D2885">
        <f t="shared" ca="1" si="58"/>
        <v>50.407654434154352</v>
      </c>
    </row>
    <row r="2886" spans="4:4" x14ac:dyDescent="0.25">
      <c r="D2886">
        <f t="shared" ca="1" si="58"/>
        <v>51.275994947350924</v>
      </c>
    </row>
    <row r="2887" spans="4:4" x14ac:dyDescent="0.25">
      <c r="D2887">
        <f t="shared" ca="1" si="58"/>
        <v>50.897861967008232</v>
      </c>
    </row>
    <row r="2888" spans="4:4" x14ac:dyDescent="0.25">
      <c r="D2888">
        <f t="shared" ca="1" si="58"/>
        <v>45.358764214451107</v>
      </c>
    </row>
    <row r="2889" spans="4:4" x14ac:dyDescent="0.25">
      <c r="D2889">
        <f t="shared" ca="1" si="58"/>
        <v>48.985501991076362</v>
      </c>
    </row>
    <row r="2890" spans="4:4" x14ac:dyDescent="0.25">
      <c r="D2890">
        <f t="shared" ca="1" si="58"/>
        <v>48.794195550889846</v>
      </c>
    </row>
    <row r="2891" spans="4:4" x14ac:dyDescent="0.25">
      <c r="D2891">
        <f t="shared" ca="1" si="58"/>
        <v>52.190338994662753</v>
      </c>
    </row>
    <row r="2892" spans="4:4" x14ac:dyDescent="0.25">
      <c r="D2892">
        <f t="shared" ca="1" si="58"/>
        <v>47.206648865708765</v>
      </c>
    </row>
    <row r="2893" spans="4:4" x14ac:dyDescent="0.25">
      <c r="D2893">
        <f t="shared" ca="1" si="58"/>
        <v>52.958103749140626</v>
      </c>
    </row>
    <row r="2894" spans="4:4" x14ac:dyDescent="0.25">
      <c r="D2894">
        <f t="shared" ca="1" si="58"/>
        <v>48.732560721105408</v>
      </c>
    </row>
    <row r="2895" spans="4:4" x14ac:dyDescent="0.25">
      <c r="D2895">
        <f t="shared" ca="1" si="58"/>
        <v>45.559310809053599</v>
      </c>
    </row>
    <row r="2896" spans="4:4" x14ac:dyDescent="0.25">
      <c r="D2896">
        <f t="shared" ca="1" si="58"/>
        <v>49.317085729932948</v>
      </c>
    </row>
    <row r="2897" spans="4:4" x14ac:dyDescent="0.25">
      <c r="D2897">
        <f t="shared" ca="1" si="58"/>
        <v>55.878763598904442</v>
      </c>
    </row>
    <row r="2898" spans="4:4" x14ac:dyDescent="0.25">
      <c r="D2898">
        <f t="shared" ca="1" si="58"/>
        <v>40.659975290662295</v>
      </c>
    </row>
    <row r="2899" spans="4:4" x14ac:dyDescent="0.25">
      <c r="D2899">
        <f t="shared" ca="1" si="58"/>
        <v>59.917699091842422</v>
      </c>
    </row>
    <row r="2900" spans="4:4" x14ac:dyDescent="0.25">
      <c r="D2900">
        <f t="shared" ca="1" si="58"/>
        <v>47.35179282563363</v>
      </c>
    </row>
    <row r="2901" spans="4:4" x14ac:dyDescent="0.25">
      <c r="D2901">
        <f t="shared" ca="1" si="58"/>
        <v>53.098199845451859</v>
      </c>
    </row>
    <row r="2902" spans="4:4" x14ac:dyDescent="0.25">
      <c r="D2902">
        <f t="shared" ca="1" si="58"/>
        <v>50.307118387065771</v>
      </c>
    </row>
    <row r="2903" spans="4:4" x14ac:dyDescent="0.25">
      <c r="D2903">
        <f t="shared" ca="1" si="58"/>
        <v>53.012216274740872</v>
      </c>
    </row>
    <row r="2904" spans="4:4" x14ac:dyDescent="0.25">
      <c r="D2904">
        <f t="shared" ca="1" si="58"/>
        <v>46.8334942548546</v>
      </c>
    </row>
    <row r="2905" spans="4:4" x14ac:dyDescent="0.25">
      <c r="D2905">
        <f t="shared" ca="1" si="58"/>
        <v>49.036370266625006</v>
      </c>
    </row>
    <row r="2906" spans="4:4" x14ac:dyDescent="0.25">
      <c r="D2906">
        <f t="shared" ca="1" si="58"/>
        <v>52.578251131472321</v>
      </c>
    </row>
    <row r="2907" spans="4:4" x14ac:dyDescent="0.25">
      <c r="D2907">
        <f t="shared" ca="1" si="58"/>
        <v>44.592818374248637</v>
      </c>
    </row>
    <row r="2908" spans="4:4" x14ac:dyDescent="0.25">
      <c r="D2908">
        <f t="shared" ca="1" si="58"/>
        <v>47.931576275783243</v>
      </c>
    </row>
    <row r="2909" spans="4:4" x14ac:dyDescent="0.25">
      <c r="D2909">
        <f t="shared" ca="1" si="58"/>
        <v>56.990804558452176</v>
      </c>
    </row>
    <row r="2910" spans="4:4" x14ac:dyDescent="0.25">
      <c r="D2910">
        <f t="shared" ca="1" si="58"/>
        <v>57.266842481742906</v>
      </c>
    </row>
    <row r="2911" spans="4:4" x14ac:dyDescent="0.25">
      <c r="D2911">
        <f t="shared" ca="1" si="58"/>
        <v>49.062602589080186</v>
      </c>
    </row>
    <row r="2912" spans="4:4" x14ac:dyDescent="0.25">
      <c r="D2912">
        <f t="shared" ca="1" si="58"/>
        <v>45.512516685929661</v>
      </c>
    </row>
    <row r="2913" spans="4:4" x14ac:dyDescent="0.25">
      <c r="D2913">
        <f t="shared" ca="1" si="58"/>
        <v>45.695807371053398</v>
      </c>
    </row>
    <row r="2914" spans="4:4" x14ac:dyDescent="0.25">
      <c r="D2914">
        <f t="shared" ca="1" si="58"/>
        <v>54.76694272974094</v>
      </c>
    </row>
    <row r="2915" spans="4:4" x14ac:dyDescent="0.25">
      <c r="D2915">
        <f t="shared" ca="1" si="58"/>
        <v>49.820827691376437</v>
      </c>
    </row>
    <row r="2916" spans="4:4" x14ac:dyDescent="0.25">
      <c r="D2916">
        <f t="shared" ca="1" si="58"/>
        <v>50.131552403604438</v>
      </c>
    </row>
    <row r="2917" spans="4:4" x14ac:dyDescent="0.25">
      <c r="D2917">
        <f t="shared" ca="1" si="58"/>
        <v>50.235357227394054</v>
      </c>
    </row>
    <row r="2918" spans="4:4" x14ac:dyDescent="0.25">
      <c r="D2918">
        <f t="shared" ca="1" si="58"/>
        <v>46.061652527789434</v>
      </c>
    </row>
    <row r="2919" spans="4:4" x14ac:dyDescent="0.25">
      <c r="D2919">
        <f t="shared" ca="1" si="58"/>
        <v>43.246697151749665</v>
      </c>
    </row>
    <row r="2920" spans="4:4" x14ac:dyDescent="0.25">
      <c r="D2920">
        <f t="shared" ca="1" si="58"/>
        <v>48.162394940006955</v>
      </c>
    </row>
    <row r="2921" spans="4:4" x14ac:dyDescent="0.25">
      <c r="D2921">
        <f t="shared" ca="1" si="58"/>
        <v>48.49133284389962</v>
      </c>
    </row>
    <row r="2922" spans="4:4" x14ac:dyDescent="0.25">
      <c r="D2922">
        <f t="shared" ca="1" si="58"/>
        <v>51.13866562772143</v>
      </c>
    </row>
    <row r="2923" spans="4:4" x14ac:dyDescent="0.25">
      <c r="D2923">
        <f t="shared" ca="1" si="58"/>
        <v>44.293163038030585</v>
      </c>
    </row>
    <row r="2924" spans="4:4" x14ac:dyDescent="0.25">
      <c r="D2924">
        <f t="shared" ca="1" si="58"/>
        <v>54.590845432702807</v>
      </c>
    </row>
    <row r="2925" spans="4:4" x14ac:dyDescent="0.25">
      <c r="D2925">
        <f t="shared" ca="1" si="58"/>
        <v>47.972926617620615</v>
      </c>
    </row>
    <row r="2926" spans="4:4" x14ac:dyDescent="0.25">
      <c r="D2926">
        <f t="shared" ca="1" si="58"/>
        <v>59.976989985461344</v>
      </c>
    </row>
    <row r="2927" spans="4:4" x14ac:dyDescent="0.25">
      <c r="D2927">
        <f t="shared" ca="1" si="58"/>
        <v>54.047883064262308</v>
      </c>
    </row>
    <row r="2928" spans="4:4" x14ac:dyDescent="0.25">
      <c r="D2928">
        <f t="shared" ca="1" si="58"/>
        <v>53.317041470041374</v>
      </c>
    </row>
    <row r="2929" spans="4:4" x14ac:dyDescent="0.25">
      <c r="D2929">
        <f t="shared" ca="1" si="58"/>
        <v>47.51102645636719</v>
      </c>
    </row>
    <row r="2930" spans="4:4" x14ac:dyDescent="0.25">
      <c r="D2930">
        <f t="shared" ca="1" si="58"/>
        <v>53.921742305034378</v>
      </c>
    </row>
    <row r="2931" spans="4:4" x14ac:dyDescent="0.25">
      <c r="D2931">
        <f t="shared" ca="1" si="58"/>
        <v>42.281841188494099</v>
      </c>
    </row>
    <row r="2932" spans="4:4" x14ac:dyDescent="0.25">
      <c r="D2932">
        <f t="shared" ca="1" si="58"/>
        <v>45.023989476805077</v>
      </c>
    </row>
    <row r="2933" spans="4:4" x14ac:dyDescent="0.25">
      <c r="D2933">
        <f t="shared" ca="1" si="58"/>
        <v>48.188518904359931</v>
      </c>
    </row>
    <row r="2934" spans="4:4" x14ac:dyDescent="0.25">
      <c r="D2934">
        <f t="shared" ca="1" si="58"/>
        <v>51.85832402133061</v>
      </c>
    </row>
    <row r="2935" spans="4:4" x14ac:dyDescent="0.25">
      <c r="D2935">
        <f t="shared" ca="1" si="58"/>
        <v>44.982766949578767</v>
      </c>
    </row>
    <row r="2936" spans="4:4" x14ac:dyDescent="0.25">
      <c r="D2936">
        <f t="shared" ca="1" si="58"/>
        <v>43.980526963776391</v>
      </c>
    </row>
    <row r="2937" spans="4:4" x14ac:dyDescent="0.25">
      <c r="D2937">
        <f t="shared" ca="1" si="58"/>
        <v>47.129786550004404</v>
      </c>
    </row>
    <row r="2938" spans="4:4" x14ac:dyDescent="0.25">
      <c r="D2938">
        <f t="shared" ca="1" si="58"/>
        <v>51.955644637045175</v>
      </c>
    </row>
    <row r="2939" spans="4:4" x14ac:dyDescent="0.25">
      <c r="D2939">
        <f t="shared" ca="1" si="58"/>
        <v>47.609677599100472</v>
      </c>
    </row>
    <row r="2940" spans="4:4" x14ac:dyDescent="0.25">
      <c r="D2940">
        <f t="shared" ca="1" si="58"/>
        <v>43.849733184846862</v>
      </c>
    </row>
    <row r="2941" spans="4:4" x14ac:dyDescent="0.25">
      <c r="D2941">
        <f t="shared" ca="1" si="58"/>
        <v>50.49797941612723</v>
      </c>
    </row>
    <row r="2942" spans="4:4" x14ac:dyDescent="0.25">
      <c r="D2942">
        <f t="shared" ca="1" si="58"/>
        <v>45.507590634853109</v>
      </c>
    </row>
    <row r="2943" spans="4:4" x14ac:dyDescent="0.25">
      <c r="D2943">
        <f t="shared" ca="1" si="58"/>
        <v>54.040048581055437</v>
      </c>
    </row>
    <row r="2944" spans="4:4" x14ac:dyDescent="0.25">
      <c r="D2944">
        <f t="shared" ca="1" si="58"/>
        <v>50.343776324024532</v>
      </c>
    </row>
    <row r="2945" spans="4:4" x14ac:dyDescent="0.25">
      <c r="D2945">
        <f t="shared" ca="1" si="58"/>
        <v>38.284507930369166</v>
      </c>
    </row>
    <row r="2946" spans="4:4" x14ac:dyDescent="0.25">
      <c r="D2946">
        <f t="shared" ca="1" si="58"/>
        <v>50.064980353404735</v>
      </c>
    </row>
    <row r="2947" spans="4:4" x14ac:dyDescent="0.25">
      <c r="D2947">
        <f t="shared" ref="D2947:D3010" ca="1" si="59">_xlfn.T.INV(RAND(),25)*$G$3+$F$3</f>
        <v>54.244184773026511</v>
      </c>
    </row>
    <row r="2948" spans="4:4" x14ac:dyDescent="0.25">
      <c r="D2948">
        <f t="shared" ca="1" si="59"/>
        <v>44.429467375790409</v>
      </c>
    </row>
    <row r="2949" spans="4:4" x14ac:dyDescent="0.25">
      <c r="D2949">
        <f t="shared" ca="1" si="59"/>
        <v>51.531211011519396</v>
      </c>
    </row>
    <row r="2950" spans="4:4" x14ac:dyDescent="0.25">
      <c r="D2950">
        <f t="shared" ca="1" si="59"/>
        <v>53.430403943796549</v>
      </c>
    </row>
    <row r="2951" spans="4:4" x14ac:dyDescent="0.25">
      <c r="D2951">
        <f t="shared" ca="1" si="59"/>
        <v>43.190819474649508</v>
      </c>
    </row>
    <row r="2952" spans="4:4" x14ac:dyDescent="0.25">
      <c r="D2952">
        <f t="shared" ca="1" si="59"/>
        <v>48.152937938514341</v>
      </c>
    </row>
    <row r="2953" spans="4:4" x14ac:dyDescent="0.25">
      <c r="D2953">
        <f t="shared" ca="1" si="59"/>
        <v>57.244639372377094</v>
      </c>
    </row>
    <row r="2954" spans="4:4" x14ac:dyDescent="0.25">
      <c r="D2954">
        <f t="shared" ca="1" si="59"/>
        <v>51.538382144470916</v>
      </c>
    </row>
    <row r="2955" spans="4:4" x14ac:dyDescent="0.25">
      <c r="D2955">
        <f t="shared" ca="1" si="59"/>
        <v>46.392352844193482</v>
      </c>
    </row>
    <row r="2956" spans="4:4" x14ac:dyDescent="0.25">
      <c r="D2956">
        <f t="shared" ca="1" si="59"/>
        <v>52.363633640741256</v>
      </c>
    </row>
    <row r="2957" spans="4:4" x14ac:dyDescent="0.25">
      <c r="D2957">
        <f t="shared" ca="1" si="59"/>
        <v>48.406703055156868</v>
      </c>
    </row>
    <row r="2958" spans="4:4" x14ac:dyDescent="0.25">
      <c r="D2958">
        <f t="shared" ca="1" si="59"/>
        <v>50.196822442630314</v>
      </c>
    </row>
    <row r="2959" spans="4:4" x14ac:dyDescent="0.25">
      <c r="D2959">
        <f t="shared" ca="1" si="59"/>
        <v>49.664209993511022</v>
      </c>
    </row>
    <row r="2960" spans="4:4" x14ac:dyDescent="0.25">
      <c r="D2960">
        <f t="shared" ca="1" si="59"/>
        <v>45.221978579570418</v>
      </c>
    </row>
    <row r="2961" spans="4:4" x14ac:dyDescent="0.25">
      <c r="D2961">
        <f t="shared" ca="1" si="59"/>
        <v>43.934847472380518</v>
      </c>
    </row>
    <row r="2962" spans="4:4" x14ac:dyDescent="0.25">
      <c r="D2962">
        <f t="shared" ca="1" si="59"/>
        <v>48.084075406250669</v>
      </c>
    </row>
    <row r="2963" spans="4:4" x14ac:dyDescent="0.25">
      <c r="D2963">
        <f t="shared" ca="1" si="59"/>
        <v>53.600151091530826</v>
      </c>
    </row>
    <row r="2964" spans="4:4" x14ac:dyDescent="0.25">
      <c r="D2964">
        <f t="shared" ca="1" si="59"/>
        <v>49.423953080829676</v>
      </c>
    </row>
    <row r="2965" spans="4:4" x14ac:dyDescent="0.25">
      <c r="D2965">
        <f t="shared" ca="1" si="59"/>
        <v>49.264619704820134</v>
      </c>
    </row>
    <row r="2966" spans="4:4" x14ac:dyDescent="0.25">
      <c r="D2966">
        <f t="shared" ca="1" si="59"/>
        <v>49.321060307923233</v>
      </c>
    </row>
    <row r="2967" spans="4:4" x14ac:dyDescent="0.25">
      <c r="D2967">
        <f t="shared" ca="1" si="59"/>
        <v>56.197371998179385</v>
      </c>
    </row>
    <row r="2968" spans="4:4" x14ac:dyDescent="0.25">
      <c r="D2968">
        <f t="shared" ca="1" si="59"/>
        <v>44.717619107605572</v>
      </c>
    </row>
    <row r="2969" spans="4:4" x14ac:dyDescent="0.25">
      <c r="D2969">
        <f t="shared" ca="1" si="59"/>
        <v>48.879055782923444</v>
      </c>
    </row>
    <row r="2970" spans="4:4" x14ac:dyDescent="0.25">
      <c r="D2970">
        <f t="shared" ca="1" si="59"/>
        <v>49.188406652794242</v>
      </c>
    </row>
    <row r="2971" spans="4:4" x14ac:dyDescent="0.25">
      <c r="D2971">
        <f t="shared" ca="1" si="59"/>
        <v>44.160669717857807</v>
      </c>
    </row>
    <row r="2972" spans="4:4" x14ac:dyDescent="0.25">
      <c r="D2972">
        <f t="shared" ca="1" si="59"/>
        <v>53.556877900422336</v>
      </c>
    </row>
    <row r="2973" spans="4:4" x14ac:dyDescent="0.25">
      <c r="D2973">
        <f t="shared" ca="1" si="59"/>
        <v>58.094469680193939</v>
      </c>
    </row>
    <row r="2974" spans="4:4" x14ac:dyDescent="0.25">
      <c r="D2974">
        <f t="shared" ca="1" si="59"/>
        <v>44.526546438494591</v>
      </c>
    </row>
    <row r="2975" spans="4:4" x14ac:dyDescent="0.25">
      <c r="D2975">
        <f t="shared" ca="1" si="59"/>
        <v>54.571935057342351</v>
      </c>
    </row>
    <row r="2976" spans="4:4" x14ac:dyDescent="0.25">
      <c r="D2976">
        <f t="shared" ca="1" si="59"/>
        <v>52.911337851593615</v>
      </c>
    </row>
    <row r="2977" spans="4:4" x14ac:dyDescent="0.25">
      <c r="D2977">
        <f t="shared" ca="1" si="59"/>
        <v>50.194208124501159</v>
      </c>
    </row>
    <row r="2978" spans="4:4" x14ac:dyDescent="0.25">
      <c r="D2978">
        <f t="shared" ca="1" si="59"/>
        <v>49.908342944763191</v>
      </c>
    </row>
    <row r="2979" spans="4:4" x14ac:dyDescent="0.25">
      <c r="D2979">
        <f t="shared" ca="1" si="59"/>
        <v>51.828952142387479</v>
      </c>
    </row>
    <row r="2980" spans="4:4" x14ac:dyDescent="0.25">
      <c r="D2980">
        <f t="shared" ca="1" si="59"/>
        <v>59.997196968108653</v>
      </c>
    </row>
    <row r="2981" spans="4:4" x14ac:dyDescent="0.25">
      <c r="D2981">
        <f t="shared" ca="1" si="59"/>
        <v>50.117151854816477</v>
      </c>
    </row>
    <row r="2982" spans="4:4" x14ac:dyDescent="0.25">
      <c r="D2982">
        <f t="shared" ca="1" si="59"/>
        <v>46.71183243139911</v>
      </c>
    </row>
    <row r="2983" spans="4:4" x14ac:dyDescent="0.25">
      <c r="D2983">
        <f t="shared" ca="1" si="59"/>
        <v>48.16758753446841</v>
      </c>
    </row>
    <row r="2984" spans="4:4" x14ac:dyDescent="0.25">
      <c r="D2984">
        <f t="shared" ca="1" si="59"/>
        <v>46.097811364299019</v>
      </c>
    </row>
    <row r="2985" spans="4:4" x14ac:dyDescent="0.25">
      <c r="D2985">
        <f t="shared" ca="1" si="59"/>
        <v>56.228809028057938</v>
      </c>
    </row>
    <row r="2986" spans="4:4" x14ac:dyDescent="0.25">
      <c r="D2986">
        <f t="shared" ca="1" si="59"/>
        <v>60.598106040234427</v>
      </c>
    </row>
    <row r="2987" spans="4:4" x14ac:dyDescent="0.25">
      <c r="D2987">
        <f t="shared" ca="1" si="59"/>
        <v>46.652629051868715</v>
      </c>
    </row>
    <row r="2988" spans="4:4" x14ac:dyDescent="0.25">
      <c r="D2988">
        <f t="shared" ca="1" si="59"/>
        <v>47.407306624530293</v>
      </c>
    </row>
    <row r="2989" spans="4:4" x14ac:dyDescent="0.25">
      <c r="D2989">
        <f t="shared" ca="1" si="59"/>
        <v>42.226749544234487</v>
      </c>
    </row>
    <row r="2990" spans="4:4" x14ac:dyDescent="0.25">
      <c r="D2990">
        <f t="shared" ca="1" si="59"/>
        <v>50.862514281322234</v>
      </c>
    </row>
    <row r="2991" spans="4:4" x14ac:dyDescent="0.25">
      <c r="D2991">
        <f t="shared" ca="1" si="59"/>
        <v>56.846796385466952</v>
      </c>
    </row>
    <row r="2992" spans="4:4" x14ac:dyDescent="0.25">
      <c r="D2992">
        <f t="shared" ca="1" si="59"/>
        <v>55.788155522829967</v>
      </c>
    </row>
    <row r="2993" spans="4:4" x14ac:dyDescent="0.25">
      <c r="D2993">
        <f t="shared" ca="1" si="59"/>
        <v>40.450600165000601</v>
      </c>
    </row>
    <row r="2994" spans="4:4" x14ac:dyDescent="0.25">
      <c r="D2994">
        <f t="shared" ca="1" si="59"/>
        <v>47.175758468554328</v>
      </c>
    </row>
    <row r="2995" spans="4:4" x14ac:dyDescent="0.25">
      <c r="D2995">
        <f t="shared" ca="1" si="59"/>
        <v>53.189016163136266</v>
      </c>
    </row>
    <row r="2996" spans="4:4" x14ac:dyDescent="0.25">
      <c r="D2996">
        <f t="shared" ca="1" si="59"/>
        <v>48.039906935218141</v>
      </c>
    </row>
    <row r="2997" spans="4:4" x14ac:dyDescent="0.25">
      <c r="D2997">
        <f t="shared" ca="1" si="59"/>
        <v>48.02107918258897</v>
      </c>
    </row>
    <row r="2998" spans="4:4" x14ac:dyDescent="0.25">
      <c r="D2998">
        <f t="shared" ca="1" si="59"/>
        <v>58.919987710007618</v>
      </c>
    </row>
    <row r="2999" spans="4:4" x14ac:dyDescent="0.25">
      <c r="D2999">
        <f t="shared" ca="1" si="59"/>
        <v>53.391024608016984</v>
      </c>
    </row>
    <row r="3000" spans="4:4" x14ac:dyDescent="0.25">
      <c r="D3000">
        <f t="shared" ca="1" si="59"/>
        <v>50.557727022336358</v>
      </c>
    </row>
    <row r="3001" spans="4:4" x14ac:dyDescent="0.25">
      <c r="D3001">
        <f t="shared" ca="1" si="59"/>
        <v>53.991659174456942</v>
      </c>
    </row>
    <row r="3002" spans="4:4" x14ac:dyDescent="0.25">
      <c r="D3002">
        <f t="shared" ca="1" si="59"/>
        <v>50.643670809769723</v>
      </c>
    </row>
    <row r="3003" spans="4:4" x14ac:dyDescent="0.25">
      <c r="D3003">
        <f t="shared" ca="1" si="59"/>
        <v>52.803592240980905</v>
      </c>
    </row>
    <row r="3004" spans="4:4" x14ac:dyDescent="0.25">
      <c r="D3004">
        <f t="shared" ca="1" si="59"/>
        <v>48.296902714448649</v>
      </c>
    </row>
    <row r="3005" spans="4:4" x14ac:dyDescent="0.25">
      <c r="D3005">
        <f t="shared" ca="1" si="59"/>
        <v>44.590685042325148</v>
      </c>
    </row>
    <row r="3006" spans="4:4" x14ac:dyDescent="0.25">
      <c r="D3006">
        <f t="shared" ca="1" si="59"/>
        <v>52.117802956399437</v>
      </c>
    </row>
    <row r="3007" spans="4:4" x14ac:dyDescent="0.25">
      <c r="D3007">
        <f t="shared" ca="1" si="59"/>
        <v>51.016331519943861</v>
      </c>
    </row>
    <row r="3008" spans="4:4" x14ac:dyDescent="0.25">
      <c r="D3008">
        <f t="shared" ca="1" si="59"/>
        <v>49.436576399018968</v>
      </c>
    </row>
    <row r="3009" spans="4:4" x14ac:dyDescent="0.25">
      <c r="D3009">
        <f t="shared" ca="1" si="59"/>
        <v>46.868025882985386</v>
      </c>
    </row>
    <row r="3010" spans="4:4" x14ac:dyDescent="0.25">
      <c r="D3010">
        <f t="shared" ca="1" si="59"/>
        <v>52.88280094774013</v>
      </c>
    </row>
    <row r="3011" spans="4:4" x14ac:dyDescent="0.25">
      <c r="D3011">
        <f t="shared" ref="D3011:D3074" ca="1" si="60">_xlfn.T.INV(RAND(),25)*$G$3+$F$3</f>
        <v>56.496052436761431</v>
      </c>
    </row>
    <row r="3012" spans="4:4" x14ac:dyDescent="0.25">
      <c r="D3012">
        <f t="shared" ca="1" si="60"/>
        <v>56.054652276865419</v>
      </c>
    </row>
    <row r="3013" spans="4:4" x14ac:dyDescent="0.25">
      <c r="D3013">
        <f t="shared" ca="1" si="60"/>
        <v>54.034638026070013</v>
      </c>
    </row>
    <row r="3014" spans="4:4" x14ac:dyDescent="0.25">
      <c r="D3014">
        <f t="shared" ca="1" si="60"/>
        <v>46.275844612757218</v>
      </c>
    </row>
    <row r="3015" spans="4:4" x14ac:dyDescent="0.25">
      <c r="D3015">
        <f t="shared" ca="1" si="60"/>
        <v>52.310904065141024</v>
      </c>
    </row>
    <row r="3016" spans="4:4" x14ac:dyDescent="0.25">
      <c r="D3016">
        <f t="shared" ca="1" si="60"/>
        <v>48.326178679533491</v>
      </c>
    </row>
    <row r="3017" spans="4:4" x14ac:dyDescent="0.25">
      <c r="D3017">
        <f t="shared" ca="1" si="60"/>
        <v>52.138393518409423</v>
      </c>
    </row>
    <row r="3018" spans="4:4" x14ac:dyDescent="0.25">
      <c r="D3018">
        <f t="shared" ca="1" si="60"/>
        <v>52.543689146082471</v>
      </c>
    </row>
    <row r="3019" spans="4:4" x14ac:dyDescent="0.25">
      <c r="D3019">
        <f t="shared" ca="1" si="60"/>
        <v>47.786293759139056</v>
      </c>
    </row>
    <row r="3020" spans="4:4" x14ac:dyDescent="0.25">
      <c r="D3020">
        <f t="shared" ca="1" si="60"/>
        <v>53.384058710434999</v>
      </c>
    </row>
    <row r="3021" spans="4:4" x14ac:dyDescent="0.25">
      <c r="D3021">
        <f t="shared" ca="1" si="60"/>
        <v>52.816086772837686</v>
      </c>
    </row>
    <row r="3022" spans="4:4" x14ac:dyDescent="0.25">
      <c r="D3022">
        <f t="shared" ca="1" si="60"/>
        <v>57.327374490054552</v>
      </c>
    </row>
    <row r="3023" spans="4:4" x14ac:dyDescent="0.25">
      <c r="D3023">
        <f t="shared" ca="1" si="60"/>
        <v>46.400825288242501</v>
      </c>
    </row>
    <row r="3024" spans="4:4" x14ac:dyDescent="0.25">
      <c r="D3024">
        <f t="shared" ca="1" si="60"/>
        <v>41.592865304613454</v>
      </c>
    </row>
    <row r="3025" spans="4:4" x14ac:dyDescent="0.25">
      <c r="D3025">
        <f t="shared" ca="1" si="60"/>
        <v>42.906415203212951</v>
      </c>
    </row>
    <row r="3026" spans="4:4" x14ac:dyDescent="0.25">
      <c r="D3026">
        <f t="shared" ca="1" si="60"/>
        <v>47.051581189860563</v>
      </c>
    </row>
    <row r="3027" spans="4:4" x14ac:dyDescent="0.25">
      <c r="D3027">
        <f t="shared" ca="1" si="60"/>
        <v>51.840139123235438</v>
      </c>
    </row>
    <row r="3028" spans="4:4" x14ac:dyDescent="0.25">
      <c r="D3028">
        <f t="shared" ca="1" si="60"/>
        <v>50.131763001905597</v>
      </c>
    </row>
    <row r="3029" spans="4:4" x14ac:dyDescent="0.25">
      <c r="D3029">
        <f t="shared" ca="1" si="60"/>
        <v>53.158492304439271</v>
      </c>
    </row>
    <row r="3030" spans="4:4" x14ac:dyDescent="0.25">
      <c r="D3030">
        <f t="shared" ca="1" si="60"/>
        <v>51.813192092636292</v>
      </c>
    </row>
    <row r="3031" spans="4:4" x14ac:dyDescent="0.25">
      <c r="D3031">
        <f t="shared" ca="1" si="60"/>
        <v>49.329212169010511</v>
      </c>
    </row>
    <row r="3032" spans="4:4" x14ac:dyDescent="0.25">
      <c r="D3032">
        <f t="shared" ca="1" si="60"/>
        <v>47.620114875852629</v>
      </c>
    </row>
    <row r="3033" spans="4:4" x14ac:dyDescent="0.25">
      <c r="D3033">
        <f t="shared" ca="1" si="60"/>
        <v>46.99411925916062</v>
      </c>
    </row>
    <row r="3034" spans="4:4" x14ac:dyDescent="0.25">
      <c r="D3034">
        <f t="shared" ca="1" si="60"/>
        <v>49.896712533748321</v>
      </c>
    </row>
    <row r="3035" spans="4:4" x14ac:dyDescent="0.25">
      <c r="D3035">
        <f t="shared" ca="1" si="60"/>
        <v>51.444182451900566</v>
      </c>
    </row>
    <row r="3036" spans="4:4" x14ac:dyDescent="0.25">
      <c r="D3036">
        <f t="shared" ca="1" si="60"/>
        <v>43.098262343570632</v>
      </c>
    </row>
    <row r="3037" spans="4:4" x14ac:dyDescent="0.25">
      <c r="D3037">
        <f t="shared" ca="1" si="60"/>
        <v>59.568795540797424</v>
      </c>
    </row>
    <row r="3038" spans="4:4" x14ac:dyDescent="0.25">
      <c r="D3038">
        <f t="shared" ca="1" si="60"/>
        <v>43.731249272655425</v>
      </c>
    </row>
    <row r="3039" spans="4:4" x14ac:dyDescent="0.25">
      <c r="D3039">
        <f t="shared" ca="1" si="60"/>
        <v>50.239091942412372</v>
      </c>
    </row>
    <row r="3040" spans="4:4" x14ac:dyDescent="0.25">
      <c r="D3040">
        <f t="shared" ca="1" si="60"/>
        <v>46.992418496717903</v>
      </c>
    </row>
    <row r="3041" spans="4:4" x14ac:dyDescent="0.25">
      <c r="D3041">
        <f t="shared" ca="1" si="60"/>
        <v>47.834913761152727</v>
      </c>
    </row>
    <row r="3042" spans="4:4" x14ac:dyDescent="0.25">
      <c r="D3042">
        <f t="shared" ca="1" si="60"/>
        <v>47.412436857160252</v>
      </c>
    </row>
    <row r="3043" spans="4:4" x14ac:dyDescent="0.25">
      <c r="D3043">
        <f t="shared" ca="1" si="60"/>
        <v>47.199277115601575</v>
      </c>
    </row>
    <row r="3044" spans="4:4" x14ac:dyDescent="0.25">
      <c r="D3044">
        <f t="shared" ca="1" si="60"/>
        <v>49.321106618422206</v>
      </c>
    </row>
    <row r="3045" spans="4:4" x14ac:dyDescent="0.25">
      <c r="D3045">
        <f t="shared" ca="1" si="60"/>
        <v>52.875461742341194</v>
      </c>
    </row>
    <row r="3046" spans="4:4" x14ac:dyDescent="0.25">
      <c r="D3046">
        <f t="shared" ca="1" si="60"/>
        <v>43.198925139253717</v>
      </c>
    </row>
    <row r="3047" spans="4:4" x14ac:dyDescent="0.25">
      <c r="D3047">
        <f t="shared" ca="1" si="60"/>
        <v>39.744381147375243</v>
      </c>
    </row>
    <row r="3048" spans="4:4" x14ac:dyDescent="0.25">
      <c r="D3048">
        <f t="shared" ca="1" si="60"/>
        <v>57.913014324508666</v>
      </c>
    </row>
    <row r="3049" spans="4:4" x14ac:dyDescent="0.25">
      <c r="D3049">
        <f t="shared" ca="1" si="60"/>
        <v>51.546932425660145</v>
      </c>
    </row>
    <row r="3050" spans="4:4" x14ac:dyDescent="0.25">
      <c r="D3050">
        <f t="shared" ca="1" si="60"/>
        <v>51.196071409431546</v>
      </c>
    </row>
    <row r="3051" spans="4:4" x14ac:dyDescent="0.25">
      <c r="D3051">
        <f t="shared" ca="1" si="60"/>
        <v>47.785446282584871</v>
      </c>
    </row>
    <row r="3052" spans="4:4" x14ac:dyDescent="0.25">
      <c r="D3052">
        <f t="shared" ca="1" si="60"/>
        <v>49.9074673208438</v>
      </c>
    </row>
    <row r="3053" spans="4:4" x14ac:dyDescent="0.25">
      <c r="D3053">
        <f t="shared" ca="1" si="60"/>
        <v>50.226109407816523</v>
      </c>
    </row>
    <row r="3054" spans="4:4" x14ac:dyDescent="0.25">
      <c r="D3054">
        <f t="shared" ca="1" si="60"/>
        <v>50.050235679989584</v>
      </c>
    </row>
    <row r="3055" spans="4:4" x14ac:dyDescent="0.25">
      <c r="D3055">
        <f t="shared" ca="1" si="60"/>
        <v>54.065089114901895</v>
      </c>
    </row>
    <row r="3056" spans="4:4" x14ac:dyDescent="0.25">
      <c r="D3056">
        <f t="shared" ca="1" si="60"/>
        <v>45.215951442760783</v>
      </c>
    </row>
    <row r="3057" spans="4:4" x14ac:dyDescent="0.25">
      <c r="D3057">
        <f t="shared" ca="1" si="60"/>
        <v>55.167496711367129</v>
      </c>
    </row>
    <row r="3058" spans="4:4" x14ac:dyDescent="0.25">
      <c r="D3058">
        <f t="shared" ca="1" si="60"/>
        <v>45.873039415558253</v>
      </c>
    </row>
    <row r="3059" spans="4:4" x14ac:dyDescent="0.25">
      <c r="D3059">
        <f t="shared" ca="1" si="60"/>
        <v>45.232357517603305</v>
      </c>
    </row>
    <row r="3060" spans="4:4" x14ac:dyDescent="0.25">
      <c r="D3060">
        <f t="shared" ca="1" si="60"/>
        <v>50.915300581749186</v>
      </c>
    </row>
    <row r="3061" spans="4:4" x14ac:dyDescent="0.25">
      <c r="D3061">
        <f t="shared" ca="1" si="60"/>
        <v>47.836715334652602</v>
      </c>
    </row>
    <row r="3062" spans="4:4" x14ac:dyDescent="0.25">
      <c r="D3062">
        <f t="shared" ca="1" si="60"/>
        <v>46.409095285624034</v>
      </c>
    </row>
    <row r="3063" spans="4:4" x14ac:dyDescent="0.25">
      <c r="D3063">
        <f t="shared" ca="1" si="60"/>
        <v>51.046083590484436</v>
      </c>
    </row>
    <row r="3064" spans="4:4" x14ac:dyDescent="0.25">
      <c r="D3064">
        <f t="shared" ca="1" si="60"/>
        <v>46.619467287499461</v>
      </c>
    </row>
    <row r="3065" spans="4:4" x14ac:dyDescent="0.25">
      <c r="D3065">
        <f t="shared" ca="1" si="60"/>
        <v>48.044124159184967</v>
      </c>
    </row>
    <row r="3066" spans="4:4" x14ac:dyDescent="0.25">
      <c r="D3066">
        <f t="shared" ca="1" si="60"/>
        <v>55.231735243995274</v>
      </c>
    </row>
    <row r="3067" spans="4:4" x14ac:dyDescent="0.25">
      <c r="D3067">
        <f t="shared" ca="1" si="60"/>
        <v>46.433999735634643</v>
      </c>
    </row>
    <row r="3068" spans="4:4" x14ac:dyDescent="0.25">
      <c r="D3068">
        <f t="shared" ca="1" si="60"/>
        <v>51.905418617105788</v>
      </c>
    </row>
    <row r="3069" spans="4:4" x14ac:dyDescent="0.25">
      <c r="D3069">
        <f t="shared" ca="1" si="60"/>
        <v>36.526984152690808</v>
      </c>
    </row>
    <row r="3070" spans="4:4" x14ac:dyDescent="0.25">
      <c r="D3070">
        <f t="shared" ca="1" si="60"/>
        <v>43.770251984035781</v>
      </c>
    </row>
    <row r="3071" spans="4:4" x14ac:dyDescent="0.25">
      <c r="D3071">
        <f t="shared" ca="1" si="60"/>
        <v>50.348929739266907</v>
      </c>
    </row>
    <row r="3072" spans="4:4" x14ac:dyDescent="0.25">
      <c r="D3072">
        <f t="shared" ca="1" si="60"/>
        <v>53.219720497116448</v>
      </c>
    </row>
    <row r="3073" spans="4:4" x14ac:dyDescent="0.25">
      <c r="D3073">
        <f t="shared" ca="1" si="60"/>
        <v>52.314367213268596</v>
      </c>
    </row>
    <row r="3074" spans="4:4" x14ac:dyDescent="0.25">
      <c r="D3074">
        <f t="shared" ca="1" si="60"/>
        <v>48.232239151682577</v>
      </c>
    </row>
    <row r="3075" spans="4:4" x14ac:dyDescent="0.25">
      <c r="D3075">
        <f t="shared" ref="D3075:D3138" ca="1" si="61">_xlfn.T.INV(RAND(),25)*$G$3+$F$3</f>
        <v>47.202555422937117</v>
      </c>
    </row>
    <row r="3076" spans="4:4" x14ac:dyDescent="0.25">
      <c r="D3076">
        <f t="shared" ca="1" si="61"/>
        <v>49.073680651043652</v>
      </c>
    </row>
    <row r="3077" spans="4:4" x14ac:dyDescent="0.25">
      <c r="D3077">
        <f t="shared" ca="1" si="61"/>
        <v>53.071133703610954</v>
      </c>
    </row>
    <row r="3078" spans="4:4" x14ac:dyDescent="0.25">
      <c r="D3078">
        <f t="shared" ca="1" si="61"/>
        <v>52.369980290300084</v>
      </c>
    </row>
    <row r="3079" spans="4:4" x14ac:dyDescent="0.25">
      <c r="D3079">
        <f t="shared" ca="1" si="61"/>
        <v>47.857130601682584</v>
      </c>
    </row>
    <row r="3080" spans="4:4" x14ac:dyDescent="0.25">
      <c r="D3080">
        <f t="shared" ca="1" si="61"/>
        <v>50.262246042556107</v>
      </c>
    </row>
    <row r="3081" spans="4:4" x14ac:dyDescent="0.25">
      <c r="D3081">
        <f t="shared" ca="1" si="61"/>
        <v>51.598664896140349</v>
      </c>
    </row>
    <row r="3082" spans="4:4" x14ac:dyDescent="0.25">
      <c r="D3082">
        <f t="shared" ca="1" si="61"/>
        <v>54.806945461176817</v>
      </c>
    </row>
    <row r="3083" spans="4:4" x14ac:dyDescent="0.25">
      <c r="D3083">
        <f t="shared" ca="1" si="61"/>
        <v>45.787445996095698</v>
      </c>
    </row>
    <row r="3084" spans="4:4" x14ac:dyDescent="0.25">
      <c r="D3084">
        <f t="shared" ca="1" si="61"/>
        <v>51.313889771549441</v>
      </c>
    </row>
    <row r="3085" spans="4:4" x14ac:dyDescent="0.25">
      <c r="D3085">
        <f t="shared" ca="1" si="61"/>
        <v>40.822839539440679</v>
      </c>
    </row>
    <row r="3086" spans="4:4" x14ac:dyDescent="0.25">
      <c r="D3086">
        <f t="shared" ca="1" si="61"/>
        <v>39.712919673362613</v>
      </c>
    </row>
    <row r="3087" spans="4:4" x14ac:dyDescent="0.25">
      <c r="D3087">
        <f t="shared" ca="1" si="61"/>
        <v>41.71894342847034</v>
      </c>
    </row>
    <row r="3088" spans="4:4" x14ac:dyDescent="0.25">
      <c r="D3088">
        <f t="shared" ca="1" si="61"/>
        <v>53.266682087372153</v>
      </c>
    </row>
    <row r="3089" spans="4:4" x14ac:dyDescent="0.25">
      <c r="D3089">
        <f t="shared" ca="1" si="61"/>
        <v>47.282654778154786</v>
      </c>
    </row>
    <row r="3090" spans="4:4" x14ac:dyDescent="0.25">
      <c r="D3090">
        <f t="shared" ca="1" si="61"/>
        <v>47.511397257154151</v>
      </c>
    </row>
    <row r="3091" spans="4:4" x14ac:dyDescent="0.25">
      <c r="D3091">
        <f t="shared" ca="1" si="61"/>
        <v>47.671645830637729</v>
      </c>
    </row>
    <row r="3092" spans="4:4" x14ac:dyDescent="0.25">
      <c r="D3092">
        <f t="shared" ca="1" si="61"/>
        <v>53.293721312883477</v>
      </c>
    </row>
    <row r="3093" spans="4:4" x14ac:dyDescent="0.25">
      <c r="D3093">
        <f t="shared" ca="1" si="61"/>
        <v>50.679846844318412</v>
      </c>
    </row>
    <row r="3094" spans="4:4" x14ac:dyDescent="0.25">
      <c r="D3094">
        <f t="shared" ca="1" si="61"/>
        <v>49.676773064167392</v>
      </c>
    </row>
    <row r="3095" spans="4:4" x14ac:dyDescent="0.25">
      <c r="D3095">
        <f t="shared" ca="1" si="61"/>
        <v>47.446134756227117</v>
      </c>
    </row>
    <row r="3096" spans="4:4" x14ac:dyDescent="0.25">
      <c r="D3096">
        <f t="shared" ca="1" si="61"/>
        <v>56.972805682784703</v>
      </c>
    </row>
    <row r="3097" spans="4:4" x14ac:dyDescent="0.25">
      <c r="D3097">
        <f t="shared" ca="1" si="61"/>
        <v>48.430128487185748</v>
      </c>
    </row>
    <row r="3098" spans="4:4" x14ac:dyDescent="0.25">
      <c r="D3098">
        <f t="shared" ca="1" si="61"/>
        <v>51.539238152554127</v>
      </c>
    </row>
    <row r="3099" spans="4:4" x14ac:dyDescent="0.25">
      <c r="D3099">
        <f t="shared" ca="1" si="61"/>
        <v>50.607204827744127</v>
      </c>
    </row>
    <row r="3100" spans="4:4" x14ac:dyDescent="0.25">
      <c r="D3100">
        <f t="shared" ca="1" si="61"/>
        <v>47.979548999193938</v>
      </c>
    </row>
    <row r="3101" spans="4:4" x14ac:dyDescent="0.25">
      <c r="D3101">
        <f t="shared" ca="1" si="61"/>
        <v>53.43522342644107</v>
      </c>
    </row>
    <row r="3102" spans="4:4" x14ac:dyDescent="0.25">
      <c r="D3102">
        <f t="shared" ca="1" si="61"/>
        <v>47.250118986456727</v>
      </c>
    </row>
    <row r="3103" spans="4:4" x14ac:dyDescent="0.25">
      <c r="D3103">
        <f t="shared" ca="1" si="61"/>
        <v>53.071975228662893</v>
      </c>
    </row>
    <row r="3104" spans="4:4" x14ac:dyDescent="0.25">
      <c r="D3104">
        <f t="shared" ca="1" si="61"/>
        <v>54.752763373687827</v>
      </c>
    </row>
    <row r="3105" spans="4:4" x14ac:dyDescent="0.25">
      <c r="D3105">
        <f t="shared" ca="1" si="61"/>
        <v>60.046720823287934</v>
      </c>
    </row>
    <row r="3106" spans="4:4" x14ac:dyDescent="0.25">
      <c r="D3106">
        <f t="shared" ca="1" si="61"/>
        <v>46.043091276847122</v>
      </c>
    </row>
    <row r="3107" spans="4:4" x14ac:dyDescent="0.25">
      <c r="D3107">
        <f t="shared" ca="1" si="61"/>
        <v>45.604889156747653</v>
      </c>
    </row>
    <row r="3108" spans="4:4" x14ac:dyDescent="0.25">
      <c r="D3108">
        <f t="shared" ca="1" si="61"/>
        <v>48.887512748769751</v>
      </c>
    </row>
    <row r="3109" spans="4:4" x14ac:dyDescent="0.25">
      <c r="D3109">
        <f t="shared" ca="1" si="61"/>
        <v>47.427424120365494</v>
      </c>
    </row>
    <row r="3110" spans="4:4" x14ac:dyDescent="0.25">
      <c r="D3110">
        <f t="shared" ca="1" si="61"/>
        <v>39.373602161802182</v>
      </c>
    </row>
    <row r="3111" spans="4:4" x14ac:dyDescent="0.25">
      <c r="D3111">
        <f t="shared" ca="1" si="61"/>
        <v>48.441526953006509</v>
      </c>
    </row>
    <row r="3112" spans="4:4" x14ac:dyDescent="0.25">
      <c r="D3112">
        <f t="shared" ca="1" si="61"/>
        <v>54.589019066383663</v>
      </c>
    </row>
    <row r="3113" spans="4:4" x14ac:dyDescent="0.25">
      <c r="D3113">
        <f t="shared" ca="1" si="61"/>
        <v>51.926354047951897</v>
      </c>
    </row>
    <row r="3114" spans="4:4" x14ac:dyDescent="0.25">
      <c r="D3114">
        <f t="shared" ca="1" si="61"/>
        <v>48.819859156329045</v>
      </c>
    </row>
    <row r="3115" spans="4:4" x14ac:dyDescent="0.25">
      <c r="D3115">
        <f t="shared" ca="1" si="61"/>
        <v>54.573960062620728</v>
      </c>
    </row>
    <row r="3116" spans="4:4" x14ac:dyDescent="0.25">
      <c r="D3116">
        <f t="shared" ca="1" si="61"/>
        <v>45.717255666021579</v>
      </c>
    </row>
    <row r="3117" spans="4:4" x14ac:dyDescent="0.25">
      <c r="D3117">
        <f t="shared" ca="1" si="61"/>
        <v>46.509327833052822</v>
      </c>
    </row>
    <row r="3118" spans="4:4" x14ac:dyDescent="0.25">
      <c r="D3118">
        <f t="shared" ca="1" si="61"/>
        <v>44.977620353317107</v>
      </c>
    </row>
    <row r="3119" spans="4:4" x14ac:dyDescent="0.25">
      <c r="D3119">
        <f t="shared" ca="1" si="61"/>
        <v>40.847591307229479</v>
      </c>
    </row>
    <row r="3120" spans="4:4" x14ac:dyDescent="0.25">
      <c r="D3120">
        <f t="shared" ca="1" si="61"/>
        <v>42.291990824178356</v>
      </c>
    </row>
    <row r="3121" spans="4:4" x14ac:dyDescent="0.25">
      <c r="D3121">
        <f t="shared" ca="1" si="61"/>
        <v>44.415017976419342</v>
      </c>
    </row>
    <row r="3122" spans="4:4" x14ac:dyDescent="0.25">
      <c r="D3122">
        <f t="shared" ca="1" si="61"/>
        <v>47.077810401394601</v>
      </c>
    </row>
    <row r="3123" spans="4:4" x14ac:dyDescent="0.25">
      <c r="D3123">
        <f t="shared" ca="1" si="61"/>
        <v>47.471317133042888</v>
      </c>
    </row>
    <row r="3124" spans="4:4" x14ac:dyDescent="0.25">
      <c r="D3124">
        <f t="shared" ca="1" si="61"/>
        <v>56.992291432510449</v>
      </c>
    </row>
    <row r="3125" spans="4:4" x14ac:dyDescent="0.25">
      <c r="D3125">
        <f t="shared" ca="1" si="61"/>
        <v>52.655085155027962</v>
      </c>
    </row>
    <row r="3126" spans="4:4" x14ac:dyDescent="0.25">
      <c r="D3126">
        <f t="shared" ca="1" si="61"/>
        <v>51.669130560131855</v>
      </c>
    </row>
    <row r="3127" spans="4:4" x14ac:dyDescent="0.25">
      <c r="D3127">
        <f t="shared" ca="1" si="61"/>
        <v>56.143883769993977</v>
      </c>
    </row>
    <row r="3128" spans="4:4" x14ac:dyDescent="0.25">
      <c r="D3128">
        <f t="shared" ca="1" si="61"/>
        <v>52.966028037293448</v>
      </c>
    </row>
    <row r="3129" spans="4:4" x14ac:dyDescent="0.25">
      <c r="D3129">
        <f t="shared" ca="1" si="61"/>
        <v>48.541573248514041</v>
      </c>
    </row>
    <row r="3130" spans="4:4" x14ac:dyDescent="0.25">
      <c r="D3130">
        <f t="shared" ca="1" si="61"/>
        <v>50.23016002317911</v>
      </c>
    </row>
    <row r="3131" spans="4:4" x14ac:dyDescent="0.25">
      <c r="D3131">
        <f t="shared" ca="1" si="61"/>
        <v>51.444376679304938</v>
      </c>
    </row>
    <row r="3132" spans="4:4" x14ac:dyDescent="0.25">
      <c r="D3132">
        <f t="shared" ca="1" si="61"/>
        <v>51.074896085570046</v>
      </c>
    </row>
    <row r="3133" spans="4:4" x14ac:dyDescent="0.25">
      <c r="D3133">
        <f t="shared" ca="1" si="61"/>
        <v>44.867176608458493</v>
      </c>
    </row>
    <row r="3134" spans="4:4" x14ac:dyDescent="0.25">
      <c r="D3134">
        <f t="shared" ca="1" si="61"/>
        <v>47.407695133453402</v>
      </c>
    </row>
    <row r="3135" spans="4:4" x14ac:dyDescent="0.25">
      <c r="D3135">
        <f t="shared" ca="1" si="61"/>
        <v>50.953059149448357</v>
      </c>
    </row>
    <row r="3136" spans="4:4" x14ac:dyDescent="0.25">
      <c r="D3136">
        <f t="shared" ca="1" si="61"/>
        <v>53.806976216646859</v>
      </c>
    </row>
    <row r="3137" spans="4:4" x14ac:dyDescent="0.25">
      <c r="D3137">
        <f t="shared" ca="1" si="61"/>
        <v>58.582261074244151</v>
      </c>
    </row>
    <row r="3138" spans="4:4" x14ac:dyDescent="0.25">
      <c r="D3138">
        <f t="shared" ca="1" si="61"/>
        <v>49.40001508306824</v>
      </c>
    </row>
    <row r="3139" spans="4:4" x14ac:dyDescent="0.25">
      <c r="D3139">
        <f t="shared" ref="D3139:D3202" ca="1" si="62">_xlfn.T.INV(RAND(),25)*$G$3+$F$3</f>
        <v>45.917194762849327</v>
      </c>
    </row>
    <row r="3140" spans="4:4" x14ac:dyDescent="0.25">
      <c r="D3140">
        <f t="shared" ca="1" si="62"/>
        <v>46.374295141928634</v>
      </c>
    </row>
    <row r="3141" spans="4:4" x14ac:dyDescent="0.25">
      <c r="D3141">
        <f t="shared" ca="1" si="62"/>
        <v>53.374721621175063</v>
      </c>
    </row>
    <row r="3142" spans="4:4" x14ac:dyDescent="0.25">
      <c r="D3142">
        <f t="shared" ca="1" si="62"/>
        <v>43.661768140994951</v>
      </c>
    </row>
    <row r="3143" spans="4:4" x14ac:dyDescent="0.25">
      <c r="D3143">
        <f t="shared" ca="1" si="62"/>
        <v>45.143469846569914</v>
      </c>
    </row>
    <row r="3144" spans="4:4" x14ac:dyDescent="0.25">
      <c r="D3144">
        <f t="shared" ca="1" si="62"/>
        <v>47.93852214555141</v>
      </c>
    </row>
    <row r="3145" spans="4:4" x14ac:dyDescent="0.25">
      <c r="D3145">
        <f t="shared" ca="1" si="62"/>
        <v>50.33649913574407</v>
      </c>
    </row>
    <row r="3146" spans="4:4" x14ac:dyDescent="0.25">
      <c r="D3146">
        <f t="shared" ca="1" si="62"/>
        <v>57.731789314015494</v>
      </c>
    </row>
    <row r="3147" spans="4:4" x14ac:dyDescent="0.25">
      <c r="D3147">
        <f t="shared" ca="1" si="62"/>
        <v>40.694100541369068</v>
      </c>
    </row>
    <row r="3148" spans="4:4" x14ac:dyDescent="0.25">
      <c r="D3148">
        <f t="shared" ca="1" si="62"/>
        <v>45.315002633098665</v>
      </c>
    </row>
    <row r="3149" spans="4:4" x14ac:dyDescent="0.25">
      <c r="D3149">
        <f t="shared" ca="1" si="62"/>
        <v>48.316558360964237</v>
      </c>
    </row>
    <row r="3150" spans="4:4" x14ac:dyDescent="0.25">
      <c r="D3150">
        <f t="shared" ca="1" si="62"/>
        <v>46.077144965430442</v>
      </c>
    </row>
    <row r="3151" spans="4:4" x14ac:dyDescent="0.25">
      <c r="D3151">
        <f t="shared" ca="1" si="62"/>
        <v>42.205258081645965</v>
      </c>
    </row>
    <row r="3152" spans="4:4" x14ac:dyDescent="0.25">
      <c r="D3152">
        <f t="shared" ca="1" si="62"/>
        <v>54.248443456468024</v>
      </c>
    </row>
    <row r="3153" spans="4:4" x14ac:dyDescent="0.25">
      <c r="D3153">
        <f t="shared" ca="1" si="62"/>
        <v>56.705367136786208</v>
      </c>
    </row>
    <row r="3154" spans="4:4" x14ac:dyDescent="0.25">
      <c r="D3154">
        <f t="shared" ca="1" si="62"/>
        <v>47.243331723871556</v>
      </c>
    </row>
    <row r="3155" spans="4:4" x14ac:dyDescent="0.25">
      <c r="D3155">
        <f t="shared" ca="1" si="62"/>
        <v>48.453046083779682</v>
      </c>
    </row>
    <row r="3156" spans="4:4" x14ac:dyDescent="0.25">
      <c r="D3156">
        <f t="shared" ca="1" si="62"/>
        <v>53.671543046196547</v>
      </c>
    </row>
    <row r="3157" spans="4:4" x14ac:dyDescent="0.25">
      <c r="D3157">
        <f t="shared" ca="1" si="62"/>
        <v>45.033261159438339</v>
      </c>
    </row>
    <row r="3158" spans="4:4" x14ac:dyDescent="0.25">
      <c r="D3158">
        <f t="shared" ca="1" si="62"/>
        <v>45.788499974882761</v>
      </c>
    </row>
    <row r="3159" spans="4:4" x14ac:dyDescent="0.25">
      <c r="D3159">
        <f t="shared" ca="1" si="62"/>
        <v>47.062808327865056</v>
      </c>
    </row>
    <row r="3160" spans="4:4" x14ac:dyDescent="0.25">
      <c r="D3160">
        <f t="shared" ca="1" si="62"/>
        <v>47.338833239367133</v>
      </c>
    </row>
    <row r="3161" spans="4:4" x14ac:dyDescent="0.25">
      <c r="D3161">
        <f t="shared" ca="1" si="62"/>
        <v>54.796975544103255</v>
      </c>
    </row>
    <row r="3162" spans="4:4" x14ac:dyDescent="0.25">
      <c r="D3162">
        <f t="shared" ca="1" si="62"/>
        <v>50.113487274902567</v>
      </c>
    </row>
    <row r="3163" spans="4:4" x14ac:dyDescent="0.25">
      <c r="D3163">
        <f t="shared" ca="1" si="62"/>
        <v>52.638624035970004</v>
      </c>
    </row>
    <row r="3164" spans="4:4" x14ac:dyDescent="0.25">
      <c r="D3164">
        <f t="shared" ca="1" si="62"/>
        <v>41.404948118437353</v>
      </c>
    </row>
    <row r="3165" spans="4:4" x14ac:dyDescent="0.25">
      <c r="D3165">
        <f t="shared" ca="1" si="62"/>
        <v>51.593359285170536</v>
      </c>
    </row>
    <row r="3166" spans="4:4" x14ac:dyDescent="0.25">
      <c r="D3166">
        <f t="shared" ca="1" si="62"/>
        <v>50.656080275229499</v>
      </c>
    </row>
    <row r="3167" spans="4:4" x14ac:dyDescent="0.25">
      <c r="D3167">
        <f t="shared" ca="1" si="62"/>
        <v>54.791571053398023</v>
      </c>
    </row>
    <row r="3168" spans="4:4" x14ac:dyDescent="0.25">
      <c r="D3168">
        <f t="shared" ca="1" si="62"/>
        <v>50.533419058903874</v>
      </c>
    </row>
    <row r="3169" spans="4:4" x14ac:dyDescent="0.25">
      <c r="D3169">
        <f t="shared" ca="1" si="62"/>
        <v>46.41602388615329</v>
      </c>
    </row>
    <row r="3170" spans="4:4" x14ac:dyDescent="0.25">
      <c r="D3170">
        <f t="shared" ca="1" si="62"/>
        <v>42.508175956476329</v>
      </c>
    </row>
    <row r="3171" spans="4:4" x14ac:dyDescent="0.25">
      <c r="D3171">
        <f t="shared" ca="1" si="62"/>
        <v>57.276190176853262</v>
      </c>
    </row>
    <row r="3172" spans="4:4" x14ac:dyDescent="0.25">
      <c r="D3172">
        <f t="shared" ca="1" si="62"/>
        <v>50.893963518910297</v>
      </c>
    </row>
    <row r="3173" spans="4:4" x14ac:dyDescent="0.25">
      <c r="D3173">
        <f t="shared" ca="1" si="62"/>
        <v>48.777926518565494</v>
      </c>
    </row>
    <row r="3174" spans="4:4" x14ac:dyDescent="0.25">
      <c r="D3174">
        <f t="shared" ca="1" si="62"/>
        <v>55.516841508550094</v>
      </c>
    </row>
    <row r="3175" spans="4:4" x14ac:dyDescent="0.25">
      <c r="D3175">
        <f t="shared" ca="1" si="62"/>
        <v>50.667345324601243</v>
      </c>
    </row>
    <row r="3176" spans="4:4" x14ac:dyDescent="0.25">
      <c r="D3176">
        <f t="shared" ca="1" si="62"/>
        <v>46.991283591160311</v>
      </c>
    </row>
    <row r="3177" spans="4:4" x14ac:dyDescent="0.25">
      <c r="D3177">
        <f t="shared" ca="1" si="62"/>
        <v>59.029049495308016</v>
      </c>
    </row>
    <row r="3178" spans="4:4" x14ac:dyDescent="0.25">
      <c r="D3178">
        <f t="shared" ca="1" si="62"/>
        <v>51.596014772134069</v>
      </c>
    </row>
    <row r="3179" spans="4:4" x14ac:dyDescent="0.25">
      <c r="D3179">
        <f t="shared" ca="1" si="62"/>
        <v>45.871764093107188</v>
      </c>
    </row>
    <row r="3180" spans="4:4" x14ac:dyDescent="0.25">
      <c r="D3180">
        <f t="shared" ca="1" si="62"/>
        <v>46.666733826665762</v>
      </c>
    </row>
    <row r="3181" spans="4:4" x14ac:dyDescent="0.25">
      <c r="D3181">
        <f t="shared" ca="1" si="62"/>
        <v>52.533774590597083</v>
      </c>
    </row>
    <row r="3182" spans="4:4" x14ac:dyDescent="0.25">
      <c r="D3182">
        <f t="shared" ca="1" si="62"/>
        <v>52.940700664879323</v>
      </c>
    </row>
    <row r="3183" spans="4:4" x14ac:dyDescent="0.25">
      <c r="D3183">
        <f t="shared" ca="1" si="62"/>
        <v>40.910099020436981</v>
      </c>
    </row>
    <row r="3184" spans="4:4" x14ac:dyDescent="0.25">
      <c r="D3184">
        <f t="shared" ca="1" si="62"/>
        <v>46.332897328484862</v>
      </c>
    </row>
    <row r="3185" spans="4:4" x14ac:dyDescent="0.25">
      <c r="D3185">
        <f t="shared" ca="1" si="62"/>
        <v>51.91341841849097</v>
      </c>
    </row>
    <row r="3186" spans="4:4" x14ac:dyDescent="0.25">
      <c r="D3186">
        <f t="shared" ca="1" si="62"/>
        <v>42.89953150904131</v>
      </c>
    </row>
    <row r="3187" spans="4:4" x14ac:dyDescent="0.25">
      <c r="D3187">
        <f t="shared" ca="1" si="62"/>
        <v>44.954867895793683</v>
      </c>
    </row>
    <row r="3188" spans="4:4" x14ac:dyDescent="0.25">
      <c r="D3188">
        <f t="shared" ca="1" si="62"/>
        <v>44.697873562680783</v>
      </c>
    </row>
    <row r="3189" spans="4:4" x14ac:dyDescent="0.25">
      <c r="D3189">
        <f t="shared" ca="1" si="62"/>
        <v>40.15502255985399</v>
      </c>
    </row>
    <row r="3190" spans="4:4" x14ac:dyDescent="0.25">
      <c r="D3190">
        <f t="shared" ca="1" si="62"/>
        <v>46.085741641633433</v>
      </c>
    </row>
    <row r="3191" spans="4:4" x14ac:dyDescent="0.25">
      <c r="D3191">
        <f t="shared" ca="1" si="62"/>
        <v>52.031527167420485</v>
      </c>
    </row>
    <row r="3192" spans="4:4" x14ac:dyDescent="0.25">
      <c r="D3192">
        <f t="shared" ca="1" si="62"/>
        <v>47.101779363074222</v>
      </c>
    </row>
    <row r="3193" spans="4:4" x14ac:dyDescent="0.25">
      <c r="D3193">
        <f t="shared" ca="1" si="62"/>
        <v>48.480093353951588</v>
      </c>
    </row>
    <row r="3194" spans="4:4" x14ac:dyDescent="0.25">
      <c r="D3194">
        <f t="shared" ca="1" si="62"/>
        <v>51.934567796933571</v>
      </c>
    </row>
    <row r="3195" spans="4:4" x14ac:dyDescent="0.25">
      <c r="D3195">
        <f t="shared" ca="1" si="62"/>
        <v>61.091857877004315</v>
      </c>
    </row>
    <row r="3196" spans="4:4" x14ac:dyDescent="0.25">
      <c r="D3196">
        <f t="shared" ca="1" si="62"/>
        <v>51.623430118896721</v>
      </c>
    </row>
    <row r="3197" spans="4:4" x14ac:dyDescent="0.25">
      <c r="D3197">
        <f t="shared" ca="1" si="62"/>
        <v>50.474692348274381</v>
      </c>
    </row>
    <row r="3198" spans="4:4" x14ac:dyDescent="0.25">
      <c r="D3198">
        <f t="shared" ca="1" si="62"/>
        <v>42.266222965613949</v>
      </c>
    </row>
    <row r="3199" spans="4:4" x14ac:dyDescent="0.25">
      <c r="D3199">
        <f t="shared" ca="1" si="62"/>
        <v>42.65820424160939</v>
      </c>
    </row>
    <row r="3200" spans="4:4" x14ac:dyDescent="0.25">
      <c r="D3200">
        <f t="shared" ca="1" si="62"/>
        <v>54.094159782084908</v>
      </c>
    </row>
    <row r="3201" spans="4:4" x14ac:dyDescent="0.25">
      <c r="D3201">
        <f t="shared" ca="1" si="62"/>
        <v>52.219960696712732</v>
      </c>
    </row>
    <row r="3202" spans="4:4" x14ac:dyDescent="0.25">
      <c r="D3202">
        <f t="shared" ca="1" si="62"/>
        <v>52.076655263956894</v>
      </c>
    </row>
    <row r="3203" spans="4:4" x14ac:dyDescent="0.25">
      <c r="D3203">
        <f t="shared" ref="D3203:D3266" ca="1" si="63">_xlfn.T.INV(RAND(),25)*$G$3+$F$3</f>
        <v>51.402657980009337</v>
      </c>
    </row>
    <row r="3204" spans="4:4" x14ac:dyDescent="0.25">
      <c r="D3204">
        <f t="shared" ca="1" si="63"/>
        <v>49.613540812799116</v>
      </c>
    </row>
    <row r="3205" spans="4:4" x14ac:dyDescent="0.25">
      <c r="D3205">
        <f t="shared" ca="1" si="63"/>
        <v>48.266328859827546</v>
      </c>
    </row>
    <row r="3206" spans="4:4" x14ac:dyDescent="0.25">
      <c r="D3206">
        <f t="shared" ca="1" si="63"/>
        <v>37.326751414065718</v>
      </c>
    </row>
    <row r="3207" spans="4:4" x14ac:dyDescent="0.25">
      <c r="D3207">
        <f t="shared" ca="1" si="63"/>
        <v>47.550404219521475</v>
      </c>
    </row>
    <row r="3208" spans="4:4" x14ac:dyDescent="0.25">
      <c r="D3208">
        <f t="shared" ca="1" si="63"/>
        <v>43.914656061238226</v>
      </c>
    </row>
    <row r="3209" spans="4:4" x14ac:dyDescent="0.25">
      <c r="D3209">
        <f t="shared" ca="1" si="63"/>
        <v>53.065231502181653</v>
      </c>
    </row>
    <row r="3210" spans="4:4" x14ac:dyDescent="0.25">
      <c r="D3210">
        <f t="shared" ca="1" si="63"/>
        <v>52.367202630963888</v>
      </c>
    </row>
    <row r="3211" spans="4:4" x14ac:dyDescent="0.25">
      <c r="D3211">
        <f t="shared" ca="1" si="63"/>
        <v>42.334080065443842</v>
      </c>
    </row>
    <row r="3212" spans="4:4" x14ac:dyDescent="0.25">
      <c r="D3212">
        <f t="shared" ca="1" si="63"/>
        <v>41.945645360026859</v>
      </c>
    </row>
    <row r="3213" spans="4:4" x14ac:dyDescent="0.25">
      <c r="D3213">
        <f t="shared" ca="1" si="63"/>
        <v>55.239545425294452</v>
      </c>
    </row>
    <row r="3214" spans="4:4" x14ac:dyDescent="0.25">
      <c r="D3214">
        <f t="shared" ca="1" si="63"/>
        <v>52.708565318280975</v>
      </c>
    </row>
    <row r="3215" spans="4:4" x14ac:dyDescent="0.25">
      <c r="D3215">
        <f t="shared" ca="1" si="63"/>
        <v>48.039478050927336</v>
      </c>
    </row>
    <row r="3216" spans="4:4" x14ac:dyDescent="0.25">
      <c r="D3216">
        <f t="shared" ca="1" si="63"/>
        <v>45.509522615892124</v>
      </c>
    </row>
    <row r="3217" spans="4:4" x14ac:dyDescent="0.25">
      <c r="D3217">
        <f t="shared" ca="1" si="63"/>
        <v>51.379529539777536</v>
      </c>
    </row>
    <row r="3218" spans="4:4" x14ac:dyDescent="0.25">
      <c r="D3218">
        <f t="shared" ca="1" si="63"/>
        <v>46.420836048418749</v>
      </c>
    </row>
    <row r="3219" spans="4:4" x14ac:dyDescent="0.25">
      <c r="D3219">
        <f t="shared" ca="1" si="63"/>
        <v>53.405346367044011</v>
      </c>
    </row>
    <row r="3220" spans="4:4" x14ac:dyDescent="0.25">
      <c r="D3220">
        <f t="shared" ca="1" si="63"/>
        <v>46.118514280938861</v>
      </c>
    </row>
    <row r="3221" spans="4:4" x14ac:dyDescent="0.25">
      <c r="D3221">
        <f t="shared" ca="1" si="63"/>
        <v>48.032375060463721</v>
      </c>
    </row>
    <row r="3222" spans="4:4" x14ac:dyDescent="0.25">
      <c r="D3222">
        <f t="shared" ca="1" si="63"/>
        <v>52.878312188670897</v>
      </c>
    </row>
    <row r="3223" spans="4:4" x14ac:dyDescent="0.25">
      <c r="D3223">
        <f t="shared" ca="1" si="63"/>
        <v>55.120377113876273</v>
      </c>
    </row>
    <row r="3224" spans="4:4" x14ac:dyDescent="0.25">
      <c r="D3224">
        <f t="shared" ca="1" si="63"/>
        <v>51.160088333034288</v>
      </c>
    </row>
    <row r="3225" spans="4:4" x14ac:dyDescent="0.25">
      <c r="D3225">
        <f t="shared" ca="1" si="63"/>
        <v>57.586785918628728</v>
      </c>
    </row>
    <row r="3226" spans="4:4" x14ac:dyDescent="0.25">
      <c r="D3226">
        <f t="shared" ca="1" si="63"/>
        <v>45.534164959740579</v>
      </c>
    </row>
    <row r="3227" spans="4:4" x14ac:dyDescent="0.25">
      <c r="D3227">
        <f t="shared" ca="1" si="63"/>
        <v>41.714560064215853</v>
      </c>
    </row>
    <row r="3228" spans="4:4" x14ac:dyDescent="0.25">
      <c r="D3228">
        <f t="shared" ca="1" si="63"/>
        <v>40.692799377670084</v>
      </c>
    </row>
    <row r="3229" spans="4:4" x14ac:dyDescent="0.25">
      <c r="D3229">
        <f t="shared" ca="1" si="63"/>
        <v>48.841511360054859</v>
      </c>
    </row>
    <row r="3230" spans="4:4" x14ac:dyDescent="0.25">
      <c r="D3230">
        <f t="shared" ca="1" si="63"/>
        <v>53.942430982181619</v>
      </c>
    </row>
    <row r="3231" spans="4:4" x14ac:dyDescent="0.25">
      <c r="D3231">
        <f t="shared" ca="1" si="63"/>
        <v>54.384527581420599</v>
      </c>
    </row>
    <row r="3232" spans="4:4" x14ac:dyDescent="0.25">
      <c r="D3232">
        <f t="shared" ca="1" si="63"/>
        <v>57.390898261435062</v>
      </c>
    </row>
    <row r="3233" spans="4:4" x14ac:dyDescent="0.25">
      <c r="D3233">
        <f t="shared" ca="1" si="63"/>
        <v>54.931615283915846</v>
      </c>
    </row>
    <row r="3234" spans="4:4" x14ac:dyDescent="0.25">
      <c r="D3234">
        <f t="shared" ca="1" si="63"/>
        <v>50.753844812766673</v>
      </c>
    </row>
    <row r="3235" spans="4:4" x14ac:dyDescent="0.25">
      <c r="D3235">
        <f t="shared" ca="1" si="63"/>
        <v>46.980264100924543</v>
      </c>
    </row>
    <row r="3236" spans="4:4" x14ac:dyDescent="0.25">
      <c r="D3236">
        <f t="shared" ca="1" si="63"/>
        <v>49.99714872688012</v>
      </c>
    </row>
    <row r="3237" spans="4:4" x14ac:dyDescent="0.25">
      <c r="D3237">
        <f t="shared" ca="1" si="63"/>
        <v>55.79559468941752</v>
      </c>
    </row>
    <row r="3238" spans="4:4" x14ac:dyDescent="0.25">
      <c r="D3238">
        <f t="shared" ca="1" si="63"/>
        <v>49.605283991298251</v>
      </c>
    </row>
    <row r="3239" spans="4:4" x14ac:dyDescent="0.25">
      <c r="D3239">
        <f t="shared" ca="1" si="63"/>
        <v>44.860607941851853</v>
      </c>
    </row>
    <row r="3240" spans="4:4" x14ac:dyDescent="0.25">
      <c r="D3240">
        <f t="shared" ca="1" si="63"/>
        <v>46.401961620313308</v>
      </c>
    </row>
    <row r="3241" spans="4:4" x14ac:dyDescent="0.25">
      <c r="D3241">
        <f t="shared" ca="1" si="63"/>
        <v>50.119513444296693</v>
      </c>
    </row>
    <row r="3242" spans="4:4" x14ac:dyDescent="0.25">
      <c r="D3242">
        <f t="shared" ca="1" si="63"/>
        <v>55.036909940507506</v>
      </c>
    </row>
    <row r="3243" spans="4:4" x14ac:dyDescent="0.25">
      <c r="D3243">
        <f t="shared" ca="1" si="63"/>
        <v>41.581015580230549</v>
      </c>
    </row>
    <row r="3244" spans="4:4" x14ac:dyDescent="0.25">
      <c r="D3244">
        <f t="shared" ca="1" si="63"/>
        <v>51.974686058872045</v>
      </c>
    </row>
    <row r="3245" spans="4:4" x14ac:dyDescent="0.25">
      <c r="D3245">
        <f t="shared" ca="1" si="63"/>
        <v>46.469995570232697</v>
      </c>
    </row>
    <row r="3246" spans="4:4" x14ac:dyDescent="0.25">
      <c r="D3246">
        <f t="shared" ca="1" si="63"/>
        <v>49.775391019276768</v>
      </c>
    </row>
    <row r="3247" spans="4:4" x14ac:dyDescent="0.25">
      <c r="D3247">
        <f t="shared" ca="1" si="63"/>
        <v>43.58860976048755</v>
      </c>
    </row>
    <row r="3248" spans="4:4" x14ac:dyDescent="0.25">
      <c r="D3248">
        <f t="shared" ca="1" si="63"/>
        <v>48.147545666424755</v>
      </c>
    </row>
    <row r="3249" spans="4:4" x14ac:dyDescent="0.25">
      <c r="D3249">
        <f t="shared" ca="1" si="63"/>
        <v>43.518916486866836</v>
      </c>
    </row>
    <row r="3250" spans="4:4" x14ac:dyDescent="0.25">
      <c r="D3250">
        <f t="shared" ca="1" si="63"/>
        <v>46.164648822514515</v>
      </c>
    </row>
    <row r="3251" spans="4:4" x14ac:dyDescent="0.25">
      <c r="D3251">
        <f t="shared" ca="1" si="63"/>
        <v>51.681249449393768</v>
      </c>
    </row>
    <row r="3252" spans="4:4" x14ac:dyDescent="0.25">
      <c r="D3252">
        <f t="shared" ca="1" si="63"/>
        <v>41.37047464461785</v>
      </c>
    </row>
    <row r="3253" spans="4:4" x14ac:dyDescent="0.25">
      <c r="D3253">
        <f t="shared" ca="1" si="63"/>
        <v>52.532394591020719</v>
      </c>
    </row>
    <row r="3254" spans="4:4" x14ac:dyDescent="0.25">
      <c r="D3254">
        <f t="shared" ca="1" si="63"/>
        <v>44.453910566387115</v>
      </c>
    </row>
    <row r="3255" spans="4:4" x14ac:dyDescent="0.25">
      <c r="D3255">
        <f t="shared" ca="1" si="63"/>
        <v>55.613089490959894</v>
      </c>
    </row>
    <row r="3256" spans="4:4" x14ac:dyDescent="0.25">
      <c r="D3256">
        <f t="shared" ca="1" si="63"/>
        <v>54.1408473082436</v>
      </c>
    </row>
    <row r="3257" spans="4:4" x14ac:dyDescent="0.25">
      <c r="D3257">
        <f t="shared" ca="1" si="63"/>
        <v>46.101455385864604</v>
      </c>
    </row>
    <row r="3258" spans="4:4" x14ac:dyDescent="0.25">
      <c r="D3258">
        <f t="shared" ca="1" si="63"/>
        <v>50.368273527708546</v>
      </c>
    </row>
    <row r="3259" spans="4:4" x14ac:dyDescent="0.25">
      <c r="D3259">
        <f t="shared" ca="1" si="63"/>
        <v>45.625587610470141</v>
      </c>
    </row>
    <row r="3260" spans="4:4" x14ac:dyDescent="0.25">
      <c r="D3260">
        <f t="shared" ca="1" si="63"/>
        <v>54.817231763468307</v>
      </c>
    </row>
    <row r="3261" spans="4:4" x14ac:dyDescent="0.25">
      <c r="D3261">
        <f t="shared" ca="1" si="63"/>
        <v>54.685303325522788</v>
      </c>
    </row>
    <row r="3262" spans="4:4" x14ac:dyDescent="0.25">
      <c r="D3262">
        <f t="shared" ca="1" si="63"/>
        <v>50.991480795503364</v>
      </c>
    </row>
    <row r="3263" spans="4:4" x14ac:dyDescent="0.25">
      <c r="D3263">
        <f t="shared" ca="1" si="63"/>
        <v>48.706769504068511</v>
      </c>
    </row>
    <row r="3264" spans="4:4" x14ac:dyDescent="0.25">
      <c r="D3264">
        <f t="shared" ca="1" si="63"/>
        <v>51.848578322295459</v>
      </c>
    </row>
    <row r="3265" spans="4:4" x14ac:dyDescent="0.25">
      <c r="D3265">
        <f t="shared" ca="1" si="63"/>
        <v>46.364505820754999</v>
      </c>
    </row>
    <row r="3266" spans="4:4" x14ac:dyDescent="0.25">
      <c r="D3266">
        <f t="shared" ca="1" si="63"/>
        <v>49.616322885046202</v>
      </c>
    </row>
    <row r="3267" spans="4:4" x14ac:dyDescent="0.25">
      <c r="D3267">
        <f t="shared" ref="D3267:D3330" ca="1" si="64">_xlfn.T.INV(RAND(),25)*$G$3+$F$3</f>
        <v>44.115547517294694</v>
      </c>
    </row>
    <row r="3268" spans="4:4" x14ac:dyDescent="0.25">
      <c r="D3268">
        <f t="shared" ca="1" si="64"/>
        <v>53.334122163424489</v>
      </c>
    </row>
    <row r="3269" spans="4:4" x14ac:dyDescent="0.25">
      <c r="D3269">
        <f t="shared" ca="1" si="64"/>
        <v>53.233380614587702</v>
      </c>
    </row>
    <row r="3270" spans="4:4" x14ac:dyDescent="0.25">
      <c r="D3270">
        <f t="shared" ca="1" si="64"/>
        <v>47.40916989285035</v>
      </c>
    </row>
    <row r="3271" spans="4:4" x14ac:dyDescent="0.25">
      <c r="D3271">
        <f t="shared" ca="1" si="64"/>
        <v>43.311776914093151</v>
      </c>
    </row>
    <row r="3272" spans="4:4" x14ac:dyDescent="0.25">
      <c r="D3272">
        <f t="shared" ca="1" si="64"/>
        <v>50.140407504461642</v>
      </c>
    </row>
    <row r="3273" spans="4:4" x14ac:dyDescent="0.25">
      <c r="D3273">
        <f t="shared" ca="1" si="64"/>
        <v>49.993740200267531</v>
      </c>
    </row>
    <row r="3274" spans="4:4" x14ac:dyDescent="0.25">
      <c r="D3274">
        <f t="shared" ca="1" si="64"/>
        <v>48.760329735490309</v>
      </c>
    </row>
    <row r="3275" spans="4:4" x14ac:dyDescent="0.25">
      <c r="D3275">
        <f t="shared" ca="1" si="64"/>
        <v>54.170683686469829</v>
      </c>
    </row>
    <row r="3276" spans="4:4" x14ac:dyDescent="0.25">
      <c r="D3276">
        <f t="shared" ca="1" si="64"/>
        <v>46.023796595282072</v>
      </c>
    </row>
    <row r="3277" spans="4:4" x14ac:dyDescent="0.25">
      <c r="D3277">
        <f t="shared" ca="1" si="64"/>
        <v>45.504725212744589</v>
      </c>
    </row>
    <row r="3278" spans="4:4" x14ac:dyDescent="0.25">
      <c r="D3278">
        <f t="shared" ca="1" si="64"/>
        <v>60.420155763356711</v>
      </c>
    </row>
    <row r="3279" spans="4:4" x14ac:dyDescent="0.25">
      <c r="D3279">
        <f t="shared" ca="1" si="64"/>
        <v>50.444337446350723</v>
      </c>
    </row>
    <row r="3280" spans="4:4" x14ac:dyDescent="0.25">
      <c r="D3280">
        <f t="shared" ca="1" si="64"/>
        <v>58.49442740683962</v>
      </c>
    </row>
    <row r="3281" spans="4:4" x14ac:dyDescent="0.25">
      <c r="D3281">
        <f t="shared" ca="1" si="64"/>
        <v>55.556723069325322</v>
      </c>
    </row>
    <row r="3282" spans="4:4" x14ac:dyDescent="0.25">
      <c r="D3282">
        <f t="shared" ca="1" si="64"/>
        <v>54.526985295103188</v>
      </c>
    </row>
    <row r="3283" spans="4:4" x14ac:dyDescent="0.25">
      <c r="D3283">
        <f t="shared" ca="1" si="64"/>
        <v>48.776677597913931</v>
      </c>
    </row>
    <row r="3284" spans="4:4" x14ac:dyDescent="0.25">
      <c r="D3284">
        <f t="shared" ca="1" si="64"/>
        <v>44.565327461140861</v>
      </c>
    </row>
    <row r="3285" spans="4:4" x14ac:dyDescent="0.25">
      <c r="D3285">
        <f t="shared" ca="1" si="64"/>
        <v>57.180646594648898</v>
      </c>
    </row>
    <row r="3286" spans="4:4" x14ac:dyDescent="0.25">
      <c r="D3286">
        <f t="shared" ca="1" si="64"/>
        <v>56.098405923347613</v>
      </c>
    </row>
    <row r="3287" spans="4:4" x14ac:dyDescent="0.25">
      <c r="D3287">
        <f t="shared" ca="1" si="64"/>
        <v>49.552825637506039</v>
      </c>
    </row>
    <row r="3288" spans="4:4" x14ac:dyDescent="0.25">
      <c r="D3288">
        <f t="shared" ca="1" si="64"/>
        <v>47.587327196160629</v>
      </c>
    </row>
    <row r="3289" spans="4:4" x14ac:dyDescent="0.25">
      <c r="D3289">
        <f t="shared" ca="1" si="64"/>
        <v>48.44608054074601</v>
      </c>
    </row>
    <row r="3290" spans="4:4" x14ac:dyDescent="0.25">
      <c r="D3290">
        <f t="shared" ca="1" si="64"/>
        <v>49.095861549732319</v>
      </c>
    </row>
    <row r="3291" spans="4:4" x14ac:dyDescent="0.25">
      <c r="D3291">
        <f t="shared" ca="1" si="64"/>
        <v>47.230403209278805</v>
      </c>
    </row>
    <row r="3292" spans="4:4" x14ac:dyDescent="0.25">
      <c r="D3292">
        <f t="shared" ca="1" si="64"/>
        <v>53.770188619650945</v>
      </c>
    </row>
    <row r="3293" spans="4:4" x14ac:dyDescent="0.25">
      <c r="D3293">
        <f t="shared" ca="1" si="64"/>
        <v>58.267011503404653</v>
      </c>
    </row>
    <row r="3294" spans="4:4" x14ac:dyDescent="0.25">
      <c r="D3294">
        <f t="shared" ca="1" si="64"/>
        <v>46.882695744844888</v>
      </c>
    </row>
    <row r="3295" spans="4:4" x14ac:dyDescent="0.25">
      <c r="D3295">
        <f t="shared" ca="1" si="64"/>
        <v>51.961673723480743</v>
      </c>
    </row>
    <row r="3296" spans="4:4" x14ac:dyDescent="0.25">
      <c r="D3296">
        <f t="shared" ca="1" si="64"/>
        <v>48.026011159141717</v>
      </c>
    </row>
    <row r="3297" spans="4:4" x14ac:dyDescent="0.25">
      <c r="D3297">
        <f t="shared" ca="1" si="64"/>
        <v>48.069051171728958</v>
      </c>
    </row>
    <row r="3298" spans="4:4" x14ac:dyDescent="0.25">
      <c r="D3298">
        <f t="shared" ca="1" si="64"/>
        <v>42.601978752014702</v>
      </c>
    </row>
    <row r="3299" spans="4:4" x14ac:dyDescent="0.25">
      <c r="D3299">
        <f t="shared" ca="1" si="64"/>
        <v>43.972449303148956</v>
      </c>
    </row>
    <row r="3300" spans="4:4" x14ac:dyDescent="0.25">
      <c r="D3300">
        <f t="shared" ca="1" si="64"/>
        <v>51.66688731902051</v>
      </c>
    </row>
    <row r="3301" spans="4:4" x14ac:dyDescent="0.25">
      <c r="D3301">
        <f t="shared" ca="1" si="64"/>
        <v>50.39989176897658</v>
      </c>
    </row>
    <row r="3302" spans="4:4" x14ac:dyDescent="0.25">
      <c r="D3302">
        <f t="shared" ca="1" si="64"/>
        <v>48.543229597751136</v>
      </c>
    </row>
    <row r="3303" spans="4:4" x14ac:dyDescent="0.25">
      <c r="D3303">
        <f t="shared" ca="1" si="64"/>
        <v>55.686193650984649</v>
      </c>
    </row>
    <row r="3304" spans="4:4" x14ac:dyDescent="0.25">
      <c r="D3304">
        <f t="shared" ca="1" si="64"/>
        <v>43.265409039962641</v>
      </c>
    </row>
    <row r="3305" spans="4:4" x14ac:dyDescent="0.25">
      <c r="D3305">
        <f t="shared" ca="1" si="64"/>
        <v>50.892430788918638</v>
      </c>
    </row>
    <row r="3306" spans="4:4" x14ac:dyDescent="0.25">
      <c r="D3306">
        <f t="shared" ca="1" si="64"/>
        <v>46.221413564122344</v>
      </c>
    </row>
    <row r="3307" spans="4:4" x14ac:dyDescent="0.25">
      <c r="D3307">
        <f t="shared" ca="1" si="64"/>
        <v>54.880313466243358</v>
      </c>
    </row>
    <row r="3308" spans="4:4" x14ac:dyDescent="0.25">
      <c r="D3308">
        <f t="shared" ca="1" si="64"/>
        <v>50.936553653105662</v>
      </c>
    </row>
    <row r="3309" spans="4:4" x14ac:dyDescent="0.25">
      <c r="D3309">
        <f t="shared" ca="1" si="64"/>
        <v>46.899148295690587</v>
      </c>
    </row>
    <row r="3310" spans="4:4" x14ac:dyDescent="0.25">
      <c r="D3310">
        <f t="shared" ca="1" si="64"/>
        <v>44.592861553917736</v>
      </c>
    </row>
    <row r="3311" spans="4:4" x14ac:dyDescent="0.25">
      <c r="D3311">
        <f t="shared" ca="1" si="64"/>
        <v>51.569011686980843</v>
      </c>
    </row>
    <row r="3312" spans="4:4" x14ac:dyDescent="0.25">
      <c r="D3312">
        <f t="shared" ca="1" si="64"/>
        <v>58.598315996614353</v>
      </c>
    </row>
    <row r="3313" spans="4:4" x14ac:dyDescent="0.25">
      <c r="D3313">
        <f t="shared" ca="1" si="64"/>
        <v>50.427025507840284</v>
      </c>
    </row>
    <row r="3314" spans="4:4" x14ac:dyDescent="0.25">
      <c r="D3314">
        <f t="shared" ca="1" si="64"/>
        <v>42.87703859354432</v>
      </c>
    </row>
    <row r="3315" spans="4:4" x14ac:dyDescent="0.25">
      <c r="D3315">
        <f t="shared" ca="1" si="64"/>
        <v>44.847959119862374</v>
      </c>
    </row>
    <row r="3316" spans="4:4" x14ac:dyDescent="0.25">
      <c r="D3316">
        <f t="shared" ca="1" si="64"/>
        <v>56.116867997853753</v>
      </c>
    </row>
    <row r="3317" spans="4:4" x14ac:dyDescent="0.25">
      <c r="D3317">
        <f t="shared" ca="1" si="64"/>
        <v>52.554387416066604</v>
      </c>
    </row>
    <row r="3318" spans="4:4" x14ac:dyDescent="0.25">
      <c r="D3318">
        <f t="shared" ca="1" si="64"/>
        <v>45.631384661377929</v>
      </c>
    </row>
    <row r="3319" spans="4:4" x14ac:dyDescent="0.25">
      <c r="D3319">
        <f t="shared" ca="1" si="64"/>
        <v>50.403759545772601</v>
      </c>
    </row>
    <row r="3320" spans="4:4" x14ac:dyDescent="0.25">
      <c r="D3320">
        <f t="shared" ca="1" si="64"/>
        <v>56.764995987602759</v>
      </c>
    </row>
    <row r="3321" spans="4:4" x14ac:dyDescent="0.25">
      <c r="D3321">
        <f t="shared" ca="1" si="64"/>
        <v>47.537089656956361</v>
      </c>
    </row>
    <row r="3322" spans="4:4" x14ac:dyDescent="0.25">
      <c r="D3322">
        <f t="shared" ca="1" si="64"/>
        <v>45.217443801932667</v>
      </c>
    </row>
    <row r="3323" spans="4:4" x14ac:dyDescent="0.25">
      <c r="D3323">
        <f t="shared" ca="1" si="64"/>
        <v>48.508034805425467</v>
      </c>
    </row>
    <row r="3324" spans="4:4" x14ac:dyDescent="0.25">
      <c r="D3324">
        <f t="shared" ca="1" si="64"/>
        <v>43.153628142656821</v>
      </c>
    </row>
    <row r="3325" spans="4:4" x14ac:dyDescent="0.25">
      <c r="D3325">
        <f t="shared" ca="1" si="64"/>
        <v>47.222113299598519</v>
      </c>
    </row>
    <row r="3326" spans="4:4" x14ac:dyDescent="0.25">
      <c r="D3326">
        <f t="shared" ca="1" si="64"/>
        <v>53.73722612270511</v>
      </c>
    </row>
    <row r="3327" spans="4:4" x14ac:dyDescent="0.25">
      <c r="D3327">
        <f t="shared" ca="1" si="64"/>
        <v>55.427487776847329</v>
      </c>
    </row>
    <row r="3328" spans="4:4" x14ac:dyDescent="0.25">
      <c r="D3328">
        <f t="shared" ca="1" si="64"/>
        <v>49.229091411838724</v>
      </c>
    </row>
    <row r="3329" spans="4:4" x14ac:dyDescent="0.25">
      <c r="D3329">
        <f t="shared" ca="1" si="64"/>
        <v>45.309059057402244</v>
      </c>
    </row>
    <row r="3330" spans="4:4" x14ac:dyDescent="0.25">
      <c r="D3330">
        <f t="shared" ca="1" si="64"/>
        <v>45.794574907537495</v>
      </c>
    </row>
    <row r="3331" spans="4:4" x14ac:dyDescent="0.25">
      <c r="D3331">
        <f t="shared" ref="D3331:D3394" ca="1" si="65">_xlfn.T.INV(RAND(),25)*$G$3+$F$3</f>
        <v>53.427003569281162</v>
      </c>
    </row>
    <row r="3332" spans="4:4" x14ac:dyDescent="0.25">
      <c r="D3332">
        <f t="shared" ca="1" si="65"/>
        <v>46.277040840068707</v>
      </c>
    </row>
    <row r="3333" spans="4:4" x14ac:dyDescent="0.25">
      <c r="D3333">
        <f t="shared" ca="1" si="65"/>
        <v>62.1214852904575</v>
      </c>
    </row>
    <row r="3334" spans="4:4" x14ac:dyDescent="0.25">
      <c r="D3334">
        <f t="shared" ca="1" si="65"/>
        <v>58.843770142471428</v>
      </c>
    </row>
    <row r="3335" spans="4:4" x14ac:dyDescent="0.25">
      <c r="D3335">
        <f t="shared" ca="1" si="65"/>
        <v>53.250991805581762</v>
      </c>
    </row>
    <row r="3336" spans="4:4" x14ac:dyDescent="0.25">
      <c r="D3336">
        <f t="shared" ca="1" si="65"/>
        <v>53.059017737262764</v>
      </c>
    </row>
    <row r="3337" spans="4:4" x14ac:dyDescent="0.25">
      <c r="D3337">
        <f t="shared" ca="1" si="65"/>
        <v>53.89930480938439</v>
      </c>
    </row>
    <row r="3338" spans="4:4" x14ac:dyDescent="0.25">
      <c r="D3338">
        <f t="shared" ca="1" si="65"/>
        <v>47.010089628135987</v>
      </c>
    </row>
    <row r="3339" spans="4:4" x14ac:dyDescent="0.25">
      <c r="D3339">
        <f t="shared" ca="1" si="65"/>
        <v>48.332753789087008</v>
      </c>
    </row>
    <row r="3340" spans="4:4" x14ac:dyDescent="0.25">
      <c r="D3340">
        <f t="shared" ca="1" si="65"/>
        <v>49.319434374611475</v>
      </c>
    </row>
    <row r="3341" spans="4:4" x14ac:dyDescent="0.25">
      <c r="D3341">
        <f t="shared" ca="1" si="65"/>
        <v>54.275124913556965</v>
      </c>
    </row>
    <row r="3342" spans="4:4" x14ac:dyDescent="0.25">
      <c r="D3342">
        <f t="shared" ca="1" si="65"/>
        <v>45.747435049891195</v>
      </c>
    </row>
    <row r="3343" spans="4:4" x14ac:dyDescent="0.25">
      <c r="D3343">
        <f t="shared" ca="1" si="65"/>
        <v>52.800387313295644</v>
      </c>
    </row>
    <row r="3344" spans="4:4" x14ac:dyDescent="0.25">
      <c r="D3344">
        <f t="shared" ca="1" si="65"/>
        <v>49.702747008104666</v>
      </c>
    </row>
    <row r="3345" spans="4:4" x14ac:dyDescent="0.25">
      <c r="D3345">
        <f t="shared" ca="1" si="65"/>
        <v>50.046415136281155</v>
      </c>
    </row>
    <row r="3346" spans="4:4" x14ac:dyDescent="0.25">
      <c r="D3346">
        <f t="shared" ca="1" si="65"/>
        <v>54.498631463872364</v>
      </c>
    </row>
    <row r="3347" spans="4:4" x14ac:dyDescent="0.25">
      <c r="D3347">
        <f t="shared" ca="1" si="65"/>
        <v>42.794552258614715</v>
      </c>
    </row>
    <row r="3348" spans="4:4" x14ac:dyDescent="0.25">
      <c r="D3348">
        <f t="shared" ca="1" si="65"/>
        <v>47.208465417822929</v>
      </c>
    </row>
    <row r="3349" spans="4:4" x14ac:dyDescent="0.25">
      <c r="D3349">
        <f t="shared" ca="1" si="65"/>
        <v>43.479745730599802</v>
      </c>
    </row>
    <row r="3350" spans="4:4" x14ac:dyDescent="0.25">
      <c r="D3350">
        <f t="shared" ca="1" si="65"/>
        <v>48.162467959263275</v>
      </c>
    </row>
    <row r="3351" spans="4:4" x14ac:dyDescent="0.25">
      <c r="D3351">
        <f t="shared" ca="1" si="65"/>
        <v>47.031412590628875</v>
      </c>
    </row>
    <row r="3352" spans="4:4" x14ac:dyDescent="0.25">
      <c r="D3352">
        <f t="shared" ca="1" si="65"/>
        <v>48.624086119503048</v>
      </c>
    </row>
    <row r="3353" spans="4:4" x14ac:dyDescent="0.25">
      <c r="D3353">
        <f t="shared" ca="1" si="65"/>
        <v>63.539150025831333</v>
      </c>
    </row>
    <row r="3354" spans="4:4" x14ac:dyDescent="0.25">
      <c r="D3354">
        <f t="shared" ca="1" si="65"/>
        <v>45.939050529504847</v>
      </c>
    </row>
    <row r="3355" spans="4:4" x14ac:dyDescent="0.25">
      <c r="D3355">
        <f t="shared" ca="1" si="65"/>
        <v>48.097056269712162</v>
      </c>
    </row>
    <row r="3356" spans="4:4" x14ac:dyDescent="0.25">
      <c r="D3356">
        <f t="shared" ca="1" si="65"/>
        <v>61.873918866811607</v>
      </c>
    </row>
    <row r="3357" spans="4:4" x14ac:dyDescent="0.25">
      <c r="D3357">
        <f t="shared" ca="1" si="65"/>
        <v>57.55220596375937</v>
      </c>
    </row>
    <row r="3358" spans="4:4" x14ac:dyDescent="0.25">
      <c r="D3358">
        <f t="shared" ca="1" si="65"/>
        <v>52.219806546003142</v>
      </c>
    </row>
    <row r="3359" spans="4:4" x14ac:dyDescent="0.25">
      <c r="D3359">
        <f t="shared" ca="1" si="65"/>
        <v>47.707534728202738</v>
      </c>
    </row>
    <row r="3360" spans="4:4" x14ac:dyDescent="0.25">
      <c r="D3360">
        <f t="shared" ca="1" si="65"/>
        <v>58.105718552410266</v>
      </c>
    </row>
    <row r="3361" spans="4:4" x14ac:dyDescent="0.25">
      <c r="D3361">
        <f t="shared" ca="1" si="65"/>
        <v>43.216579875433439</v>
      </c>
    </row>
    <row r="3362" spans="4:4" x14ac:dyDescent="0.25">
      <c r="D3362">
        <f t="shared" ca="1" si="65"/>
        <v>49.76788804864831</v>
      </c>
    </row>
    <row r="3363" spans="4:4" x14ac:dyDescent="0.25">
      <c r="D3363">
        <f t="shared" ca="1" si="65"/>
        <v>44.340547018385706</v>
      </c>
    </row>
    <row r="3364" spans="4:4" x14ac:dyDescent="0.25">
      <c r="D3364">
        <f t="shared" ca="1" si="65"/>
        <v>42.18134082176644</v>
      </c>
    </row>
    <row r="3365" spans="4:4" x14ac:dyDescent="0.25">
      <c r="D3365">
        <f t="shared" ca="1" si="65"/>
        <v>49.637490567876782</v>
      </c>
    </row>
    <row r="3366" spans="4:4" x14ac:dyDescent="0.25">
      <c r="D3366">
        <f t="shared" ca="1" si="65"/>
        <v>50.962320145219451</v>
      </c>
    </row>
    <row r="3367" spans="4:4" x14ac:dyDescent="0.25">
      <c r="D3367">
        <f t="shared" ca="1" si="65"/>
        <v>49.623305048184243</v>
      </c>
    </row>
    <row r="3368" spans="4:4" x14ac:dyDescent="0.25">
      <c r="D3368">
        <f t="shared" ca="1" si="65"/>
        <v>46.897844359394149</v>
      </c>
    </row>
    <row r="3369" spans="4:4" x14ac:dyDescent="0.25">
      <c r="D3369">
        <f t="shared" ca="1" si="65"/>
        <v>48.324004183659312</v>
      </c>
    </row>
    <row r="3370" spans="4:4" x14ac:dyDescent="0.25">
      <c r="D3370">
        <f t="shared" ca="1" si="65"/>
        <v>56.246224322081332</v>
      </c>
    </row>
    <row r="3371" spans="4:4" x14ac:dyDescent="0.25">
      <c r="D3371">
        <f t="shared" ca="1" si="65"/>
        <v>53.714815060808775</v>
      </c>
    </row>
    <row r="3372" spans="4:4" x14ac:dyDescent="0.25">
      <c r="D3372">
        <f t="shared" ca="1" si="65"/>
        <v>40.83258400343459</v>
      </c>
    </row>
    <row r="3373" spans="4:4" x14ac:dyDescent="0.25">
      <c r="D3373">
        <f t="shared" ca="1" si="65"/>
        <v>57.451727289190885</v>
      </c>
    </row>
    <row r="3374" spans="4:4" x14ac:dyDescent="0.25">
      <c r="D3374">
        <f t="shared" ca="1" si="65"/>
        <v>55.043941556200963</v>
      </c>
    </row>
    <row r="3375" spans="4:4" x14ac:dyDescent="0.25">
      <c r="D3375">
        <f t="shared" ca="1" si="65"/>
        <v>52.800459437446243</v>
      </c>
    </row>
    <row r="3376" spans="4:4" x14ac:dyDescent="0.25">
      <c r="D3376">
        <f t="shared" ca="1" si="65"/>
        <v>44.653833872916387</v>
      </c>
    </row>
    <row r="3377" spans="4:4" x14ac:dyDescent="0.25">
      <c r="D3377">
        <f t="shared" ca="1" si="65"/>
        <v>45.598205047577089</v>
      </c>
    </row>
    <row r="3378" spans="4:4" x14ac:dyDescent="0.25">
      <c r="D3378">
        <f t="shared" ca="1" si="65"/>
        <v>47.424922628598118</v>
      </c>
    </row>
    <row r="3379" spans="4:4" x14ac:dyDescent="0.25">
      <c r="D3379">
        <f t="shared" ca="1" si="65"/>
        <v>42.763605472927424</v>
      </c>
    </row>
    <row r="3380" spans="4:4" x14ac:dyDescent="0.25">
      <c r="D3380">
        <f t="shared" ca="1" si="65"/>
        <v>46.411884820779697</v>
      </c>
    </row>
    <row r="3381" spans="4:4" x14ac:dyDescent="0.25">
      <c r="D3381">
        <f t="shared" ca="1" si="65"/>
        <v>55.287946326887777</v>
      </c>
    </row>
    <row r="3382" spans="4:4" x14ac:dyDescent="0.25">
      <c r="D3382">
        <f t="shared" ca="1" si="65"/>
        <v>44.632663186467617</v>
      </c>
    </row>
    <row r="3383" spans="4:4" x14ac:dyDescent="0.25">
      <c r="D3383">
        <f t="shared" ca="1" si="65"/>
        <v>56.08755162158711</v>
      </c>
    </row>
    <row r="3384" spans="4:4" x14ac:dyDescent="0.25">
      <c r="D3384">
        <f t="shared" ca="1" si="65"/>
        <v>54.61889665074024</v>
      </c>
    </row>
    <row r="3385" spans="4:4" x14ac:dyDescent="0.25">
      <c r="D3385">
        <f t="shared" ca="1" si="65"/>
        <v>57.865928987014904</v>
      </c>
    </row>
    <row r="3386" spans="4:4" x14ac:dyDescent="0.25">
      <c r="D3386">
        <f t="shared" ca="1" si="65"/>
        <v>47.923352402713661</v>
      </c>
    </row>
    <row r="3387" spans="4:4" x14ac:dyDescent="0.25">
      <c r="D3387">
        <f t="shared" ca="1" si="65"/>
        <v>49.466207416629558</v>
      </c>
    </row>
    <row r="3388" spans="4:4" x14ac:dyDescent="0.25">
      <c r="D3388">
        <f t="shared" ca="1" si="65"/>
        <v>50.002395803550407</v>
      </c>
    </row>
    <row r="3389" spans="4:4" x14ac:dyDescent="0.25">
      <c r="D3389">
        <f t="shared" ca="1" si="65"/>
        <v>47.305195171762762</v>
      </c>
    </row>
    <row r="3390" spans="4:4" x14ac:dyDescent="0.25">
      <c r="D3390">
        <f t="shared" ca="1" si="65"/>
        <v>47.971598235009047</v>
      </c>
    </row>
    <row r="3391" spans="4:4" x14ac:dyDescent="0.25">
      <c r="D3391">
        <f t="shared" ca="1" si="65"/>
        <v>45.238155204204958</v>
      </c>
    </row>
    <row r="3392" spans="4:4" x14ac:dyDescent="0.25">
      <c r="D3392">
        <f t="shared" ca="1" si="65"/>
        <v>49.860208538805011</v>
      </c>
    </row>
    <row r="3393" spans="4:4" x14ac:dyDescent="0.25">
      <c r="D3393">
        <f t="shared" ca="1" si="65"/>
        <v>52.533037863211618</v>
      </c>
    </row>
    <row r="3394" spans="4:4" x14ac:dyDescent="0.25">
      <c r="D3394">
        <f t="shared" ca="1" si="65"/>
        <v>48.510384652824854</v>
      </c>
    </row>
    <row r="3395" spans="4:4" x14ac:dyDescent="0.25">
      <c r="D3395">
        <f t="shared" ref="D3395:D3458" ca="1" si="66">_xlfn.T.INV(RAND(),25)*$G$3+$F$3</f>
        <v>47.846270985251337</v>
      </c>
    </row>
    <row r="3396" spans="4:4" x14ac:dyDescent="0.25">
      <c r="D3396">
        <f t="shared" ca="1" si="66"/>
        <v>49.496027005607331</v>
      </c>
    </row>
    <row r="3397" spans="4:4" x14ac:dyDescent="0.25">
      <c r="D3397">
        <f t="shared" ca="1" si="66"/>
        <v>49.516038152197623</v>
      </c>
    </row>
    <row r="3398" spans="4:4" x14ac:dyDescent="0.25">
      <c r="D3398">
        <f t="shared" ca="1" si="66"/>
        <v>47.859917770631078</v>
      </c>
    </row>
    <row r="3399" spans="4:4" x14ac:dyDescent="0.25">
      <c r="D3399">
        <f t="shared" ca="1" si="66"/>
        <v>50.751403465574441</v>
      </c>
    </row>
    <row r="3400" spans="4:4" x14ac:dyDescent="0.25">
      <c r="D3400">
        <f t="shared" ca="1" si="66"/>
        <v>54.244636083471683</v>
      </c>
    </row>
    <row r="3401" spans="4:4" x14ac:dyDescent="0.25">
      <c r="D3401">
        <f t="shared" ca="1" si="66"/>
        <v>51.093470593560781</v>
      </c>
    </row>
    <row r="3402" spans="4:4" x14ac:dyDescent="0.25">
      <c r="D3402">
        <f t="shared" ca="1" si="66"/>
        <v>47.231278632651936</v>
      </c>
    </row>
    <row r="3403" spans="4:4" x14ac:dyDescent="0.25">
      <c r="D3403">
        <f t="shared" ca="1" si="66"/>
        <v>55.356803297970266</v>
      </c>
    </row>
    <row r="3404" spans="4:4" x14ac:dyDescent="0.25">
      <c r="D3404">
        <f t="shared" ca="1" si="66"/>
        <v>53.90344671690243</v>
      </c>
    </row>
    <row r="3405" spans="4:4" x14ac:dyDescent="0.25">
      <c r="D3405">
        <f t="shared" ca="1" si="66"/>
        <v>38.990589643395467</v>
      </c>
    </row>
    <row r="3406" spans="4:4" x14ac:dyDescent="0.25">
      <c r="D3406">
        <f t="shared" ca="1" si="66"/>
        <v>56.750234188655014</v>
      </c>
    </row>
    <row r="3407" spans="4:4" x14ac:dyDescent="0.25">
      <c r="D3407">
        <f t="shared" ca="1" si="66"/>
        <v>44.77841184229883</v>
      </c>
    </row>
    <row r="3408" spans="4:4" x14ac:dyDescent="0.25">
      <c r="D3408">
        <f t="shared" ca="1" si="66"/>
        <v>47.62995775736551</v>
      </c>
    </row>
    <row r="3409" spans="4:4" x14ac:dyDescent="0.25">
      <c r="D3409">
        <f t="shared" ca="1" si="66"/>
        <v>45.96369496813486</v>
      </c>
    </row>
    <row r="3410" spans="4:4" x14ac:dyDescent="0.25">
      <c r="D3410">
        <f t="shared" ca="1" si="66"/>
        <v>58.287048094494374</v>
      </c>
    </row>
    <row r="3411" spans="4:4" x14ac:dyDescent="0.25">
      <c r="D3411">
        <f t="shared" ca="1" si="66"/>
        <v>51.91631312621741</v>
      </c>
    </row>
    <row r="3412" spans="4:4" x14ac:dyDescent="0.25">
      <c r="D3412">
        <f t="shared" ca="1" si="66"/>
        <v>49.444204894078709</v>
      </c>
    </row>
    <row r="3413" spans="4:4" x14ac:dyDescent="0.25">
      <c r="D3413">
        <f t="shared" ca="1" si="66"/>
        <v>51.519115626732521</v>
      </c>
    </row>
    <row r="3414" spans="4:4" x14ac:dyDescent="0.25">
      <c r="D3414">
        <f t="shared" ca="1" si="66"/>
        <v>46.414282586470364</v>
      </c>
    </row>
    <row r="3415" spans="4:4" x14ac:dyDescent="0.25">
      <c r="D3415">
        <f t="shared" ca="1" si="66"/>
        <v>51.532603861358425</v>
      </c>
    </row>
    <row r="3416" spans="4:4" x14ac:dyDescent="0.25">
      <c r="D3416">
        <f t="shared" ca="1" si="66"/>
        <v>51.4985096908757</v>
      </c>
    </row>
    <row r="3417" spans="4:4" x14ac:dyDescent="0.25">
      <c r="D3417">
        <f t="shared" ca="1" si="66"/>
        <v>43.597870565931146</v>
      </c>
    </row>
    <row r="3418" spans="4:4" x14ac:dyDescent="0.25">
      <c r="D3418">
        <f t="shared" ca="1" si="66"/>
        <v>56.153400090504455</v>
      </c>
    </row>
    <row r="3419" spans="4:4" x14ac:dyDescent="0.25">
      <c r="D3419">
        <f t="shared" ca="1" si="66"/>
        <v>49.695822257611255</v>
      </c>
    </row>
    <row r="3420" spans="4:4" x14ac:dyDescent="0.25">
      <c r="D3420">
        <f t="shared" ca="1" si="66"/>
        <v>49.504306089336524</v>
      </c>
    </row>
    <row r="3421" spans="4:4" x14ac:dyDescent="0.25">
      <c r="D3421">
        <f t="shared" ca="1" si="66"/>
        <v>46.688303575441701</v>
      </c>
    </row>
    <row r="3422" spans="4:4" x14ac:dyDescent="0.25">
      <c r="D3422">
        <f t="shared" ca="1" si="66"/>
        <v>47.298884366380037</v>
      </c>
    </row>
    <row r="3423" spans="4:4" x14ac:dyDescent="0.25">
      <c r="D3423">
        <f t="shared" ca="1" si="66"/>
        <v>49.322843615545956</v>
      </c>
    </row>
    <row r="3424" spans="4:4" x14ac:dyDescent="0.25">
      <c r="D3424">
        <f t="shared" ca="1" si="66"/>
        <v>51.373074534402733</v>
      </c>
    </row>
    <row r="3425" spans="4:4" x14ac:dyDescent="0.25">
      <c r="D3425">
        <f t="shared" ca="1" si="66"/>
        <v>40.642996905151506</v>
      </c>
    </row>
    <row r="3426" spans="4:4" x14ac:dyDescent="0.25">
      <c r="D3426">
        <f t="shared" ca="1" si="66"/>
        <v>41.342170509430105</v>
      </c>
    </row>
    <row r="3427" spans="4:4" x14ac:dyDescent="0.25">
      <c r="D3427">
        <f t="shared" ca="1" si="66"/>
        <v>55.845349170218171</v>
      </c>
    </row>
    <row r="3428" spans="4:4" x14ac:dyDescent="0.25">
      <c r="D3428">
        <f t="shared" ca="1" si="66"/>
        <v>48.599109163980906</v>
      </c>
    </row>
    <row r="3429" spans="4:4" x14ac:dyDescent="0.25">
      <c r="D3429">
        <f t="shared" ca="1" si="66"/>
        <v>53.931694465051805</v>
      </c>
    </row>
    <row r="3430" spans="4:4" x14ac:dyDescent="0.25">
      <c r="D3430">
        <f t="shared" ca="1" si="66"/>
        <v>57.824659946464848</v>
      </c>
    </row>
    <row r="3431" spans="4:4" x14ac:dyDescent="0.25">
      <c r="D3431">
        <f t="shared" ca="1" si="66"/>
        <v>52.772028279928968</v>
      </c>
    </row>
    <row r="3432" spans="4:4" x14ac:dyDescent="0.25">
      <c r="D3432">
        <f t="shared" ca="1" si="66"/>
        <v>45.096575673602374</v>
      </c>
    </row>
    <row r="3433" spans="4:4" x14ac:dyDescent="0.25">
      <c r="D3433">
        <f t="shared" ca="1" si="66"/>
        <v>43.754779269321688</v>
      </c>
    </row>
    <row r="3434" spans="4:4" x14ac:dyDescent="0.25">
      <c r="D3434">
        <f t="shared" ca="1" si="66"/>
        <v>46.97936557249033</v>
      </c>
    </row>
    <row r="3435" spans="4:4" x14ac:dyDescent="0.25">
      <c r="D3435">
        <f t="shared" ca="1" si="66"/>
        <v>63.18333544253467</v>
      </c>
    </row>
    <row r="3436" spans="4:4" x14ac:dyDescent="0.25">
      <c r="D3436">
        <f t="shared" ca="1" si="66"/>
        <v>52.102552898957626</v>
      </c>
    </row>
    <row r="3437" spans="4:4" x14ac:dyDescent="0.25">
      <c r="D3437">
        <f t="shared" ca="1" si="66"/>
        <v>41.768468922056968</v>
      </c>
    </row>
    <row r="3438" spans="4:4" x14ac:dyDescent="0.25">
      <c r="D3438">
        <f t="shared" ca="1" si="66"/>
        <v>46.755529246188893</v>
      </c>
    </row>
    <row r="3439" spans="4:4" x14ac:dyDescent="0.25">
      <c r="D3439">
        <f t="shared" ca="1" si="66"/>
        <v>52.639193717939648</v>
      </c>
    </row>
    <row r="3440" spans="4:4" x14ac:dyDescent="0.25">
      <c r="D3440">
        <f t="shared" ca="1" si="66"/>
        <v>48.229220426445728</v>
      </c>
    </row>
    <row r="3441" spans="4:4" x14ac:dyDescent="0.25">
      <c r="D3441">
        <f t="shared" ca="1" si="66"/>
        <v>51.758705711236026</v>
      </c>
    </row>
    <row r="3442" spans="4:4" x14ac:dyDescent="0.25">
      <c r="D3442">
        <f t="shared" ca="1" si="66"/>
        <v>50.284651435291565</v>
      </c>
    </row>
    <row r="3443" spans="4:4" x14ac:dyDescent="0.25">
      <c r="D3443">
        <f t="shared" ca="1" si="66"/>
        <v>53.163104058522947</v>
      </c>
    </row>
    <row r="3444" spans="4:4" x14ac:dyDescent="0.25">
      <c r="D3444">
        <f t="shared" ca="1" si="66"/>
        <v>53.337172029407206</v>
      </c>
    </row>
    <row r="3445" spans="4:4" x14ac:dyDescent="0.25">
      <c r="D3445">
        <f t="shared" ca="1" si="66"/>
        <v>53.496164500635025</v>
      </c>
    </row>
    <row r="3446" spans="4:4" x14ac:dyDescent="0.25">
      <c r="D3446">
        <f t="shared" ca="1" si="66"/>
        <v>51.292228786343706</v>
      </c>
    </row>
    <row r="3447" spans="4:4" x14ac:dyDescent="0.25">
      <c r="D3447">
        <f t="shared" ca="1" si="66"/>
        <v>50.381046322442046</v>
      </c>
    </row>
    <row r="3448" spans="4:4" x14ac:dyDescent="0.25">
      <c r="D3448">
        <f t="shared" ca="1" si="66"/>
        <v>54.767137825180527</v>
      </c>
    </row>
    <row r="3449" spans="4:4" x14ac:dyDescent="0.25">
      <c r="D3449">
        <f t="shared" ca="1" si="66"/>
        <v>33.727944206706148</v>
      </c>
    </row>
    <row r="3450" spans="4:4" x14ac:dyDescent="0.25">
      <c r="D3450">
        <f t="shared" ca="1" si="66"/>
        <v>44.95937599600741</v>
      </c>
    </row>
    <row r="3451" spans="4:4" x14ac:dyDescent="0.25">
      <c r="D3451">
        <f t="shared" ca="1" si="66"/>
        <v>50.550411216947083</v>
      </c>
    </row>
    <row r="3452" spans="4:4" x14ac:dyDescent="0.25">
      <c r="D3452">
        <f t="shared" ca="1" si="66"/>
        <v>45.228076001456579</v>
      </c>
    </row>
    <row r="3453" spans="4:4" x14ac:dyDescent="0.25">
      <c r="D3453">
        <f t="shared" ca="1" si="66"/>
        <v>52.034985400005063</v>
      </c>
    </row>
    <row r="3454" spans="4:4" x14ac:dyDescent="0.25">
      <c r="D3454">
        <f t="shared" ca="1" si="66"/>
        <v>47.923088045373454</v>
      </c>
    </row>
    <row r="3455" spans="4:4" x14ac:dyDescent="0.25">
      <c r="D3455">
        <f t="shared" ca="1" si="66"/>
        <v>46.632597140276438</v>
      </c>
    </row>
    <row r="3456" spans="4:4" x14ac:dyDescent="0.25">
      <c r="D3456">
        <f t="shared" ca="1" si="66"/>
        <v>51.841715393560669</v>
      </c>
    </row>
    <row r="3457" spans="4:4" x14ac:dyDescent="0.25">
      <c r="D3457">
        <f t="shared" ca="1" si="66"/>
        <v>46.281247931419706</v>
      </c>
    </row>
    <row r="3458" spans="4:4" x14ac:dyDescent="0.25">
      <c r="D3458">
        <f t="shared" ca="1" si="66"/>
        <v>53.743544359935484</v>
      </c>
    </row>
    <row r="3459" spans="4:4" x14ac:dyDescent="0.25">
      <c r="D3459">
        <f t="shared" ref="D3459:D3522" ca="1" si="67">_xlfn.T.INV(RAND(),25)*$G$3+$F$3</f>
        <v>41.03372200786103</v>
      </c>
    </row>
    <row r="3460" spans="4:4" x14ac:dyDescent="0.25">
      <c r="D3460">
        <f t="shared" ca="1" si="67"/>
        <v>52.652237062157688</v>
      </c>
    </row>
    <row r="3461" spans="4:4" x14ac:dyDescent="0.25">
      <c r="D3461">
        <f t="shared" ca="1" si="67"/>
        <v>44.014110912453717</v>
      </c>
    </row>
    <row r="3462" spans="4:4" x14ac:dyDescent="0.25">
      <c r="D3462">
        <f t="shared" ca="1" si="67"/>
        <v>48.821988925757502</v>
      </c>
    </row>
    <row r="3463" spans="4:4" x14ac:dyDescent="0.25">
      <c r="D3463">
        <f t="shared" ca="1" si="67"/>
        <v>60.572773441861472</v>
      </c>
    </row>
    <row r="3464" spans="4:4" x14ac:dyDescent="0.25">
      <c r="D3464">
        <f t="shared" ca="1" si="67"/>
        <v>53.76581892396505</v>
      </c>
    </row>
    <row r="3465" spans="4:4" x14ac:dyDescent="0.25">
      <c r="D3465">
        <f t="shared" ca="1" si="67"/>
        <v>41.313224832758586</v>
      </c>
    </row>
    <row r="3466" spans="4:4" x14ac:dyDescent="0.25">
      <c r="D3466">
        <f t="shared" ca="1" si="67"/>
        <v>53.818345908662408</v>
      </c>
    </row>
    <row r="3467" spans="4:4" x14ac:dyDescent="0.25">
      <c r="D3467">
        <f t="shared" ca="1" si="67"/>
        <v>53.779408201889325</v>
      </c>
    </row>
    <row r="3468" spans="4:4" x14ac:dyDescent="0.25">
      <c r="D3468">
        <f t="shared" ca="1" si="67"/>
        <v>50.310514327515719</v>
      </c>
    </row>
    <row r="3469" spans="4:4" x14ac:dyDescent="0.25">
      <c r="D3469">
        <f t="shared" ca="1" si="67"/>
        <v>53.717849788378423</v>
      </c>
    </row>
    <row r="3470" spans="4:4" x14ac:dyDescent="0.25">
      <c r="D3470">
        <f t="shared" ca="1" si="67"/>
        <v>52.336793574699826</v>
      </c>
    </row>
    <row r="3471" spans="4:4" x14ac:dyDescent="0.25">
      <c r="D3471">
        <f t="shared" ca="1" si="67"/>
        <v>54.210681513621431</v>
      </c>
    </row>
    <row r="3472" spans="4:4" x14ac:dyDescent="0.25">
      <c r="D3472">
        <f t="shared" ca="1" si="67"/>
        <v>47.848646650231068</v>
      </c>
    </row>
    <row r="3473" spans="4:4" x14ac:dyDescent="0.25">
      <c r="D3473">
        <f t="shared" ca="1" si="67"/>
        <v>43.365667163004808</v>
      </c>
    </row>
    <row r="3474" spans="4:4" x14ac:dyDescent="0.25">
      <c r="D3474">
        <f t="shared" ca="1" si="67"/>
        <v>43.040489611274339</v>
      </c>
    </row>
    <row r="3475" spans="4:4" x14ac:dyDescent="0.25">
      <c r="D3475">
        <f t="shared" ca="1" si="67"/>
        <v>52.831185478440567</v>
      </c>
    </row>
    <row r="3476" spans="4:4" x14ac:dyDescent="0.25">
      <c r="D3476">
        <f t="shared" ca="1" si="67"/>
        <v>60.689195517197582</v>
      </c>
    </row>
    <row r="3477" spans="4:4" x14ac:dyDescent="0.25">
      <c r="D3477">
        <f t="shared" ca="1" si="67"/>
        <v>54.568035226342239</v>
      </c>
    </row>
    <row r="3478" spans="4:4" x14ac:dyDescent="0.25">
      <c r="D3478">
        <f t="shared" ca="1" si="67"/>
        <v>47.682355641812215</v>
      </c>
    </row>
    <row r="3479" spans="4:4" x14ac:dyDescent="0.25">
      <c r="D3479">
        <f t="shared" ca="1" si="67"/>
        <v>56.042460633811707</v>
      </c>
    </row>
    <row r="3480" spans="4:4" x14ac:dyDescent="0.25">
      <c r="D3480">
        <f t="shared" ca="1" si="67"/>
        <v>46.93179287750111</v>
      </c>
    </row>
    <row r="3481" spans="4:4" x14ac:dyDescent="0.25">
      <c r="D3481">
        <f t="shared" ca="1" si="67"/>
        <v>51.629248167389861</v>
      </c>
    </row>
    <row r="3482" spans="4:4" x14ac:dyDescent="0.25">
      <c r="D3482">
        <f t="shared" ca="1" si="67"/>
        <v>48.06870971345694</v>
      </c>
    </row>
    <row r="3483" spans="4:4" x14ac:dyDescent="0.25">
      <c r="D3483">
        <f t="shared" ca="1" si="67"/>
        <v>41.924367720378783</v>
      </c>
    </row>
    <row r="3484" spans="4:4" x14ac:dyDescent="0.25">
      <c r="D3484">
        <f t="shared" ca="1" si="67"/>
        <v>49.589771435886675</v>
      </c>
    </row>
    <row r="3485" spans="4:4" x14ac:dyDescent="0.25">
      <c r="D3485">
        <f t="shared" ca="1" si="67"/>
        <v>41.73478702121087</v>
      </c>
    </row>
    <row r="3486" spans="4:4" x14ac:dyDescent="0.25">
      <c r="D3486">
        <f t="shared" ca="1" si="67"/>
        <v>48.939071439599402</v>
      </c>
    </row>
    <row r="3487" spans="4:4" x14ac:dyDescent="0.25">
      <c r="D3487">
        <f t="shared" ca="1" si="67"/>
        <v>45.54947639695002</v>
      </c>
    </row>
    <row r="3488" spans="4:4" x14ac:dyDescent="0.25">
      <c r="D3488">
        <f t="shared" ca="1" si="67"/>
        <v>51.198642237737005</v>
      </c>
    </row>
    <row r="3489" spans="4:4" x14ac:dyDescent="0.25">
      <c r="D3489">
        <f t="shared" ca="1" si="67"/>
        <v>53.391576127464958</v>
      </c>
    </row>
    <row r="3490" spans="4:4" x14ac:dyDescent="0.25">
      <c r="D3490">
        <f t="shared" ca="1" si="67"/>
        <v>50.513582964444645</v>
      </c>
    </row>
    <row r="3491" spans="4:4" x14ac:dyDescent="0.25">
      <c r="D3491">
        <f t="shared" ca="1" si="67"/>
        <v>50.072868572462504</v>
      </c>
    </row>
    <row r="3492" spans="4:4" x14ac:dyDescent="0.25">
      <c r="D3492">
        <f t="shared" ca="1" si="67"/>
        <v>52.125603844051646</v>
      </c>
    </row>
    <row r="3493" spans="4:4" x14ac:dyDescent="0.25">
      <c r="D3493">
        <f t="shared" ca="1" si="67"/>
        <v>47.552839730095002</v>
      </c>
    </row>
    <row r="3494" spans="4:4" x14ac:dyDescent="0.25">
      <c r="D3494">
        <f t="shared" ca="1" si="67"/>
        <v>43.072374694250627</v>
      </c>
    </row>
    <row r="3495" spans="4:4" x14ac:dyDescent="0.25">
      <c r="D3495">
        <f t="shared" ca="1" si="67"/>
        <v>48.052585075350521</v>
      </c>
    </row>
    <row r="3496" spans="4:4" x14ac:dyDescent="0.25">
      <c r="D3496">
        <f t="shared" ca="1" si="67"/>
        <v>47.481880270652674</v>
      </c>
    </row>
    <row r="3497" spans="4:4" x14ac:dyDescent="0.25">
      <c r="D3497">
        <f t="shared" ca="1" si="67"/>
        <v>45.552551189352783</v>
      </c>
    </row>
    <row r="3498" spans="4:4" x14ac:dyDescent="0.25">
      <c r="D3498">
        <f t="shared" ca="1" si="67"/>
        <v>43.081463062439262</v>
      </c>
    </row>
    <row r="3499" spans="4:4" x14ac:dyDescent="0.25">
      <c r="D3499">
        <f t="shared" ca="1" si="67"/>
        <v>48.799822254399963</v>
      </c>
    </row>
    <row r="3500" spans="4:4" x14ac:dyDescent="0.25">
      <c r="D3500">
        <f t="shared" ca="1" si="67"/>
        <v>52.199630414243018</v>
      </c>
    </row>
    <row r="3501" spans="4:4" x14ac:dyDescent="0.25">
      <c r="D3501">
        <f t="shared" ca="1" si="67"/>
        <v>47.188000468960219</v>
      </c>
    </row>
    <row r="3502" spans="4:4" x14ac:dyDescent="0.25">
      <c r="D3502">
        <f t="shared" ca="1" si="67"/>
        <v>57.906421707277353</v>
      </c>
    </row>
    <row r="3503" spans="4:4" x14ac:dyDescent="0.25">
      <c r="D3503">
        <f t="shared" ca="1" si="67"/>
        <v>47.477811560817628</v>
      </c>
    </row>
    <row r="3504" spans="4:4" x14ac:dyDescent="0.25">
      <c r="D3504">
        <f t="shared" ca="1" si="67"/>
        <v>61.492377233952496</v>
      </c>
    </row>
    <row r="3505" spans="4:4" x14ac:dyDescent="0.25">
      <c r="D3505">
        <f t="shared" ca="1" si="67"/>
        <v>51.191820140985506</v>
      </c>
    </row>
    <row r="3506" spans="4:4" x14ac:dyDescent="0.25">
      <c r="D3506">
        <f t="shared" ca="1" si="67"/>
        <v>47.926321228933141</v>
      </c>
    </row>
    <row r="3507" spans="4:4" x14ac:dyDescent="0.25">
      <c r="D3507">
        <f t="shared" ca="1" si="67"/>
        <v>54.79563076993864</v>
      </c>
    </row>
    <row r="3508" spans="4:4" x14ac:dyDescent="0.25">
      <c r="D3508">
        <f t="shared" ca="1" si="67"/>
        <v>44.28484579112321</v>
      </c>
    </row>
    <row r="3509" spans="4:4" x14ac:dyDescent="0.25">
      <c r="D3509">
        <f t="shared" ca="1" si="67"/>
        <v>57.724655499509765</v>
      </c>
    </row>
    <row r="3510" spans="4:4" x14ac:dyDescent="0.25">
      <c r="D3510">
        <f t="shared" ca="1" si="67"/>
        <v>55.885760860292613</v>
      </c>
    </row>
    <row r="3511" spans="4:4" x14ac:dyDescent="0.25">
      <c r="D3511">
        <f t="shared" ca="1" si="67"/>
        <v>44.911246936288016</v>
      </c>
    </row>
    <row r="3512" spans="4:4" x14ac:dyDescent="0.25">
      <c r="D3512">
        <f t="shared" ca="1" si="67"/>
        <v>56.038518717290842</v>
      </c>
    </row>
    <row r="3513" spans="4:4" x14ac:dyDescent="0.25">
      <c r="D3513">
        <f t="shared" ca="1" si="67"/>
        <v>55.845821278550339</v>
      </c>
    </row>
    <row r="3514" spans="4:4" x14ac:dyDescent="0.25">
      <c r="D3514">
        <f t="shared" ca="1" si="67"/>
        <v>50.114654320047805</v>
      </c>
    </row>
    <row r="3515" spans="4:4" x14ac:dyDescent="0.25">
      <c r="D3515">
        <f t="shared" ca="1" si="67"/>
        <v>46.944252174389774</v>
      </c>
    </row>
    <row r="3516" spans="4:4" x14ac:dyDescent="0.25">
      <c r="D3516">
        <f t="shared" ca="1" si="67"/>
        <v>49.246442273098666</v>
      </c>
    </row>
    <row r="3517" spans="4:4" x14ac:dyDescent="0.25">
      <c r="D3517">
        <f t="shared" ca="1" si="67"/>
        <v>52.261718704095784</v>
      </c>
    </row>
    <row r="3518" spans="4:4" x14ac:dyDescent="0.25">
      <c r="D3518">
        <f t="shared" ca="1" si="67"/>
        <v>51.65009151547838</v>
      </c>
    </row>
    <row r="3519" spans="4:4" x14ac:dyDescent="0.25">
      <c r="D3519">
        <f t="shared" ca="1" si="67"/>
        <v>48.28177431927012</v>
      </c>
    </row>
    <row r="3520" spans="4:4" x14ac:dyDescent="0.25">
      <c r="D3520">
        <f t="shared" ca="1" si="67"/>
        <v>46.025157756550676</v>
      </c>
    </row>
    <row r="3521" spans="4:4" x14ac:dyDescent="0.25">
      <c r="D3521">
        <f t="shared" ca="1" si="67"/>
        <v>47.257985784212018</v>
      </c>
    </row>
    <row r="3522" spans="4:4" x14ac:dyDescent="0.25">
      <c r="D3522">
        <f t="shared" ca="1" si="67"/>
        <v>49.634992890059827</v>
      </c>
    </row>
    <row r="3523" spans="4:4" x14ac:dyDescent="0.25">
      <c r="D3523">
        <f t="shared" ref="D3523:D3586" ca="1" si="68">_xlfn.T.INV(RAND(),25)*$G$3+$F$3</f>
        <v>52.570886087359725</v>
      </c>
    </row>
    <row r="3524" spans="4:4" x14ac:dyDescent="0.25">
      <c r="D3524">
        <f t="shared" ca="1" si="68"/>
        <v>59.414928903513854</v>
      </c>
    </row>
    <row r="3525" spans="4:4" x14ac:dyDescent="0.25">
      <c r="D3525">
        <f t="shared" ca="1" si="68"/>
        <v>45.345031793394071</v>
      </c>
    </row>
    <row r="3526" spans="4:4" x14ac:dyDescent="0.25">
      <c r="D3526">
        <f t="shared" ca="1" si="68"/>
        <v>50.485301850017706</v>
      </c>
    </row>
    <row r="3527" spans="4:4" x14ac:dyDescent="0.25">
      <c r="D3527">
        <f t="shared" ca="1" si="68"/>
        <v>49.195639495857925</v>
      </c>
    </row>
    <row r="3528" spans="4:4" x14ac:dyDescent="0.25">
      <c r="D3528">
        <f t="shared" ca="1" si="68"/>
        <v>48.877900269192288</v>
      </c>
    </row>
    <row r="3529" spans="4:4" x14ac:dyDescent="0.25">
      <c r="D3529">
        <f t="shared" ca="1" si="68"/>
        <v>50.601791430725818</v>
      </c>
    </row>
    <row r="3530" spans="4:4" x14ac:dyDescent="0.25">
      <c r="D3530">
        <f t="shared" ca="1" si="68"/>
        <v>47.881864607696109</v>
      </c>
    </row>
    <row r="3531" spans="4:4" x14ac:dyDescent="0.25">
      <c r="D3531">
        <f t="shared" ca="1" si="68"/>
        <v>57.735885244275678</v>
      </c>
    </row>
    <row r="3532" spans="4:4" x14ac:dyDescent="0.25">
      <c r="D3532">
        <f t="shared" ca="1" si="68"/>
        <v>54.495457649214316</v>
      </c>
    </row>
    <row r="3533" spans="4:4" x14ac:dyDescent="0.25">
      <c r="D3533">
        <f t="shared" ca="1" si="68"/>
        <v>45.605833822462621</v>
      </c>
    </row>
    <row r="3534" spans="4:4" x14ac:dyDescent="0.25">
      <c r="D3534">
        <f t="shared" ca="1" si="68"/>
        <v>58.880333501991899</v>
      </c>
    </row>
    <row r="3535" spans="4:4" x14ac:dyDescent="0.25">
      <c r="D3535">
        <f t="shared" ca="1" si="68"/>
        <v>42.238440544473249</v>
      </c>
    </row>
    <row r="3536" spans="4:4" x14ac:dyDescent="0.25">
      <c r="D3536">
        <f t="shared" ca="1" si="68"/>
        <v>53.667748831648723</v>
      </c>
    </row>
    <row r="3537" spans="4:4" x14ac:dyDescent="0.25">
      <c r="D3537">
        <f t="shared" ca="1" si="68"/>
        <v>52.43854806952551</v>
      </c>
    </row>
    <row r="3538" spans="4:4" x14ac:dyDescent="0.25">
      <c r="D3538">
        <f t="shared" ca="1" si="68"/>
        <v>46.659761730349331</v>
      </c>
    </row>
    <row r="3539" spans="4:4" x14ac:dyDescent="0.25">
      <c r="D3539">
        <f t="shared" ca="1" si="68"/>
        <v>54.075042804464537</v>
      </c>
    </row>
    <row r="3540" spans="4:4" x14ac:dyDescent="0.25">
      <c r="D3540">
        <f t="shared" ca="1" si="68"/>
        <v>48.645307377066231</v>
      </c>
    </row>
    <row r="3541" spans="4:4" x14ac:dyDescent="0.25">
      <c r="D3541">
        <f t="shared" ca="1" si="68"/>
        <v>54.485735331405174</v>
      </c>
    </row>
    <row r="3542" spans="4:4" x14ac:dyDescent="0.25">
      <c r="D3542">
        <f t="shared" ca="1" si="68"/>
        <v>45.533966403273318</v>
      </c>
    </row>
    <row r="3543" spans="4:4" x14ac:dyDescent="0.25">
      <c r="D3543">
        <f t="shared" ca="1" si="68"/>
        <v>52.951285276051806</v>
      </c>
    </row>
    <row r="3544" spans="4:4" x14ac:dyDescent="0.25">
      <c r="D3544">
        <f t="shared" ca="1" si="68"/>
        <v>53.089271782992178</v>
      </c>
    </row>
    <row r="3545" spans="4:4" x14ac:dyDescent="0.25">
      <c r="D3545">
        <f t="shared" ca="1" si="68"/>
        <v>48.196601973227615</v>
      </c>
    </row>
    <row r="3546" spans="4:4" x14ac:dyDescent="0.25">
      <c r="D3546">
        <f t="shared" ca="1" si="68"/>
        <v>42.117631614317162</v>
      </c>
    </row>
    <row r="3547" spans="4:4" x14ac:dyDescent="0.25">
      <c r="D3547">
        <f t="shared" ca="1" si="68"/>
        <v>48.255181099644446</v>
      </c>
    </row>
    <row r="3548" spans="4:4" x14ac:dyDescent="0.25">
      <c r="D3548">
        <f t="shared" ca="1" si="68"/>
        <v>49.77815372286868</v>
      </c>
    </row>
    <row r="3549" spans="4:4" x14ac:dyDescent="0.25">
      <c r="D3549">
        <f t="shared" ca="1" si="68"/>
        <v>45.53293299794182</v>
      </c>
    </row>
    <row r="3550" spans="4:4" x14ac:dyDescent="0.25">
      <c r="D3550">
        <f t="shared" ca="1" si="68"/>
        <v>46.483213962378123</v>
      </c>
    </row>
    <row r="3551" spans="4:4" x14ac:dyDescent="0.25">
      <c r="D3551">
        <f t="shared" ca="1" si="68"/>
        <v>54.502244874030055</v>
      </c>
    </row>
    <row r="3552" spans="4:4" x14ac:dyDescent="0.25">
      <c r="D3552">
        <f t="shared" ca="1" si="68"/>
        <v>43.581973998983585</v>
      </c>
    </row>
    <row r="3553" spans="4:4" x14ac:dyDescent="0.25">
      <c r="D3553">
        <f t="shared" ca="1" si="68"/>
        <v>47.95352778824109</v>
      </c>
    </row>
    <row r="3554" spans="4:4" x14ac:dyDescent="0.25">
      <c r="D3554">
        <f t="shared" ca="1" si="68"/>
        <v>55.651469424727409</v>
      </c>
    </row>
    <row r="3555" spans="4:4" x14ac:dyDescent="0.25">
      <c r="D3555">
        <f t="shared" ca="1" si="68"/>
        <v>45.282526271190108</v>
      </c>
    </row>
    <row r="3556" spans="4:4" x14ac:dyDescent="0.25">
      <c r="D3556">
        <f t="shared" ca="1" si="68"/>
        <v>53.738302683175888</v>
      </c>
    </row>
    <row r="3557" spans="4:4" x14ac:dyDescent="0.25">
      <c r="D3557">
        <f t="shared" ca="1" si="68"/>
        <v>50.014500676164332</v>
      </c>
    </row>
    <row r="3558" spans="4:4" x14ac:dyDescent="0.25">
      <c r="D3558">
        <f t="shared" ca="1" si="68"/>
        <v>45.811369348614285</v>
      </c>
    </row>
    <row r="3559" spans="4:4" x14ac:dyDescent="0.25">
      <c r="D3559">
        <f t="shared" ca="1" si="68"/>
        <v>44.972631820311435</v>
      </c>
    </row>
    <row r="3560" spans="4:4" x14ac:dyDescent="0.25">
      <c r="D3560">
        <f t="shared" ca="1" si="68"/>
        <v>39.65060531072232</v>
      </c>
    </row>
    <row r="3561" spans="4:4" x14ac:dyDescent="0.25">
      <c r="D3561">
        <f t="shared" ca="1" si="68"/>
        <v>47.747963812240428</v>
      </c>
    </row>
    <row r="3562" spans="4:4" x14ac:dyDescent="0.25">
      <c r="D3562">
        <f t="shared" ca="1" si="68"/>
        <v>53.196155474356878</v>
      </c>
    </row>
    <row r="3563" spans="4:4" x14ac:dyDescent="0.25">
      <c r="D3563">
        <f t="shared" ca="1" si="68"/>
        <v>52.761436527220738</v>
      </c>
    </row>
    <row r="3564" spans="4:4" x14ac:dyDescent="0.25">
      <c r="D3564">
        <f t="shared" ca="1" si="68"/>
        <v>52.286117694696706</v>
      </c>
    </row>
    <row r="3565" spans="4:4" x14ac:dyDescent="0.25">
      <c r="D3565">
        <f t="shared" ca="1" si="68"/>
        <v>46.865962334044518</v>
      </c>
    </row>
    <row r="3566" spans="4:4" x14ac:dyDescent="0.25">
      <c r="D3566">
        <f t="shared" ca="1" si="68"/>
        <v>41.955843982467023</v>
      </c>
    </row>
    <row r="3567" spans="4:4" x14ac:dyDescent="0.25">
      <c r="D3567">
        <f t="shared" ca="1" si="68"/>
        <v>49.998851865654771</v>
      </c>
    </row>
    <row r="3568" spans="4:4" x14ac:dyDescent="0.25">
      <c r="D3568">
        <f t="shared" ca="1" si="68"/>
        <v>45.066873407511252</v>
      </c>
    </row>
    <row r="3569" spans="4:4" x14ac:dyDescent="0.25">
      <c r="D3569">
        <f t="shared" ca="1" si="68"/>
        <v>43.327692857257603</v>
      </c>
    </row>
    <row r="3570" spans="4:4" x14ac:dyDescent="0.25">
      <c r="D3570">
        <f t="shared" ca="1" si="68"/>
        <v>49.59845123295834</v>
      </c>
    </row>
    <row r="3571" spans="4:4" x14ac:dyDescent="0.25">
      <c r="D3571">
        <f t="shared" ca="1" si="68"/>
        <v>56.487888881081233</v>
      </c>
    </row>
    <row r="3572" spans="4:4" x14ac:dyDescent="0.25">
      <c r="D3572">
        <f t="shared" ca="1" si="68"/>
        <v>55.319817954632576</v>
      </c>
    </row>
    <row r="3573" spans="4:4" x14ac:dyDescent="0.25">
      <c r="D3573">
        <f t="shared" ca="1" si="68"/>
        <v>51.820222666282</v>
      </c>
    </row>
    <row r="3574" spans="4:4" x14ac:dyDescent="0.25">
      <c r="D3574">
        <f t="shared" ca="1" si="68"/>
        <v>49.253012926398419</v>
      </c>
    </row>
    <row r="3575" spans="4:4" x14ac:dyDescent="0.25">
      <c r="D3575">
        <f t="shared" ca="1" si="68"/>
        <v>44.841254614978787</v>
      </c>
    </row>
    <row r="3576" spans="4:4" x14ac:dyDescent="0.25">
      <c r="D3576">
        <f t="shared" ca="1" si="68"/>
        <v>54.327537514287954</v>
      </c>
    </row>
    <row r="3577" spans="4:4" x14ac:dyDescent="0.25">
      <c r="D3577">
        <f t="shared" ca="1" si="68"/>
        <v>60.754727030410507</v>
      </c>
    </row>
    <row r="3578" spans="4:4" x14ac:dyDescent="0.25">
      <c r="D3578">
        <f t="shared" ca="1" si="68"/>
        <v>48.805238101519365</v>
      </c>
    </row>
    <row r="3579" spans="4:4" x14ac:dyDescent="0.25">
      <c r="D3579">
        <f t="shared" ca="1" si="68"/>
        <v>39.85787770803563</v>
      </c>
    </row>
    <row r="3580" spans="4:4" x14ac:dyDescent="0.25">
      <c r="D3580">
        <f t="shared" ca="1" si="68"/>
        <v>45.827651614565184</v>
      </c>
    </row>
    <row r="3581" spans="4:4" x14ac:dyDescent="0.25">
      <c r="D3581">
        <f t="shared" ca="1" si="68"/>
        <v>52.893122328959585</v>
      </c>
    </row>
    <row r="3582" spans="4:4" x14ac:dyDescent="0.25">
      <c r="D3582">
        <f t="shared" ca="1" si="68"/>
        <v>51.331048185974019</v>
      </c>
    </row>
    <row r="3583" spans="4:4" x14ac:dyDescent="0.25">
      <c r="D3583">
        <f t="shared" ca="1" si="68"/>
        <v>42.413688923216405</v>
      </c>
    </row>
    <row r="3584" spans="4:4" x14ac:dyDescent="0.25">
      <c r="D3584">
        <f t="shared" ca="1" si="68"/>
        <v>51.092466488762824</v>
      </c>
    </row>
    <row r="3585" spans="4:4" x14ac:dyDescent="0.25">
      <c r="D3585">
        <f t="shared" ca="1" si="68"/>
        <v>54.299984284235663</v>
      </c>
    </row>
    <row r="3586" spans="4:4" x14ac:dyDescent="0.25">
      <c r="D3586">
        <f t="shared" ca="1" si="68"/>
        <v>46.155842328776664</v>
      </c>
    </row>
    <row r="3587" spans="4:4" x14ac:dyDescent="0.25">
      <c r="D3587">
        <f t="shared" ref="D3587:D3650" ca="1" si="69">_xlfn.T.INV(RAND(),25)*$G$3+$F$3</f>
        <v>51.573862550075212</v>
      </c>
    </row>
    <row r="3588" spans="4:4" x14ac:dyDescent="0.25">
      <c r="D3588">
        <f t="shared" ca="1" si="69"/>
        <v>44.958444630625166</v>
      </c>
    </row>
    <row r="3589" spans="4:4" x14ac:dyDescent="0.25">
      <c r="D3589">
        <f t="shared" ca="1" si="69"/>
        <v>51.669922768850626</v>
      </c>
    </row>
    <row r="3590" spans="4:4" x14ac:dyDescent="0.25">
      <c r="D3590">
        <f t="shared" ca="1" si="69"/>
        <v>50.843542994368065</v>
      </c>
    </row>
    <row r="3591" spans="4:4" x14ac:dyDescent="0.25">
      <c r="D3591">
        <f t="shared" ca="1" si="69"/>
        <v>43.109625388384472</v>
      </c>
    </row>
    <row r="3592" spans="4:4" x14ac:dyDescent="0.25">
      <c r="D3592">
        <f t="shared" ca="1" si="69"/>
        <v>51.388882339336575</v>
      </c>
    </row>
    <row r="3593" spans="4:4" x14ac:dyDescent="0.25">
      <c r="D3593">
        <f t="shared" ca="1" si="69"/>
        <v>52.884291251131913</v>
      </c>
    </row>
    <row r="3594" spans="4:4" x14ac:dyDescent="0.25">
      <c r="D3594">
        <f t="shared" ca="1" si="69"/>
        <v>45.316616810013571</v>
      </c>
    </row>
    <row r="3595" spans="4:4" x14ac:dyDescent="0.25">
      <c r="D3595">
        <f t="shared" ca="1" si="69"/>
        <v>58.049761608228849</v>
      </c>
    </row>
    <row r="3596" spans="4:4" x14ac:dyDescent="0.25">
      <c r="D3596">
        <f t="shared" ca="1" si="69"/>
        <v>52.658867552783441</v>
      </c>
    </row>
    <row r="3597" spans="4:4" x14ac:dyDescent="0.25">
      <c r="D3597">
        <f t="shared" ca="1" si="69"/>
        <v>48.853991560502607</v>
      </c>
    </row>
    <row r="3598" spans="4:4" x14ac:dyDescent="0.25">
      <c r="D3598">
        <f t="shared" ca="1" si="69"/>
        <v>48.192223364199158</v>
      </c>
    </row>
    <row r="3599" spans="4:4" x14ac:dyDescent="0.25">
      <c r="D3599">
        <f t="shared" ca="1" si="69"/>
        <v>53.345062327087383</v>
      </c>
    </row>
    <row r="3600" spans="4:4" x14ac:dyDescent="0.25">
      <c r="D3600">
        <f t="shared" ca="1" si="69"/>
        <v>51.009239655599913</v>
      </c>
    </row>
    <row r="3601" spans="4:4" x14ac:dyDescent="0.25">
      <c r="D3601">
        <f t="shared" ca="1" si="69"/>
        <v>50.95850671268861</v>
      </c>
    </row>
    <row r="3602" spans="4:4" x14ac:dyDescent="0.25">
      <c r="D3602">
        <f t="shared" ca="1" si="69"/>
        <v>53.270119221819165</v>
      </c>
    </row>
    <row r="3603" spans="4:4" x14ac:dyDescent="0.25">
      <c r="D3603">
        <f t="shared" ca="1" si="69"/>
        <v>52.760537186754405</v>
      </c>
    </row>
    <row r="3604" spans="4:4" x14ac:dyDescent="0.25">
      <c r="D3604">
        <f t="shared" ca="1" si="69"/>
        <v>48.768852276131469</v>
      </c>
    </row>
    <row r="3605" spans="4:4" x14ac:dyDescent="0.25">
      <c r="D3605">
        <f t="shared" ca="1" si="69"/>
        <v>51.533334158414462</v>
      </c>
    </row>
    <row r="3606" spans="4:4" x14ac:dyDescent="0.25">
      <c r="D3606">
        <f t="shared" ca="1" si="69"/>
        <v>41.513582016082168</v>
      </c>
    </row>
    <row r="3607" spans="4:4" x14ac:dyDescent="0.25">
      <c r="D3607">
        <f t="shared" ca="1" si="69"/>
        <v>52.555752707882405</v>
      </c>
    </row>
    <row r="3608" spans="4:4" x14ac:dyDescent="0.25">
      <c r="D3608">
        <f t="shared" ca="1" si="69"/>
        <v>49.341829351467133</v>
      </c>
    </row>
    <row r="3609" spans="4:4" x14ac:dyDescent="0.25">
      <c r="D3609">
        <f t="shared" ca="1" si="69"/>
        <v>50.954561658505689</v>
      </c>
    </row>
    <row r="3610" spans="4:4" x14ac:dyDescent="0.25">
      <c r="D3610">
        <f t="shared" ca="1" si="69"/>
        <v>51.855998843896366</v>
      </c>
    </row>
    <row r="3611" spans="4:4" x14ac:dyDescent="0.25">
      <c r="D3611">
        <f t="shared" ca="1" si="69"/>
        <v>43.773419796233142</v>
      </c>
    </row>
    <row r="3612" spans="4:4" x14ac:dyDescent="0.25">
      <c r="D3612">
        <f t="shared" ca="1" si="69"/>
        <v>55.849905089562995</v>
      </c>
    </row>
    <row r="3613" spans="4:4" x14ac:dyDescent="0.25">
      <c r="D3613">
        <f t="shared" ca="1" si="69"/>
        <v>54.794730330172044</v>
      </c>
    </row>
    <row r="3614" spans="4:4" x14ac:dyDescent="0.25">
      <c r="D3614">
        <f t="shared" ca="1" si="69"/>
        <v>48.990031639294337</v>
      </c>
    </row>
    <row r="3615" spans="4:4" x14ac:dyDescent="0.25">
      <c r="D3615">
        <f t="shared" ca="1" si="69"/>
        <v>49.260635257775739</v>
      </c>
    </row>
    <row r="3616" spans="4:4" x14ac:dyDescent="0.25">
      <c r="D3616">
        <f t="shared" ca="1" si="69"/>
        <v>61.8361430008516</v>
      </c>
    </row>
    <row r="3617" spans="4:4" x14ac:dyDescent="0.25">
      <c r="D3617">
        <f t="shared" ca="1" si="69"/>
        <v>45.934378968114885</v>
      </c>
    </row>
    <row r="3618" spans="4:4" x14ac:dyDescent="0.25">
      <c r="D3618">
        <f t="shared" ca="1" si="69"/>
        <v>49.050883948490331</v>
      </c>
    </row>
    <row r="3619" spans="4:4" x14ac:dyDescent="0.25">
      <c r="D3619">
        <f t="shared" ca="1" si="69"/>
        <v>57.074054159942534</v>
      </c>
    </row>
    <row r="3620" spans="4:4" x14ac:dyDescent="0.25">
      <c r="D3620">
        <f t="shared" ca="1" si="69"/>
        <v>55.021751756654034</v>
      </c>
    </row>
    <row r="3621" spans="4:4" x14ac:dyDescent="0.25">
      <c r="D3621">
        <f t="shared" ca="1" si="69"/>
        <v>50.543681808290849</v>
      </c>
    </row>
    <row r="3622" spans="4:4" x14ac:dyDescent="0.25">
      <c r="D3622">
        <f t="shared" ca="1" si="69"/>
        <v>45.758703244618914</v>
      </c>
    </row>
    <row r="3623" spans="4:4" x14ac:dyDescent="0.25">
      <c r="D3623">
        <f t="shared" ca="1" si="69"/>
        <v>53.961138896484769</v>
      </c>
    </row>
    <row r="3624" spans="4:4" x14ac:dyDescent="0.25">
      <c r="D3624">
        <f t="shared" ca="1" si="69"/>
        <v>52.486262747742344</v>
      </c>
    </row>
    <row r="3625" spans="4:4" x14ac:dyDescent="0.25">
      <c r="D3625">
        <f t="shared" ca="1" si="69"/>
        <v>53.966721055118548</v>
      </c>
    </row>
    <row r="3626" spans="4:4" x14ac:dyDescent="0.25">
      <c r="D3626">
        <f t="shared" ca="1" si="69"/>
        <v>49.27667710921326</v>
      </c>
    </row>
    <row r="3627" spans="4:4" x14ac:dyDescent="0.25">
      <c r="D3627">
        <f t="shared" ca="1" si="69"/>
        <v>48.810505278799909</v>
      </c>
    </row>
    <row r="3628" spans="4:4" x14ac:dyDescent="0.25">
      <c r="D3628">
        <f t="shared" ca="1" si="69"/>
        <v>33.915765451913423</v>
      </c>
    </row>
    <row r="3629" spans="4:4" x14ac:dyDescent="0.25">
      <c r="D3629">
        <f t="shared" ca="1" si="69"/>
        <v>45.451252298427384</v>
      </c>
    </row>
    <row r="3630" spans="4:4" x14ac:dyDescent="0.25">
      <c r="D3630">
        <f t="shared" ca="1" si="69"/>
        <v>50.007814595531819</v>
      </c>
    </row>
    <row r="3631" spans="4:4" x14ac:dyDescent="0.25">
      <c r="D3631">
        <f t="shared" ca="1" si="69"/>
        <v>53.282319248402388</v>
      </c>
    </row>
    <row r="3632" spans="4:4" x14ac:dyDescent="0.25">
      <c r="D3632">
        <f t="shared" ca="1" si="69"/>
        <v>44.344123107148249</v>
      </c>
    </row>
    <row r="3633" spans="4:4" x14ac:dyDescent="0.25">
      <c r="D3633">
        <f t="shared" ca="1" si="69"/>
        <v>50.184819284540197</v>
      </c>
    </row>
    <row r="3634" spans="4:4" x14ac:dyDescent="0.25">
      <c r="D3634">
        <f t="shared" ca="1" si="69"/>
        <v>46.82976001879355</v>
      </c>
    </row>
    <row r="3635" spans="4:4" x14ac:dyDescent="0.25">
      <c r="D3635">
        <f t="shared" ca="1" si="69"/>
        <v>47.488431360273083</v>
      </c>
    </row>
    <row r="3636" spans="4:4" x14ac:dyDescent="0.25">
      <c r="D3636">
        <f t="shared" ca="1" si="69"/>
        <v>47.646812317267624</v>
      </c>
    </row>
    <row r="3637" spans="4:4" x14ac:dyDescent="0.25">
      <c r="D3637">
        <f t="shared" ca="1" si="69"/>
        <v>53.755831376858374</v>
      </c>
    </row>
    <row r="3638" spans="4:4" x14ac:dyDescent="0.25">
      <c r="D3638">
        <f t="shared" ca="1" si="69"/>
        <v>55.346992289397669</v>
      </c>
    </row>
    <row r="3639" spans="4:4" x14ac:dyDescent="0.25">
      <c r="D3639">
        <f t="shared" ca="1" si="69"/>
        <v>54.832622293482537</v>
      </c>
    </row>
    <row r="3640" spans="4:4" x14ac:dyDescent="0.25">
      <c r="D3640">
        <f t="shared" ca="1" si="69"/>
        <v>54.77247994727427</v>
      </c>
    </row>
    <row r="3641" spans="4:4" x14ac:dyDescent="0.25">
      <c r="D3641">
        <f t="shared" ca="1" si="69"/>
        <v>55.715245821024268</v>
      </c>
    </row>
    <row r="3642" spans="4:4" x14ac:dyDescent="0.25">
      <c r="D3642">
        <f t="shared" ca="1" si="69"/>
        <v>51.296495647040501</v>
      </c>
    </row>
    <row r="3643" spans="4:4" x14ac:dyDescent="0.25">
      <c r="D3643">
        <f t="shared" ca="1" si="69"/>
        <v>46.905161123039903</v>
      </c>
    </row>
    <row r="3644" spans="4:4" x14ac:dyDescent="0.25">
      <c r="D3644">
        <f t="shared" ca="1" si="69"/>
        <v>42.402599973651867</v>
      </c>
    </row>
    <row r="3645" spans="4:4" x14ac:dyDescent="0.25">
      <c r="D3645">
        <f t="shared" ca="1" si="69"/>
        <v>43.368681300783884</v>
      </c>
    </row>
    <row r="3646" spans="4:4" x14ac:dyDescent="0.25">
      <c r="D3646">
        <f t="shared" ca="1" si="69"/>
        <v>53.623256458900499</v>
      </c>
    </row>
    <row r="3647" spans="4:4" x14ac:dyDescent="0.25">
      <c r="D3647">
        <f t="shared" ca="1" si="69"/>
        <v>54.478559818808066</v>
      </c>
    </row>
    <row r="3648" spans="4:4" x14ac:dyDescent="0.25">
      <c r="D3648">
        <f t="shared" ca="1" si="69"/>
        <v>56.257736263258565</v>
      </c>
    </row>
    <row r="3649" spans="4:4" x14ac:dyDescent="0.25">
      <c r="D3649">
        <f t="shared" ca="1" si="69"/>
        <v>57.810994204684668</v>
      </c>
    </row>
    <row r="3650" spans="4:4" x14ac:dyDescent="0.25">
      <c r="D3650">
        <f t="shared" ca="1" si="69"/>
        <v>42.453213595497019</v>
      </c>
    </row>
    <row r="3651" spans="4:4" x14ac:dyDescent="0.25">
      <c r="D3651">
        <f t="shared" ref="D3651:D3714" ca="1" si="70">_xlfn.T.INV(RAND(),25)*$G$3+$F$3</f>
        <v>51.153235076258596</v>
      </c>
    </row>
    <row r="3652" spans="4:4" x14ac:dyDescent="0.25">
      <c r="D3652">
        <f t="shared" ca="1" si="70"/>
        <v>44.642947166226442</v>
      </c>
    </row>
    <row r="3653" spans="4:4" x14ac:dyDescent="0.25">
      <c r="D3653">
        <f t="shared" ca="1" si="70"/>
        <v>47.409247030901938</v>
      </c>
    </row>
    <row r="3654" spans="4:4" x14ac:dyDescent="0.25">
      <c r="D3654">
        <f t="shared" ca="1" si="70"/>
        <v>48.066927863800601</v>
      </c>
    </row>
    <row r="3655" spans="4:4" x14ac:dyDescent="0.25">
      <c r="D3655">
        <f t="shared" ca="1" si="70"/>
        <v>49.570915225925845</v>
      </c>
    </row>
    <row r="3656" spans="4:4" x14ac:dyDescent="0.25">
      <c r="D3656">
        <f t="shared" ca="1" si="70"/>
        <v>53.399550217434246</v>
      </c>
    </row>
    <row r="3657" spans="4:4" x14ac:dyDescent="0.25">
      <c r="D3657">
        <f t="shared" ca="1" si="70"/>
        <v>52.508153908985982</v>
      </c>
    </row>
    <row r="3658" spans="4:4" x14ac:dyDescent="0.25">
      <c r="D3658">
        <f t="shared" ca="1" si="70"/>
        <v>52.318976454854713</v>
      </c>
    </row>
    <row r="3659" spans="4:4" x14ac:dyDescent="0.25">
      <c r="D3659">
        <f t="shared" ca="1" si="70"/>
        <v>49.83874898342588</v>
      </c>
    </row>
    <row r="3660" spans="4:4" x14ac:dyDescent="0.25">
      <c r="D3660">
        <f t="shared" ca="1" si="70"/>
        <v>45.523361079530602</v>
      </c>
    </row>
    <row r="3661" spans="4:4" x14ac:dyDescent="0.25">
      <c r="D3661">
        <f t="shared" ca="1" si="70"/>
        <v>49.664172524209114</v>
      </c>
    </row>
    <row r="3662" spans="4:4" x14ac:dyDescent="0.25">
      <c r="D3662">
        <f t="shared" ca="1" si="70"/>
        <v>56.966358628753071</v>
      </c>
    </row>
    <row r="3663" spans="4:4" x14ac:dyDescent="0.25">
      <c r="D3663">
        <f t="shared" ca="1" si="70"/>
        <v>50.754403330279317</v>
      </c>
    </row>
    <row r="3664" spans="4:4" x14ac:dyDescent="0.25">
      <c r="D3664">
        <f t="shared" ca="1" si="70"/>
        <v>48.565686179174328</v>
      </c>
    </row>
    <row r="3665" spans="4:4" x14ac:dyDescent="0.25">
      <c r="D3665">
        <f t="shared" ca="1" si="70"/>
        <v>52.620166850890179</v>
      </c>
    </row>
    <row r="3666" spans="4:4" x14ac:dyDescent="0.25">
      <c r="D3666">
        <f t="shared" ca="1" si="70"/>
        <v>49.115901049236228</v>
      </c>
    </row>
    <row r="3667" spans="4:4" x14ac:dyDescent="0.25">
      <c r="D3667">
        <f t="shared" ca="1" si="70"/>
        <v>49.058236444706509</v>
      </c>
    </row>
    <row r="3668" spans="4:4" x14ac:dyDescent="0.25">
      <c r="D3668">
        <f t="shared" ca="1" si="70"/>
        <v>45.404914365277158</v>
      </c>
    </row>
    <row r="3669" spans="4:4" x14ac:dyDescent="0.25">
      <c r="D3669">
        <f t="shared" ca="1" si="70"/>
        <v>49.521951330418617</v>
      </c>
    </row>
    <row r="3670" spans="4:4" x14ac:dyDescent="0.25">
      <c r="D3670">
        <f t="shared" ca="1" si="70"/>
        <v>45.970827498486592</v>
      </c>
    </row>
    <row r="3671" spans="4:4" x14ac:dyDescent="0.25">
      <c r="D3671">
        <f t="shared" ca="1" si="70"/>
        <v>51.965074122785651</v>
      </c>
    </row>
    <row r="3672" spans="4:4" x14ac:dyDescent="0.25">
      <c r="D3672">
        <f t="shared" ca="1" si="70"/>
        <v>53.740594463433951</v>
      </c>
    </row>
    <row r="3673" spans="4:4" x14ac:dyDescent="0.25">
      <c r="D3673">
        <f t="shared" ca="1" si="70"/>
        <v>53.332209360680082</v>
      </c>
    </row>
    <row r="3674" spans="4:4" x14ac:dyDescent="0.25">
      <c r="D3674">
        <f t="shared" ca="1" si="70"/>
        <v>65.562244046661263</v>
      </c>
    </row>
    <row r="3675" spans="4:4" x14ac:dyDescent="0.25">
      <c r="D3675">
        <f t="shared" ca="1" si="70"/>
        <v>44.901232379420939</v>
      </c>
    </row>
    <row r="3676" spans="4:4" x14ac:dyDescent="0.25">
      <c r="D3676">
        <f t="shared" ca="1" si="70"/>
        <v>50.488293514358674</v>
      </c>
    </row>
    <row r="3677" spans="4:4" x14ac:dyDescent="0.25">
      <c r="D3677">
        <f t="shared" ca="1" si="70"/>
        <v>52.759516096680208</v>
      </c>
    </row>
    <row r="3678" spans="4:4" x14ac:dyDescent="0.25">
      <c r="D3678">
        <f t="shared" ca="1" si="70"/>
        <v>49.638037704372636</v>
      </c>
    </row>
    <row r="3679" spans="4:4" x14ac:dyDescent="0.25">
      <c r="D3679">
        <f t="shared" ca="1" si="70"/>
        <v>46.073717044984463</v>
      </c>
    </row>
    <row r="3680" spans="4:4" x14ac:dyDescent="0.25">
      <c r="D3680">
        <f t="shared" ca="1" si="70"/>
        <v>44.387269563596661</v>
      </c>
    </row>
    <row r="3681" spans="4:4" x14ac:dyDescent="0.25">
      <c r="D3681">
        <f t="shared" ca="1" si="70"/>
        <v>44.108131013477305</v>
      </c>
    </row>
    <row r="3682" spans="4:4" x14ac:dyDescent="0.25">
      <c r="D3682">
        <f t="shared" ca="1" si="70"/>
        <v>47.417905675636909</v>
      </c>
    </row>
    <row r="3683" spans="4:4" x14ac:dyDescent="0.25">
      <c r="D3683">
        <f t="shared" ca="1" si="70"/>
        <v>50.539994564332297</v>
      </c>
    </row>
    <row r="3684" spans="4:4" x14ac:dyDescent="0.25">
      <c r="D3684">
        <f t="shared" ca="1" si="70"/>
        <v>58.696067831229925</v>
      </c>
    </row>
    <row r="3685" spans="4:4" x14ac:dyDescent="0.25">
      <c r="D3685">
        <f t="shared" ca="1" si="70"/>
        <v>52.118346553538565</v>
      </c>
    </row>
    <row r="3686" spans="4:4" x14ac:dyDescent="0.25">
      <c r="D3686">
        <f t="shared" ca="1" si="70"/>
        <v>50.306188942293915</v>
      </c>
    </row>
    <row r="3687" spans="4:4" x14ac:dyDescent="0.25">
      <c r="D3687">
        <f t="shared" ca="1" si="70"/>
        <v>50.797350116450929</v>
      </c>
    </row>
    <row r="3688" spans="4:4" x14ac:dyDescent="0.25">
      <c r="D3688">
        <f t="shared" ca="1" si="70"/>
        <v>52.754370165238313</v>
      </c>
    </row>
    <row r="3689" spans="4:4" x14ac:dyDescent="0.25">
      <c r="D3689">
        <f t="shared" ca="1" si="70"/>
        <v>43.344435362020093</v>
      </c>
    </row>
    <row r="3690" spans="4:4" x14ac:dyDescent="0.25">
      <c r="D3690">
        <f t="shared" ca="1" si="70"/>
        <v>50.354661418522831</v>
      </c>
    </row>
    <row r="3691" spans="4:4" x14ac:dyDescent="0.25">
      <c r="D3691">
        <f t="shared" ca="1" si="70"/>
        <v>47.937836828078801</v>
      </c>
    </row>
    <row r="3692" spans="4:4" x14ac:dyDescent="0.25">
      <c r="D3692">
        <f t="shared" ca="1" si="70"/>
        <v>48.526426250888292</v>
      </c>
    </row>
    <row r="3693" spans="4:4" x14ac:dyDescent="0.25">
      <c r="D3693">
        <f t="shared" ca="1" si="70"/>
        <v>43.538005498312309</v>
      </c>
    </row>
    <row r="3694" spans="4:4" x14ac:dyDescent="0.25">
      <c r="D3694">
        <f t="shared" ca="1" si="70"/>
        <v>53.819141693468005</v>
      </c>
    </row>
    <row r="3695" spans="4:4" x14ac:dyDescent="0.25">
      <c r="D3695">
        <f t="shared" ca="1" si="70"/>
        <v>53.883314869247997</v>
      </c>
    </row>
    <row r="3696" spans="4:4" x14ac:dyDescent="0.25">
      <c r="D3696">
        <f t="shared" ca="1" si="70"/>
        <v>55.931948422428846</v>
      </c>
    </row>
    <row r="3697" spans="4:4" x14ac:dyDescent="0.25">
      <c r="D3697">
        <f t="shared" ca="1" si="70"/>
        <v>48.677041711596637</v>
      </c>
    </row>
    <row r="3698" spans="4:4" x14ac:dyDescent="0.25">
      <c r="D3698">
        <f t="shared" ca="1" si="70"/>
        <v>46.653782114843757</v>
      </c>
    </row>
    <row r="3699" spans="4:4" x14ac:dyDescent="0.25">
      <c r="D3699">
        <f t="shared" ca="1" si="70"/>
        <v>55.996597298026899</v>
      </c>
    </row>
    <row r="3700" spans="4:4" x14ac:dyDescent="0.25">
      <c r="D3700">
        <f t="shared" ca="1" si="70"/>
        <v>42.978875004782516</v>
      </c>
    </row>
    <row r="3701" spans="4:4" x14ac:dyDescent="0.25">
      <c r="D3701">
        <f t="shared" ca="1" si="70"/>
        <v>46.850446239621441</v>
      </c>
    </row>
    <row r="3702" spans="4:4" x14ac:dyDescent="0.25">
      <c r="D3702">
        <f t="shared" ca="1" si="70"/>
        <v>47.461655133532972</v>
      </c>
    </row>
    <row r="3703" spans="4:4" x14ac:dyDescent="0.25">
      <c r="D3703">
        <f t="shared" ca="1" si="70"/>
        <v>51.763298401361517</v>
      </c>
    </row>
    <row r="3704" spans="4:4" x14ac:dyDescent="0.25">
      <c r="D3704">
        <f t="shared" ca="1" si="70"/>
        <v>45.747727519556129</v>
      </c>
    </row>
    <row r="3705" spans="4:4" x14ac:dyDescent="0.25">
      <c r="D3705">
        <f t="shared" ca="1" si="70"/>
        <v>48.119884654003506</v>
      </c>
    </row>
    <row r="3706" spans="4:4" x14ac:dyDescent="0.25">
      <c r="D3706">
        <f t="shared" ca="1" si="70"/>
        <v>52.885661561843655</v>
      </c>
    </row>
    <row r="3707" spans="4:4" x14ac:dyDescent="0.25">
      <c r="D3707">
        <f t="shared" ca="1" si="70"/>
        <v>47.173305787839077</v>
      </c>
    </row>
    <row r="3708" spans="4:4" x14ac:dyDescent="0.25">
      <c r="D3708">
        <f t="shared" ca="1" si="70"/>
        <v>52.24204207994142</v>
      </c>
    </row>
    <row r="3709" spans="4:4" x14ac:dyDescent="0.25">
      <c r="D3709">
        <f t="shared" ca="1" si="70"/>
        <v>50.00971984367574</v>
      </c>
    </row>
    <row r="3710" spans="4:4" x14ac:dyDescent="0.25">
      <c r="D3710">
        <f t="shared" ca="1" si="70"/>
        <v>44.41015419794121</v>
      </c>
    </row>
    <row r="3711" spans="4:4" x14ac:dyDescent="0.25">
      <c r="D3711">
        <f t="shared" ca="1" si="70"/>
        <v>60.714043518675538</v>
      </c>
    </row>
    <row r="3712" spans="4:4" x14ac:dyDescent="0.25">
      <c r="D3712">
        <f t="shared" ca="1" si="70"/>
        <v>52.289895174445711</v>
      </c>
    </row>
    <row r="3713" spans="4:4" x14ac:dyDescent="0.25">
      <c r="D3713">
        <f t="shared" ca="1" si="70"/>
        <v>50.460201479714989</v>
      </c>
    </row>
    <row r="3714" spans="4:4" x14ac:dyDescent="0.25">
      <c r="D3714">
        <f t="shared" ca="1" si="70"/>
        <v>51.508925258716005</v>
      </c>
    </row>
    <row r="3715" spans="4:4" x14ac:dyDescent="0.25">
      <c r="D3715">
        <f t="shared" ref="D3715:D3778" ca="1" si="71">_xlfn.T.INV(RAND(),25)*$G$3+$F$3</f>
        <v>44.501306186750263</v>
      </c>
    </row>
    <row r="3716" spans="4:4" x14ac:dyDescent="0.25">
      <c r="D3716">
        <f t="shared" ca="1" si="71"/>
        <v>51.889269310410739</v>
      </c>
    </row>
    <row r="3717" spans="4:4" x14ac:dyDescent="0.25">
      <c r="D3717">
        <f t="shared" ca="1" si="71"/>
        <v>53.110165412761972</v>
      </c>
    </row>
    <row r="3718" spans="4:4" x14ac:dyDescent="0.25">
      <c r="D3718">
        <f t="shared" ca="1" si="71"/>
        <v>49.694117188986148</v>
      </c>
    </row>
    <row r="3719" spans="4:4" x14ac:dyDescent="0.25">
      <c r="D3719">
        <f t="shared" ca="1" si="71"/>
        <v>52.354992827933032</v>
      </c>
    </row>
    <row r="3720" spans="4:4" x14ac:dyDescent="0.25">
      <c r="D3720">
        <f t="shared" ca="1" si="71"/>
        <v>50.990466501902922</v>
      </c>
    </row>
    <row r="3721" spans="4:4" x14ac:dyDescent="0.25">
      <c r="D3721">
        <f t="shared" ca="1" si="71"/>
        <v>47.881587486499697</v>
      </c>
    </row>
    <row r="3722" spans="4:4" x14ac:dyDescent="0.25">
      <c r="D3722">
        <f t="shared" ca="1" si="71"/>
        <v>50.735116948688521</v>
      </c>
    </row>
    <row r="3723" spans="4:4" x14ac:dyDescent="0.25">
      <c r="D3723">
        <f t="shared" ca="1" si="71"/>
        <v>42.859566500665949</v>
      </c>
    </row>
    <row r="3724" spans="4:4" x14ac:dyDescent="0.25">
      <c r="D3724">
        <f t="shared" ca="1" si="71"/>
        <v>54.867041296236117</v>
      </c>
    </row>
    <row r="3725" spans="4:4" x14ac:dyDescent="0.25">
      <c r="D3725">
        <f t="shared" ca="1" si="71"/>
        <v>51.162582817942649</v>
      </c>
    </row>
    <row r="3726" spans="4:4" x14ac:dyDescent="0.25">
      <c r="D3726">
        <f t="shared" ca="1" si="71"/>
        <v>42.749128577003653</v>
      </c>
    </row>
    <row r="3727" spans="4:4" x14ac:dyDescent="0.25">
      <c r="D3727">
        <f t="shared" ca="1" si="71"/>
        <v>51.212233064212015</v>
      </c>
    </row>
    <row r="3728" spans="4:4" x14ac:dyDescent="0.25">
      <c r="D3728">
        <f t="shared" ca="1" si="71"/>
        <v>46.573772091668374</v>
      </c>
    </row>
    <row r="3729" spans="4:4" x14ac:dyDescent="0.25">
      <c r="D3729">
        <f t="shared" ca="1" si="71"/>
        <v>45.932541765215284</v>
      </c>
    </row>
    <row r="3730" spans="4:4" x14ac:dyDescent="0.25">
      <c r="D3730">
        <f t="shared" ca="1" si="71"/>
        <v>52.840101485804304</v>
      </c>
    </row>
    <row r="3731" spans="4:4" x14ac:dyDescent="0.25">
      <c r="D3731">
        <f t="shared" ca="1" si="71"/>
        <v>50.722489535066408</v>
      </c>
    </row>
    <row r="3732" spans="4:4" x14ac:dyDescent="0.25">
      <c r="D3732">
        <f t="shared" ca="1" si="71"/>
        <v>49.71826365090601</v>
      </c>
    </row>
    <row r="3733" spans="4:4" x14ac:dyDescent="0.25">
      <c r="D3733">
        <f t="shared" ca="1" si="71"/>
        <v>38.645090304695941</v>
      </c>
    </row>
    <row r="3734" spans="4:4" x14ac:dyDescent="0.25">
      <c r="D3734">
        <f t="shared" ca="1" si="71"/>
        <v>46.665998830494487</v>
      </c>
    </row>
    <row r="3735" spans="4:4" x14ac:dyDescent="0.25">
      <c r="D3735">
        <f t="shared" ca="1" si="71"/>
        <v>47.050817868717715</v>
      </c>
    </row>
    <row r="3736" spans="4:4" x14ac:dyDescent="0.25">
      <c r="D3736">
        <f t="shared" ca="1" si="71"/>
        <v>54.17925883260812</v>
      </c>
    </row>
    <row r="3737" spans="4:4" x14ac:dyDescent="0.25">
      <c r="D3737">
        <f t="shared" ca="1" si="71"/>
        <v>53.573789579977337</v>
      </c>
    </row>
    <row r="3738" spans="4:4" x14ac:dyDescent="0.25">
      <c r="D3738">
        <f t="shared" ca="1" si="71"/>
        <v>56.161870990849863</v>
      </c>
    </row>
    <row r="3739" spans="4:4" x14ac:dyDescent="0.25">
      <c r="D3739">
        <f t="shared" ca="1" si="71"/>
        <v>54.035976593069826</v>
      </c>
    </row>
    <row r="3740" spans="4:4" x14ac:dyDescent="0.25">
      <c r="D3740">
        <f t="shared" ca="1" si="71"/>
        <v>53.101407248343151</v>
      </c>
    </row>
    <row r="3741" spans="4:4" x14ac:dyDescent="0.25">
      <c r="D3741">
        <f t="shared" ca="1" si="71"/>
        <v>57.074038571724515</v>
      </c>
    </row>
    <row r="3742" spans="4:4" x14ac:dyDescent="0.25">
      <c r="D3742">
        <f t="shared" ca="1" si="71"/>
        <v>49.798463340445558</v>
      </c>
    </row>
    <row r="3743" spans="4:4" x14ac:dyDescent="0.25">
      <c r="D3743">
        <f t="shared" ca="1" si="71"/>
        <v>48.885698463223534</v>
      </c>
    </row>
    <row r="3744" spans="4:4" x14ac:dyDescent="0.25">
      <c r="D3744">
        <f t="shared" ca="1" si="71"/>
        <v>51.703263667158389</v>
      </c>
    </row>
    <row r="3745" spans="4:4" x14ac:dyDescent="0.25">
      <c r="D3745">
        <f t="shared" ca="1" si="71"/>
        <v>48.58334804081877</v>
      </c>
    </row>
    <row r="3746" spans="4:4" x14ac:dyDescent="0.25">
      <c r="D3746">
        <f t="shared" ca="1" si="71"/>
        <v>46.928199428317527</v>
      </c>
    </row>
    <row r="3747" spans="4:4" x14ac:dyDescent="0.25">
      <c r="D3747">
        <f t="shared" ca="1" si="71"/>
        <v>47.357498975288685</v>
      </c>
    </row>
    <row r="3748" spans="4:4" x14ac:dyDescent="0.25">
      <c r="D3748">
        <f t="shared" ca="1" si="71"/>
        <v>40.046098707456508</v>
      </c>
    </row>
    <row r="3749" spans="4:4" x14ac:dyDescent="0.25">
      <c r="D3749">
        <f t="shared" ca="1" si="71"/>
        <v>52.772722060919811</v>
      </c>
    </row>
    <row r="3750" spans="4:4" x14ac:dyDescent="0.25">
      <c r="D3750">
        <f t="shared" ca="1" si="71"/>
        <v>49.016325653640592</v>
      </c>
    </row>
    <row r="3751" spans="4:4" x14ac:dyDescent="0.25">
      <c r="D3751">
        <f t="shared" ca="1" si="71"/>
        <v>51.474413057858989</v>
      </c>
    </row>
    <row r="3752" spans="4:4" x14ac:dyDescent="0.25">
      <c r="D3752">
        <f t="shared" ca="1" si="71"/>
        <v>55.356266806848303</v>
      </c>
    </row>
    <row r="3753" spans="4:4" x14ac:dyDescent="0.25">
      <c r="D3753">
        <f t="shared" ca="1" si="71"/>
        <v>59.215139948020067</v>
      </c>
    </row>
    <row r="3754" spans="4:4" x14ac:dyDescent="0.25">
      <c r="D3754">
        <f t="shared" ca="1" si="71"/>
        <v>43.414186038349612</v>
      </c>
    </row>
    <row r="3755" spans="4:4" x14ac:dyDescent="0.25">
      <c r="D3755">
        <f t="shared" ca="1" si="71"/>
        <v>52.198478107714166</v>
      </c>
    </row>
    <row r="3756" spans="4:4" x14ac:dyDescent="0.25">
      <c r="D3756">
        <f t="shared" ca="1" si="71"/>
        <v>60.102159301385889</v>
      </c>
    </row>
    <row r="3757" spans="4:4" x14ac:dyDescent="0.25">
      <c r="D3757">
        <f t="shared" ca="1" si="71"/>
        <v>48.457065938438959</v>
      </c>
    </row>
    <row r="3758" spans="4:4" x14ac:dyDescent="0.25">
      <c r="D3758">
        <f t="shared" ca="1" si="71"/>
        <v>52.073736892103405</v>
      </c>
    </row>
    <row r="3759" spans="4:4" x14ac:dyDescent="0.25">
      <c r="D3759">
        <f t="shared" ca="1" si="71"/>
        <v>48.178095580375235</v>
      </c>
    </row>
    <row r="3760" spans="4:4" x14ac:dyDescent="0.25">
      <c r="D3760">
        <f t="shared" ca="1" si="71"/>
        <v>47.249580748916806</v>
      </c>
    </row>
    <row r="3761" spans="4:4" x14ac:dyDescent="0.25">
      <c r="D3761">
        <f t="shared" ca="1" si="71"/>
        <v>55.766020540343213</v>
      </c>
    </row>
    <row r="3762" spans="4:4" x14ac:dyDescent="0.25">
      <c r="D3762">
        <f t="shared" ca="1" si="71"/>
        <v>45.527480735952011</v>
      </c>
    </row>
    <row r="3763" spans="4:4" x14ac:dyDescent="0.25">
      <c r="D3763">
        <f t="shared" ca="1" si="71"/>
        <v>41.637791386185697</v>
      </c>
    </row>
    <row r="3764" spans="4:4" x14ac:dyDescent="0.25">
      <c r="D3764">
        <f t="shared" ca="1" si="71"/>
        <v>49.4568854355011</v>
      </c>
    </row>
    <row r="3765" spans="4:4" x14ac:dyDescent="0.25">
      <c r="D3765">
        <f t="shared" ca="1" si="71"/>
        <v>52.359236730713128</v>
      </c>
    </row>
    <row r="3766" spans="4:4" x14ac:dyDescent="0.25">
      <c r="D3766">
        <f t="shared" ca="1" si="71"/>
        <v>49.166779282925106</v>
      </c>
    </row>
    <row r="3767" spans="4:4" x14ac:dyDescent="0.25">
      <c r="D3767">
        <f t="shared" ca="1" si="71"/>
        <v>51.710369962269645</v>
      </c>
    </row>
    <row r="3768" spans="4:4" x14ac:dyDescent="0.25">
      <c r="D3768">
        <f t="shared" ca="1" si="71"/>
        <v>57.020582001977374</v>
      </c>
    </row>
    <row r="3769" spans="4:4" x14ac:dyDescent="0.25">
      <c r="D3769">
        <f t="shared" ca="1" si="71"/>
        <v>46.376179234419617</v>
      </c>
    </row>
    <row r="3770" spans="4:4" x14ac:dyDescent="0.25">
      <c r="D3770">
        <f t="shared" ca="1" si="71"/>
        <v>52.722788099932473</v>
      </c>
    </row>
    <row r="3771" spans="4:4" x14ac:dyDescent="0.25">
      <c r="D3771">
        <f t="shared" ca="1" si="71"/>
        <v>51.956007873537004</v>
      </c>
    </row>
    <row r="3772" spans="4:4" x14ac:dyDescent="0.25">
      <c r="D3772">
        <f t="shared" ca="1" si="71"/>
        <v>51.999100106113602</v>
      </c>
    </row>
    <row r="3773" spans="4:4" x14ac:dyDescent="0.25">
      <c r="D3773">
        <f t="shared" ca="1" si="71"/>
        <v>52.472780737113816</v>
      </c>
    </row>
    <row r="3774" spans="4:4" x14ac:dyDescent="0.25">
      <c r="D3774">
        <f t="shared" ca="1" si="71"/>
        <v>46.793233867792367</v>
      </c>
    </row>
    <row r="3775" spans="4:4" x14ac:dyDescent="0.25">
      <c r="D3775">
        <f t="shared" ca="1" si="71"/>
        <v>43.122341375791891</v>
      </c>
    </row>
    <row r="3776" spans="4:4" x14ac:dyDescent="0.25">
      <c r="D3776">
        <f t="shared" ca="1" si="71"/>
        <v>48.415807749157608</v>
      </c>
    </row>
    <row r="3777" spans="4:4" x14ac:dyDescent="0.25">
      <c r="D3777">
        <f t="shared" ca="1" si="71"/>
        <v>46.447843536960406</v>
      </c>
    </row>
    <row r="3778" spans="4:4" x14ac:dyDescent="0.25">
      <c r="D3778">
        <f t="shared" ca="1" si="71"/>
        <v>48.645837628169765</v>
      </c>
    </row>
    <row r="3779" spans="4:4" x14ac:dyDescent="0.25">
      <c r="D3779">
        <f t="shared" ref="D3779:D3842" ca="1" si="72">_xlfn.T.INV(RAND(),25)*$G$3+$F$3</f>
        <v>43.892440580873604</v>
      </c>
    </row>
    <row r="3780" spans="4:4" x14ac:dyDescent="0.25">
      <c r="D3780">
        <f t="shared" ca="1" si="72"/>
        <v>49.214480271156347</v>
      </c>
    </row>
    <row r="3781" spans="4:4" x14ac:dyDescent="0.25">
      <c r="D3781">
        <f t="shared" ca="1" si="72"/>
        <v>54.373836723226873</v>
      </c>
    </row>
    <row r="3782" spans="4:4" x14ac:dyDescent="0.25">
      <c r="D3782">
        <f t="shared" ca="1" si="72"/>
        <v>52.800684168435204</v>
      </c>
    </row>
    <row r="3783" spans="4:4" x14ac:dyDescent="0.25">
      <c r="D3783">
        <f t="shared" ca="1" si="72"/>
        <v>53.306262408762272</v>
      </c>
    </row>
    <row r="3784" spans="4:4" x14ac:dyDescent="0.25">
      <c r="D3784">
        <f t="shared" ca="1" si="72"/>
        <v>45.019821030246511</v>
      </c>
    </row>
    <row r="3785" spans="4:4" x14ac:dyDescent="0.25">
      <c r="D3785">
        <f t="shared" ca="1" si="72"/>
        <v>46.377935955034353</v>
      </c>
    </row>
    <row r="3786" spans="4:4" x14ac:dyDescent="0.25">
      <c r="D3786">
        <f t="shared" ca="1" si="72"/>
        <v>49.754023463858914</v>
      </c>
    </row>
    <row r="3787" spans="4:4" x14ac:dyDescent="0.25">
      <c r="D3787">
        <f t="shared" ca="1" si="72"/>
        <v>41.371588345330963</v>
      </c>
    </row>
    <row r="3788" spans="4:4" x14ac:dyDescent="0.25">
      <c r="D3788">
        <f t="shared" ca="1" si="72"/>
        <v>48.30670807506084</v>
      </c>
    </row>
    <row r="3789" spans="4:4" x14ac:dyDescent="0.25">
      <c r="D3789">
        <f t="shared" ca="1" si="72"/>
        <v>48.633874535557631</v>
      </c>
    </row>
    <row r="3790" spans="4:4" x14ac:dyDescent="0.25">
      <c r="D3790">
        <f t="shared" ca="1" si="72"/>
        <v>49.018448724119473</v>
      </c>
    </row>
    <row r="3791" spans="4:4" x14ac:dyDescent="0.25">
      <c r="D3791">
        <f t="shared" ca="1" si="72"/>
        <v>51.973955044894645</v>
      </c>
    </row>
    <row r="3792" spans="4:4" x14ac:dyDescent="0.25">
      <c r="D3792">
        <f t="shared" ca="1" si="72"/>
        <v>44.167870618413964</v>
      </c>
    </row>
    <row r="3793" spans="4:4" x14ac:dyDescent="0.25">
      <c r="D3793">
        <f t="shared" ca="1" si="72"/>
        <v>56.364632997736059</v>
      </c>
    </row>
    <row r="3794" spans="4:4" x14ac:dyDescent="0.25">
      <c r="D3794">
        <f t="shared" ca="1" si="72"/>
        <v>52.788528341768654</v>
      </c>
    </row>
    <row r="3795" spans="4:4" x14ac:dyDescent="0.25">
      <c r="D3795">
        <f t="shared" ca="1" si="72"/>
        <v>50.853749451428627</v>
      </c>
    </row>
    <row r="3796" spans="4:4" x14ac:dyDescent="0.25">
      <c r="D3796">
        <f t="shared" ca="1" si="72"/>
        <v>57.206620375159829</v>
      </c>
    </row>
    <row r="3797" spans="4:4" x14ac:dyDescent="0.25">
      <c r="D3797">
        <f t="shared" ca="1" si="72"/>
        <v>42.778025701101562</v>
      </c>
    </row>
    <row r="3798" spans="4:4" x14ac:dyDescent="0.25">
      <c r="D3798">
        <f t="shared" ca="1" si="72"/>
        <v>53.193932174641823</v>
      </c>
    </row>
    <row r="3799" spans="4:4" x14ac:dyDescent="0.25">
      <c r="D3799">
        <f t="shared" ca="1" si="72"/>
        <v>53.090474740542071</v>
      </c>
    </row>
    <row r="3800" spans="4:4" x14ac:dyDescent="0.25">
      <c r="D3800">
        <f t="shared" ca="1" si="72"/>
        <v>49.038388984699168</v>
      </c>
    </row>
    <row r="3801" spans="4:4" x14ac:dyDescent="0.25">
      <c r="D3801">
        <f t="shared" ca="1" si="72"/>
        <v>50.934060352696541</v>
      </c>
    </row>
    <row r="3802" spans="4:4" x14ac:dyDescent="0.25">
      <c r="D3802">
        <f t="shared" ca="1" si="72"/>
        <v>47.52955854800372</v>
      </c>
    </row>
    <row r="3803" spans="4:4" x14ac:dyDescent="0.25">
      <c r="D3803">
        <f t="shared" ca="1" si="72"/>
        <v>47.420228614098136</v>
      </c>
    </row>
    <row r="3804" spans="4:4" x14ac:dyDescent="0.25">
      <c r="D3804">
        <f t="shared" ca="1" si="72"/>
        <v>50.758302017773943</v>
      </c>
    </row>
    <row r="3805" spans="4:4" x14ac:dyDescent="0.25">
      <c r="D3805">
        <f t="shared" ca="1" si="72"/>
        <v>51.48385592625732</v>
      </c>
    </row>
    <row r="3806" spans="4:4" x14ac:dyDescent="0.25">
      <c r="D3806">
        <f t="shared" ca="1" si="72"/>
        <v>56.404259203986427</v>
      </c>
    </row>
    <row r="3807" spans="4:4" x14ac:dyDescent="0.25">
      <c r="D3807">
        <f t="shared" ca="1" si="72"/>
        <v>45.746191272547399</v>
      </c>
    </row>
    <row r="3808" spans="4:4" x14ac:dyDescent="0.25">
      <c r="D3808">
        <f t="shared" ca="1" si="72"/>
        <v>43.691144668708255</v>
      </c>
    </row>
    <row r="3809" spans="4:4" x14ac:dyDescent="0.25">
      <c r="D3809">
        <f t="shared" ca="1" si="72"/>
        <v>51.694972550300868</v>
      </c>
    </row>
    <row r="3810" spans="4:4" x14ac:dyDescent="0.25">
      <c r="D3810">
        <f t="shared" ca="1" si="72"/>
        <v>51.448983048110961</v>
      </c>
    </row>
    <row r="3811" spans="4:4" x14ac:dyDescent="0.25">
      <c r="D3811">
        <f t="shared" ca="1" si="72"/>
        <v>50.960650686124005</v>
      </c>
    </row>
    <row r="3812" spans="4:4" x14ac:dyDescent="0.25">
      <c r="D3812">
        <f t="shared" ca="1" si="72"/>
        <v>48.183911206669478</v>
      </c>
    </row>
    <row r="3813" spans="4:4" x14ac:dyDescent="0.25">
      <c r="D3813">
        <f t="shared" ca="1" si="72"/>
        <v>46.168849522696412</v>
      </c>
    </row>
    <row r="3814" spans="4:4" x14ac:dyDescent="0.25">
      <c r="D3814">
        <f t="shared" ca="1" si="72"/>
        <v>45.126917520271142</v>
      </c>
    </row>
    <row r="3815" spans="4:4" x14ac:dyDescent="0.25">
      <c r="D3815">
        <f t="shared" ca="1" si="72"/>
        <v>49.584815646377763</v>
      </c>
    </row>
    <row r="3816" spans="4:4" x14ac:dyDescent="0.25">
      <c r="D3816">
        <f t="shared" ca="1" si="72"/>
        <v>45.562850621730114</v>
      </c>
    </row>
    <row r="3817" spans="4:4" x14ac:dyDescent="0.25">
      <c r="D3817">
        <f t="shared" ca="1" si="72"/>
        <v>54.17752165410019</v>
      </c>
    </row>
    <row r="3818" spans="4:4" x14ac:dyDescent="0.25">
      <c r="D3818">
        <f t="shared" ca="1" si="72"/>
        <v>49.083211910081253</v>
      </c>
    </row>
    <row r="3819" spans="4:4" x14ac:dyDescent="0.25">
      <c r="D3819">
        <f t="shared" ca="1" si="72"/>
        <v>45.495510472299031</v>
      </c>
    </row>
    <row r="3820" spans="4:4" x14ac:dyDescent="0.25">
      <c r="D3820">
        <f t="shared" ca="1" si="72"/>
        <v>49.842303424172513</v>
      </c>
    </row>
    <row r="3821" spans="4:4" x14ac:dyDescent="0.25">
      <c r="D3821">
        <f t="shared" ca="1" si="72"/>
        <v>52.017628285512544</v>
      </c>
    </row>
    <row r="3822" spans="4:4" x14ac:dyDescent="0.25">
      <c r="D3822">
        <f t="shared" ca="1" si="72"/>
        <v>57.473350675081427</v>
      </c>
    </row>
    <row r="3823" spans="4:4" x14ac:dyDescent="0.25">
      <c r="D3823">
        <f t="shared" ca="1" si="72"/>
        <v>57.24775227038765</v>
      </c>
    </row>
    <row r="3824" spans="4:4" x14ac:dyDescent="0.25">
      <c r="D3824">
        <f t="shared" ca="1" si="72"/>
        <v>45.84822452911822</v>
      </c>
    </row>
    <row r="3825" spans="4:4" x14ac:dyDescent="0.25">
      <c r="D3825">
        <f t="shared" ca="1" si="72"/>
        <v>51.348980933655284</v>
      </c>
    </row>
    <row r="3826" spans="4:4" x14ac:dyDescent="0.25">
      <c r="D3826">
        <f t="shared" ca="1" si="72"/>
        <v>51.605287661738593</v>
      </c>
    </row>
    <row r="3827" spans="4:4" x14ac:dyDescent="0.25">
      <c r="D3827">
        <f t="shared" ca="1" si="72"/>
        <v>45.889436044111697</v>
      </c>
    </row>
    <row r="3828" spans="4:4" x14ac:dyDescent="0.25">
      <c r="D3828">
        <f t="shared" ca="1" si="72"/>
        <v>48.55995060040825</v>
      </c>
    </row>
    <row r="3829" spans="4:4" x14ac:dyDescent="0.25">
      <c r="D3829">
        <f t="shared" ca="1" si="72"/>
        <v>45.476658774740457</v>
      </c>
    </row>
    <row r="3830" spans="4:4" x14ac:dyDescent="0.25">
      <c r="D3830">
        <f t="shared" ca="1" si="72"/>
        <v>49.635069248334624</v>
      </c>
    </row>
    <row r="3831" spans="4:4" x14ac:dyDescent="0.25">
      <c r="D3831">
        <f t="shared" ca="1" si="72"/>
        <v>43.589491326719113</v>
      </c>
    </row>
    <row r="3832" spans="4:4" x14ac:dyDescent="0.25">
      <c r="D3832">
        <f t="shared" ca="1" si="72"/>
        <v>52.780566620323079</v>
      </c>
    </row>
    <row r="3833" spans="4:4" x14ac:dyDescent="0.25">
      <c r="D3833">
        <f t="shared" ca="1" si="72"/>
        <v>54.194673679526851</v>
      </c>
    </row>
    <row r="3834" spans="4:4" x14ac:dyDescent="0.25">
      <c r="D3834">
        <f t="shared" ca="1" si="72"/>
        <v>42.53461357056284</v>
      </c>
    </row>
    <row r="3835" spans="4:4" x14ac:dyDescent="0.25">
      <c r="D3835">
        <f t="shared" ca="1" si="72"/>
        <v>48.655908722589174</v>
      </c>
    </row>
    <row r="3836" spans="4:4" x14ac:dyDescent="0.25">
      <c r="D3836">
        <f t="shared" ca="1" si="72"/>
        <v>53.621608310476546</v>
      </c>
    </row>
    <row r="3837" spans="4:4" x14ac:dyDescent="0.25">
      <c r="D3837">
        <f t="shared" ca="1" si="72"/>
        <v>45.554764243074857</v>
      </c>
    </row>
    <row r="3838" spans="4:4" x14ac:dyDescent="0.25">
      <c r="D3838">
        <f t="shared" ca="1" si="72"/>
        <v>51.351163975121629</v>
      </c>
    </row>
    <row r="3839" spans="4:4" x14ac:dyDescent="0.25">
      <c r="D3839">
        <f t="shared" ca="1" si="72"/>
        <v>53.105334887578977</v>
      </c>
    </row>
    <row r="3840" spans="4:4" x14ac:dyDescent="0.25">
      <c r="D3840">
        <f t="shared" ca="1" si="72"/>
        <v>53.000831983573505</v>
      </c>
    </row>
    <row r="3841" spans="4:4" x14ac:dyDescent="0.25">
      <c r="D3841">
        <f t="shared" ca="1" si="72"/>
        <v>41.520359101158903</v>
      </c>
    </row>
    <row r="3842" spans="4:4" x14ac:dyDescent="0.25">
      <c r="D3842">
        <f t="shared" ca="1" si="72"/>
        <v>43.400639399438312</v>
      </c>
    </row>
    <row r="3843" spans="4:4" x14ac:dyDescent="0.25">
      <c r="D3843">
        <f t="shared" ref="D3843:D3906" ca="1" si="73">_xlfn.T.INV(RAND(),25)*$G$3+$F$3</f>
        <v>43.766021610154958</v>
      </c>
    </row>
    <row r="3844" spans="4:4" x14ac:dyDescent="0.25">
      <c r="D3844">
        <f t="shared" ca="1" si="73"/>
        <v>41.111444910278024</v>
      </c>
    </row>
    <row r="3845" spans="4:4" x14ac:dyDescent="0.25">
      <c r="D3845">
        <f t="shared" ca="1" si="73"/>
        <v>49.918123891535735</v>
      </c>
    </row>
    <row r="3846" spans="4:4" x14ac:dyDescent="0.25">
      <c r="D3846">
        <f t="shared" ca="1" si="73"/>
        <v>51.717893399872104</v>
      </c>
    </row>
    <row r="3847" spans="4:4" x14ac:dyDescent="0.25">
      <c r="D3847">
        <f t="shared" ca="1" si="73"/>
        <v>50.98122494208868</v>
      </c>
    </row>
    <row r="3848" spans="4:4" x14ac:dyDescent="0.25">
      <c r="D3848">
        <f t="shared" ca="1" si="73"/>
        <v>45.525973068803737</v>
      </c>
    </row>
    <row r="3849" spans="4:4" x14ac:dyDescent="0.25">
      <c r="D3849">
        <f t="shared" ca="1" si="73"/>
        <v>54.108059000717539</v>
      </c>
    </row>
    <row r="3850" spans="4:4" x14ac:dyDescent="0.25">
      <c r="D3850">
        <f t="shared" ca="1" si="73"/>
        <v>48.835414976280781</v>
      </c>
    </row>
    <row r="3851" spans="4:4" x14ac:dyDescent="0.25">
      <c r="D3851">
        <f t="shared" ca="1" si="73"/>
        <v>45.348875879222099</v>
      </c>
    </row>
    <row r="3852" spans="4:4" x14ac:dyDescent="0.25">
      <c r="D3852">
        <f t="shared" ca="1" si="73"/>
        <v>41.110952555956871</v>
      </c>
    </row>
    <row r="3853" spans="4:4" x14ac:dyDescent="0.25">
      <c r="D3853">
        <f t="shared" ca="1" si="73"/>
        <v>53.81413692839552</v>
      </c>
    </row>
    <row r="3854" spans="4:4" x14ac:dyDescent="0.25">
      <c r="D3854">
        <f t="shared" ca="1" si="73"/>
        <v>50.843087620019631</v>
      </c>
    </row>
    <row r="3855" spans="4:4" x14ac:dyDescent="0.25">
      <c r="D3855">
        <f t="shared" ca="1" si="73"/>
        <v>46.679012785034125</v>
      </c>
    </row>
    <row r="3856" spans="4:4" x14ac:dyDescent="0.25">
      <c r="D3856">
        <f t="shared" ca="1" si="73"/>
        <v>43.305554969091098</v>
      </c>
    </row>
    <row r="3857" spans="4:4" x14ac:dyDescent="0.25">
      <c r="D3857">
        <f t="shared" ca="1" si="73"/>
        <v>53.091658241799898</v>
      </c>
    </row>
    <row r="3858" spans="4:4" x14ac:dyDescent="0.25">
      <c r="D3858">
        <f t="shared" ca="1" si="73"/>
        <v>43.669451147442842</v>
      </c>
    </row>
    <row r="3859" spans="4:4" x14ac:dyDescent="0.25">
      <c r="D3859">
        <f t="shared" ca="1" si="73"/>
        <v>53.661022773311828</v>
      </c>
    </row>
    <row r="3860" spans="4:4" x14ac:dyDescent="0.25">
      <c r="D3860">
        <f t="shared" ca="1" si="73"/>
        <v>56.352726706983233</v>
      </c>
    </row>
    <row r="3861" spans="4:4" x14ac:dyDescent="0.25">
      <c r="D3861">
        <f t="shared" ca="1" si="73"/>
        <v>53.068877357464849</v>
      </c>
    </row>
    <row r="3862" spans="4:4" x14ac:dyDescent="0.25">
      <c r="D3862">
        <f t="shared" ca="1" si="73"/>
        <v>50.432460244194303</v>
      </c>
    </row>
    <row r="3863" spans="4:4" x14ac:dyDescent="0.25">
      <c r="D3863">
        <f t="shared" ca="1" si="73"/>
        <v>52.651768953698792</v>
      </c>
    </row>
    <row r="3864" spans="4:4" x14ac:dyDescent="0.25">
      <c r="D3864">
        <f t="shared" ca="1" si="73"/>
        <v>45.706556346248547</v>
      </c>
    </row>
    <row r="3865" spans="4:4" x14ac:dyDescent="0.25">
      <c r="D3865">
        <f t="shared" ca="1" si="73"/>
        <v>46.543919601027852</v>
      </c>
    </row>
    <row r="3866" spans="4:4" x14ac:dyDescent="0.25">
      <c r="D3866">
        <f t="shared" ca="1" si="73"/>
        <v>45.089986001267476</v>
      </c>
    </row>
    <row r="3867" spans="4:4" x14ac:dyDescent="0.25">
      <c r="D3867">
        <f t="shared" ca="1" si="73"/>
        <v>38.267354122507911</v>
      </c>
    </row>
    <row r="3868" spans="4:4" x14ac:dyDescent="0.25">
      <c r="D3868">
        <f t="shared" ca="1" si="73"/>
        <v>46.155489882232281</v>
      </c>
    </row>
    <row r="3869" spans="4:4" x14ac:dyDescent="0.25">
      <c r="D3869">
        <f t="shared" ca="1" si="73"/>
        <v>43.597766543019041</v>
      </c>
    </row>
    <row r="3870" spans="4:4" x14ac:dyDescent="0.25">
      <c r="D3870">
        <f t="shared" ca="1" si="73"/>
        <v>49.211301735128494</v>
      </c>
    </row>
    <row r="3871" spans="4:4" x14ac:dyDescent="0.25">
      <c r="D3871">
        <f t="shared" ca="1" si="73"/>
        <v>48.99317632961894</v>
      </c>
    </row>
    <row r="3872" spans="4:4" x14ac:dyDescent="0.25">
      <c r="D3872">
        <f t="shared" ca="1" si="73"/>
        <v>50.149632808266347</v>
      </c>
    </row>
    <row r="3873" spans="4:4" x14ac:dyDescent="0.25">
      <c r="D3873">
        <f t="shared" ca="1" si="73"/>
        <v>52.272999711686104</v>
      </c>
    </row>
    <row r="3874" spans="4:4" x14ac:dyDescent="0.25">
      <c r="D3874">
        <f t="shared" ca="1" si="73"/>
        <v>48.992867797373322</v>
      </c>
    </row>
    <row r="3875" spans="4:4" x14ac:dyDescent="0.25">
      <c r="D3875">
        <f t="shared" ca="1" si="73"/>
        <v>52.03765915789127</v>
      </c>
    </row>
    <row r="3876" spans="4:4" x14ac:dyDescent="0.25">
      <c r="D3876">
        <f t="shared" ca="1" si="73"/>
        <v>54.017324208773623</v>
      </c>
    </row>
    <row r="3877" spans="4:4" x14ac:dyDescent="0.25">
      <c r="D3877">
        <f t="shared" ca="1" si="73"/>
        <v>49.20160440445499</v>
      </c>
    </row>
    <row r="3878" spans="4:4" x14ac:dyDescent="0.25">
      <c r="D3878">
        <f t="shared" ca="1" si="73"/>
        <v>53.680179184942446</v>
      </c>
    </row>
    <row r="3879" spans="4:4" x14ac:dyDescent="0.25">
      <c r="D3879">
        <f t="shared" ca="1" si="73"/>
        <v>50.354441499191587</v>
      </c>
    </row>
    <row r="3880" spans="4:4" x14ac:dyDescent="0.25">
      <c r="D3880">
        <f t="shared" ca="1" si="73"/>
        <v>41.589349339926933</v>
      </c>
    </row>
    <row r="3881" spans="4:4" x14ac:dyDescent="0.25">
      <c r="D3881">
        <f t="shared" ca="1" si="73"/>
        <v>47.186933942503288</v>
      </c>
    </row>
    <row r="3882" spans="4:4" x14ac:dyDescent="0.25">
      <c r="D3882">
        <f t="shared" ca="1" si="73"/>
        <v>45.974490091626087</v>
      </c>
    </row>
    <row r="3883" spans="4:4" x14ac:dyDescent="0.25">
      <c r="D3883">
        <f t="shared" ca="1" si="73"/>
        <v>40.895648711314273</v>
      </c>
    </row>
    <row r="3884" spans="4:4" x14ac:dyDescent="0.25">
      <c r="D3884">
        <f t="shared" ca="1" si="73"/>
        <v>48.943411977742755</v>
      </c>
    </row>
    <row r="3885" spans="4:4" x14ac:dyDescent="0.25">
      <c r="D3885">
        <f t="shared" ca="1" si="73"/>
        <v>40.979330202004228</v>
      </c>
    </row>
    <row r="3886" spans="4:4" x14ac:dyDescent="0.25">
      <c r="D3886">
        <f t="shared" ca="1" si="73"/>
        <v>45.558531967782201</v>
      </c>
    </row>
    <row r="3887" spans="4:4" x14ac:dyDescent="0.25">
      <c r="D3887">
        <f t="shared" ca="1" si="73"/>
        <v>50.704012026994853</v>
      </c>
    </row>
    <row r="3888" spans="4:4" x14ac:dyDescent="0.25">
      <c r="D3888">
        <f t="shared" ca="1" si="73"/>
        <v>54.195938455445727</v>
      </c>
    </row>
    <row r="3889" spans="4:4" x14ac:dyDescent="0.25">
      <c r="D3889">
        <f t="shared" ca="1" si="73"/>
        <v>46.130632781593533</v>
      </c>
    </row>
    <row r="3890" spans="4:4" x14ac:dyDescent="0.25">
      <c r="D3890">
        <f t="shared" ca="1" si="73"/>
        <v>45.075274006538073</v>
      </c>
    </row>
    <row r="3891" spans="4:4" x14ac:dyDescent="0.25">
      <c r="D3891">
        <f t="shared" ca="1" si="73"/>
        <v>52.145490196576631</v>
      </c>
    </row>
    <row r="3892" spans="4:4" x14ac:dyDescent="0.25">
      <c r="D3892">
        <f t="shared" ca="1" si="73"/>
        <v>43.955554150581456</v>
      </c>
    </row>
    <row r="3893" spans="4:4" x14ac:dyDescent="0.25">
      <c r="D3893">
        <f t="shared" ca="1" si="73"/>
        <v>39.820539431880384</v>
      </c>
    </row>
    <row r="3894" spans="4:4" x14ac:dyDescent="0.25">
      <c r="D3894">
        <f t="shared" ca="1" si="73"/>
        <v>50.032989364444106</v>
      </c>
    </row>
    <row r="3895" spans="4:4" x14ac:dyDescent="0.25">
      <c r="D3895">
        <f t="shared" ca="1" si="73"/>
        <v>52.713633714025114</v>
      </c>
    </row>
    <row r="3896" spans="4:4" x14ac:dyDescent="0.25">
      <c r="D3896">
        <f t="shared" ca="1" si="73"/>
        <v>41.509856107313794</v>
      </c>
    </row>
    <row r="3897" spans="4:4" x14ac:dyDescent="0.25">
      <c r="D3897">
        <f t="shared" ca="1" si="73"/>
        <v>47.17339418514954</v>
      </c>
    </row>
    <row r="3898" spans="4:4" x14ac:dyDescent="0.25">
      <c r="D3898">
        <f t="shared" ca="1" si="73"/>
        <v>56.712614386644674</v>
      </c>
    </row>
    <row r="3899" spans="4:4" x14ac:dyDescent="0.25">
      <c r="D3899">
        <f t="shared" ca="1" si="73"/>
        <v>46.804486055248439</v>
      </c>
    </row>
    <row r="3900" spans="4:4" x14ac:dyDescent="0.25">
      <c r="D3900">
        <f t="shared" ca="1" si="73"/>
        <v>43.887295408754049</v>
      </c>
    </row>
    <row r="3901" spans="4:4" x14ac:dyDescent="0.25">
      <c r="D3901">
        <f t="shared" ca="1" si="73"/>
        <v>42.492388758285287</v>
      </c>
    </row>
    <row r="3902" spans="4:4" x14ac:dyDescent="0.25">
      <c r="D3902">
        <f t="shared" ca="1" si="73"/>
        <v>48.76059911585201</v>
      </c>
    </row>
    <row r="3903" spans="4:4" x14ac:dyDescent="0.25">
      <c r="D3903">
        <f t="shared" ca="1" si="73"/>
        <v>52.482865472842725</v>
      </c>
    </row>
    <row r="3904" spans="4:4" x14ac:dyDescent="0.25">
      <c r="D3904">
        <f t="shared" ca="1" si="73"/>
        <v>46.820128365247776</v>
      </c>
    </row>
    <row r="3905" spans="4:4" x14ac:dyDescent="0.25">
      <c r="D3905">
        <f t="shared" ca="1" si="73"/>
        <v>46.692427199341587</v>
      </c>
    </row>
    <row r="3906" spans="4:4" x14ac:dyDescent="0.25">
      <c r="D3906">
        <f t="shared" ca="1" si="73"/>
        <v>47.441675069428243</v>
      </c>
    </row>
    <row r="3907" spans="4:4" x14ac:dyDescent="0.25">
      <c r="D3907">
        <f t="shared" ref="D3907:D3970" ca="1" si="74">_xlfn.T.INV(RAND(),25)*$G$3+$F$3</f>
        <v>54.011969846435655</v>
      </c>
    </row>
    <row r="3908" spans="4:4" x14ac:dyDescent="0.25">
      <c r="D3908">
        <f t="shared" ca="1" si="74"/>
        <v>51.086836422840648</v>
      </c>
    </row>
    <row r="3909" spans="4:4" x14ac:dyDescent="0.25">
      <c r="D3909">
        <f t="shared" ca="1" si="74"/>
        <v>47.985294678896835</v>
      </c>
    </row>
    <row r="3910" spans="4:4" x14ac:dyDescent="0.25">
      <c r="D3910">
        <f t="shared" ca="1" si="74"/>
        <v>48.815879578684857</v>
      </c>
    </row>
    <row r="3911" spans="4:4" x14ac:dyDescent="0.25">
      <c r="D3911">
        <f t="shared" ca="1" si="74"/>
        <v>45.741428957367944</v>
      </c>
    </row>
    <row r="3912" spans="4:4" x14ac:dyDescent="0.25">
      <c r="D3912">
        <f t="shared" ca="1" si="74"/>
        <v>48.793476317965137</v>
      </c>
    </row>
    <row r="3913" spans="4:4" x14ac:dyDescent="0.25">
      <c r="D3913">
        <f t="shared" ca="1" si="74"/>
        <v>46.1498258986826</v>
      </c>
    </row>
    <row r="3914" spans="4:4" x14ac:dyDescent="0.25">
      <c r="D3914">
        <f t="shared" ca="1" si="74"/>
        <v>49.661956324121348</v>
      </c>
    </row>
    <row r="3915" spans="4:4" x14ac:dyDescent="0.25">
      <c r="D3915">
        <f t="shared" ca="1" si="74"/>
        <v>47.818352425736052</v>
      </c>
    </row>
    <row r="3916" spans="4:4" x14ac:dyDescent="0.25">
      <c r="D3916">
        <f t="shared" ca="1" si="74"/>
        <v>51.630669534162443</v>
      </c>
    </row>
    <row r="3917" spans="4:4" x14ac:dyDescent="0.25">
      <c r="D3917">
        <f t="shared" ca="1" si="74"/>
        <v>52.617039919872596</v>
      </c>
    </row>
    <row r="3918" spans="4:4" x14ac:dyDescent="0.25">
      <c r="D3918">
        <f t="shared" ca="1" si="74"/>
        <v>41.189252102515688</v>
      </c>
    </row>
    <row r="3919" spans="4:4" x14ac:dyDescent="0.25">
      <c r="D3919">
        <f t="shared" ca="1" si="74"/>
        <v>35.735207094226411</v>
      </c>
    </row>
    <row r="3920" spans="4:4" x14ac:dyDescent="0.25">
      <c r="D3920">
        <f t="shared" ca="1" si="74"/>
        <v>48.912477327091004</v>
      </c>
    </row>
    <row r="3921" spans="4:4" x14ac:dyDescent="0.25">
      <c r="D3921">
        <f t="shared" ca="1" si="74"/>
        <v>48.501790974040688</v>
      </c>
    </row>
    <row r="3922" spans="4:4" x14ac:dyDescent="0.25">
      <c r="D3922">
        <f t="shared" ca="1" si="74"/>
        <v>48.707263633471321</v>
      </c>
    </row>
    <row r="3923" spans="4:4" x14ac:dyDescent="0.25">
      <c r="D3923">
        <f t="shared" ca="1" si="74"/>
        <v>41.635457609642017</v>
      </c>
    </row>
    <row r="3924" spans="4:4" x14ac:dyDescent="0.25">
      <c r="D3924">
        <f t="shared" ca="1" si="74"/>
        <v>60.047308144010863</v>
      </c>
    </row>
    <row r="3925" spans="4:4" x14ac:dyDescent="0.25">
      <c r="D3925">
        <f t="shared" ca="1" si="74"/>
        <v>53.116879779271251</v>
      </c>
    </row>
    <row r="3926" spans="4:4" x14ac:dyDescent="0.25">
      <c r="D3926">
        <f t="shared" ca="1" si="74"/>
        <v>57.757253401488484</v>
      </c>
    </row>
    <row r="3927" spans="4:4" x14ac:dyDescent="0.25">
      <c r="D3927">
        <f t="shared" ca="1" si="74"/>
        <v>47.661839512481357</v>
      </c>
    </row>
    <row r="3928" spans="4:4" x14ac:dyDescent="0.25">
      <c r="D3928">
        <f t="shared" ca="1" si="74"/>
        <v>47.806447403806715</v>
      </c>
    </row>
    <row r="3929" spans="4:4" x14ac:dyDescent="0.25">
      <c r="D3929">
        <f t="shared" ca="1" si="74"/>
        <v>54.34034355999492</v>
      </c>
    </row>
    <row r="3930" spans="4:4" x14ac:dyDescent="0.25">
      <c r="D3930">
        <f t="shared" ca="1" si="74"/>
        <v>44.602312870436947</v>
      </c>
    </row>
    <row r="3931" spans="4:4" x14ac:dyDescent="0.25">
      <c r="D3931">
        <f t="shared" ca="1" si="74"/>
        <v>50.41341247318018</v>
      </c>
    </row>
    <row r="3932" spans="4:4" x14ac:dyDescent="0.25">
      <c r="D3932">
        <f t="shared" ca="1" si="74"/>
        <v>46.326527748230298</v>
      </c>
    </row>
    <row r="3933" spans="4:4" x14ac:dyDescent="0.25">
      <c r="D3933">
        <f t="shared" ca="1" si="74"/>
        <v>52.600756687390636</v>
      </c>
    </row>
    <row r="3934" spans="4:4" x14ac:dyDescent="0.25">
      <c r="D3934">
        <f t="shared" ca="1" si="74"/>
        <v>45.568546459757066</v>
      </c>
    </row>
    <row r="3935" spans="4:4" x14ac:dyDescent="0.25">
      <c r="D3935">
        <f t="shared" ca="1" si="74"/>
        <v>50.121473436798574</v>
      </c>
    </row>
    <row r="3936" spans="4:4" x14ac:dyDescent="0.25">
      <c r="D3936">
        <f t="shared" ca="1" si="74"/>
        <v>48.393627420848013</v>
      </c>
    </row>
    <row r="3937" spans="4:4" x14ac:dyDescent="0.25">
      <c r="D3937">
        <f t="shared" ca="1" si="74"/>
        <v>38.896608381443066</v>
      </c>
    </row>
    <row r="3938" spans="4:4" x14ac:dyDescent="0.25">
      <c r="D3938">
        <f t="shared" ca="1" si="74"/>
        <v>50.610196737642546</v>
      </c>
    </row>
    <row r="3939" spans="4:4" x14ac:dyDescent="0.25">
      <c r="D3939">
        <f t="shared" ca="1" si="74"/>
        <v>49.391741318273674</v>
      </c>
    </row>
    <row r="3940" spans="4:4" x14ac:dyDescent="0.25">
      <c r="D3940">
        <f t="shared" ca="1" si="74"/>
        <v>48.719376456437665</v>
      </c>
    </row>
    <row r="3941" spans="4:4" x14ac:dyDescent="0.25">
      <c r="D3941">
        <f t="shared" ca="1" si="74"/>
        <v>55.377251310210887</v>
      </c>
    </row>
    <row r="3942" spans="4:4" x14ac:dyDescent="0.25">
      <c r="D3942">
        <f t="shared" ca="1" si="74"/>
        <v>53.178932378119853</v>
      </c>
    </row>
    <row r="3943" spans="4:4" x14ac:dyDescent="0.25">
      <c r="D3943">
        <f t="shared" ca="1" si="74"/>
        <v>53.445762531957818</v>
      </c>
    </row>
    <row r="3944" spans="4:4" x14ac:dyDescent="0.25">
      <c r="D3944">
        <f t="shared" ca="1" si="74"/>
        <v>57.718958599980319</v>
      </c>
    </row>
    <row r="3945" spans="4:4" x14ac:dyDescent="0.25">
      <c r="D3945">
        <f t="shared" ca="1" si="74"/>
        <v>51.567263832973914</v>
      </c>
    </row>
    <row r="3946" spans="4:4" x14ac:dyDescent="0.25">
      <c r="D3946">
        <f t="shared" ca="1" si="74"/>
        <v>56.818471090514358</v>
      </c>
    </row>
    <row r="3947" spans="4:4" x14ac:dyDescent="0.25">
      <c r="D3947">
        <f t="shared" ca="1" si="74"/>
        <v>45.086995174844034</v>
      </c>
    </row>
    <row r="3948" spans="4:4" x14ac:dyDescent="0.25">
      <c r="D3948">
        <f t="shared" ca="1" si="74"/>
        <v>54.984550141881485</v>
      </c>
    </row>
    <row r="3949" spans="4:4" x14ac:dyDescent="0.25">
      <c r="D3949">
        <f t="shared" ca="1" si="74"/>
        <v>47.552001111818285</v>
      </c>
    </row>
    <row r="3950" spans="4:4" x14ac:dyDescent="0.25">
      <c r="D3950">
        <f t="shared" ca="1" si="74"/>
        <v>54.684383662165132</v>
      </c>
    </row>
    <row r="3951" spans="4:4" x14ac:dyDescent="0.25">
      <c r="D3951">
        <f t="shared" ca="1" si="74"/>
        <v>43.346615732038671</v>
      </c>
    </row>
    <row r="3952" spans="4:4" x14ac:dyDescent="0.25">
      <c r="D3952">
        <f t="shared" ca="1" si="74"/>
        <v>52.365433703144284</v>
      </c>
    </row>
    <row r="3953" spans="4:4" x14ac:dyDescent="0.25">
      <c r="D3953">
        <f t="shared" ca="1" si="74"/>
        <v>55.914635774838622</v>
      </c>
    </row>
    <row r="3954" spans="4:4" x14ac:dyDescent="0.25">
      <c r="D3954">
        <f t="shared" ca="1" si="74"/>
        <v>48.308433841773656</v>
      </c>
    </row>
    <row r="3955" spans="4:4" x14ac:dyDescent="0.25">
      <c r="D3955">
        <f t="shared" ca="1" si="74"/>
        <v>56.761816847564113</v>
      </c>
    </row>
    <row r="3956" spans="4:4" x14ac:dyDescent="0.25">
      <c r="D3956">
        <f t="shared" ca="1" si="74"/>
        <v>43.693751131983191</v>
      </c>
    </row>
    <row r="3957" spans="4:4" x14ac:dyDescent="0.25">
      <c r="D3957">
        <f t="shared" ca="1" si="74"/>
        <v>44.794029173558783</v>
      </c>
    </row>
    <row r="3958" spans="4:4" x14ac:dyDescent="0.25">
      <c r="D3958">
        <f t="shared" ca="1" si="74"/>
        <v>54.071820316607386</v>
      </c>
    </row>
    <row r="3959" spans="4:4" x14ac:dyDescent="0.25">
      <c r="D3959">
        <f t="shared" ca="1" si="74"/>
        <v>46.049132757681114</v>
      </c>
    </row>
    <row r="3960" spans="4:4" x14ac:dyDescent="0.25">
      <c r="D3960">
        <f t="shared" ca="1" si="74"/>
        <v>49.603832309943996</v>
      </c>
    </row>
    <row r="3961" spans="4:4" x14ac:dyDescent="0.25">
      <c r="D3961">
        <f t="shared" ca="1" si="74"/>
        <v>46.51356431394349</v>
      </c>
    </row>
    <row r="3962" spans="4:4" x14ac:dyDescent="0.25">
      <c r="D3962">
        <f t="shared" ca="1" si="74"/>
        <v>44.999029444091207</v>
      </c>
    </row>
    <row r="3963" spans="4:4" x14ac:dyDescent="0.25">
      <c r="D3963">
        <f t="shared" ca="1" si="74"/>
        <v>54.492503294059055</v>
      </c>
    </row>
    <row r="3964" spans="4:4" x14ac:dyDescent="0.25">
      <c r="D3964">
        <f t="shared" ca="1" si="74"/>
        <v>54.480422754215887</v>
      </c>
    </row>
    <row r="3965" spans="4:4" x14ac:dyDescent="0.25">
      <c r="D3965">
        <f t="shared" ca="1" si="74"/>
        <v>56.472717103036246</v>
      </c>
    </row>
    <row r="3966" spans="4:4" x14ac:dyDescent="0.25">
      <c r="D3966">
        <f t="shared" ca="1" si="74"/>
        <v>50.65547479621209</v>
      </c>
    </row>
    <row r="3967" spans="4:4" x14ac:dyDescent="0.25">
      <c r="D3967">
        <f t="shared" ca="1" si="74"/>
        <v>47.760260953527279</v>
      </c>
    </row>
    <row r="3968" spans="4:4" x14ac:dyDescent="0.25">
      <c r="D3968">
        <f t="shared" ca="1" si="74"/>
        <v>46.102546970115043</v>
      </c>
    </row>
    <row r="3969" spans="4:4" x14ac:dyDescent="0.25">
      <c r="D3969">
        <f t="shared" ca="1" si="74"/>
        <v>49.460719960230399</v>
      </c>
    </row>
    <row r="3970" spans="4:4" x14ac:dyDescent="0.25">
      <c r="D3970">
        <f t="shared" ca="1" si="74"/>
        <v>47.074907104486698</v>
      </c>
    </row>
    <row r="3971" spans="4:4" x14ac:dyDescent="0.25">
      <c r="D3971">
        <f t="shared" ref="D3971:D4034" ca="1" si="75">_xlfn.T.INV(RAND(),25)*$G$3+$F$3</f>
        <v>39.884063563360243</v>
      </c>
    </row>
    <row r="3972" spans="4:4" x14ac:dyDescent="0.25">
      <c r="D3972">
        <f t="shared" ca="1" si="75"/>
        <v>55.180046949268728</v>
      </c>
    </row>
    <row r="3973" spans="4:4" x14ac:dyDescent="0.25">
      <c r="D3973">
        <f t="shared" ca="1" si="75"/>
        <v>52.932926028578748</v>
      </c>
    </row>
    <row r="3974" spans="4:4" x14ac:dyDescent="0.25">
      <c r="D3974">
        <f t="shared" ca="1" si="75"/>
        <v>50.979604787236468</v>
      </c>
    </row>
    <row r="3975" spans="4:4" x14ac:dyDescent="0.25">
      <c r="D3975">
        <f t="shared" ca="1" si="75"/>
        <v>52.807938999914803</v>
      </c>
    </row>
    <row r="3976" spans="4:4" x14ac:dyDescent="0.25">
      <c r="D3976">
        <f t="shared" ca="1" si="75"/>
        <v>49.428772220810238</v>
      </c>
    </row>
    <row r="3977" spans="4:4" x14ac:dyDescent="0.25">
      <c r="D3977">
        <f t="shared" ca="1" si="75"/>
        <v>59.939495898308081</v>
      </c>
    </row>
    <row r="3978" spans="4:4" x14ac:dyDescent="0.25">
      <c r="D3978">
        <f t="shared" ca="1" si="75"/>
        <v>46.721227145108578</v>
      </c>
    </row>
    <row r="3979" spans="4:4" x14ac:dyDescent="0.25">
      <c r="D3979">
        <f t="shared" ca="1" si="75"/>
        <v>46.254373993090397</v>
      </c>
    </row>
    <row r="3980" spans="4:4" x14ac:dyDescent="0.25">
      <c r="D3980">
        <f t="shared" ca="1" si="75"/>
        <v>53.808706447352726</v>
      </c>
    </row>
    <row r="3981" spans="4:4" x14ac:dyDescent="0.25">
      <c r="D3981">
        <f t="shared" ca="1" si="75"/>
        <v>56.160794387755409</v>
      </c>
    </row>
    <row r="3982" spans="4:4" x14ac:dyDescent="0.25">
      <c r="D3982">
        <f t="shared" ca="1" si="75"/>
        <v>44.719099036890015</v>
      </c>
    </row>
    <row r="3983" spans="4:4" x14ac:dyDescent="0.25">
      <c r="D3983">
        <f t="shared" ca="1" si="75"/>
        <v>57.510751588316829</v>
      </c>
    </row>
    <row r="3984" spans="4:4" x14ac:dyDescent="0.25">
      <c r="D3984">
        <f t="shared" ca="1" si="75"/>
        <v>52.612542293291696</v>
      </c>
    </row>
    <row r="3985" spans="4:4" x14ac:dyDescent="0.25">
      <c r="D3985">
        <f t="shared" ca="1" si="75"/>
        <v>37.647808426972894</v>
      </c>
    </row>
    <row r="3986" spans="4:4" x14ac:dyDescent="0.25">
      <c r="D3986">
        <f t="shared" ca="1" si="75"/>
        <v>46.77934673594708</v>
      </c>
    </row>
    <row r="3987" spans="4:4" x14ac:dyDescent="0.25">
      <c r="D3987">
        <f t="shared" ca="1" si="75"/>
        <v>52.793184623324123</v>
      </c>
    </row>
    <row r="3988" spans="4:4" x14ac:dyDescent="0.25">
      <c r="D3988">
        <f t="shared" ca="1" si="75"/>
        <v>49.301624969871135</v>
      </c>
    </row>
    <row r="3989" spans="4:4" x14ac:dyDescent="0.25">
      <c r="D3989">
        <f t="shared" ca="1" si="75"/>
        <v>53.235576394924692</v>
      </c>
    </row>
    <row r="3990" spans="4:4" x14ac:dyDescent="0.25">
      <c r="D3990">
        <f t="shared" ca="1" si="75"/>
        <v>54.327509194138152</v>
      </c>
    </row>
    <row r="3991" spans="4:4" x14ac:dyDescent="0.25">
      <c r="D3991">
        <f t="shared" ca="1" si="75"/>
        <v>49.24495993475405</v>
      </c>
    </row>
    <row r="3992" spans="4:4" x14ac:dyDescent="0.25">
      <c r="D3992">
        <f t="shared" ca="1" si="75"/>
        <v>53.284656466960449</v>
      </c>
    </row>
    <row r="3993" spans="4:4" x14ac:dyDescent="0.25">
      <c r="D3993">
        <f t="shared" ca="1" si="75"/>
        <v>47.436856175671949</v>
      </c>
    </row>
    <row r="3994" spans="4:4" x14ac:dyDescent="0.25">
      <c r="D3994">
        <f t="shared" ca="1" si="75"/>
        <v>46.009597129548325</v>
      </c>
    </row>
    <row r="3995" spans="4:4" x14ac:dyDescent="0.25">
      <c r="D3995">
        <f t="shared" ca="1" si="75"/>
        <v>56.642319878442237</v>
      </c>
    </row>
    <row r="3996" spans="4:4" x14ac:dyDescent="0.25">
      <c r="D3996">
        <f t="shared" ca="1" si="75"/>
        <v>46.982489510044459</v>
      </c>
    </row>
    <row r="3997" spans="4:4" x14ac:dyDescent="0.25">
      <c r="D3997">
        <f t="shared" ca="1" si="75"/>
        <v>59.815609730439903</v>
      </c>
    </row>
    <row r="3998" spans="4:4" x14ac:dyDescent="0.25">
      <c r="D3998">
        <f t="shared" ca="1" si="75"/>
        <v>48.61282025123549</v>
      </c>
    </row>
    <row r="3999" spans="4:4" x14ac:dyDescent="0.25">
      <c r="D3999">
        <f t="shared" ca="1" si="75"/>
        <v>50.720215028201132</v>
      </c>
    </row>
    <row r="4000" spans="4:4" x14ac:dyDescent="0.25">
      <c r="D4000">
        <f t="shared" ca="1" si="75"/>
        <v>45.424195294267832</v>
      </c>
    </row>
    <row r="4001" spans="4:4" x14ac:dyDescent="0.25">
      <c r="D4001">
        <f t="shared" ca="1" si="75"/>
        <v>55.146568546354231</v>
      </c>
    </row>
    <row r="4002" spans="4:4" x14ac:dyDescent="0.25">
      <c r="D4002">
        <f t="shared" ca="1" si="75"/>
        <v>52.666407640480998</v>
      </c>
    </row>
    <row r="4003" spans="4:4" x14ac:dyDescent="0.25">
      <c r="D4003">
        <f t="shared" ca="1" si="75"/>
        <v>36.890118111015674</v>
      </c>
    </row>
    <row r="4004" spans="4:4" x14ac:dyDescent="0.25">
      <c r="D4004">
        <f t="shared" ca="1" si="75"/>
        <v>48.246397488171439</v>
      </c>
    </row>
    <row r="4005" spans="4:4" x14ac:dyDescent="0.25">
      <c r="D4005">
        <f t="shared" ca="1" si="75"/>
        <v>48.321635448346058</v>
      </c>
    </row>
    <row r="4006" spans="4:4" x14ac:dyDescent="0.25">
      <c r="D4006">
        <f t="shared" ca="1" si="75"/>
        <v>42.797213486041869</v>
      </c>
    </row>
    <row r="4007" spans="4:4" x14ac:dyDescent="0.25">
      <c r="D4007">
        <f t="shared" ca="1" si="75"/>
        <v>49.896287739906576</v>
      </c>
    </row>
    <row r="4008" spans="4:4" x14ac:dyDescent="0.25">
      <c r="D4008">
        <f t="shared" ca="1" si="75"/>
        <v>54.062381663096261</v>
      </c>
    </row>
    <row r="4009" spans="4:4" x14ac:dyDescent="0.25">
      <c r="D4009">
        <f t="shared" ca="1" si="75"/>
        <v>47.250551191394123</v>
      </c>
    </row>
    <row r="4010" spans="4:4" x14ac:dyDescent="0.25">
      <c r="D4010">
        <f t="shared" ca="1" si="75"/>
        <v>50.18394899154881</v>
      </c>
    </row>
    <row r="4011" spans="4:4" x14ac:dyDescent="0.25">
      <c r="D4011">
        <f t="shared" ca="1" si="75"/>
        <v>61.141606344382751</v>
      </c>
    </row>
    <row r="4012" spans="4:4" x14ac:dyDescent="0.25">
      <c r="D4012">
        <f t="shared" ca="1" si="75"/>
        <v>53.291866102226564</v>
      </c>
    </row>
    <row r="4013" spans="4:4" x14ac:dyDescent="0.25">
      <c r="D4013">
        <f t="shared" ca="1" si="75"/>
        <v>45.429109779216958</v>
      </c>
    </row>
    <row r="4014" spans="4:4" x14ac:dyDescent="0.25">
      <c r="D4014">
        <f t="shared" ca="1" si="75"/>
        <v>49.488484249794553</v>
      </c>
    </row>
    <row r="4015" spans="4:4" x14ac:dyDescent="0.25">
      <c r="D4015">
        <f t="shared" ca="1" si="75"/>
        <v>46.72012955376416</v>
      </c>
    </row>
    <row r="4016" spans="4:4" x14ac:dyDescent="0.25">
      <c r="D4016">
        <f t="shared" ca="1" si="75"/>
        <v>44.982906057891526</v>
      </c>
    </row>
    <row r="4017" spans="4:4" x14ac:dyDescent="0.25">
      <c r="D4017">
        <f t="shared" ca="1" si="75"/>
        <v>43.62048939757004</v>
      </c>
    </row>
    <row r="4018" spans="4:4" x14ac:dyDescent="0.25">
      <c r="D4018">
        <f t="shared" ca="1" si="75"/>
        <v>49.5862361955081</v>
      </c>
    </row>
    <row r="4019" spans="4:4" x14ac:dyDescent="0.25">
      <c r="D4019">
        <f t="shared" ca="1" si="75"/>
        <v>54.988205644437286</v>
      </c>
    </row>
    <row r="4020" spans="4:4" x14ac:dyDescent="0.25">
      <c r="D4020">
        <f t="shared" ca="1" si="75"/>
        <v>46.874501471275437</v>
      </c>
    </row>
    <row r="4021" spans="4:4" x14ac:dyDescent="0.25">
      <c r="D4021">
        <f t="shared" ca="1" si="75"/>
        <v>48.440517988841734</v>
      </c>
    </row>
    <row r="4022" spans="4:4" x14ac:dyDescent="0.25">
      <c r="D4022">
        <f t="shared" ca="1" si="75"/>
        <v>52.773396259930145</v>
      </c>
    </row>
    <row r="4023" spans="4:4" x14ac:dyDescent="0.25">
      <c r="D4023">
        <f t="shared" ca="1" si="75"/>
        <v>51.228680383606232</v>
      </c>
    </row>
    <row r="4024" spans="4:4" x14ac:dyDescent="0.25">
      <c r="D4024">
        <f t="shared" ca="1" si="75"/>
        <v>50.383010749859658</v>
      </c>
    </row>
    <row r="4025" spans="4:4" x14ac:dyDescent="0.25">
      <c r="D4025">
        <f t="shared" ca="1" si="75"/>
        <v>52.714614707615674</v>
      </c>
    </row>
    <row r="4026" spans="4:4" x14ac:dyDescent="0.25">
      <c r="D4026">
        <f t="shared" ca="1" si="75"/>
        <v>48.655830069860862</v>
      </c>
    </row>
    <row r="4027" spans="4:4" x14ac:dyDescent="0.25">
      <c r="D4027">
        <f t="shared" ca="1" si="75"/>
        <v>51.430294442065453</v>
      </c>
    </row>
    <row r="4028" spans="4:4" x14ac:dyDescent="0.25">
      <c r="D4028">
        <f t="shared" ca="1" si="75"/>
        <v>51.772032403487998</v>
      </c>
    </row>
    <row r="4029" spans="4:4" x14ac:dyDescent="0.25">
      <c r="D4029">
        <f t="shared" ca="1" si="75"/>
        <v>59.266248989520236</v>
      </c>
    </row>
    <row r="4030" spans="4:4" x14ac:dyDescent="0.25">
      <c r="D4030">
        <f t="shared" ca="1" si="75"/>
        <v>60.110895809330749</v>
      </c>
    </row>
    <row r="4031" spans="4:4" x14ac:dyDescent="0.25">
      <c r="D4031">
        <f t="shared" ca="1" si="75"/>
        <v>45.5325173178257</v>
      </c>
    </row>
    <row r="4032" spans="4:4" x14ac:dyDescent="0.25">
      <c r="D4032">
        <f t="shared" ca="1" si="75"/>
        <v>56.872228300573283</v>
      </c>
    </row>
    <row r="4033" spans="4:4" x14ac:dyDescent="0.25">
      <c r="D4033">
        <f t="shared" ca="1" si="75"/>
        <v>46.387987199463787</v>
      </c>
    </row>
    <row r="4034" spans="4:4" x14ac:dyDescent="0.25">
      <c r="D4034">
        <f t="shared" ca="1" si="75"/>
        <v>50.832986444480255</v>
      </c>
    </row>
    <row r="4035" spans="4:4" x14ac:dyDescent="0.25">
      <c r="D4035">
        <f t="shared" ref="D4035:D4098" ca="1" si="76">_xlfn.T.INV(RAND(),25)*$G$3+$F$3</f>
        <v>45.017980430710764</v>
      </c>
    </row>
    <row r="4036" spans="4:4" x14ac:dyDescent="0.25">
      <c r="D4036">
        <f t="shared" ca="1" si="76"/>
        <v>46.274853932053439</v>
      </c>
    </row>
    <row r="4037" spans="4:4" x14ac:dyDescent="0.25">
      <c r="D4037">
        <f t="shared" ca="1" si="76"/>
        <v>51.344898945625488</v>
      </c>
    </row>
    <row r="4038" spans="4:4" x14ac:dyDescent="0.25">
      <c r="D4038">
        <f t="shared" ca="1" si="76"/>
        <v>40.032522518948653</v>
      </c>
    </row>
    <row r="4039" spans="4:4" x14ac:dyDescent="0.25">
      <c r="D4039">
        <f t="shared" ca="1" si="76"/>
        <v>44.759924076096276</v>
      </c>
    </row>
    <row r="4040" spans="4:4" x14ac:dyDescent="0.25">
      <c r="D4040">
        <f t="shared" ca="1" si="76"/>
        <v>56.264104935923456</v>
      </c>
    </row>
    <row r="4041" spans="4:4" x14ac:dyDescent="0.25">
      <c r="D4041">
        <f t="shared" ca="1" si="76"/>
        <v>59.132121734119792</v>
      </c>
    </row>
    <row r="4042" spans="4:4" x14ac:dyDescent="0.25">
      <c r="D4042">
        <f t="shared" ca="1" si="76"/>
        <v>46.014558875370774</v>
      </c>
    </row>
    <row r="4043" spans="4:4" x14ac:dyDescent="0.25">
      <c r="D4043">
        <f t="shared" ca="1" si="76"/>
        <v>38.065139314976328</v>
      </c>
    </row>
    <row r="4044" spans="4:4" x14ac:dyDescent="0.25">
      <c r="D4044">
        <f t="shared" ca="1" si="76"/>
        <v>46.923491802673389</v>
      </c>
    </row>
    <row r="4045" spans="4:4" x14ac:dyDescent="0.25">
      <c r="D4045">
        <f t="shared" ca="1" si="76"/>
        <v>52.90794655357081</v>
      </c>
    </row>
    <row r="4046" spans="4:4" x14ac:dyDescent="0.25">
      <c r="D4046">
        <f t="shared" ca="1" si="76"/>
        <v>50.249105403225698</v>
      </c>
    </row>
    <row r="4047" spans="4:4" x14ac:dyDescent="0.25">
      <c r="D4047">
        <f t="shared" ca="1" si="76"/>
        <v>60.71029503934875</v>
      </c>
    </row>
    <row r="4048" spans="4:4" x14ac:dyDescent="0.25">
      <c r="D4048">
        <f t="shared" ca="1" si="76"/>
        <v>57.026588051770183</v>
      </c>
    </row>
    <row r="4049" spans="4:4" x14ac:dyDescent="0.25">
      <c r="D4049">
        <f t="shared" ca="1" si="76"/>
        <v>46.960352556218844</v>
      </c>
    </row>
    <row r="4050" spans="4:4" x14ac:dyDescent="0.25">
      <c r="D4050">
        <f t="shared" ca="1" si="76"/>
        <v>38.576409995901955</v>
      </c>
    </row>
    <row r="4051" spans="4:4" x14ac:dyDescent="0.25">
      <c r="D4051">
        <f t="shared" ca="1" si="76"/>
        <v>53.589623440262599</v>
      </c>
    </row>
    <row r="4052" spans="4:4" x14ac:dyDescent="0.25">
      <c r="D4052">
        <f t="shared" ca="1" si="76"/>
        <v>53.409981178516482</v>
      </c>
    </row>
    <row r="4053" spans="4:4" x14ac:dyDescent="0.25">
      <c r="D4053">
        <f t="shared" ca="1" si="76"/>
        <v>49.657280186316171</v>
      </c>
    </row>
    <row r="4054" spans="4:4" x14ac:dyDescent="0.25">
      <c r="D4054">
        <f t="shared" ca="1" si="76"/>
        <v>53.653835149326241</v>
      </c>
    </row>
    <row r="4055" spans="4:4" x14ac:dyDescent="0.25">
      <c r="D4055">
        <f t="shared" ca="1" si="76"/>
        <v>56.419690545084677</v>
      </c>
    </row>
    <row r="4056" spans="4:4" x14ac:dyDescent="0.25">
      <c r="D4056">
        <f t="shared" ca="1" si="76"/>
        <v>50.547493032625169</v>
      </c>
    </row>
    <row r="4057" spans="4:4" x14ac:dyDescent="0.25">
      <c r="D4057">
        <f t="shared" ca="1" si="76"/>
        <v>50.227571756837364</v>
      </c>
    </row>
    <row r="4058" spans="4:4" x14ac:dyDescent="0.25">
      <c r="D4058">
        <f t="shared" ca="1" si="76"/>
        <v>50.060488571065548</v>
      </c>
    </row>
    <row r="4059" spans="4:4" x14ac:dyDescent="0.25">
      <c r="D4059">
        <f t="shared" ca="1" si="76"/>
        <v>44.482151683684357</v>
      </c>
    </row>
    <row r="4060" spans="4:4" x14ac:dyDescent="0.25">
      <c r="D4060">
        <f t="shared" ca="1" si="76"/>
        <v>50.620958981859928</v>
      </c>
    </row>
    <row r="4061" spans="4:4" x14ac:dyDescent="0.25">
      <c r="D4061">
        <f t="shared" ca="1" si="76"/>
        <v>56.89234329322904</v>
      </c>
    </row>
    <row r="4062" spans="4:4" x14ac:dyDescent="0.25">
      <c r="D4062">
        <f t="shared" ca="1" si="76"/>
        <v>59.788434160335854</v>
      </c>
    </row>
    <row r="4063" spans="4:4" x14ac:dyDescent="0.25">
      <c r="D4063">
        <f t="shared" ca="1" si="76"/>
        <v>51.051321468833827</v>
      </c>
    </row>
    <row r="4064" spans="4:4" x14ac:dyDescent="0.25">
      <c r="D4064">
        <f t="shared" ca="1" si="76"/>
        <v>37.184740842515851</v>
      </c>
    </row>
    <row r="4065" spans="4:4" x14ac:dyDescent="0.25">
      <c r="D4065">
        <f t="shared" ca="1" si="76"/>
        <v>49.958810929601135</v>
      </c>
    </row>
    <row r="4066" spans="4:4" x14ac:dyDescent="0.25">
      <c r="D4066">
        <f t="shared" ca="1" si="76"/>
        <v>61.362214497738151</v>
      </c>
    </row>
    <row r="4067" spans="4:4" x14ac:dyDescent="0.25">
      <c r="D4067">
        <f t="shared" ca="1" si="76"/>
        <v>47.690301301242144</v>
      </c>
    </row>
    <row r="4068" spans="4:4" x14ac:dyDescent="0.25">
      <c r="D4068">
        <f t="shared" ca="1" si="76"/>
        <v>54.837856520491329</v>
      </c>
    </row>
    <row r="4069" spans="4:4" x14ac:dyDescent="0.25">
      <c r="D4069">
        <f t="shared" ca="1" si="76"/>
        <v>42.674477197365235</v>
      </c>
    </row>
    <row r="4070" spans="4:4" x14ac:dyDescent="0.25">
      <c r="D4070">
        <f t="shared" ca="1" si="76"/>
        <v>53.684605858547329</v>
      </c>
    </row>
    <row r="4071" spans="4:4" x14ac:dyDescent="0.25">
      <c r="D4071">
        <f t="shared" ca="1" si="76"/>
        <v>61.535330835703519</v>
      </c>
    </row>
    <row r="4072" spans="4:4" x14ac:dyDescent="0.25">
      <c r="D4072">
        <f t="shared" ca="1" si="76"/>
        <v>51.515296133082586</v>
      </c>
    </row>
    <row r="4073" spans="4:4" x14ac:dyDescent="0.25">
      <c r="D4073">
        <f t="shared" ca="1" si="76"/>
        <v>60.663048365060639</v>
      </c>
    </row>
    <row r="4074" spans="4:4" x14ac:dyDescent="0.25">
      <c r="D4074">
        <f t="shared" ca="1" si="76"/>
        <v>51.499483729931157</v>
      </c>
    </row>
    <row r="4075" spans="4:4" x14ac:dyDescent="0.25">
      <c r="D4075">
        <f t="shared" ca="1" si="76"/>
        <v>54.008004686723218</v>
      </c>
    </row>
    <row r="4076" spans="4:4" x14ac:dyDescent="0.25">
      <c r="D4076">
        <f t="shared" ca="1" si="76"/>
        <v>45.216702953867042</v>
      </c>
    </row>
    <row r="4077" spans="4:4" x14ac:dyDescent="0.25">
      <c r="D4077">
        <f t="shared" ca="1" si="76"/>
        <v>43.480576384451339</v>
      </c>
    </row>
    <row r="4078" spans="4:4" x14ac:dyDescent="0.25">
      <c r="D4078">
        <f t="shared" ca="1" si="76"/>
        <v>49.344216649951932</v>
      </c>
    </row>
    <row r="4079" spans="4:4" x14ac:dyDescent="0.25">
      <c r="D4079">
        <f t="shared" ca="1" si="76"/>
        <v>39.07395380716499</v>
      </c>
    </row>
    <row r="4080" spans="4:4" x14ac:dyDescent="0.25">
      <c r="D4080">
        <f t="shared" ca="1" si="76"/>
        <v>50.208401333386782</v>
      </c>
    </row>
    <row r="4081" spans="4:4" x14ac:dyDescent="0.25">
      <c r="D4081">
        <f t="shared" ca="1" si="76"/>
        <v>51.169406123254248</v>
      </c>
    </row>
    <row r="4082" spans="4:4" x14ac:dyDescent="0.25">
      <c r="D4082">
        <f t="shared" ca="1" si="76"/>
        <v>52.01621757617275</v>
      </c>
    </row>
    <row r="4083" spans="4:4" x14ac:dyDescent="0.25">
      <c r="D4083">
        <f t="shared" ca="1" si="76"/>
        <v>52.684421723310052</v>
      </c>
    </row>
    <row r="4084" spans="4:4" x14ac:dyDescent="0.25">
      <c r="D4084">
        <f t="shared" ca="1" si="76"/>
        <v>43.622512595138694</v>
      </c>
    </row>
    <row r="4085" spans="4:4" x14ac:dyDescent="0.25">
      <c r="D4085">
        <f t="shared" ca="1" si="76"/>
        <v>46.102781175978052</v>
      </c>
    </row>
    <row r="4086" spans="4:4" x14ac:dyDescent="0.25">
      <c r="D4086">
        <f t="shared" ca="1" si="76"/>
        <v>46.070249837263987</v>
      </c>
    </row>
    <row r="4087" spans="4:4" x14ac:dyDescent="0.25">
      <c r="D4087">
        <f t="shared" ca="1" si="76"/>
        <v>45.475379473310653</v>
      </c>
    </row>
    <row r="4088" spans="4:4" x14ac:dyDescent="0.25">
      <c r="D4088">
        <f t="shared" ca="1" si="76"/>
        <v>56.760843171068394</v>
      </c>
    </row>
    <row r="4089" spans="4:4" x14ac:dyDescent="0.25">
      <c r="D4089">
        <f t="shared" ca="1" si="76"/>
        <v>54.10383692691866</v>
      </c>
    </row>
    <row r="4090" spans="4:4" x14ac:dyDescent="0.25">
      <c r="D4090">
        <f t="shared" ca="1" si="76"/>
        <v>48.680661861039894</v>
      </c>
    </row>
    <row r="4091" spans="4:4" x14ac:dyDescent="0.25">
      <c r="D4091">
        <f t="shared" ca="1" si="76"/>
        <v>46.913440861949837</v>
      </c>
    </row>
    <row r="4092" spans="4:4" x14ac:dyDescent="0.25">
      <c r="D4092">
        <f t="shared" ca="1" si="76"/>
        <v>56.729666441960703</v>
      </c>
    </row>
    <row r="4093" spans="4:4" x14ac:dyDescent="0.25">
      <c r="D4093">
        <f t="shared" ca="1" si="76"/>
        <v>54.338625597705587</v>
      </c>
    </row>
    <row r="4094" spans="4:4" x14ac:dyDescent="0.25">
      <c r="D4094">
        <f t="shared" ca="1" si="76"/>
        <v>42.3840179578945</v>
      </c>
    </row>
    <row r="4095" spans="4:4" x14ac:dyDescent="0.25">
      <c r="D4095">
        <f t="shared" ca="1" si="76"/>
        <v>44.746334154676639</v>
      </c>
    </row>
    <row r="4096" spans="4:4" x14ac:dyDescent="0.25">
      <c r="D4096">
        <f t="shared" ca="1" si="76"/>
        <v>39.098870699021738</v>
      </c>
    </row>
    <row r="4097" spans="4:4" x14ac:dyDescent="0.25">
      <c r="D4097">
        <f t="shared" ca="1" si="76"/>
        <v>38.49995269637494</v>
      </c>
    </row>
    <row r="4098" spans="4:4" x14ac:dyDescent="0.25">
      <c r="D4098">
        <f t="shared" ca="1" si="76"/>
        <v>51.398359480502862</v>
      </c>
    </row>
    <row r="4099" spans="4:4" x14ac:dyDescent="0.25">
      <c r="D4099">
        <f t="shared" ref="D4099:D4162" ca="1" si="77">_xlfn.T.INV(RAND(),25)*$G$3+$F$3</f>
        <v>49.795366731302465</v>
      </c>
    </row>
    <row r="4100" spans="4:4" x14ac:dyDescent="0.25">
      <c r="D4100">
        <f t="shared" ca="1" si="77"/>
        <v>44.043950291684439</v>
      </c>
    </row>
    <row r="4101" spans="4:4" x14ac:dyDescent="0.25">
      <c r="D4101">
        <f t="shared" ca="1" si="77"/>
        <v>47.614206577518111</v>
      </c>
    </row>
    <row r="4102" spans="4:4" x14ac:dyDescent="0.25">
      <c r="D4102">
        <f t="shared" ca="1" si="77"/>
        <v>47.551467438581618</v>
      </c>
    </row>
    <row r="4103" spans="4:4" x14ac:dyDescent="0.25">
      <c r="D4103">
        <f t="shared" ca="1" si="77"/>
        <v>56.987394346651698</v>
      </c>
    </row>
    <row r="4104" spans="4:4" x14ac:dyDescent="0.25">
      <c r="D4104">
        <f t="shared" ca="1" si="77"/>
        <v>47.40894929301075</v>
      </c>
    </row>
    <row r="4105" spans="4:4" x14ac:dyDescent="0.25">
      <c r="D4105">
        <f t="shared" ca="1" si="77"/>
        <v>42.304625260602023</v>
      </c>
    </row>
    <row r="4106" spans="4:4" x14ac:dyDescent="0.25">
      <c r="D4106">
        <f t="shared" ca="1" si="77"/>
        <v>40.652513852805868</v>
      </c>
    </row>
    <row r="4107" spans="4:4" x14ac:dyDescent="0.25">
      <c r="D4107">
        <f t="shared" ca="1" si="77"/>
        <v>43.481980694427385</v>
      </c>
    </row>
    <row r="4108" spans="4:4" x14ac:dyDescent="0.25">
      <c r="D4108">
        <f t="shared" ca="1" si="77"/>
        <v>43.510232645679693</v>
      </c>
    </row>
    <row r="4109" spans="4:4" x14ac:dyDescent="0.25">
      <c r="D4109">
        <f t="shared" ca="1" si="77"/>
        <v>58.123594428433591</v>
      </c>
    </row>
    <row r="4110" spans="4:4" x14ac:dyDescent="0.25">
      <c r="D4110">
        <f t="shared" ca="1" si="77"/>
        <v>49.133333464883052</v>
      </c>
    </row>
    <row r="4111" spans="4:4" x14ac:dyDescent="0.25">
      <c r="D4111">
        <f t="shared" ca="1" si="77"/>
        <v>38.300248590767119</v>
      </c>
    </row>
    <row r="4112" spans="4:4" x14ac:dyDescent="0.25">
      <c r="D4112">
        <f t="shared" ca="1" si="77"/>
        <v>47.974981267767554</v>
      </c>
    </row>
    <row r="4113" spans="4:4" x14ac:dyDescent="0.25">
      <c r="D4113">
        <f t="shared" ca="1" si="77"/>
        <v>46.374945765649855</v>
      </c>
    </row>
    <row r="4114" spans="4:4" x14ac:dyDescent="0.25">
      <c r="D4114">
        <f t="shared" ca="1" si="77"/>
        <v>52.486193605021988</v>
      </c>
    </row>
    <row r="4115" spans="4:4" x14ac:dyDescent="0.25">
      <c r="D4115">
        <f t="shared" ca="1" si="77"/>
        <v>48.152306973127544</v>
      </c>
    </row>
    <row r="4116" spans="4:4" x14ac:dyDescent="0.25">
      <c r="D4116">
        <f t="shared" ca="1" si="77"/>
        <v>49.033848277444008</v>
      </c>
    </row>
    <row r="4117" spans="4:4" x14ac:dyDescent="0.25">
      <c r="D4117">
        <f t="shared" ca="1" si="77"/>
        <v>49.770349089494964</v>
      </c>
    </row>
    <row r="4118" spans="4:4" x14ac:dyDescent="0.25">
      <c r="D4118">
        <f t="shared" ca="1" si="77"/>
        <v>51.527912560882854</v>
      </c>
    </row>
    <row r="4119" spans="4:4" x14ac:dyDescent="0.25">
      <c r="D4119">
        <f t="shared" ca="1" si="77"/>
        <v>53.599659783652797</v>
      </c>
    </row>
    <row r="4120" spans="4:4" x14ac:dyDescent="0.25">
      <c r="D4120">
        <f t="shared" ca="1" si="77"/>
        <v>49.186868590901021</v>
      </c>
    </row>
    <row r="4121" spans="4:4" x14ac:dyDescent="0.25">
      <c r="D4121">
        <f t="shared" ca="1" si="77"/>
        <v>53.525104621581164</v>
      </c>
    </row>
    <row r="4122" spans="4:4" x14ac:dyDescent="0.25">
      <c r="D4122">
        <f t="shared" ca="1" si="77"/>
        <v>57.884776259672705</v>
      </c>
    </row>
    <row r="4123" spans="4:4" x14ac:dyDescent="0.25">
      <c r="D4123">
        <f t="shared" ca="1" si="77"/>
        <v>56.675577067036485</v>
      </c>
    </row>
    <row r="4124" spans="4:4" x14ac:dyDescent="0.25">
      <c r="D4124">
        <f t="shared" ca="1" si="77"/>
        <v>54.107308590941997</v>
      </c>
    </row>
    <row r="4125" spans="4:4" x14ac:dyDescent="0.25">
      <c r="D4125">
        <f t="shared" ca="1" si="77"/>
        <v>46.522063463846656</v>
      </c>
    </row>
    <row r="4126" spans="4:4" x14ac:dyDescent="0.25">
      <c r="D4126">
        <f t="shared" ca="1" si="77"/>
        <v>45.136569024102045</v>
      </c>
    </row>
    <row r="4127" spans="4:4" x14ac:dyDescent="0.25">
      <c r="D4127">
        <f t="shared" ca="1" si="77"/>
        <v>48.557229034237054</v>
      </c>
    </row>
    <row r="4128" spans="4:4" x14ac:dyDescent="0.25">
      <c r="D4128">
        <f t="shared" ca="1" si="77"/>
        <v>54.020246729364956</v>
      </c>
    </row>
    <row r="4129" spans="4:4" x14ac:dyDescent="0.25">
      <c r="D4129">
        <f t="shared" ca="1" si="77"/>
        <v>50.415346440011099</v>
      </c>
    </row>
    <row r="4130" spans="4:4" x14ac:dyDescent="0.25">
      <c r="D4130">
        <f t="shared" ca="1" si="77"/>
        <v>56.76142123275455</v>
      </c>
    </row>
    <row r="4131" spans="4:4" x14ac:dyDescent="0.25">
      <c r="D4131">
        <f t="shared" ca="1" si="77"/>
        <v>45.169732685078323</v>
      </c>
    </row>
    <row r="4132" spans="4:4" x14ac:dyDescent="0.25">
      <c r="D4132">
        <f t="shared" ca="1" si="77"/>
        <v>53.807535158551062</v>
      </c>
    </row>
    <row r="4133" spans="4:4" x14ac:dyDescent="0.25">
      <c r="D4133">
        <f t="shared" ca="1" si="77"/>
        <v>42.435168445579272</v>
      </c>
    </row>
    <row r="4134" spans="4:4" x14ac:dyDescent="0.25">
      <c r="D4134">
        <f t="shared" ca="1" si="77"/>
        <v>44.923174186556921</v>
      </c>
    </row>
    <row r="4135" spans="4:4" x14ac:dyDescent="0.25">
      <c r="D4135">
        <f t="shared" ca="1" si="77"/>
        <v>46.040548194972288</v>
      </c>
    </row>
    <row r="4136" spans="4:4" x14ac:dyDescent="0.25">
      <c r="D4136">
        <f t="shared" ca="1" si="77"/>
        <v>56.34277815138482</v>
      </c>
    </row>
    <row r="4137" spans="4:4" x14ac:dyDescent="0.25">
      <c r="D4137">
        <f t="shared" ca="1" si="77"/>
        <v>47.433478965209048</v>
      </c>
    </row>
    <row r="4138" spans="4:4" x14ac:dyDescent="0.25">
      <c r="D4138">
        <f t="shared" ca="1" si="77"/>
        <v>51.555814251861086</v>
      </c>
    </row>
    <row r="4139" spans="4:4" x14ac:dyDescent="0.25">
      <c r="D4139">
        <f t="shared" ca="1" si="77"/>
        <v>40.740215603152322</v>
      </c>
    </row>
    <row r="4140" spans="4:4" x14ac:dyDescent="0.25">
      <c r="D4140">
        <f t="shared" ca="1" si="77"/>
        <v>52.021077340240076</v>
      </c>
    </row>
    <row r="4141" spans="4:4" x14ac:dyDescent="0.25">
      <c r="D4141">
        <f t="shared" ca="1" si="77"/>
        <v>38.893054003068762</v>
      </c>
    </row>
    <row r="4142" spans="4:4" x14ac:dyDescent="0.25">
      <c r="D4142">
        <f t="shared" ca="1" si="77"/>
        <v>40.383737262948728</v>
      </c>
    </row>
    <row r="4143" spans="4:4" x14ac:dyDescent="0.25">
      <c r="D4143">
        <f t="shared" ca="1" si="77"/>
        <v>57.283952144054503</v>
      </c>
    </row>
    <row r="4144" spans="4:4" x14ac:dyDescent="0.25">
      <c r="D4144">
        <f t="shared" ca="1" si="77"/>
        <v>48.764820942836053</v>
      </c>
    </row>
    <row r="4145" spans="4:4" x14ac:dyDescent="0.25">
      <c r="D4145">
        <f t="shared" ca="1" si="77"/>
        <v>42.633731894592856</v>
      </c>
    </row>
    <row r="4146" spans="4:4" x14ac:dyDescent="0.25">
      <c r="D4146">
        <f t="shared" ca="1" si="77"/>
        <v>46.774256276518003</v>
      </c>
    </row>
    <row r="4147" spans="4:4" x14ac:dyDescent="0.25">
      <c r="D4147">
        <f t="shared" ca="1" si="77"/>
        <v>56.578036861408947</v>
      </c>
    </row>
    <row r="4148" spans="4:4" x14ac:dyDescent="0.25">
      <c r="D4148">
        <f t="shared" ca="1" si="77"/>
        <v>52.22788132219894</v>
      </c>
    </row>
    <row r="4149" spans="4:4" x14ac:dyDescent="0.25">
      <c r="D4149">
        <f t="shared" ca="1" si="77"/>
        <v>44.765650675559975</v>
      </c>
    </row>
    <row r="4150" spans="4:4" x14ac:dyDescent="0.25">
      <c r="D4150">
        <f t="shared" ca="1" si="77"/>
        <v>52.348445544180066</v>
      </c>
    </row>
    <row r="4151" spans="4:4" x14ac:dyDescent="0.25">
      <c r="D4151">
        <f t="shared" ca="1" si="77"/>
        <v>53.069191412169431</v>
      </c>
    </row>
    <row r="4152" spans="4:4" x14ac:dyDescent="0.25">
      <c r="D4152">
        <f t="shared" ca="1" si="77"/>
        <v>55.457476629116833</v>
      </c>
    </row>
    <row r="4153" spans="4:4" x14ac:dyDescent="0.25">
      <c r="D4153">
        <f t="shared" ca="1" si="77"/>
        <v>58.636803699936557</v>
      </c>
    </row>
    <row r="4154" spans="4:4" x14ac:dyDescent="0.25">
      <c r="D4154">
        <f t="shared" ca="1" si="77"/>
        <v>54.009067142016619</v>
      </c>
    </row>
    <row r="4155" spans="4:4" x14ac:dyDescent="0.25">
      <c r="D4155">
        <f t="shared" ca="1" si="77"/>
        <v>51.308630773542966</v>
      </c>
    </row>
    <row r="4156" spans="4:4" x14ac:dyDescent="0.25">
      <c r="D4156">
        <f t="shared" ca="1" si="77"/>
        <v>45.904175303740949</v>
      </c>
    </row>
    <row r="4157" spans="4:4" x14ac:dyDescent="0.25">
      <c r="D4157">
        <f t="shared" ca="1" si="77"/>
        <v>49.185277350766405</v>
      </c>
    </row>
    <row r="4158" spans="4:4" x14ac:dyDescent="0.25">
      <c r="D4158">
        <f t="shared" ca="1" si="77"/>
        <v>50.59923344192228</v>
      </c>
    </row>
    <row r="4159" spans="4:4" x14ac:dyDescent="0.25">
      <c r="D4159">
        <f t="shared" ca="1" si="77"/>
        <v>55.509005153371355</v>
      </c>
    </row>
    <row r="4160" spans="4:4" x14ac:dyDescent="0.25">
      <c r="D4160">
        <f t="shared" ca="1" si="77"/>
        <v>50.629118929668628</v>
      </c>
    </row>
    <row r="4161" spans="4:4" x14ac:dyDescent="0.25">
      <c r="D4161">
        <f t="shared" ca="1" si="77"/>
        <v>43.413266787736418</v>
      </c>
    </row>
    <row r="4162" spans="4:4" x14ac:dyDescent="0.25">
      <c r="D4162">
        <f t="shared" ca="1" si="77"/>
        <v>50.399343616226048</v>
      </c>
    </row>
    <row r="4163" spans="4:4" x14ac:dyDescent="0.25">
      <c r="D4163">
        <f t="shared" ref="D4163:D4226" ca="1" si="78">_xlfn.T.INV(RAND(),25)*$G$3+$F$3</f>
        <v>52.418201340200717</v>
      </c>
    </row>
    <row r="4164" spans="4:4" x14ac:dyDescent="0.25">
      <c r="D4164">
        <f t="shared" ca="1" si="78"/>
        <v>57.730346637298858</v>
      </c>
    </row>
    <row r="4165" spans="4:4" x14ac:dyDescent="0.25">
      <c r="D4165">
        <f t="shared" ca="1" si="78"/>
        <v>47.047561710657931</v>
      </c>
    </row>
    <row r="4166" spans="4:4" x14ac:dyDescent="0.25">
      <c r="D4166">
        <f t="shared" ca="1" si="78"/>
        <v>51.91737008735155</v>
      </c>
    </row>
    <row r="4167" spans="4:4" x14ac:dyDescent="0.25">
      <c r="D4167">
        <f t="shared" ca="1" si="78"/>
        <v>53.935207860173769</v>
      </c>
    </row>
    <row r="4168" spans="4:4" x14ac:dyDescent="0.25">
      <c r="D4168">
        <f t="shared" ca="1" si="78"/>
        <v>50.052584695639865</v>
      </c>
    </row>
    <row r="4169" spans="4:4" x14ac:dyDescent="0.25">
      <c r="D4169">
        <f t="shared" ca="1" si="78"/>
        <v>55.544074902533723</v>
      </c>
    </row>
    <row r="4170" spans="4:4" x14ac:dyDescent="0.25">
      <c r="D4170">
        <f t="shared" ca="1" si="78"/>
        <v>45.196904274332553</v>
      </c>
    </row>
    <row r="4171" spans="4:4" x14ac:dyDescent="0.25">
      <c r="D4171">
        <f t="shared" ca="1" si="78"/>
        <v>53.442471542998845</v>
      </c>
    </row>
    <row r="4172" spans="4:4" x14ac:dyDescent="0.25">
      <c r="D4172">
        <f t="shared" ca="1" si="78"/>
        <v>51.919421437288641</v>
      </c>
    </row>
    <row r="4173" spans="4:4" x14ac:dyDescent="0.25">
      <c r="D4173">
        <f t="shared" ca="1" si="78"/>
        <v>48.500510808214841</v>
      </c>
    </row>
    <row r="4174" spans="4:4" x14ac:dyDescent="0.25">
      <c r="D4174">
        <f t="shared" ca="1" si="78"/>
        <v>54.30156412579187</v>
      </c>
    </row>
    <row r="4175" spans="4:4" x14ac:dyDescent="0.25">
      <c r="D4175">
        <f t="shared" ca="1" si="78"/>
        <v>48.247779416837879</v>
      </c>
    </row>
    <row r="4176" spans="4:4" x14ac:dyDescent="0.25">
      <c r="D4176">
        <f t="shared" ca="1" si="78"/>
        <v>53.190009020528066</v>
      </c>
    </row>
    <row r="4177" spans="4:4" x14ac:dyDescent="0.25">
      <c r="D4177">
        <f t="shared" ca="1" si="78"/>
        <v>42.765289944852185</v>
      </c>
    </row>
    <row r="4178" spans="4:4" x14ac:dyDescent="0.25">
      <c r="D4178">
        <f t="shared" ca="1" si="78"/>
        <v>51.728448333258207</v>
      </c>
    </row>
    <row r="4179" spans="4:4" x14ac:dyDescent="0.25">
      <c r="D4179">
        <f t="shared" ca="1" si="78"/>
        <v>46.476984354547696</v>
      </c>
    </row>
    <row r="4180" spans="4:4" x14ac:dyDescent="0.25">
      <c r="D4180">
        <f t="shared" ca="1" si="78"/>
        <v>46.98504820224818</v>
      </c>
    </row>
    <row r="4181" spans="4:4" x14ac:dyDescent="0.25">
      <c r="D4181">
        <f t="shared" ca="1" si="78"/>
        <v>44.174700100263472</v>
      </c>
    </row>
    <row r="4182" spans="4:4" x14ac:dyDescent="0.25">
      <c r="D4182">
        <f t="shared" ca="1" si="78"/>
        <v>47.267620985012478</v>
      </c>
    </row>
    <row r="4183" spans="4:4" x14ac:dyDescent="0.25">
      <c r="D4183">
        <f t="shared" ca="1" si="78"/>
        <v>43.982550652081592</v>
      </c>
    </row>
    <row r="4184" spans="4:4" x14ac:dyDescent="0.25">
      <c r="D4184">
        <f t="shared" ca="1" si="78"/>
        <v>45.513051718513196</v>
      </c>
    </row>
    <row r="4185" spans="4:4" x14ac:dyDescent="0.25">
      <c r="D4185">
        <f t="shared" ca="1" si="78"/>
        <v>52.567868795101504</v>
      </c>
    </row>
    <row r="4186" spans="4:4" x14ac:dyDescent="0.25">
      <c r="D4186">
        <f t="shared" ca="1" si="78"/>
        <v>51.364777498813744</v>
      </c>
    </row>
    <row r="4187" spans="4:4" x14ac:dyDescent="0.25">
      <c r="D4187">
        <f t="shared" ca="1" si="78"/>
        <v>51.761724013586694</v>
      </c>
    </row>
    <row r="4188" spans="4:4" x14ac:dyDescent="0.25">
      <c r="D4188">
        <f t="shared" ca="1" si="78"/>
        <v>50.917651951687674</v>
      </c>
    </row>
    <row r="4189" spans="4:4" x14ac:dyDescent="0.25">
      <c r="D4189">
        <f t="shared" ca="1" si="78"/>
        <v>51.559631962223975</v>
      </c>
    </row>
    <row r="4190" spans="4:4" x14ac:dyDescent="0.25">
      <c r="D4190">
        <f t="shared" ca="1" si="78"/>
        <v>43.679259439227359</v>
      </c>
    </row>
    <row r="4191" spans="4:4" x14ac:dyDescent="0.25">
      <c r="D4191">
        <f t="shared" ca="1" si="78"/>
        <v>53.4247141715297</v>
      </c>
    </row>
    <row r="4192" spans="4:4" x14ac:dyDescent="0.25">
      <c r="D4192">
        <f t="shared" ca="1" si="78"/>
        <v>49.592100164225343</v>
      </c>
    </row>
    <row r="4193" spans="4:4" x14ac:dyDescent="0.25">
      <c r="D4193">
        <f t="shared" ca="1" si="78"/>
        <v>48.063966915565679</v>
      </c>
    </row>
    <row r="4194" spans="4:4" x14ac:dyDescent="0.25">
      <c r="D4194">
        <f t="shared" ca="1" si="78"/>
        <v>53.739750501603318</v>
      </c>
    </row>
    <row r="4195" spans="4:4" x14ac:dyDescent="0.25">
      <c r="D4195">
        <f t="shared" ca="1" si="78"/>
        <v>43.215828599200634</v>
      </c>
    </row>
    <row r="4196" spans="4:4" x14ac:dyDescent="0.25">
      <c r="D4196">
        <f t="shared" ca="1" si="78"/>
        <v>52.955724490254667</v>
      </c>
    </row>
    <row r="4197" spans="4:4" x14ac:dyDescent="0.25">
      <c r="D4197">
        <f t="shared" ca="1" si="78"/>
        <v>54.581181383258375</v>
      </c>
    </row>
    <row r="4198" spans="4:4" x14ac:dyDescent="0.25">
      <c r="D4198">
        <f t="shared" ca="1" si="78"/>
        <v>44.619124022063978</v>
      </c>
    </row>
    <row r="4199" spans="4:4" x14ac:dyDescent="0.25">
      <c r="D4199">
        <f t="shared" ca="1" si="78"/>
        <v>48.169930203112685</v>
      </c>
    </row>
    <row r="4200" spans="4:4" x14ac:dyDescent="0.25">
      <c r="D4200">
        <f t="shared" ca="1" si="78"/>
        <v>52.417241625953736</v>
      </c>
    </row>
    <row r="4201" spans="4:4" x14ac:dyDescent="0.25">
      <c r="D4201">
        <f t="shared" ca="1" si="78"/>
        <v>55.796212665834609</v>
      </c>
    </row>
    <row r="4202" spans="4:4" x14ac:dyDescent="0.25">
      <c r="D4202">
        <f t="shared" ca="1" si="78"/>
        <v>50.85530386137394</v>
      </c>
    </row>
    <row r="4203" spans="4:4" x14ac:dyDescent="0.25">
      <c r="D4203">
        <f t="shared" ca="1" si="78"/>
        <v>53.955033939378424</v>
      </c>
    </row>
    <row r="4204" spans="4:4" x14ac:dyDescent="0.25">
      <c r="D4204">
        <f t="shared" ca="1" si="78"/>
        <v>39.473922381206506</v>
      </c>
    </row>
    <row r="4205" spans="4:4" x14ac:dyDescent="0.25">
      <c r="D4205">
        <f t="shared" ca="1" si="78"/>
        <v>43.714994912804258</v>
      </c>
    </row>
    <row r="4206" spans="4:4" x14ac:dyDescent="0.25">
      <c r="D4206">
        <f t="shared" ca="1" si="78"/>
        <v>46.920282459779145</v>
      </c>
    </row>
    <row r="4207" spans="4:4" x14ac:dyDescent="0.25">
      <c r="D4207">
        <f t="shared" ca="1" si="78"/>
        <v>52.449194701939774</v>
      </c>
    </row>
    <row r="4208" spans="4:4" x14ac:dyDescent="0.25">
      <c r="D4208">
        <f t="shared" ca="1" si="78"/>
        <v>62.042991870680936</v>
      </c>
    </row>
    <row r="4209" spans="4:4" x14ac:dyDescent="0.25">
      <c r="D4209">
        <f t="shared" ca="1" si="78"/>
        <v>52.059895857136823</v>
      </c>
    </row>
    <row r="4210" spans="4:4" x14ac:dyDescent="0.25">
      <c r="D4210">
        <f t="shared" ca="1" si="78"/>
        <v>41.946997368302704</v>
      </c>
    </row>
    <row r="4211" spans="4:4" x14ac:dyDescent="0.25">
      <c r="D4211">
        <f t="shared" ca="1" si="78"/>
        <v>46.538425486652358</v>
      </c>
    </row>
    <row r="4212" spans="4:4" x14ac:dyDescent="0.25">
      <c r="D4212">
        <f t="shared" ca="1" si="78"/>
        <v>51.119218989204342</v>
      </c>
    </row>
    <row r="4213" spans="4:4" x14ac:dyDescent="0.25">
      <c r="D4213">
        <f t="shared" ca="1" si="78"/>
        <v>52.146257859770792</v>
      </c>
    </row>
    <row r="4214" spans="4:4" x14ac:dyDescent="0.25">
      <c r="D4214">
        <f t="shared" ca="1" si="78"/>
        <v>52.041784308689088</v>
      </c>
    </row>
    <row r="4215" spans="4:4" x14ac:dyDescent="0.25">
      <c r="D4215">
        <f t="shared" ca="1" si="78"/>
        <v>49.453150172139289</v>
      </c>
    </row>
    <row r="4216" spans="4:4" x14ac:dyDescent="0.25">
      <c r="D4216">
        <f t="shared" ca="1" si="78"/>
        <v>50.214765136203972</v>
      </c>
    </row>
    <row r="4217" spans="4:4" x14ac:dyDescent="0.25">
      <c r="D4217">
        <f t="shared" ca="1" si="78"/>
        <v>57.291833391369359</v>
      </c>
    </row>
    <row r="4218" spans="4:4" x14ac:dyDescent="0.25">
      <c r="D4218">
        <f t="shared" ca="1" si="78"/>
        <v>54.611814266311541</v>
      </c>
    </row>
    <row r="4219" spans="4:4" x14ac:dyDescent="0.25">
      <c r="D4219">
        <f t="shared" ca="1" si="78"/>
        <v>42.698399156183626</v>
      </c>
    </row>
    <row r="4220" spans="4:4" x14ac:dyDescent="0.25">
      <c r="D4220">
        <f t="shared" ca="1" si="78"/>
        <v>49.528162882279325</v>
      </c>
    </row>
    <row r="4221" spans="4:4" x14ac:dyDescent="0.25">
      <c r="D4221">
        <f t="shared" ca="1" si="78"/>
        <v>53.539921352103889</v>
      </c>
    </row>
    <row r="4222" spans="4:4" x14ac:dyDescent="0.25">
      <c r="D4222">
        <f t="shared" ca="1" si="78"/>
        <v>49.200814651872705</v>
      </c>
    </row>
    <row r="4223" spans="4:4" x14ac:dyDescent="0.25">
      <c r="D4223">
        <f t="shared" ca="1" si="78"/>
        <v>50.28696105555165</v>
      </c>
    </row>
    <row r="4224" spans="4:4" x14ac:dyDescent="0.25">
      <c r="D4224">
        <f t="shared" ca="1" si="78"/>
        <v>53.853186185225219</v>
      </c>
    </row>
    <row r="4225" spans="4:4" x14ac:dyDescent="0.25">
      <c r="D4225">
        <f t="shared" ca="1" si="78"/>
        <v>51.265435032969819</v>
      </c>
    </row>
    <row r="4226" spans="4:4" x14ac:dyDescent="0.25">
      <c r="D4226">
        <f t="shared" ca="1" si="78"/>
        <v>48.564198729039227</v>
      </c>
    </row>
    <row r="4227" spans="4:4" x14ac:dyDescent="0.25">
      <c r="D4227">
        <f t="shared" ref="D4227:D4290" ca="1" si="79">_xlfn.T.INV(RAND(),25)*$G$3+$F$3</f>
        <v>53.271605241365407</v>
      </c>
    </row>
    <row r="4228" spans="4:4" x14ac:dyDescent="0.25">
      <c r="D4228">
        <f t="shared" ca="1" si="79"/>
        <v>47.543404620305651</v>
      </c>
    </row>
    <row r="4229" spans="4:4" x14ac:dyDescent="0.25">
      <c r="D4229">
        <f t="shared" ca="1" si="79"/>
        <v>45.418948140942341</v>
      </c>
    </row>
    <row r="4230" spans="4:4" x14ac:dyDescent="0.25">
      <c r="D4230">
        <f t="shared" ca="1" si="79"/>
        <v>55.849602860742394</v>
      </c>
    </row>
    <row r="4231" spans="4:4" x14ac:dyDescent="0.25">
      <c r="D4231">
        <f t="shared" ca="1" si="79"/>
        <v>52.653505920965472</v>
      </c>
    </row>
    <row r="4232" spans="4:4" x14ac:dyDescent="0.25">
      <c r="D4232">
        <f t="shared" ca="1" si="79"/>
        <v>54.001734348763208</v>
      </c>
    </row>
    <row r="4233" spans="4:4" x14ac:dyDescent="0.25">
      <c r="D4233">
        <f t="shared" ca="1" si="79"/>
        <v>50.511767537485859</v>
      </c>
    </row>
    <row r="4234" spans="4:4" x14ac:dyDescent="0.25">
      <c r="D4234">
        <f t="shared" ca="1" si="79"/>
        <v>44.806581042220486</v>
      </c>
    </row>
    <row r="4235" spans="4:4" x14ac:dyDescent="0.25">
      <c r="D4235">
        <f t="shared" ca="1" si="79"/>
        <v>50.160667209457273</v>
      </c>
    </row>
    <row r="4236" spans="4:4" x14ac:dyDescent="0.25">
      <c r="D4236">
        <f t="shared" ca="1" si="79"/>
        <v>53.774696414620507</v>
      </c>
    </row>
    <row r="4237" spans="4:4" x14ac:dyDescent="0.25">
      <c r="D4237">
        <f t="shared" ca="1" si="79"/>
        <v>54.461408321182873</v>
      </c>
    </row>
    <row r="4238" spans="4:4" x14ac:dyDescent="0.25">
      <c r="D4238">
        <f t="shared" ca="1" si="79"/>
        <v>52.018364232916873</v>
      </c>
    </row>
    <row r="4239" spans="4:4" x14ac:dyDescent="0.25">
      <c r="D4239">
        <f t="shared" ca="1" si="79"/>
        <v>46.246844402198434</v>
      </c>
    </row>
    <row r="4240" spans="4:4" x14ac:dyDescent="0.25">
      <c r="D4240">
        <f t="shared" ca="1" si="79"/>
        <v>50.281437427682221</v>
      </c>
    </row>
    <row r="4241" spans="4:4" x14ac:dyDescent="0.25">
      <c r="D4241">
        <f t="shared" ca="1" si="79"/>
        <v>48.70488605321286</v>
      </c>
    </row>
    <row r="4242" spans="4:4" x14ac:dyDescent="0.25">
      <c r="D4242">
        <f t="shared" ca="1" si="79"/>
        <v>46.735012306820373</v>
      </c>
    </row>
    <row r="4243" spans="4:4" x14ac:dyDescent="0.25">
      <c r="D4243">
        <f t="shared" ca="1" si="79"/>
        <v>54.610054971400416</v>
      </c>
    </row>
    <row r="4244" spans="4:4" x14ac:dyDescent="0.25">
      <c r="D4244">
        <f t="shared" ca="1" si="79"/>
        <v>47.521666236338014</v>
      </c>
    </row>
    <row r="4245" spans="4:4" x14ac:dyDescent="0.25">
      <c r="D4245">
        <f t="shared" ca="1" si="79"/>
        <v>45.539549337692691</v>
      </c>
    </row>
    <row r="4246" spans="4:4" x14ac:dyDescent="0.25">
      <c r="D4246">
        <f t="shared" ca="1" si="79"/>
        <v>49.802841850221213</v>
      </c>
    </row>
    <row r="4247" spans="4:4" x14ac:dyDescent="0.25">
      <c r="D4247">
        <f t="shared" ca="1" si="79"/>
        <v>44.925110691673169</v>
      </c>
    </row>
    <row r="4248" spans="4:4" x14ac:dyDescent="0.25">
      <c r="D4248">
        <f t="shared" ca="1" si="79"/>
        <v>56.084297525440618</v>
      </c>
    </row>
    <row r="4249" spans="4:4" x14ac:dyDescent="0.25">
      <c r="D4249">
        <f t="shared" ca="1" si="79"/>
        <v>43.350378194940561</v>
      </c>
    </row>
    <row r="4250" spans="4:4" x14ac:dyDescent="0.25">
      <c r="D4250">
        <f t="shared" ca="1" si="79"/>
        <v>46.711621924014707</v>
      </c>
    </row>
    <row r="4251" spans="4:4" x14ac:dyDescent="0.25">
      <c r="D4251">
        <f t="shared" ca="1" si="79"/>
        <v>47.137775713258549</v>
      </c>
    </row>
    <row r="4252" spans="4:4" x14ac:dyDescent="0.25">
      <c r="D4252">
        <f t="shared" ca="1" si="79"/>
        <v>55.823640687481671</v>
      </c>
    </row>
    <row r="4253" spans="4:4" x14ac:dyDescent="0.25">
      <c r="D4253">
        <f t="shared" ca="1" si="79"/>
        <v>51.910607673767096</v>
      </c>
    </row>
    <row r="4254" spans="4:4" x14ac:dyDescent="0.25">
      <c r="D4254">
        <f t="shared" ca="1" si="79"/>
        <v>52.397356684494561</v>
      </c>
    </row>
    <row r="4255" spans="4:4" x14ac:dyDescent="0.25">
      <c r="D4255">
        <f t="shared" ca="1" si="79"/>
        <v>44.410455803986324</v>
      </c>
    </row>
    <row r="4256" spans="4:4" x14ac:dyDescent="0.25">
      <c r="D4256">
        <f t="shared" ca="1" si="79"/>
        <v>48.341755573384816</v>
      </c>
    </row>
    <row r="4257" spans="4:4" x14ac:dyDescent="0.25">
      <c r="D4257">
        <f t="shared" ca="1" si="79"/>
        <v>47.280955455250698</v>
      </c>
    </row>
    <row r="4258" spans="4:4" x14ac:dyDescent="0.25">
      <c r="D4258">
        <f t="shared" ca="1" si="79"/>
        <v>58.893750906295857</v>
      </c>
    </row>
    <row r="4259" spans="4:4" x14ac:dyDescent="0.25">
      <c r="D4259">
        <f t="shared" ca="1" si="79"/>
        <v>45.728762951121368</v>
      </c>
    </row>
    <row r="4260" spans="4:4" x14ac:dyDescent="0.25">
      <c r="D4260">
        <f t="shared" ca="1" si="79"/>
        <v>55.285194190485775</v>
      </c>
    </row>
    <row r="4261" spans="4:4" x14ac:dyDescent="0.25">
      <c r="D4261">
        <f t="shared" ca="1" si="79"/>
        <v>49.109394851222767</v>
      </c>
    </row>
    <row r="4262" spans="4:4" x14ac:dyDescent="0.25">
      <c r="D4262">
        <f t="shared" ca="1" si="79"/>
        <v>51.767164760587356</v>
      </c>
    </row>
    <row r="4263" spans="4:4" x14ac:dyDescent="0.25">
      <c r="D4263">
        <f t="shared" ca="1" si="79"/>
        <v>40.978873585147738</v>
      </c>
    </row>
    <row r="4264" spans="4:4" x14ac:dyDescent="0.25">
      <c r="D4264">
        <f t="shared" ca="1" si="79"/>
        <v>45.624888002882365</v>
      </c>
    </row>
    <row r="4265" spans="4:4" x14ac:dyDescent="0.25">
      <c r="D4265">
        <f t="shared" ca="1" si="79"/>
        <v>45.968521733464101</v>
      </c>
    </row>
    <row r="4266" spans="4:4" x14ac:dyDescent="0.25">
      <c r="D4266">
        <f t="shared" ca="1" si="79"/>
        <v>44.382574271594869</v>
      </c>
    </row>
    <row r="4267" spans="4:4" x14ac:dyDescent="0.25">
      <c r="D4267">
        <f t="shared" ca="1" si="79"/>
        <v>56.3983335136557</v>
      </c>
    </row>
    <row r="4268" spans="4:4" x14ac:dyDescent="0.25">
      <c r="D4268">
        <f t="shared" ca="1" si="79"/>
        <v>51.079123223837335</v>
      </c>
    </row>
    <row r="4269" spans="4:4" x14ac:dyDescent="0.25">
      <c r="D4269">
        <f t="shared" ca="1" si="79"/>
        <v>51.501908693397276</v>
      </c>
    </row>
    <row r="4270" spans="4:4" x14ac:dyDescent="0.25">
      <c r="D4270">
        <f t="shared" ca="1" si="79"/>
        <v>50.001385624887916</v>
      </c>
    </row>
    <row r="4271" spans="4:4" x14ac:dyDescent="0.25">
      <c r="D4271">
        <f t="shared" ca="1" si="79"/>
        <v>51.843859380199717</v>
      </c>
    </row>
    <row r="4272" spans="4:4" x14ac:dyDescent="0.25">
      <c r="D4272">
        <f t="shared" ca="1" si="79"/>
        <v>45.049716455554574</v>
      </c>
    </row>
    <row r="4273" spans="4:4" x14ac:dyDescent="0.25">
      <c r="D4273">
        <f t="shared" ca="1" si="79"/>
        <v>50.286326748567525</v>
      </c>
    </row>
    <row r="4274" spans="4:4" x14ac:dyDescent="0.25">
      <c r="D4274">
        <f t="shared" ca="1" si="79"/>
        <v>54.607117598834968</v>
      </c>
    </row>
    <row r="4275" spans="4:4" x14ac:dyDescent="0.25">
      <c r="D4275">
        <f t="shared" ca="1" si="79"/>
        <v>52.034652756296111</v>
      </c>
    </row>
    <row r="4276" spans="4:4" x14ac:dyDescent="0.25">
      <c r="D4276">
        <f t="shared" ca="1" si="79"/>
        <v>45.426602221767169</v>
      </c>
    </row>
    <row r="4277" spans="4:4" x14ac:dyDescent="0.25">
      <c r="D4277">
        <f t="shared" ca="1" si="79"/>
        <v>42.40527917007752</v>
      </c>
    </row>
    <row r="4278" spans="4:4" x14ac:dyDescent="0.25">
      <c r="D4278">
        <f t="shared" ca="1" si="79"/>
        <v>49.131928998853319</v>
      </c>
    </row>
    <row r="4279" spans="4:4" x14ac:dyDescent="0.25">
      <c r="D4279">
        <f t="shared" ca="1" si="79"/>
        <v>51.036826172591198</v>
      </c>
    </row>
    <row r="4280" spans="4:4" x14ac:dyDescent="0.25">
      <c r="D4280">
        <f t="shared" ca="1" si="79"/>
        <v>56.854133273746044</v>
      </c>
    </row>
    <row r="4281" spans="4:4" x14ac:dyDescent="0.25">
      <c r="D4281">
        <f t="shared" ca="1" si="79"/>
        <v>51.239238033579824</v>
      </c>
    </row>
    <row r="4282" spans="4:4" x14ac:dyDescent="0.25">
      <c r="D4282">
        <f t="shared" ca="1" si="79"/>
        <v>49.844341590760102</v>
      </c>
    </row>
    <row r="4283" spans="4:4" x14ac:dyDescent="0.25">
      <c r="D4283">
        <f t="shared" ca="1" si="79"/>
        <v>43.56141452499908</v>
      </c>
    </row>
    <row r="4284" spans="4:4" x14ac:dyDescent="0.25">
      <c r="D4284">
        <f t="shared" ca="1" si="79"/>
        <v>44.19830421040966</v>
      </c>
    </row>
    <row r="4285" spans="4:4" x14ac:dyDescent="0.25">
      <c r="D4285">
        <f t="shared" ca="1" si="79"/>
        <v>47.927084375277516</v>
      </c>
    </row>
    <row r="4286" spans="4:4" x14ac:dyDescent="0.25">
      <c r="D4286">
        <f t="shared" ca="1" si="79"/>
        <v>49.460546998333143</v>
      </c>
    </row>
    <row r="4287" spans="4:4" x14ac:dyDescent="0.25">
      <c r="D4287">
        <f t="shared" ca="1" si="79"/>
        <v>45.969869142009109</v>
      </c>
    </row>
    <row r="4288" spans="4:4" x14ac:dyDescent="0.25">
      <c r="D4288">
        <f t="shared" ca="1" si="79"/>
        <v>43.085560137429418</v>
      </c>
    </row>
    <row r="4289" spans="4:4" x14ac:dyDescent="0.25">
      <c r="D4289">
        <f t="shared" ca="1" si="79"/>
        <v>50.366908531039009</v>
      </c>
    </row>
    <row r="4290" spans="4:4" x14ac:dyDescent="0.25">
      <c r="D4290">
        <f t="shared" ca="1" si="79"/>
        <v>54.722402787102197</v>
      </c>
    </row>
    <row r="4291" spans="4:4" x14ac:dyDescent="0.25">
      <c r="D4291">
        <f t="shared" ref="D4291:D4354" ca="1" si="80">_xlfn.T.INV(RAND(),25)*$G$3+$F$3</f>
        <v>41.517300208346938</v>
      </c>
    </row>
    <row r="4292" spans="4:4" x14ac:dyDescent="0.25">
      <c r="D4292">
        <f t="shared" ca="1" si="80"/>
        <v>47.722101943097513</v>
      </c>
    </row>
    <row r="4293" spans="4:4" x14ac:dyDescent="0.25">
      <c r="D4293">
        <f t="shared" ca="1" si="80"/>
        <v>44.81551861544316</v>
      </c>
    </row>
    <row r="4294" spans="4:4" x14ac:dyDescent="0.25">
      <c r="D4294">
        <f t="shared" ca="1" si="80"/>
        <v>51.237079226292892</v>
      </c>
    </row>
    <row r="4295" spans="4:4" x14ac:dyDescent="0.25">
      <c r="D4295">
        <f t="shared" ca="1" si="80"/>
        <v>38.608734042796669</v>
      </c>
    </row>
    <row r="4296" spans="4:4" x14ac:dyDescent="0.25">
      <c r="D4296">
        <f t="shared" ca="1" si="80"/>
        <v>40.242489278595691</v>
      </c>
    </row>
    <row r="4297" spans="4:4" x14ac:dyDescent="0.25">
      <c r="D4297">
        <f t="shared" ca="1" si="80"/>
        <v>48.25604716344111</v>
      </c>
    </row>
    <row r="4298" spans="4:4" x14ac:dyDescent="0.25">
      <c r="D4298">
        <f t="shared" ca="1" si="80"/>
        <v>53.989765801704962</v>
      </c>
    </row>
    <row r="4299" spans="4:4" x14ac:dyDescent="0.25">
      <c r="D4299">
        <f t="shared" ca="1" si="80"/>
        <v>52.776551050340373</v>
      </c>
    </row>
    <row r="4300" spans="4:4" x14ac:dyDescent="0.25">
      <c r="D4300">
        <f t="shared" ca="1" si="80"/>
        <v>48.595154372271388</v>
      </c>
    </row>
    <row r="4301" spans="4:4" x14ac:dyDescent="0.25">
      <c r="D4301">
        <f t="shared" ca="1" si="80"/>
        <v>56.823114084699924</v>
      </c>
    </row>
    <row r="4302" spans="4:4" x14ac:dyDescent="0.25">
      <c r="D4302">
        <f t="shared" ca="1" si="80"/>
        <v>58.717473573251063</v>
      </c>
    </row>
    <row r="4303" spans="4:4" x14ac:dyDescent="0.25">
      <c r="D4303">
        <f t="shared" ca="1" si="80"/>
        <v>47.308822373561625</v>
      </c>
    </row>
    <row r="4304" spans="4:4" x14ac:dyDescent="0.25">
      <c r="D4304">
        <f t="shared" ca="1" si="80"/>
        <v>54.565899652729946</v>
      </c>
    </row>
    <row r="4305" spans="4:4" x14ac:dyDescent="0.25">
      <c r="D4305">
        <f t="shared" ca="1" si="80"/>
        <v>58.767293674701399</v>
      </c>
    </row>
    <row r="4306" spans="4:4" x14ac:dyDescent="0.25">
      <c r="D4306">
        <f t="shared" ca="1" si="80"/>
        <v>55.857516712268456</v>
      </c>
    </row>
    <row r="4307" spans="4:4" x14ac:dyDescent="0.25">
      <c r="D4307">
        <f t="shared" ca="1" si="80"/>
        <v>50.725882153182212</v>
      </c>
    </row>
    <row r="4308" spans="4:4" x14ac:dyDescent="0.25">
      <c r="D4308">
        <f t="shared" ca="1" si="80"/>
        <v>51.07597813382305</v>
      </c>
    </row>
    <row r="4309" spans="4:4" x14ac:dyDescent="0.25">
      <c r="D4309">
        <f t="shared" ca="1" si="80"/>
        <v>58.275328864940747</v>
      </c>
    </row>
    <row r="4310" spans="4:4" x14ac:dyDescent="0.25">
      <c r="D4310">
        <f t="shared" ca="1" si="80"/>
        <v>49.152386726604114</v>
      </c>
    </row>
    <row r="4311" spans="4:4" x14ac:dyDescent="0.25">
      <c r="D4311">
        <f t="shared" ca="1" si="80"/>
        <v>47.247598623278506</v>
      </c>
    </row>
    <row r="4312" spans="4:4" x14ac:dyDescent="0.25">
      <c r="D4312">
        <f t="shared" ca="1" si="80"/>
        <v>51.765407022963089</v>
      </c>
    </row>
    <row r="4313" spans="4:4" x14ac:dyDescent="0.25">
      <c r="D4313">
        <f t="shared" ca="1" si="80"/>
        <v>50.693379548080628</v>
      </c>
    </row>
    <row r="4314" spans="4:4" x14ac:dyDescent="0.25">
      <c r="D4314">
        <f t="shared" ca="1" si="80"/>
        <v>55.813728746587309</v>
      </c>
    </row>
    <row r="4315" spans="4:4" x14ac:dyDescent="0.25">
      <c r="D4315">
        <f t="shared" ca="1" si="80"/>
        <v>47.816777015526846</v>
      </c>
    </row>
    <row r="4316" spans="4:4" x14ac:dyDescent="0.25">
      <c r="D4316">
        <f t="shared" ca="1" si="80"/>
        <v>54.416498324822982</v>
      </c>
    </row>
    <row r="4317" spans="4:4" x14ac:dyDescent="0.25">
      <c r="D4317">
        <f t="shared" ca="1" si="80"/>
        <v>45.295317242704314</v>
      </c>
    </row>
    <row r="4318" spans="4:4" x14ac:dyDescent="0.25">
      <c r="D4318">
        <f t="shared" ca="1" si="80"/>
        <v>55.083727483614297</v>
      </c>
    </row>
    <row r="4319" spans="4:4" x14ac:dyDescent="0.25">
      <c r="D4319">
        <f t="shared" ca="1" si="80"/>
        <v>55.815336626614155</v>
      </c>
    </row>
    <row r="4320" spans="4:4" x14ac:dyDescent="0.25">
      <c r="D4320">
        <f t="shared" ca="1" si="80"/>
        <v>59.841668697431778</v>
      </c>
    </row>
    <row r="4321" spans="4:4" x14ac:dyDescent="0.25">
      <c r="D4321">
        <f t="shared" ca="1" si="80"/>
        <v>42.129345729513922</v>
      </c>
    </row>
    <row r="4322" spans="4:4" x14ac:dyDescent="0.25">
      <c r="D4322">
        <f t="shared" ca="1" si="80"/>
        <v>53.653614312569744</v>
      </c>
    </row>
    <row r="4323" spans="4:4" x14ac:dyDescent="0.25">
      <c r="D4323">
        <f t="shared" ca="1" si="80"/>
        <v>46.380962011142081</v>
      </c>
    </row>
    <row r="4324" spans="4:4" x14ac:dyDescent="0.25">
      <c r="D4324">
        <f t="shared" ca="1" si="80"/>
        <v>47.501053191851582</v>
      </c>
    </row>
    <row r="4325" spans="4:4" x14ac:dyDescent="0.25">
      <c r="D4325">
        <f t="shared" ca="1" si="80"/>
        <v>43.963953442702028</v>
      </c>
    </row>
    <row r="4326" spans="4:4" x14ac:dyDescent="0.25">
      <c r="D4326">
        <f t="shared" ca="1" si="80"/>
        <v>49.051966303747214</v>
      </c>
    </row>
    <row r="4327" spans="4:4" x14ac:dyDescent="0.25">
      <c r="D4327">
        <f t="shared" ca="1" si="80"/>
        <v>50.181971866131498</v>
      </c>
    </row>
    <row r="4328" spans="4:4" x14ac:dyDescent="0.25">
      <c r="D4328">
        <f t="shared" ca="1" si="80"/>
        <v>43.21680897123229</v>
      </c>
    </row>
    <row r="4329" spans="4:4" x14ac:dyDescent="0.25">
      <c r="D4329">
        <f t="shared" ca="1" si="80"/>
        <v>58.227159664179155</v>
      </c>
    </row>
    <row r="4330" spans="4:4" x14ac:dyDescent="0.25">
      <c r="D4330">
        <f t="shared" ca="1" si="80"/>
        <v>47.972310174520445</v>
      </c>
    </row>
    <row r="4331" spans="4:4" x14ac:dyDescent="0.25">
      <c r="D4331">
        <f t="shared" ca="1" si="80"/>
        <v>48.716762430339458</v>
      </c>
    </row>
    <row r="4332" spans="4:4" x14ac:dyDescent="0.25">
      <c r="D4332">
        <f t="shared" ca="1" si="80"/>
        <v>44.111275163398275</v>
      </c>
    </row>
    <row r="4333" spans="4:4" x14ac:dyDescent="0.25">
      <c r="D4333">
        <f t="shared" ca="1" si="80"/>
        <v>57.947677346324085</v>
      </c>
    </row>
    <row r="4334" spans="4:4" x14ac:dyDescent="0.25">
      <c r="D4334">
        <f t="shared" ca="1" si="80"/>
        <v>41.135773304413455</v>
      </c>
    </row>
    <row r="4335" spans="4:4" x14ac:dyDescent="0.25">
      <c r="D4335">
        <f t="shared" ca="1" si="80"/>
        <v>47.940708452387163</v>
      </c>
    </row>
    <row r="4336" spans="4:4" x14ac:dyDescent="0.25">
      <c r="D4336">
        <f t="shared" ca="1" si="80"/>
        <v>49.852410946151416</v>
      </c>
    </row>
    <row r="4337" spans="4:4" x14ac:dyDescent="0.25">
      <c r="D4337">
        <f t="shared" ca="1" si="80"/>
        <v>47.575024888683508</v>
      </c>
    </row>
    <row r="4338" spans="4:4" x14ac:dyDescent="0.25">
      <c r="D4338">
        <f t="shared" ca="1" si="80"/>
        <v>44.70934629953355</v>
      </c>
    </row>
    <row r="4339" spans="4:4" x14ac:dyDescent="0.25">
      <c r="D4339">
        <f t="shared" ca="1" si="80"/>
        <v>45.689234590004908</v>
      </c>
    </row>
    <row r="4340" spans="4:4" x14ac:dyDescent="0.25">
      <c r="D4340">
        <f t="shared" ca="1" si="80"/>
        <v>53.874548921207193</v>
      </c>
    </row>
    <row r="4341" spans="4:4" x14ac:dyDescent="0.25">
      <c r="D4341">
        <f t="shared" ca="1" si="80"/>
        <v>48.068794091548838</v>
      </c>
    </row>
    <row r="4342" spans="4:4" x14ac:dyDescent="0.25">
      <c r="D4342">
        <f t="shared" ca="1" si="80"/>
        <v>49.414592394073033</v>
      </c>
    </row>
    <row r="4343" spans="4:4" x14ac:dyDescent="0.25">
      <c r="D4343">
        <f t="shared" ca="1" si="80"/>
        <v>53.135797772293138</v>
      </c>
    </row>
    <row r="4344" spans="4:4" x14ac:dyDescent="0.25">
      <c r="D4344">
        <f t="shared" ca="1" si="80"/>
        <v>57.573479103402931</v>
      </c>
    </row>
    <row r="4345" spans="4:4" x14ac:dyDescent="0.25">
      <c r="D4345">
        <f t="shared" ca="1" si="80"/>
        <v>51.50633703804246</v>
      </c>
    </row>
    <row r="4346" spans="4:4" x14ac:dyDescent="0.25">
      <c r="D4346">
        <f t="shared" ca="1" si="80"/>
        <v>47.598671366245824</v>
      </c>
    </row>
    <row r="4347" spans="4:4" x14ac:dyDescent="0.25">
      <c r="D4347">
        <f t="shared" ca="1" si="80"/>
        <v>47.502683967822136</v>
      </c>
    </row>
    <row r="4348" spans="4:4" x14ac:dyDescent="0.25">
      <c r="D4348">
        <f t="shared" ca="1" si="80"/>
        <v>48.338783851628207</v>
      </c>
    </row>
    <row r="4349" spans="4:4" x14ac:dyDescent="0.25">
      <c r="D4349">
        <f t="shared" ca="1" si="80"/>
        <v>56.326028311116225</v>
      </c>
    </row>
    <row r="4350" spans="4:4" x14ac:dyDescent="0.25">
      <c r="D4350">
        <f t="shared" ca="1" si="80"/>
        <v>55.529851449771883</v>
      </c>
    </row>
    <row r="4351" spans="4:4" x14ac:dyDescent="0.25">
      <c r="D4351">
        <f t="shared" ca="1" si="80"/>
        <v>50.922371479051563</v>
      </c>
    </row>
    <row r="4352" spans="4:4" x14ac:dyDescent="0.25">
      <c r="D4352">
        <f t="shared" ca="1" si="80"/>
        <v>48.853652440742749</v>
      </c>
    </row>
    <row r="4353" spans="4:4" x14ac:dyDescent="0.25">
      <c r="D4353">
        <f t="shared" ca="1" si="80"/>
        <v>49.007036935808436</v>
      </c>
    </row>
    <row r="4354" spans="4:4" x14ac:dyDescent="0.25">
      <c r="D4354">
        <f t="shared" ca="1" si="80"/>
        <v>51.790968826100489</v>
      </c>
    </row>
    <row r="4355" spans="4:4" x14ac:dyDescent="0.25">
      <c r="D4355">
        <f t="shared" ref="D4355:D4418" ca="1" si="81">_xlfn.T.INV(RAND(),25)*$G$3+$F$3</f>
        <v>53.806265633323235</v>
      </c>
    </row>
    <row r="4356" spans="4:4" x14ac:dyDescent="0.25">
      <c r="D4356">
        <f t="shared" ca="1" si="81"/>
        <v>51.971646037108506</v>
      </c>
    </row>
    <row r="4357" spans="4:4" x14ac:dyDescent="0.25">
      <c r="D4357">
        <f t="shared" ca="1" si="81"/>
        <v>50.200270569699143</v>
      </c>
    </row>
    <row r="4358" spans="4:4" x14ac:dyDescent="0.25">
      <c r="D4358">
        <f t="shared" ca="1" si="81"/>
        <v>56.210500877656443</v>
      </c>
    </row>
    <row r="4359" spans="4:4" x14ac:dyDescent="0.25">
      <c r="D4359">
        <f t="shared" ca="1" si="81"/>
        <v>45.784819059601489</v>
      </c>
    </row>
    <row r="4360" spans="4:4" x14ac:dyDescent="0.25">
      <c r="D4360">
        <f t="shared" ca="1" si="81"/>
        <v>54.750807189512287</v>
      </c>
    </row>
    <row r="4361" spans="4:4" x14ac:dyDescent="0.25">
      <c r="D4361">
        <f t="shared" ca="1" si="81"/>
        <v>51.216629796808746</v>
      </c>
    </row>
    <row r="4362" spans="4:4" x14ac:dyDescent="0.25">
      <c r="D4362">
        <f t="shared" ca="1" si="81"/>
        <v>49.076658180559178</v>
      </c>
    </row>
    <row r="4363" spans="4:4" x14ac:dyDescent="0.25">
      <c r="D4363">
        <f t="shared" ca="1" si="81"/>
        <v>51.183206695707256</v>
      </c>
    </row>
    <row r="4364" spans="4:4" x14ac:dyDescent="0.25">
      <c r="D4364">
        <f t="shared" ca="1" si="81"/>
        <v>51.984525736480691</v>
      </c>
    </row>
    <row r="4365" spans="4:4" x14ac:dyDescent="0.25">
      <c r="D4365">
        <f t="shared" ca="1" si="81"/>
        <v>47.263597921287165</v>
      </c>
    </row>
    <row r="4366" spans="4:4" x14ac:dyDescent="0.25">
      <c r="D4366">
        <f t="shared" ca="1" si="81"/>
        <v>50.731631430061903</v>
      </c>
    </row>
    <row r="4367" spans="4:4" x14ac:dyDescent="0.25">
      <c r="D4367">
        <f t="shared" ca="1" si="81"/>
        <v>43.124997192167172</v>
      </c>
    </row>
    <row r="4368" spans="4:4" x14ac:dyDescent="0.25">
      <c r="D4368">
        <f t="shared" ca="1" si="81"/>
        <v>49.918847648126025</v>
      </c>
    </row>
    <row r="4369" spans="4:4" x14ac:dyDescent="0.25">
      <c r="D4369">
        <f t="shared" ca="1" si="81"/>
        <v>43.038781810054786</v>
      </c>
    </row>
    <row r="4370" spans="4:4" x14ac:dyDescent="0.25">
      <c r="D4370">
        <f t="shared" ca="1" si="81"/>
        <v>51.811684127200614</v>
      </c>
    </row>
    <row r="4371" spans="4:4" x14ac:dyDescent="0.25">
      <c r="D4371">
        <f t="shared" ca="1" si="81"/>
        <v>44.405400504116052</v>
      </c>
    </row>
    <row r="4372" spans="4:4" x14ac:dyDescent="0.25">
      <c r="D4372">
        <f t="shared" ca="1" si="81"/>
        <v>48.983501412162369</v>
      </c>
    </row>
    <row r="4373" spans="4:4" x14ac:dyDescent="0.25">
      <c r="D4373">
        <f t="shared" ca="1" si="81"/>
        <v>53.205871532919382</v>
      </c>
    </row>
    <row r="4374" spans="4:4" x14ac:dyDescent="0.25">
      <c r="D4374">
        <f t="shared" ca="1" si="81"/>
        <v>44.007610088768352</v>
      </c>
    </row>
    <row r="4375" spans="4:4" x14ac:dyDescent="0.25">
      <c r="D4375">
        <f t="shared" ca="1" si="81"/>
        <v>51.348242914491912</v>
      </c>
    </row>
    <row r="4376" spans="4:4" x14ac:dyDescent="0.25">
      <c r="D4376">
        <f t="shared" ca="1" si="81"/>
        <v>51.466216188544365</v>
      </c>
    </row>
    <row r="4377" spans="4:4" x14ac:dyDescent="0.25">
      <c r="D4377">
        <f t="shared" ca="1" si="81"/>
        <v>48.372363846641065</v>
      </c>
    </row>
    <row r="4378" spans="4:4" x14ac:dyDescent="0.25">
      <c r="D4378">
        <f t="shared" ca="1" si="81"/>
        <v>46.310690079365536</v>
      </c>
    </row>
    <row r="4379" spans="4:4" x14ac:dyDescent="0.25">
      <c r="D4379">
        <f t="shared" ca="1" si="81"/>
        <v>45.871419276868551</v>
      </c>
    </row>
    <row r="4380" spans="4:4" x14ac:dyDescent="0.25">
      <c r="D4380">
        <f t="shared" ca="1" si="81"/>
        <v>43.570676618978126</v>
      </c>
    </row>
    <row r="4381" spans="4:4" x14ac:dyDescent="0.25">
      <c r="D4381">
        <f t="shared" ca="1" si="81"/>
        <v>54.038625482952199</v>
      </c>
    </row>
    <row r="4382" spans="4:4" x14ac:dyDescent="0.25">
      <c r="D4382">
        <f t="shared" ca="1" si="81"/>
        <v>50.890015671639027</v>
      </c>
    </row>
    <row r="4383" spans="4:4" x14ac:dyDescent="0.25">
      <c r="D4383">
        <f t="shared" ca="1" si="81"/>
        <v>51.733110019113731</v>
      </c>
    </row>
    <row r="4384" spans="4:4" x14ac:dyDescent="0.25">
      <c r="D4384">
        <f t="shared" ca="1" si="81"/>
        <v>45.790362838352252</v>
      </c>
    </row>
    <row r="4385" spans="4:4" x14ac:dyDescent="0.25">
      <c r="D4385">
        <f t="shared" ca="1" si="81"/>
        <v>38.055384190707073</v>
      </c>
    </row>
    <row r="4386" spans="4:4" x14ac:dyDescent="0.25">
      <c r="D4386">
        <f t="shared" ca="1" si="81"/>
        <v>53.217577614681851</v>
      </c>
    </row>
    <row r="4387" spans="4:4" x14ac:dyDescent="0.25">
      <c r="D4387">
        <f t="shared" ca="1" si="81"/>
        <v>52.434487775051203</v>
      </c>
    </row>
    <row r="4388" spans="4:4" x14ac:dyDescent="0.25">
      <c r="D4388">
        <f t="shared" ca="1" si="81"/>
        <v>52.307190456647682</v>
      </c>
    </row>
    <row r="4389" spans="4:4" x14ac:dyDescent="0.25">
      <c r="D4389">
        <f t="shared" ca="1" si="81"/>
        <v>43.005989528357325</v>
      </c>
    </row>
    <row r="4390" spans="4:4" x14ac:dyDescent="0.25">
      <c r="D4390">
        <f t="shared" ca="1" si="81"/>
        <v>55.691892987249247</v>
      </c>
    </row>
    <row r="4391" spans="4:4" x14ac:dyDescent="0.25">
      <c r="D4391">
        <f t="shared" ca="1" si="81"/>
        <v>52.354513280028407</v>
      </c>
    </row>
    <row r="4392" spans="4:4" x14ac:dyDescent="0.25">
      <c r="D4392">
        <f t="shared" ca="1" si="81"/>
        <v>48.288903361529606</v>
      </c>
    </row>
    <row r="4393" spans="4:4" x14ac:dyDescent="0.25">
      <c r="D4393">
        <f t="shared" ca="1" si="81"/>
        <v>52.696621032695752</v>
      </c>
    </row>
    <row r="4394" spans="4:4" x14ac:dyDescent="0.25">
      <c r="D4394">
        <f t="shared" ca="1" si="81"/>
        <v>51.61372844558398</v>
      </c>
    </row>
    <row r="4395" spans="4:4" x14ac:dyDescent="0.25">
      <c r="D4395">
        <f t="shared" ca="1" si="81"/>
        <v>48.207023221249493</v>
      </c>
    </row>
    <row r="4396" spans="4:4" x14ac:dyDescent="0.25">
      <c r="D4396">
        <f t="shared" ca="1" si="81"/>
        <v>47.877858016187361</v>
      </c>
    </row>
    <row r="4397" spans="4:4" x14ac:dyDescent="0.25">
      <c r="D4397">
        <f t="shared" ca="1" si="81"/>
        <v>52.899811035761601</v>
      </c>
    </row>
    <row r="4398" spans="4:4" x14ac:dyDescent="0.25">
      <c r="D4398">
        <f t="shared" ca="1" si="81"/>
        <v>46.543581931157227</v>
      </c>
    </row>
    <row r="4399" spans="4:4" x14ac:dyDescent="0.25">
      <c r="D4399">
        <f t="shared" ca="1" si="81"/>
        <v>43.964727928692874</v>
      </c>
    </row>
    <row r="4400" spans="4:4" x14ac:dyDescent="0.25">
      <c r="D4400">
        <f t="shared" ca="1" si="81"/>
        <v>47.925396558551732</v>
      </c>
    </row>
    <row r="4401" spans="4:4" x14ac:dyDescent="0.25">
      <c r="D4401">
        <f t="shared" ca="1" si="81"/>
        <v>46.774739463137763</v>
      </c>
    </row>
    <row r="4402" spans="4:4" x14ac:dyDescent="0.25">
      <c r="D4402">
        <f t="shared" ca="1" si="81"/>
        <v>61.024558585583947</v>
      </c>
    </row>
    <row r="4403" spans="4:4" x14ac:dyDescent="0.25">
      <c r="D4403">
        <f t="shared" ca="1" si="81"/>
        <v>48.18487750567008</v>
      </c>
    </row>
    <row r="4404" spans="4:4" x14ac:dyDescent="0.25">
      <c r="D4404">
        <f t="shared" ca="1" si="81"/>
        <v>52.778362544603837</v>
      </c>
    </row>
    <row r="4405" spans="4:4" x14ac:dyDescent="0.25">
      <c r="D4405">
        <f t="shared" ca="1" si="81"/>
        <v>46.092892457570883</v>
      </c>
    </row>
    <row r="4406" spans="4:4" x14ac:dyDescent="0.25">
      <c r="D4406">
        <f t="shared" ca="1" si="81"/>
        <v>50.096560755736618</v>
      </c>
    </row>
    <row r="4407" spans="4:4" x14ac:dyDescent="0.25">
      <c r="D4407">
        <f t="shared" ca="1" si="81"/>
        <v>52.451815865145903</v>
      </c>
    </row>
    <row r="4408" spans="4:4" x14ac:dyDescent="0.25">
      <c r="D4408">
        <f t="shared" ca="1" si="81"/>
        <v>47.330217791518784</v>
      </c>
    </row>
    <row r="4409" spans="4:4" x14ac:dyDescent="0.25">
      <c r="D4409">
        <f t="shared" ca="1" si="81"/>
        <v>47.904185758734265</v>
      </c>
    </row>
    <row r="4410" spans="4:4" x14ac:dyDescent="0.25">
      <c r="D4410">
        <f t="shared" ca="1" si="81"/>
        <v>50.714908733486439</v>
      </c>
    </row>
    <row r="4411" spans="4:4" x14ac:dyDescent="0.25">
      <c r="D4411">
        <f t="shared" ca="1" si="81"/>
        <v>45.706453880708573</v>
      </c>
    </row>
    <row r="4412" spans="4:4" x14ac:dyDescent="0.25">
      <c r="D4412">
        <f t="shared" ca="1" si="81"/>
        <v>51.854159018528733</v>
      </c>
    </row>
    <row r="4413" spans="4:4" x14ac:dyDescent="0.25">
      <c r="D4413">
        <f t="shared" ca="1" si="81"/>
        <v>46.469354226441872</v>
      </c>
    </row>
    <row r="4414" spans="4:4" x14ac:dyDescent="0.25">
      <c r="D4414">
        <f t="shared" ca="1" si="81"/>
        <v>51.52190106166735</v>
      </c>
    </row>
    <row r="4415" spans="4:4" x14ac:dyDescent="0.25">
      <c r="D4415">
        <f t="shared" ca="1" si="81"/>
        <v>41.657711046503245</v>
      </c>
    </row>
    <row r="4416" spans="4:4" x14ac:dyDescent="0.25">
      <c r="D4416">
        <f t="shared" ca="1" si="81"/>
        <v>50.286559959333559</v>
      </c>
    </row>
    <row r="4417" spans="4:4" x14ac:dyDescent="0.25">
      <c r="D4417">
        <f t="shared" ca="1" si="81"/>
        <v>47.578971985233807</v>
      </c>
    </row>
    <row r="4418" spans="4:4" x14ac:dyDescent="0.25">
      <c r="D4418">
        <f t="shared" ca="1" si="81"/>
        <v>41.9590952777342</v>
      </c>
    </row>
    <row r="4419" spans="4:4" x14ac:dyDescent="0.25">
      <c r="D4419">
        <f t="shared" ref="D4419:D4482" ca="1" si="82">_xlfn.T.INV(RAND(),25)*$G$3+$F$3</f>
        <v>46.632103945737818</v>
      </c>
    </row>
    <row r="4420" spans="4:4" x14ac:dyDescent="0.25">
      <c r="D4420">
        <f t="shared" ca="1" si="82"/>
        <v>52.109785400556035</v>
      </c>
    </row>
    <row r="4421" spans="4:4" x14ac:dyDescent="0.25">
      <c r="D4421">
        <f t="shared" ca="1" si="82"/>
        <v>54.039375236506643</v>
      </c>
    </row>
    <row r="4422" spans="4:4" x14ac:dyDescent="0.25">
      <c r="D4422">
        <f t="shared" ca="1" si="82"/>
        <v>47.228901178661211</v>
      </c>
    </row>
    <row r="4423" spans="4:4" x14ac:dyDescent="0.25">
      <c r="D4423">
        <f t="shared" ca="1" si="82"/>
        <v>60.436499148417894</v>
      </c>
    </row>
    <row r="4424" spans="4:4" x14ac:dyDescent="0.25">
      <c r="D4424">
        <f t="shared" ca="1" si="82"/>
        <v>46.645632267619526</v>
      </c>
    </row>
    <row r="4425" spans="4:4" x14ac:dyDescent="0.25">
      <c r="D4425">
        <f t="shared" ca="1" si="82"/>
        <v>37.733700388325246</v>
      </c>
    </row>
    <row r="4426" spans="4:4" x14ac:dyDescent="0.25">
      <c r="D4426">
        <f t="shared" ca="1" si="82"/>
        <v>44.4486668472533</v>
      </c>
    </row>
    <row r="4427" spans="4:4" x14ac:dyDescent="0.25">
      <c r="D4427">
        <f t="shared" ca="1" si="82"/>
        <v>50.045400341276746</v>
      </c>
    </row>
    <row r="4428" spans="4:4" x14ac:dyDescent="0.25">
      <c r="D4428">
        <f t="shared" ca="1" si="82"/>
        <v>45.617491673835829</v>
      </c>
    </row>
    <row r="4429" spans="4:4" x14ac:dyDescent="0.25">
      <c r="D4429">
        <f t="shared" ca="1" si="82"/>
        <v>48.61809502787748</v>
      </c>
    </row>
    <row r="4430" spans="4:4" x14ac:dyDescent="0.25">
      <c r="D4430">
        <f t="shared" ca="1" si="82"/>
        <v>50.409504288337565</v>
      </c>
    </row>
    <row r="4431" spans="4:4" x14ac:dyDescent="0.25">
      <c r="D4431">
        <f t="shared" ca="1" si="82"/>
        <v>44.852922889083068</v>
      </c>
    </row>
    <row r="4432" spans="4:4" x14ac:dyDescent="0.25">
      <c r="D4432">
        <f t="shared" ca="1" si="82"/>
        <v>45.998235175657555</v>
      </c>
    </row>
    <row r="4433" spans="4:4" x14ac:dyDescent="0.25">
      <c r="D4433">
        <f t="shared" ca="1" si="82"/>
        <v>44.156264280919892</v>
      </c>
    </row>
    <row r="4434" spans="4:4" x14ac:dyDescent="0.25">
      <c r="D4434">
        <f t="shared" ca="1" si="82"/>
        <v>50.175723024673687</v>
      </c>
    </row>
    <row r="4435" spans="4:4" x14ac:dyDescent="0.25">
      <c r="D4435">
        <f t="shared" ca="1" si="82"/>
        <v>50.118353337641871</v>
      </c>
    </row>
    <row r="4436" spans="4:4" x14ac:dyDescent="0.25">
      <c r="D4436">
        <f t="shared" ca="1" si="82"/>
        <v>48.940020775030618</v>
      </c>
    </row>
    <row r="4437" spans="4:4" x14ac:dyDescent="0.25">
      <c r="D4437">
        <f t="shared" ca="1" si="82"/>
        <v>54.114930330312973</v>
      </c>
    </row>
    <row r="4438" spans="4:4" x14ac:dyDescent="0.25">
      <c r="D4438">
        <f t="shared" ca="1" si="82"/>
        <v>43.353502108953577</v>
      </c>
    </row>
    <row r="4439" spans="4:4" x14ac:dyDescent="0.25">
      <c r="D4439">
        <f t="shared" ca="1" si="82"/>
        <v>40.036397988971046</v>
      </c>
    </row>
    <row r="4440" spans="4:4" x14ac:dyDescent="0.25">
      <c r="D4440">
        <f t="shared" ca="1" si="82"/>
        <v>43.849065088222822</v>
      </c>
    </row>
    <row r="4441" spans="4:4" x14ac:dyDescent="0.25">
      <c r="D4441">
        <f t="shared" ca="1" si="82"/>
        <v>49.133587417196352</v>
      </c>
    </row>
    <row r="4442" spans="4:4" x14ac:dyDescent="0.25">
      <c r="D4442">
        <f t="shared" ca="1" si="82"/>
        <v>52.58665591932597</v>
      </c>
    </row>
    <row r="4443" spans="4:4" x14ac:dyDescent="0.25">
      <c r="D4443">
        <f t="shared" ca="1" si="82"/>
        <v>45.490442959375741</v>
      </c>
    </row>
    <row r="4444" spans="4:4" x14ac:dyDescent="0.25">
      <c r="D4444">
        <f t="shared" ca="1" si="82"/>
        <v>53.520633146624775</v>
      </c>
    </row>
    <row r="4445" spans="4:4" x14ac:dyDescent="0.25">
      <c r="D4445">
        <f t="shared" ca="1" si="82"/>
        <v>52.150006616724788</v>
      </c>
    </row>
    <row r="4446" spans="4:4" x14ac:dyDescent="0.25">
      <c r="D4446">
        <f t="shared" ca="1" si="82"/>
        <v>48.524319388060604</v>
      </c>
    </row>
    <row r="4447" spans="4:4" x14ac:dyDescent="0.25">
      <c r="D4447">
        <f t="shared" ca="1" si="82"/>
        <v>48.27506758052759</v>
      </c>
    </row>
    <row r="4448" spans="4:4" x14ac:dyDescent="0.25">
      <c r="D4448">
        <f t="shared" ca="1" si="82"/>
        <v>50.276359309237442</v>
      </c>
    </row>
    <row r="4449" spans="4:4" x14ac:dyDescent="0.25">
      <c r="D4449">
        <f t="shared" ca="1" si="82"/>
        <v>49.182603560595801</v>
      </c>
    </row>
    <row r="4450" spans="4:4" x14ac:dyDescent="0.25">
      <c r="D4450">
        <f t="shared" ca="1" si="82"/>
        <v>52.481087400834724</v>
      </c>
    </row>
    <row r="4451" spans="4:4" x14ac:dyDescent="0.25">
      <c r="D4451">
        <f t="shared" ca="1" si="82"/>
        <v>49.705000761924381</v>
      </c>
    </row>
    <row r="4452" spans="4:4" x14ac:dyDescent="0.25">
      <c r="D4452">
        <f t="shared" ca="1" si="82"/>
        <v>51.349558518655058</v>
      </c>
    </row>
    <row r="4453" spans="4:4" x14ac:dyDescent="0.25">
      <c r="D4453">
        <f t="shared" ca="1" si="82"/>
        <v>56.002188523152526</v>
      </c>
    </row>
    <row r="4454" spans="4:4" x14ac:dyDescent="0.25">
      <c r="D4454">
        <f t="shared" ca="1" si="82"/>
        <v>53.649042502391907</v>
      </c>
    </row>
    <row r="4455" spans="4:4" x14ac:dyDescent="0.25">
      <c r="D4455">
        <f t="shared" ca="1" si="82"/>
        <v>54.971282488031989</v>
      </c>
    </row>
    <row r="4456" spans="4:4" x14ac:dyDescent="0.25">
      <c r="D4456">
        <f t="shared" ca="1" si="82"/>
        <v>53.585517952306837</v>
      </c>
    </row>
    <row r="4457" spans="4:4" x14ac:dyDescent="0.25">
      <c r="D4457">
        <f t="shared" ca="1" si="82"/>
        <v>47.33203515725031</v>
      </c>
    </row>
    <row r="4458" spans="4:4" x14ac:dyDescent="0.25">
      <c r="D4458">
        <f t="shared" ca="1" si="82"/>
        <v>58.264123797185057</v>
      </c>
    </row>
    <row r="4459" spans="4:4" x14ac:dyDescent="0.25">
      <c r="D4459">
        <f t="shared" ca="1" si="82"/>
        <v>56.585296128229878</v>
      </c>
    </row>
    <row r="4460" spans="4:4" x14ac:dyDescent="0.25">
      <c r="D4460">
        <f t="shared" ca="1" si="82"/>
        <v>52.098707856965895</v>
      </c>
    </row>
    <row r="4461" spans="4:4" x14ac:dyDescent="0.25">
      <c r="D4461">
        <f t="shared" ca="1" si="82"/>
        <v>44.669246275563239</v>
      </c>
    </row>
    <row r="4462" spans="4:4" x14ac:dyDescent="0.25">
      <c r="D4462">
        <f t="shared" ca="1" si="82"/>
        <v>53.298428874197498</v>
      </c>
    </row>
    <row r="4463" spans="4:4" x14ac:dyDescent="0.25">
      <c r="D4463">
        <f t="shared" ca="1" si="82"/>
        <v>54.755989706992914</v>
      </c>
    </row>
    <row r="4464" spans="4:4" x14ac:dyDescent="0.25">
      <c r="D4464">
        <f t="shared" ca="1" si="82"/>
        <v>48.632402650350741</v>
      </c>
    </row>
    <row r="4465" spans="4:4" x14ac:dyDescent="0.25">
      <c r="D4465">
        <f t="shared" ca="1" si="82"/>
        <v>52.376204513823616</v>
      </c>
    </row>
    <row r="4466" spans="4:4" x14ac:dyDescent="0.25">
      <c r="D4466">
        <f t="shared" ca="1" si="82"/>
        <v>54.751743837725336</v>
      </c>
    </row>
    <row r="4467" spans="4:4" x14ac:dyDescent="0.25">
      <c r="D4467">
        <f t="shared" ca="1" si="82"/>
        <v>41.109048949535307</v>
      </c>
    </row>
    <row r="4468" spans="4:4" x14ac:dyDescent="0.25">
      <c r="D4468">
        <f t="shared" ca="1" si="82"/>
        <v>56.142041168988932</v>
      </c>
    </row>
    <row r="4469" spans="4:4" x14ac:dyDescent="0.25">
      <c r="D4469">
        <f t="shared" ca="1" si="82"/>
        <v>42.462500856553284</v>
      </c>
    </row>
    <row r="4470" spans="4:4" x14ac:dyDescent="0.25">
      <c r="D4470">
        <f t="shared" ca="1" si="82"/>
        <v>33.877576787221955</v>
      </c>
    </row>
    <row r="4471" spans="4:4" x14ac:dyDescent="0.25">
      <c r="D4471">
        <f t="shared" ca="1" si="82"/>
        <v>46.383204172944573</v>
      </c>
    </row>
    <row r="4472" spans="4:4" x14ac:dyDescent="0.25">
      <c r="D4472">
        <f t="shared" ca="1" si="82"/>
        <v>43.905600770599811</v>
      </c>
    </row>
    <row r="4473" spans="4:4" x14ac:dyDescent="0.25">
      <c r="D4473">
        <f t="shared" ca="1" si="82"/>
        <v>48.007500063977297</v>
      </c>
    </row>
    <row r="4474" spans="4:4" x14ac:dyDescent="0.25">
      <c r="D4474">
        <f t="shared" ca="1" si="82"/>
        <v>55.862386973178374</v>
      </c>
    </row>
    <row r="4475" spans="4:4" x14ac:dyDescent="0.25">
      <c r="D4475">
        <f t="shared" ca="1" si="82"/>
        <v>49.200105936973074</v>
      </c>
    </row>
    <row r="4476" spans="4:4" x14ac:dyDescent="0.25">
      <c r="D4476">
        <f t="shared" ca="1" si="82"/>
        <v>58.053991229469588</v>
      </c>
    </row>
    <row r="4477" spans="4:4" x14ac:dyDescent="0.25">
      <c r="D4477">
        <f t="shared" ca="1" si="82"/>
        <v>40.589895360998881</v>
      </c>
    </row>
    <row r="4478" spans="4:4" x14ac:dyDescent="0.25">
      <c r="D4478">
        <f t="shared" ca="1" si="82"/>
        <v>51.803613033582266</v>
      </c>
    </row>
    <row r="4479" spans="4:4" x14ac:dyDescent="0.25">
      <c r="D4479">
        <f t="shared" ca="1" si="82"/>
        <v>49.794542250000397</v>
      </c>
    </row>
    <row r="4480" spans="4:4" x14ac:dyDescent="0.25">
      <c r="D4480">
        <f t="shared" ca="1" si="82"/>
        <v>51.200234374490165</v>
      </c>
    </row>
    <row r="4481" spans="4:4" x14ac:dyDescent="0.25">
      <c r="D4481">
        <f t="shared" ca="1" si="82"/>
        <v>43.662040218494901</v>
      </c>
    </row>
    <row r="4482" spans="4:4" x14ac:dyDescent="0.25">
      <c r="D4482">
        <f t="shared" ca="1" si="82"/>
        <v>57.376942972087832</v>
      </c>
    </row>
    <row r="4483" spans="4:4" x14ac:dyDescent="0.25">
      <c r="D4483">
        <f t="shared" ref="D4483:D4546" ca="1" si="83">_xlfn.T.INV(RAND(),25)*$G$3+$F$3</f>
        <v>46.77909680346098</v>
      </c>
    </row>
    <row r="4484" spans="4:4" x14ac:dyDescent="0.25">
      <c r="D4484">
        <f t="shared" ca="1" si="83"/>
        <v>51.410288559696824</v>
      </c>
    </row>
    <row r="4485" spans="4:4" x14ac:dyDescent="0.25">
      <c r="D4485">
        <f t="shared" ca="1" si="83"/>
        <v>44.430412470195975</v>
      </c>
    </row>
    <row r="4486" spans="4:4" x14ac:dyDescent="0.25">
      <c r="D4486">
        <f t="shared" ca="1" si="83"/>
        <v>55.130535254460874</v>
      </c>
    </row>
    <row r="4487" spans="4:4" x14ac:dyDescent="0.25">
      <c r="D4487">
        <f t="shared" ca="1" si="83"/>
        <v>50.729861860779067</v>
      </c>
    </row>
    <row r="4488" spans="4:4" x14ac:dyDescent="0.25">
      <c r="D4488">
        <f t="shared" ca="1" si="83"/>
        <v>39.44912134393843</v>
      </c>
    </row>
    <row r="4489" spans="4:4" x14ac:dyDescent="0.25">
      <c r="D4489">
        <f t="shared" ca="1" si="83"/>
        <v>47.775668030455499</v>
      </c>
    </row>
    <row r="4490" spans="4:4" x14ac:dyDescent="0.25">
      <c r="D4490">
        <f t="shared" ca="1" si="83"/>
        <v>46.630168589900052</v>
      </c>
    </row>
    <row r="4491" spans="4:4" x14ac:dyDescent="0.25">
      <c r="D4491">
        <f t="shared" ca="1" si="83"/>
        <v>52.655383619213545</v>
      </c>
    </row>
    <row r="4492" spans="4:4" x14ac:dyDescent="0.25">
      <c r="D4492">
        <f t="shared" ca="1" si="83"/>
        <v>51.82961816685664</v>
      </c>
    </row>
    <row r="4493" spans="4:4" x14ac:dyDescent="0.25">
      <c r="D4493">
        <f t="shared" ca="1" si="83"/>
        <v>49.645859826636631</v>
      </c>
    </row>
    <row r="4494" spans="4:4" x14ac:dyDescent="0.25">
      <c r="D4494">
        <f t="shared" ca="1" si="83"/>
        <v>50.767943738950493</v>
      </c>
    </row>
    <row r="4495" spans="4:4" x14ac:dyDescent="0.25">
      <c r="D4495">
        <f t="shared" ca="1" si="83"/>
        <v>45.192243231786961</v>
      </c>
    </row>
    <row r="4496" spans="4:4" x14ac:dyDescent="0.25">
      <c r="D4496">
        <f t="shared" ca="1" si="83"/>
        <v>48.628404909670863</v>
      </c>
    </row>
    <row r="4497" spans="4:4" x14ac:dyDescent="0.25">
      <c r="D4497">
        <f t="shared" ca="1" si="83"/>
        <v>53.399367158938013</v>
      </c>
    </row>
    <row r="4498" spans="4:4" x14ac:dyDescent="0.25">
      <c r="D4498">
        <f t="shared" ca="1" si="83"/>
        <v>51.969638222148518</v>
      </c>
    </row>
    <row r="4499" spans="4:4" x14ac:dyDescent="0.25">
      <c r="D4499">
        <f t="shared" ca="1" si="83"/>
        <v>47.957358861118955</v>
      </c>
    </row>
    <row r="4500" spans="4:4" x14ac:dyDescent="0.25">
      <c r="D4500">
        <f t="shared" ca="1" si="83"/>
        <v>49.645574813296896</v>
      </c>
    </row>
    <row r="4501" spans="4:4" x14ac:dyDescent="0.25">
      <c r="D4501">
        <f t="shared" ca="1" si="83"/>
        <v>54.037935703016849</v>
      </c>
    </row>
    <row r="4502" spans="4:4" x14ac:dyDescent="0.25">
      <c r="D4502">
        <f t="shared" ca="1" si="83"/>
        <v>48.892126612281125</v>
      </c>
    </row>
    <row r="4503" spans="4:4" x14ac:dyDescent="0.25">
      <c r="D4503">
        <f t="shared" ca="1" si="83"/>
        <v>52.435932248255916</v>
      </c>
    </row>
    <row r="4504" spans="4:4" x14ac:dyDescent="0.25">
      <c r="D4504">
        <f t="shared" ca="1" si="83"/>
        <v>41.428534175155278</v>
      </c>
    </row>
    <row r="4505" spans="4:4" x14ac:dyDescent="0.25">
      <c r="D4505">
        <f t="shared" ca="1" si="83"/>
        <v>48.942384324966866</v>
      </c>
    </row>
    <row r="4506" spans="4:4" x14ac:dyDescent="0.25">
      <c r="D4506">
        <f t="shared" ca="1" si="83"/>
        <v>48.235072631231546</v>
      </c>
    </row>
    <row r="4507" spans="4:4" x14ac:dyDescent="0.25">
      <c r="D4507">
        <f t="shared" ca="1" si="83"/>
        <v>51.563540001707636</v>
      </c>
    </row>
    <row r="4508" spans="4:4" x14ac:dyDescent="0.25">
      <c r="D4508">
        <f t="shared" ca="1" si="83"/>
        <v>49.484115117940156</v>
      </c>
    </row>
    <row r="4509" spans="4:4" x14ac:dyDescent="0.25">
      <c r="D4509">
        <f t="shared" ca="1" si="83"/>
        <v>44.728701473236434</v>
      </c>
    </row>
    <row r="4510" spans="4:4" x14ac:dyDescent="0.25">
      <c r="D4510">
        <f t="shared" ca="1" si="83"/>
        <v>45.15235349944372</v>
      </c>
    </row>
    <row r="4511" spans="4:4" x14ac:dyDescent="0.25">
      <c r="D4511">
        <f t="shared" ca="1" si="83"/>
        <v>55.884898166984819</v>
      </c>
    </row>
    <row r="4512" spans="4:4" x14ac:dyDescent="0.25">
      <c r="D4512">
        <f t="shared" ca="1" si="83"/>
        <v>49.31635186581579</v>
      </c>
    </row>
    <row r="4513" spans="4:4" x14ac:dyDescent="0.25">
      <c r="D4513">
        <f t="shared" ca="1" si="83"/>
        <v>51.079813208215938</v>
      </c>
    </row>
    <row r="4514" spans="4:4" x14ac:dyDescent="0.25">
      <c r="D4514">
        <f t="shared" ca="1" si="83"/>
        <v>48.836694385010226</v>
      </c>
    </row>
    <row r="4515" spans="4:4" x14ac:dyDescent="0.25">
      <c r="D4515">
        <f t="shared" ca="1" si="83"/>
        <v>45.318221876296235</v>
      </c>
    </row>
    <row r="4516" spans="4:4" x14ac:dyDescent="0.25">
      <c r="D4516">
        <f t="shared" ca="1" si="83"/>
        <v>54.173325029684641</v>
      </c>
    </row>
    <row r="4517" spans="4:4" x14ac:dyDescent="0.25">
      <c r="D4517">
        <f t="shared" ca="1" si="83"/>
        <v>46.409068334314014</v>
      </c>
    </row>
    <row r="4518" spans="4:4" x14ac:dyDescent="0.25">
      <c r="D4518">
        <f t="shared" ca="1" si="83"/>
        <v>49.52371234205809</v>
      </c>
    </row>
    <row r="4519" spans="4:4" x14ac:dyDescent="0.25">
      <c r="D4519">
        <f t="shared" ca="1" si="83"/>
        <v>46.066634020428836</v>
      </c>
    </row>
    <row r="4520" spans="4:4" x14ac:dyDescent="0.25">
      <c r="D4520">
        <f t="shared" ca="1" si="83"/>
        <v>46.738042844651012</v>
      </c>
    </row>
    <row r="4521" spans="4:4" x14ac:dyDescent="0.25">
      <c r="D4521">
        <f t="shared" ca="1" si="83"/>
        <v>56.40297508583393</v>
      </c>
    </row>
    <row r="4522" spans="4:4" x14ac:dyDescent="0.25">
      <c r="D4522">
        <f t="shared" ca="1" si="83"/>
        <v>54.49867228283324</v>
      </c>
    </row>
    <row r="4523" spans="4:4" x14ac:dyDescent="0.25">
      <c r="D4523">
        <f t="shared" ca="1" si="83"/>
        <v>40.965056281756468</v>
      </c>
    </row>
    <row r="4524" spans="4:4" x14ac:dyDescent="0.25">
      <c r="D4524">
        <f t="shared" ca="1" si="83"/>
        <v>45.20798694234977</v>
      </c>
    </row>
    <row r="4525" spans="4:4" x14ac:dyDescent="0.25">
      <c r="D4525">
        <f t="shared" ca="1" si="83"/>
        <v>51.461061925649993</v>
      </c>
    </row>
    <row r="4526" spans="4:4" x14ac:dyDescent="0.25">
      <c r="D4526">
        <f t="shared" ca="1" si="83"/>
        <v>49.653750652649954</v>
      </c>
    </row>
    <row r="4527" spans="4:4" x14ac:dyDescent="0.25">
      <c r="D4527">
        <f t="shared" ca="1" si="83"/>
        <v>59.026851819226223</v>
      </c>
    </row>
    <row r="4528" spans="4:4" x14ac:dyDescent="0.25">
      <c r="D4528">
        <f t="shared" ca="1" si="83"/>
        <v>48.825233078552863</v>
      </c>
    </row>
    <row r="4529" spans="4:4" x14ac:dyDescent="0.25">
      <c r="D4529">
        <f t="shared" ca="1" si="83"/>
        <v>47.584063328491332</v>
      </c>
    </row>
    <row r="4530" spans="4:4" x14ac:dyDescent="0.25">
      <c r="D4530">
        <f t="shared" ca="1" si="83"/>
        <v>53.211429412262362</v>
      </c>
    </row>
    <row r="4531" spans="4:4" x14ac:dyDescent="0.25">
      <c r="D4531">
        <f t="shared" ca="1" si="83"/>
        <v>40.877141162263399</v>
      </c>
    </row>
    <row r="4532" spans="4:4" x14ac:dyDescent="0.25">
      <c r="D4532">
        <f t="shared" ca="1" si="83"/>
        <v>42.860844890433832</v>
      </c>
    </row>
    <row r="4533" spans="4:4" x14ac:dyDescent="0.25">
      <c r="D4533">
        <f t="shared" ca="1" si="83"/>
        <v>46.028508567745149</v>
      </c>
    </row>
    <row r="4534" spans="4:4" x14ac:dyDescent="0.25">
      <c r="D4534">
        <f t="shared" ca="1" si="83"/>
        <v>48.384731249013747</v>
      </c>
    </row>
    <row r="4535" spans="4:4" x14ac:dyDescent="0.25">
      <c r="D4535">
        <f t="shared" ca="1" si="83"/>
        <v>46.814678934430852</v>
      </c>
    </row>
    <row r="4536" spans="4:4" x14ac:dyDescent="0.25">
      <c r="D4536">
        <f t="shared" ca="1" si="83"/>
        <v>51.060353355176012</v>
      </c>
    </row>
    <row r="4537" spans="4:4" x14ac:dyDescent="0.25">
      <c r="D4537">
        <f t="shared" ca="1" si="83"/>
        <v>55.050379255149942</v>
      </c>
    </row>
    <row r="4538" spans="4:4" x14ac:dyDescent="0.25">
      <c r="D4538">
        <f t="shared" ca="1" si="83"/>
        <v>55.402024158444625</v>
      </c>
    </row>
    <row r="4539" spans="4:4" x14ac:dyDescent="0.25">
      <c r="D4539">
        <f t="shared" ca="1" si="83"/>
        <v>47.858533826518702</v>
      </c>
    </row>
    <row r="4540" spans="4:4" x14ac:dyDescent="0.25">
      <c r="D4540">
        <f t="shared" ca="1" si="83"/>
        <v>59.101643919772926</v>
      </c>
    </row>
    <row r="4541" spans="4:4" x14ac:dyDescent="0.25">
      <c r="D4541">
        <f t="shared" ca="1" si="83"/>
        <v>45.565877500375294</v>
      </c>
    </row>
    <row r="4542" spans="4:4" x14ac:dyDescent="0.25">
      <c r="D4542">
        <f t="shared" ca="1" si="83"/>
        <v>48.112898078289469</v>
      </c>
    </row>
    <row r="4543" spans="4:4" x14ac:dyDescent="0.25">
      <c r="D4543">
        <f t="shared" ca="1" si="83"/>
        <v>49.241640216835961</v>
      </c>
    </row>
    <row r="4544" spans="4:4" x14ac:dyDescent="0.25">
      <c r="D4544">
        <f t="shared" ca="1" si="83"/>
        <v>48.209796811011607</v>
      </c>
    </row>
    <row r="4545" spans="4:4" x14ac:dyDescent="0.25">
      <c r="D4545">
        <f t="shared" ca="1" si="83"/>
        <v>47.349312451508652</v>
      </c>
    </row>
    <row r="4546" spans="4:4" x14ac:dyDescent="0.25">
      <c r="D4546">
        <f t="shared" ca="1" si="83"/>
        <v>44.176635463917137</v>
      </c>
    </row>
    <row r="4547" spans="4:4" x14ac:dyDescent="0.25">
      <c r="D4547">
        <f t="shared" ref="D4547:D4610" ca="1" si="84">_xlfn.T.INV(RAND(),25)*$G$3+$F$3</f>
        <v>40.689041747509485</v>
      </c>
    </row>
    <row r="4548" spans="4:4" x14ac:dyDescent="0.25">
      <c r="D4548">
        <f t="shared" ca="1" si="84"/>
        <v>48.971505437316843</v>
      </c>
    </row>
    <row r="4549" spans="4:4" x14ac:dyDescent="0.25">
      <c r="D4549">
        <f t="shared" ca="1" si="84"/>
        <v>47.031923021610453</v>
      </c>
    </row>
    <row r="4550" spans="4:4" x14ac:dyDescent="0.25">
      <c r="D4550">
        <f t="shared" ca="1" si="84"/>
        <v>41.635806380608287</v>
      </c>
    </row>
    <row r="4551" spans="4:4" x14ac:dyDescent="0.25">
      <c r="D4551">
        <f t="shared" ca="1" si="84"/>
        <v>48.741336109727072</v>
      </c>
    </row>
    <row r="4552" spans="4:4" x14ac:dyDescent="0.25">
      <c r="D4552">
        <f t="shared" ca="1" si="84"/>
        <v>51.280048874858672</v>
      </c>
    </row>
    <row r="4553" spans="4:4" x14ac:dyDescent="0.25">
      <c r="D4553">
        <f t="shared" ca="1" si="84"/>
        <v>47.791790554813147</v>
      </c>
    </row>
    <row r="4554" spans="4:4" x14ac:dyDescent="0.25">
      <c r="D4554">
        <f t="shared" ca="1" si="84"/>
        <v>44.939452126231636</v>
      </c>
    </row>
    <row r="4555" spans="4:4" x14ac:dyDescent="0.25">
      <c r="D4555">
        <f t="shared" ca="1" si="84"/>
        <v>41.381496521451012</v>
      </c>
    </row>
    <row r="4556" spans="4:4" x14ac:dyDescent="0.25">
      <c r="D4556">
        <f t="shared" ca="1" si="84"/>
        <v>43.097014691063634</v>
      </c>
    </row>
    <row r="4557" spans="4:4" x14ac:dyDescent="0.25">
      <c r="D4557">
        <f t="shared" ca="1" si="84"/>
        <v>47.015044884769495</v>
      </c>
    </row>
    <row r="4558" spans="4:4" x14ac:dyDescent="0.25">
      <c r="D4558">
        <f t="shared" ca="1" si="84"/>
        <v>47.499845939718817</v>
      </c>
    </row>
    <row r="4559" spans="4:4" x14ac:dyDescent="0.25">
      <c r="D4559">
        <f t="shared" ca="1" si="84"/>
        <v>45.739269608533206</v>
      </c>
    </row>
    <row r="4560" spans="4:4" x14ac:dyDescent="0.25">
      <c r="D4560">
        <f t="shared" ca="1" si="84"/>
        <v>48.321478366929476</v>
      </c>
    </row>
    <row r="4561" spans="4:4" x14ac:dyDescent="0.25">
      <c r="D4561">
        <f t="shared" ca="1" si="84"/>
        <v>55.191131565189991</v>
      </c>
    </row>
    <row r="4562" spans="4:4" x14ac:dyDescent="0.25">
      <c r="D4562">
        <f t="shared" ca="1" si="84"/>
        <v>43.787842313353416</v>
      </c>
    </row>
    <row r="4563" spans="4:4" x14ac:dyDescent="0.25">
      <c r="D4563">
        <f t="shared" ca="1" si="84"/>
        <v>53.481770262253043</v>
      </c>
    </row>
    <row r="4564" spans="4:4" x14ac:dyDescent="0.25">
      <c r="D4564">
        <f t="shared" ca="1" si="84"/>
        <v>42.033479579793415</v>
      </c>
    </row>
    <row r="4565" spans="4:4" x14ac:dyDescent="0.25">
      <c r="D4565">
        <f t="shared" ca="1" si="84"/>
        <v>49.155578673533306</v>
      </c>
    </row>
    <row r="4566" spans="4:4" x14ac:dyDescent="0.25">
      <c r="D4566">
        <f t="shared" ca="1" si="84"/>
        <v>44.771474031125123</v>
      </c>
    </row>
    <row r="4567" spans="4:4" x14ac:dyDescent="0.25">
      <c r="D4567">
        <f t="shared" ca="1" si="84"/>
        <v>46.317605259723862</v>
      </c>
    </row>
    <row r="4568" spans="4:4" x14ac:dyDescent="0.25">
      <c r="D4568">
        <f t="shared" ca="1" si="84"/>
        <v>47.378475811621882</v>
      </c>
    </row>
    <row r="4569" spans="4:4" x14ac:dyDescent="0.25">
      <c r="D4569">
        <f t="shared" ca="1" si="84"/>
        <v>47.653546496966413</v>
      </c>
    </row>
    <row r="4570" spans="4:4" x14ac:dyDescent="0.25">
      <c r="D4570">
        <f t="shared" ca="1" si="84"/>
        <v>48.473303362748403</v>
      </c>
    </row>
    <row r="4571" spans="4:4" x14ac:dyDescent="0.25">
      <c r="D4571">
        <f t="shared" ca="1" si="84"/>
        <v>48.058286432981525</v>
      </c>
    </row>
    <row r="4572" spans="4:4" x14ac:dyDescent="0.25">
      <c r="D4572">
        <f t="shared" ca="1" si="84"/>
        <v>50.269070664240196</v>
      </c>
    </row>
    <row r="4573" spans="4:4" x14ac:dyDescent="0.25">
      <c r="D4573">
        <f t="shared" ca="1" si="84"/>
        <v>62.503692494378257</v>
      </c>
    </row>
    <row r="4574" spans="4:4" x14ac:dyDescent="0.25">
      <c r="D4574">
        <f t="shared" ca="1" si="84"/>
        <v>46.369644549875055</v>
      </c>
    </row>
    <row r="4575" spans="4:4" x14ac:dyDescent="0.25">
      <c r="D4575">
        <f t="shared" ca="1" si="84"/>
        <v>43.956013967075222</v>
      </c>
    </row>
    <row r="4576" spans="4:4" x14ac:dyDescent="0.25">
      <c r="D4576">
        <f t="shared" ca="1" si="84"/>
        <v>48.637908760723271</v>
      </c>
    </row>
    <row r="4577" spans="4:4" x14ac:dyDescent="0.25">
      <c r="D4577">
        <f t="shared" ca="1" si="84"/>
        <v>50.365636321689188</v>
      </c>
    </row>
    <row r="4578" spans="4:4" x14ac:dyDescent="0.25">
      <c r="D4578">
        <f t="shared" ca="1" si="84"/>
        <v>49.238193978673188</v>
      </c>
    </row>
    <row r="4579" spans="4:4" x14ac:dyDescent="0.25">
      <c r="D4579">
        <f t="shared" ca="1" si="84"/>
        <v>45.472923020499998</v>
      </c>
    </row>
    <row r="4580" spans="4:4" x14ac:dyDescent="0.25">
      <c r="D4580">
        <f t="shared" ca="1" si="84"/>
        <v>48.472422047546686</v>
      </c>
    </row>
    <row r="4581" spans="4:4" x14ac:dyDescent="0.25">
      <c r="D4581">
        <f t="shared" ca="1" si="84"/>
        <v>46.100552104891804</v>
      </c>
    </row>
    <row r="4582" spans="4:4" x14ac:dyDescent="0.25">
      <c r="D4582">
        <f t="shared" ca="1" si="84"/>
        <v>50.523464682445045</v>
      </c>
    </row>
    <row r="4583" spans="4:4" x14ac:dyDescent="0.25">
      <c r="D4583">
        <f t="shared" ca="1" si="84"/>
        <v>35.626034614842595</v>
      </c>
    </row>
    <row r="4584" spans="4:4" x14ac:dyDescent="0.25">
      <c r="D4584">
        <f t="shared" ca="1" si="84"/>
        <v>47.713393299794156</v>
      </c>
    </row>
    <row r="4585" spans="4:4" x14ac:dyDescent="0.25">
      <c r="D4585">
        <f t="shared" ca="1" si="84"/>
        <v>43.580419075103499</v>
      </c>
    </row>
    <row r="4586" spans="4:4" x14ac:dyDescent="0.25">
      <c r="D4586">
        <f t="shared" ca="1" si="84"/>
        <v>47.533151387607447</v>
      </c>
    </row>
    <row r="4587" spans="4:4" x14ac:dyDescent="0.25">
      <c r="D4587">
        <f t="shared" ca="1" si="84"/>
        <v>51.342987390654422</v>
      </c>
    </row>
    <row r="4588" spans="4:4" x14ac:dyDescent="0.25">
      <c r="D4588">
        <f t="shared" ca="1" si="84"/>
        <v>47.705394863659315</v>
      </c>
    </row>
    <row r="4589" spans="4:4" x14ac:dyDescent="0.25">
      <c r="D4589">
        <f t="shared" ca="1" si="84"/>
        <v>52.294484457433967</v>
      </c>
    </row>
    <row r="4590" spans="4:4" x14ac:dyDescent="0.25">
      <c r="D4590">
        <f t="shared" ca="1" si="84"/>
        <v>48.794374045300444</v>
      </c>
    </row>
    <row r="4591" spans="4:4" x14ac:dyDescent="0.25">
      <c r="D4591">
        <f t="shared" ca="1" si="84"/>
        <v>50.923055108920948</v>
      </c>
    </row>
    <row r="4592" spans="4:4" x14ac:dyDescent="0.25">
      <c r="D4592">
        <f t="shared" ca="1" si="84"/>
        <v>57.012340919396678</v>
      </c>
    </row>
    <row r="4593" spans="4:4" x14ac:dyDescent="0.25">
      <c r="D4593">
        <f t="shared" ca="1" si="84"/>
        <v>53.46880681895508</v>
      </c>
    </row>
    <row r="4594" spans="4:4" x14ac:dyDescent="0.25">
      <c r="D4594">
        <f t="shared" ca="1" si="84"/>
        <v>54.689869524851929</v>
      </c>
    </row>
    <row r="4595" spans="4:4" x14ac:dyDescent="0.25">
      <c r="D4595">
        <f t="shared" ca="1" si="84"/>
        <v>52.763346053162472</v>
      </c>
    </row>
    <row r="4596" spans="4:4" x14ac:dyDescent="0.25">
      <c r="D4596">
        <f t="shared" ca="1" si="84"/>
        <v>50.592522974059229</v>
      </c>
    </row>
    <row r="4597" spans="4:4" x14ac:dyDescent="0.25">
      <c r="D4597">
        <f t="shared" ca="1" si="84"/>
        <v>56.332095231521471</v>
      </c>
    </row>
    <row r="4598" spans="4:4" x14ac:dyDescent="0.25">
      <c r="D4598">
        <f t="shared" ca="1" si="84"/>
        <v>39.968612913916331</v>
      </c>
    </row>
    <row r="4599" spans="4:4" x14ac:dyDescent="0.25">
      <c r="D4599">
        <f t="shared" ca="1" si="84"/>
        <v>55.587980859306057</v>
      </c>
    </row>
    <row r="4600" spans="4:4" x14ac:dyDescent="0.25">
      <c r="D4600">
        <f t="shared" ca="1" si="84"/>
        <v>44.441537253640369</v>
      </c>
    </row>
    <row r="4601" spans="4:4" x14ac:dyDescent="0.25">
      <c r="D4601">
        <f t="shared" ca="1" si="84"/>
        <v>42.271678992466818</v>
      </c>
    </row>
    <row r="4602" spans="4:4" x14ac:dyDescent="0.25">
      <c r="D4602">
        <f t="shared" ca="1" si="84"/>
        <v>54.329626965518379</v>
      </c>
    </row>
    <row r="4603" spans="4:4" x14ac:dyDescent="0.25">
      <c r="D4603">
        <f t="shared" ca="1" si="84"/>
        <v>42.225282468857429</v>
      </c>
    </row>
    <row r="4604" spans="4:4" x14ac:dyDescent="0.25">
      <c r="D4604">
        <f t="shared" ca="1" si="84"/>
        <v>45.426019043173582</v>
      </c>
    </row>
    <row r="4605" spans="4:4" x14ac:dyDescent="0.25">
      <c r="D4605">
        <f t="shared" ca="1" si="84"/>
        <v>44.323363830525132</v>
      </c>
    </row>
    <row r="4606" spans="4:4" x14ac:dyDescent="0.25">
      <c r="D4606">
        <f t="shared" ca="1" si="84"/>
        <v>43.575654789087665</v>
      </c>
    </row>
    <row r="4607" spans="4:4" x14ac:dyDescent="0.25">
      <c r="D4607">
        <f t="shared" ca="1" si="84"/>
        <v>50.518975740296398</v>
      </c>
    </row>
    <row r="4608" spans="4:4" x14ac:dyDescent="0.25">
      <c r="D4608">
        <f t="shared" ca="1" si="84"/>
        <v>52.362356992432005</v>
      </c>
    </row>
    <row r="4609" spans="4:4" x14ac:dyDescent="0.25">
      <c r="D4609">
        <f t="shared" ca="1" si="84"/>
        <v>46.892352254907728</v>
      </c>
    </row>
    <row r="4610" spans="4:4" x14ac:dyDescent="0.25">
      <c r="D4610">
        <f t="shared" ca="1" si="84"/>
        <v>49.125146111279633</v>
      </c>
    </row>
    <row r="4611" spans="4:4" x14ac:dyDescent="0.25">
      <c r="D4611">
        <f t="shared" ref="D4611:D4674" ca="1" si="85">_xlfn.T.INV(RAND(),25)*$G$3+$F$3</f>
        <v>51.111243822073178</v>
      </c>
    </row>
    <row r="4612" spans="4:4" x14ac:dyDescent="0.25">
      <c r="D4612">
        <f t="shared" ca="1" si="85"/>
        <v>51.104447957582543</v>
      </c>
    </row>
    <row r="4613" spans="4:4" x14ac:dyDescent="0.25">
      <c r="D4613">
        <f t="shared" ca="1" si="85"/>
        <v>49.991938278890458</v>
      </c>
    </row>
    <row r="4614" spans="4:4" x14ac:dyDescent="0.25">
      <c r="D4614">
        <f t="shared" ca="1" si="85"/>
        <v>54.088953940490384</v>
      </c>
    </row>
    <row r="4615" spans="4:4" x14ac:dyDescent="0.25">
      <c r="D4615">
        <f t="shared" ca="1" si="85"/>
        <v>43.446049158255782</v>
      </c>
    </row>
    <row r="4616" spans="4:4" x14ac:dyDescent="0.25">
      <c r="D4616">
        <f t="shared" ca="1" si="85"/>
        <v>59.044203011350554</v>
      </c>
    </row>
    <row r="4617" spans="4:4" x14ac:dyDescent="0.25">
      <c r="D4617">
        <f t="shared" ca="1" si="85"/>
        <v>46.408528211792408</v>
      </c>
    </row>
    <row r="4618" spans="4:4" x14ac:dyDescent="0.25">
      <c r="D4618">
        <f t="shared" ca="1" si="85"/>
        <v>46.24330822579514</v>
      </c>
    </row>
    <row r="4619" spans="4:4" x14ac:dyDescent="0.25">
      <c r="D4619">
        <f t="shared" ca="1" si="85"/>
        <v>51.861064145220119</v>
      </c>
    </row>
    <row r="4620" spans="4:4" x14ac:dyDescent="0.25">
      <c r="D4620">
        <f t="shared" ca="1" si="85"/>
        <v>43.44276966904166</v>
      </c>
    </row>
    <row r="4621" spans="4:4" x14ac:dyDescent="0.25">
      <c r="D4621">
        <f t="shared" ca="1" si="85"/>
        <v>55.940380376749793</v>
      </c>
    </row>
    <row r="4622" spans="4:4" x14ac:dyDescent="0.25">
      <c r="D4622">
        <f t="shared" ca="1" si="85"/>
        <v>54.385796916147612</v>
      </c>
    </row>
    <row r="4623" spans="4:4" x14ac:dyDescent="0.25">
      <c r="D4623">
        <f t="shared" ca="1" si="85"/>
        <v>50.119939238089216</v>
      </c>
    </row>
    <row r="4624" spans="4:4" x14ac:dyDescent="0.25">
      <c r="D4624">
        <f t="shared" ca="1" si="85"/>
        <v>48.090591747421271</v>
      </c>
    </row>
    <row r="4625" spans="4:4" x14ac:dyDescent="0.25">
      <c r="D4625">
        <f t="shared" ca="1" si="85"/>
        <v>45.67422439989371</v>
      </c>
    </row>
    <row r="4626" spans="4:4" x14ac:dyDescent="0.25">
      <c r="D4626">
        <f t="shared" ca="1" si="85"/>
        <v>46.734045305111287</v>
      </c>
    </row>
    <row r="4627" spans="4:4" x14ac:dyDescent="0.25">
      <c r="D4627">
        <f t="shared" ca="1" si="85"/>
        <v>49.434160481330707</v>
      </c>
    </row>
    <row r="4628" spans="4:4" x14ac:dyDescent="0.25">
      <c r="D4628">
        <f t="shared" ca="1" si="85"/>
        <v>53.199090503127586</v>
      </c>
    </row>
    <row r="4629" spans="4:4" x14ac:dyDescent="0.25">
      <c r="D4629">
        <f t="shared" ca="1" si="85"/>
        <v>42.033922675802025</v>
      </c>
    </row>
    <row r="4630" spans="4:4" x14ac:dyDescent="0.25">
      <c r="D4630">
        <f t="shared" ca="1" si="85"/>
        <v>50.283599962906123</v>
      </c>
    </row>
    <row r="4631" spans="4:4" x14ac:dyDescent="0.25">
      <c r="D4631">
        <f t="shared" ca="1" si="85"/>
        <v>46.981998033386056</v>
      </c>
    </row>
    <row r="4632" spans="4:4" x14ac:dyDescent="0.25">
      <c r="D4632">
        <f t="shared" ca="1" si="85"/>
        <v>45.801741435493362</v>
      </c>
    </row>
    <row r="4633" spans="4:4" x14ac:dyDescent="0.25">
      <c r="D4633">
        <f t="shared" ca="1" si="85"/>
        <v>37.97672810482004</v>
      </c>
    </row>
    <row r="4634" spans="4:4" x14ac:dyDescent="0.25">
      <c r="D4634">
        <f t="shared" ca="1" si="85"/>
        <v>52.083604292407287</v>
      </c>
    </row>
    <row r="4635" spans="4:4" x14ac:dyDescent="0.25">
      <c r="D4635">
        <f t="shared" ca="1" si="85"/>
        <v>49.103589366731462</v>
      </c>
    </row>
    <row r="4636" spans="4:4" x14ac:dyDescent="0.25">
      <c r="D4636">
        <f t="shared" ca="1" si="85"/>
        <v>42.727504444303541</v>
      </c>
    </row>
    <row r="4637" spans="4:4" x14ac:dyDescent="0.25">
      <c r="D4637">
        <f t="shared" ca="1" si="85"/>
        <v>45.706832637364236</v>
      </c>
    </row>
    <row r="4638" spans="4:4" x14ac:dyDescent="0.25">
      <c r="D4638">
        <f t="shared" ca="1" si="85"/>
        <v>55.741223376865996</v>
      </c>
    </row>
    <row r="4639" spans="4:4" x14ac:dyDescent="0.25">
      <c r="D4639">
        <f t="shared" ca="1" si="85"/>
        <v>50.359293937538183</v>
      </c>
    </row>
    <row r="4640" spans="4:4" x14ac:dyDescent="0.25">
      <c r="D4640">
        <f t="shared" ca="1" si="85"/>
        <v>52.0143425006748</v>
      </c>
    </row>
    <row r="4641" spans="4:4" x14ac:dyDescent="0.25">
      <c r="D4641">
        <f t="shared" ca="1" si="85"/>
        <v>50.489111197498787</v>
      </c>
    </row>
    <row r="4642" spans="4:4" x14ac:dyDescent="0.25">
      <c r="D4642">
        <f t="shared" ca="1" si="85"/>
        <v>54.179707551070962</v>
      </c>
    </row>
    <row r="4643" spans="4:4" x14ac:dyDescent="0.25">
      <c r="D4643">
        <f t="shared" ca="1" si="85"/>
        <v>51.197803412270922</v>
      </c>
    </row>
    <row r="4644" spans="4:4" x14ac:dyDescent="0.25">
      <c r="D4644">
        <f t="shared" ca="1" si="85"/>
        <v>44.632604724229914</v>
      </c>
    </row>
    <row r="4645" spans="4:4" x14ac:dyDescent="0.25">
      <c r="D4645">
        <f t="shared" ca="1" si="85"/>
        <v>50.07871048112024</v>
      </c>
    </row>
    <row r="4646" spans="4:4" x14ac:dyDescent="0.25">
      <c r="D4646">
        <f t="shared" ca="1" si="85"/>
        <v>54.314317410057257</v>
      </c>
    </row>
    <row r="4647" spans="4:4" x14ac:dyDescent="0.25">
      <c r="D4647">
        <f t="shared" ca="1" si="85"/>
        <v>46.780376566542941</v>
      </c>
    </row>
    <row r="4648" spans="4:4" x14ac:dyDescent="0.25">
      <c r="D4648">
        <f t="shared" ca="1" si="85"/>
        <v>53.772816786786557</v>
      </c>
    </row>
    <row r="4649" spans="4:4" x14ac:dyDescent="0.25">
      <c r="D4649">
        <f t="shared" ca="1" si="85"/>
        <v>48.829537655672112</v>
      </c>
    </row>
    <row r="4650" spans="4:4" x14ac:dyDescent="0.25">
      <c r="D4650">
        <f t="shared" ca="1" si="85"/>
        <v>48.277344023906664</v>
      </c>
    </row>
    <row r="4651" spans="4:4" x14ac:dyDescent="0.25">
      <c r="D4651">
        <f t="shared" ca="1" si="85"/>
        <v>55.025229118501088</v>
      </c>
    </row>
    <row r="4652" spans="4:4" x14ac:dyDescent="0.25">
      <c r="D4652">
        <f t="shared" ca="1" si="85"/>
        <v>50.743976147669599</v>
      </c>
    </row>
    <row r="4653" spans="4:4" x14ac:dyDescent="0.25">
      <c r="D4653">
        <f t="shared" ca="1" si="85"/>
        <v>46.75951679734888</v>
      </c>
    </row>
    <row r="4654" spans="4:4" x14ac:dyDescent="0.25">
      <c r="D4654">
        <f t="shared" ca="1" si="85"/>
        <v>46.910910347734713</v>
      </c>
    </row>
    <row r="4655" spans="4:4" x14ac:dyDescent="0.25">
      <c r="D4655">
        <f t="shared" ca="1" si="85"/>
        <v>50.300692396092828</v>
      </c>
    </row>
    <row r="4656" spans="4:4" x14ac:dyDescent="0.25">
      <c r="D4656">
        <f t="shared" ca="1" si="85"/>
        <v>47.048902780958528</v>
      </c>
    </row>
    <row r="4657" spans="4:4" x14ac:dyDescent="0.25">
      <c r="D4657">
        <f t="shared" ca="1" si="85"/>
        <v>46.111646021946314</v>
      </c>
    </row>
    <row r="4658" spans="4:4" x14ac:dyDescent="0.25">
      <c r="D4658">
        <f t="shared" ca="1" si="85"/>
        <v>54.580255563757753</v>
      </c>
    </row>
    <row r="4659" spans="4:4" x14ac:dyDescent="0.25">
      <c r="D4659">
        <f t="shared" ca="1" si="85"/>
        <v>49.661636162549812</v>
      </c>
    </row>
    <row r="4660" spans="4:4" x14ac:dyDescent="0.25">
      <c r="D4660">
        <f t="shared" ca="1" si="85"/>
        <v>42.10269306129431</v>
      </c>
    </row>
    <row r="4661" spans="4:4" x14ac:dyDescent="0.25">
      <c r="D4661">
        <f t="shared" ca="1" si="85"/>
        <v>53.791370233334113</v>
      </c>
    </row>
    <row r="4662" spans="4:4" x14ac:dyDescent="0.25">
      <c r="D4662">
        <f t="shared" ca="1" si="85"/>
        <v>51.109100598235976</v>
      </c>
    </row>
    <row r="4663" spans="4:4" x14ac:dyDescent="0.25">
      <c r="D4663">
        <f t="shared" ca="1" si="85"/>
        <v>54.783108926397283</v>
      </c>
    </row>
    <row r="4664" spans="4:4" x14ac:dyDescent="0.25">
      <c r="D4664">
        <f t="shared" ca="1" si="85"/>
        <v>56.32542246770182</v>
      </c>
    </row>
    <row r="4665" spans="4:4" x14ac:dyDescent="0.25">
      <c r="D4665">
        <f t="shared" ca="1" si="85"/>
        <v>51.250627103740207</v>
      </c>
    </row>
    <row r="4666" spans="4:4" x14ac:dyDescent="0.25">
      <c r="D4666">
        <f t="shared" ca="1" si="85"/>
        <v>49.651850087070791</v>
      </c>
    </row>
    <row r="4667" spans="4:4" x14ac:dyDescent="0.25">
      <c r="D4667">
        <f t="shared" ca="1" si="85"/>
        <v>48.867029788594174</v>
      </c>
    </row>
    <row r="4668" spans="4:4" x14ac:dyDescent="0.25">
      <c r="D4668">
        <f t="shared" ca="1" si="85"/>
        <v>43.984762486106163</v>
      </c>
    </row>
    <row r="4669" spans="4:4" x14ac:dyDescent="0.25">
      <c r="D4669">
        <f t="shared" ca="1" si="85"/>
        <v>49.23882177744315</v>
      </c>
    </row>
    <row r="4670" spans="4:4" x14ac:dyDescent="0.25">
      <c r="D4670">
        <f t="shared" ca="1" si="85"/>
        <v>53.298384076160424</v>
      </c>
    </row>
    <row r="4671" spans="4:4" x14ac:dyDescent="0.25">
      <c r="D4671">
        <f t="shared" ca="1" si="85"/>
        <v>54.440890838907912</v>
      </c>
    </row>
    <row r="4672" spans="4:4" x14ac:dyDescent="0.25">
      <c r="D4672">
        <f t="shared" ca="1" si="85"/>
        <v>49.961830046961893</v>
      </c>
    </row>
    <row r="4673" spans="4:4" x14ac:dyDescent="0.25">
      <c r="D4673">
        <f t="shared" ca="1" si="85"/>
        <v>46.282451903748118</v>
      </c>
    </row>
    <row r="4674" spans="4:4" x14ac:dyDescent="0.25">
      <c r="D4674">
        <f t="shared" ca="1" si="85"/>
        <v>50.084417675056983</v>
      </c>
    </row>
    <row r="4675" spans="4:4" x14ac:dyDescent="0.25">
      <c r="D4675">
        <f t="shared" ref="D4675:D4738" ca="1" si="86">_xlfn.T.INV(RAND(),25)*$G$3+$F$3</f>
        <v>48.771242064052743</v>
      </c>
    </row>
    <row r="4676" spans="4:4" x14ac:dyDescent="0.25">
      <c r="D4676">
        <f t="shared" ca="1" si="86"/>
        <v>43.432456625718324</v>
      </c>
    </row>
    <row r="4677" spans="4:4" x14ac:dyDescent="0.25">
      <c r="D4677">
        <f t="shared" ca="1" si="86"/>
        <v>51.167241923649662</v>
      </c>
    </row>
    <row r="4678" spans="4:4" x14ac:dyDescent="0.25">
      <c r="D4678">
        <f t="shared" ca="1" si="86"/>
        <v>50.473140233084145</v>
      </c>
    </row>
    <row r="4679" spans="4:4" x14ac:dyDescent="0.25">
      <c r="D4679">
        <f t="shared" ca="1" si="86"/>
        <v>48.18890151654707</v>
      </c>
    </row>
    <row r="4680" spans="4:4" x14ac:dyDescent="0.25">
      <c r="D4680">
        <f t="shared" ca="1" si="86"/>
        <v>51.516092004879688</v>
      </c>
    </row>
    <row r="4681" spans="4:4" x14ac:dyDescent="0.25">
      <c r="D4681">
        <f t="shared" ca="1" si="86"/>
        <v>53.40546126749279</v>
      </c>
    </row>
    <row r="4682" spans="4:4" x14ac:dyDescent="0.25">
      <c r="D4682">
        <f t="shared" ca="1" si="86"/>
        <v>54.520711375749606</v>
      </c>
    </row>
    <row r="4683" spans="4:4" x14ac:dyDescent="0.25">
      <c r="D4683">
        <f t="shared" ca="1" si="86"/>
        <v>48.874415596960411</v>
      </c>
    </row>
    <row r="4684" spans="4:4" x14ac:dyDescent="0.25">
      <c r="D4684">
        <f t="shared" ca="1" si="86"/>
        <v>47.576545454040236</v>
      </c>
    </row>
    <row r="4685" spans="4:4" x14ac:dyDescent="0.25">
      <c r="D4685">
        <f t="shared" ca="1" si="86"/>
        <v>56.695277303811366</v>
      </c>
    </row>
    <row r="4686" spans="4:4" x14ac:dyDescent="0.25">
      <c r="D4686">
        <f t="shared" ca="1" si="86"/>
        <v>42.090665676575668</v>
      </c>
    </row>
    <row r="4687" spans="4:4" x14ac:dyDescent="0.25">
      <c r="D4687">
        <f t="shared" ca="1" si="86"/>
        <v>48.616680328658312</v>
      </c>
    </row>
    <row r="4688" spans="4:4" x14ac:dyDescent="0.25">
      <c r="D4688">
        <f t="shared" ca="1" si="86"/>
        <v>51.303386152467141</v>
      </c>
    </row>
    <row r="4689" spans="4:4" x14ac:dyDescent="0.25">
      <c r="D4689">
        <f t="shared" ca="1" si="86"/>
        <v>55.000017946389377</v>
      </c>
    </row>
    <row r="4690" spans="4:4" x14ac:dyDescent="0.25">
      <c r="D4690">
        <f t="shared" ca="1" si="86"/>
        <v>56.294486740197101</v>
      </c>
    </row>
    <row r="4691" spans="4:4" x14ac:dyDescent="0.25">
      <c r="D4691">
        <f t="shared" ca="1" si="86"/>
        <v>56.489423011512528</v>
      </c>
    </row>
    <row r="4692" spans="4:4" x14ac:dyDescent="0.25">
      <c r="D4692">
        <f t="shared" ca="1" si="86"/>
        <v>50.310508652080145</v>
      </c>
    </row>
    <row r="4693" spans="4:4" x14ac:dyDescent="0.25">
      <c r="D4693">
        <f t="shared" ca="1" si="86"/>
        <v>51.74914334957262</v>
      </c>
    </row>
    <row r="4694" spans="4:4" x14ac:dyDescent="0.25">
      <c r="D4694">
        <f t="shared" ca="1" si="86"/>
        <v>47.348090257881097</v>
      </c>
    </row>
    <row r="4695" spans="4:4" x14ac:dyDescent="0.25">
      <c r="D4695">
        <f t="shared" ca="1" si="86"/>
        <v>50.073435788856017</v>
      </c>
    </row>
    <row r="4696" spans="4:4" x14ac:dyDescent="0.25">
      <c r="D4696">
        <f t="shared" ca="1" si="86"/>
        <v>48.492942892174284</v>
      </c>
    </row>
    <row r="4697" spans="4:4" x14ac:dyDescent="0.25">
      <c r="D4697">
        <f t="shared" ca="1" si="86"/>
        <v>51.620202912168551</v>
      </c>
    </row>
    <row r="4698" spans="4:4" x14ac:dyDescent="0.25">
      <c r="D4698">
        <f t="shared" ca="1" si="86"/>
        <v>52.05834211313843</v>
      </c>
    </row>
    <row r="4699" spans="4:4" x14ac:dyDescent="0.25">
      <c r="D4699">
        <f t="shared" ca="1" si="86"/>
        <v>49.224264189209705</v>
      </c>
    </row>
    <row r="4700" spans="4:4" x14ac:dyDescent="0.25">
      <c r="D4700">
        <f t="shared" ca="1" si="86"/>
        <v>56.66234763494375</v>
      </c>
    </row>
    <row r="4701" spans="4:4" x14ac:dyDescent="0.25">
      <c r="D4701">
        <f t="shared" ca="1" si="86"/>
        <v>56.459845282300137</v>
      </c>
    </row>
    <row r="4702" spans="4:4" x14ac:dyDescent="0.25">
      <c r="D4702">
        <f t="shared" ca="1" si="86"/>
        <v>52.011665185568027</v>
      </c>
    </row>
    <row r="4703" spans="4:4" x14ac:dyDescent="0.25">
      <c r="D4703">
        <f t="shared" ca="1" si="86"/>
        <v>53.694069524958572</v>
      </c>
    </row>
    <row r="4704" spans="4:4" x14ac:dyDescent="0.25">
      <c r="D4704">
        <f t="shared" ca="1" si="86"/>
        <v>55.456612896076258</v>
      </c>
    </row>
    <row r="4705" spans="4:4" x14ac:dyDescent="0.25">
      <c r="D4705">
        <f t="shared" ca="1" si="86"/>
        <v>43.4462904428242</v>
      </c>
    </row>
    <row r="4706" spans="4:4" x14ac:dyDescent="0.25">
      <c r="D4706">
        <f t="shared" ca="1" si="86"/>
        <v>51.142786279291997</v>
      </c>
    </row>
    <row r="4707" spans="4:4" x14ac:dyDescent="0.25">
      <c r="D4707">
        <f t="shared" ca="1" si="86"/>
        <v>53.039954985679557</v>
      </c>
    </row>
    <row r="4708" spans="4:4" x14ac:dyDescent="0.25">
      <c r="D4708">
        <f t="shared" ca="1" si="86"/>
        <v>49.778836060663217</v>
      </c>
    </row>
    <row r="4709" spans="4:4" x14ac:dyDescent="0.25">
      <c r="D4709">
        <f t="shared" ca="1" si="86"/>
        <v>44.65411634705989</v>
      </c>
    </row>
    <row r="4710" spans="4:4" x14ac:dyDescent="0.25">
      <c r="D4710">
        <f t="shared" ca="1" si="86"/>
        <v>47.560455572811378</v>
      </c>
    </row>
    <row r="4711" spans="4:4" x14ac:dyDescent="0.25">
      <c r="D4711">
        <f t="shared" ca="1" si="86"/>
        <v>49.722214766865925</v>
      </c>
    </row>
    <row r="4712" spans="4:4" x14ac:dyDescent="0.25">
      <c r="D4712">
        <f t="shared" ca="1" si="86"/>
        <v>51.425729254140805</v>
      </c>
    </row>
    <row r="4713" spans="4:4" x14ac:dyDescent="0.25">
      <c r="D4713">
        <f t="shared" ca="1" si="86"/>
        <v>51.459971085873107</v>
      </c>
    </row>
    <row r="4714" spans="4:4" x14ac:dyDescent="0.25">
      <c r="D4714">
        <f t="shared" ca="1" si="86"/>
        <v>61.199967179466398</v>
      </c>
    </row>
    <row r="4715" spans="4:4" x14ac:dyDescent="0.25">
      <c r="D4715">
        <f t="shared" ca="1" si="86"/>
        <v>57.060934486710138</v>
      </c>
    </row>
    <row r="4716" spans="4:4" x14ac:dyDescent="0.25">
      <c r="D4716">
        <f t="shared" ca="1" si="86"/>
        <v>44.545418986810233</v>
      </c>
    </row>
    <row r="4717" spans="4:4" x14ac:dyDescent="0.25">
      <c r="D4717">
        <f t="shared" ca="1" si="86"/>
        <v>47.482780336929117</v>
      </c>
    </row>
    <row r="4718" spans="4:4" x14ac:dyDescent="0.25">
      <c r="D4718">
        <f t="shared" ca="1" si="86"/>
        <v>52.728309193394018</v>
      </c>
    </row>
    <row r="4719" spans="4:4" x14ac:dyDescent="0.25">
      <c r="D4719">
        <f t="shared" ca="1" si="86"/>
        <v>36.586395857353892</v>
      </c>
    </row>
    <row r="4720" spans="4:4" x14ac:dyDescent="0.25">
      <c r="D4720">
        <f t="shared" ca="1" si="86"/>
        <v>47.892996748510107</v>
      </c>
    </row>
    <row r="4721" spans="4:4" x14ac:dyDescent="0.25">
      <c r="D4721">
        <f t="shared" ca="1" si="86"/>
        <v>54.728057306463029</v>
      </c>
    </row>
    <row r="4722" spans="4:4" x14ac:dyDescent="0.25">
      <c r="D4722">
        <f t="shared" ca="1" si="86"/>
        <v>45.697955901382535</v>
      </c>
    </row>
    <row r="4723" spans="4:4" x14ac:dyDescent="0.25">
      <c r="D4723">
        <f t="shared" ca="1" si="86"/>
        <v>56.326834534315523</v>
      </c>
    </row>
    <row r="4724" spans="4:4" x14ac:dyDescent="0.25">
      <c r="D4724">
        <f t="shared" ca="1" si="86"/>
        <v>54.067054182037694</v>
      </c>
    </row>
    <row r="4725" spans="4:4" x14ac:dyDescent="0.25">
      <c r="D4725">
        <f t="shared" ca="1" si="86"/>
        <v>48.1706658420024</v>
      </c>
    </row>
    <row r="4726" spans="4:4" x14ac:dyDescent="0.25">
      <c r="D4726">
        <f t="shared" ca="1" si="86"/>
        <v>50.193915808667491</v>
      </c>
    </row>
    <row r="4727" spans="4:4" x14ac:dyDescent="0.25">
      <c r="D4727">
        <f t="shared" ca="1" si="86"/>
        <v>45.894194939969985</v>
      </c>
    </row>
    <row r="4728" spans="4:4" x14ac:dyDescent="0.25">
      <c r="D4728">
        <f t="shared" ca="1" si="86"/>
        <v>41.865515911133812</v>
      </c>
    </row>
    <row r="4729" spans="4:4" x14ac:dyDescent="0.25">
      <c r="D4729">
        <f t="shared" ca="1" si="86"/>
        <v>50.164117985235116</v>
      </c>
    </row>
    <row r="4730" spans="4:4" x14ac:dyDescent="0.25">
      <c r="D4730">
        <f t="shared" ca="1" si="86"/>
        <v>54.473564190360868</v>
      </c>
    </row>
    <row r="4731" spans="4:4" x14ac:dyDescent="0.25">
      <c r="D4731">
        <f t="shared" ca="1" si="86"/>
        <v>52.284210679088851</v>
      </c>
    </row>
    <row r="4732" spans="4:4" x14ac:dyDescent="0.25">
      <c r="D4732">
        <f t="shared" ca="1" si="86"/>
        <v>49.873957001829879</v>
      </c>
    </row>
    <row r="4733" spans="4:4" x14ac:dyDescent="0.25">
      <c r="D4733">
        <f t="shared" ca="1" si="86"/>
        <v>51.72547054739114</v>
      </c>
    </row>
    <row r="4734" spans="4:4" x14ac:dyDescent="0.25">
      <c r="D4734">
        <f t="shared" ca="1" si="86"/>
        <v>42.241609101293172</v>
      </c>
    </row>
    <row r="4735" spans="4:4" x14ac:dyDescent="0.25">
      <c r="D4735">
        <f t="shared" ca="1" si="86"/>
        <v>46.972937367703906</v>
      </c>
    </row>
    <row r="4736" spans="4:4" x14ac:dyDescent="0.25">
      <c r="D4736">
        <f t="shared" ca="1" si="86"/>
        <v>44.49703249329103</v>
      </c>
    </row>
    <row r="4737" spans="4:4" x14ac:dyDescent="0.25">
      <c r="D4737">
        <f t="shared" ca="1" si="86"/>
        <v>44.248152257314089</v>
      </c>
    </row>
    <row r="4738" spans="4:4" x14ac:dyDescent="0.25">
      <c r="D4738">
        <f t="shared" ca="1" si="86"/>
        <v>46.81898779045482</v>
      </c>
    </row>
    <row r="4739" spans="4:4" x14ac:dyDescent="0.25">
      <c r="D4739">
        <f t="shared" ref="D4739:D4802" ca="1" si="87">_xlfn.T.INV(RAND(),25)*$G$3+$F$3</f>
        <v>48.769973234161633</v>
      </c>
    </row>
    <row r="4740" spans="4:4" x14ac:dyDescent="0.25">
      <c r="D4740">
        <f t="shared" ca="1" si="87"/>
        <v>45.924923312479422</v>
      </c>
    </row>
    <row r="4741" spans="4:4" x14ac:dyDescent="0.25">
      <c r="D4741">
        <f t="shared" ca="1" si="87"/>
        <v>48.992748050938964</v>
      </c>
    </row>
    <row r="4742" spans="4:4" x14ac:dyDescent="0.25">
      <c r="D4742">
        <f t="shared" ca="1" si="87"/>
        <v>54.493909482342083</v>
      </c>
    </row>
    <row r="4743" spans="4:4" x14ac:dyDescent="0.25">
      <c r="D4743">
        <f t="shared" ca="1" si="87"/>
        <v>45.488000911525809</v>
      </c>
    </row>
    <row r="4744" spans="4:4" x14ac:dyDescent="0.25">
      <c r="D4744">
        <f t="shared" ca="1" si="87"/>
        <v>51.475116008702763</v>
      </c>
    </row>
    <row r="4745" spans="4:4" x14ac:dyDescent="0.25">
      <c r="D4745">
        <f t="shared" ca="1" si="87"/>
        <v>49.425633775212432</v>
      </c>
    </row>
    <row r="4746" spans="4:4" x14ac:dyDescent="0.25">
      <c r="D4746">
        <f t="shared" ca="1" si="87"/>
        <v>51.785578924238365</v>
      </c>
    </row>
    <row r="4747" spans="4:4" x14ac:dyDescent="0.25">
      <c r="D4747">
        <f t="shared" ca="1" si="87"/>
        <v>56.590303299221823</v>
      </c>
    </row>
    <row r="4748" spans="4:4" x14ac:dyDescent="0.25">
      <c r="D4748">
        <f t="shared" ca="1" si="87"/>
        <v>59.795405875835279</v>
      </c>
    </row>
    <row r="4749" spans="4:4" x14ac:dyDescent="0.25">
      <c r="D4749">
        <f t="shared" ca="1" si="87"/>
        <v>41.844960674478813</v>
      </c>
    </row>
    <row r="4750" spans="4:4" x14ac:dyDescent="0.25">
      <c r="D4750">
        <f t="shared" ca="1" si="87"/>
        <v>50.63103038898673</v>
      </c>
    </row>
    <row r="4751" spans="4:4" x14ac:dyDescent="0.25">
      <c r="D4751">
        <f t="shared" ca="1" si="87"/>
        <v>40.21340178130712</v>
      </c>
    </row>
    <row r="4752" spans="4:4" x14ac:dyDescent="0.25">
      <c r="D4752">
        <f t="shared" ca="1" si="87"/>
        <v>47.934770468448953</v>
      </c>
    </row>
    <row r="4753" spans="4:4" x14ac:dyDescent="0.25">
      <c r="D4753">
        <f t="shared" ca="1" si="87"/>
        <v>44.036939658756118</v>
      </c>
    </row>
    <row r="4754" spans="4:4" x14ac:dyDescent="0.25">
      <c r="D4754">
        <f t="shared" ca="1" si="87"/>
        <v>50.875150180595767</v>
      </c>
    </row>
    <row r="4755" spans="4:4" x14ac:dyDescent="0.25">
      <c r="D4755">
        <f t="shared" ca="1" si="87"/>
        <v>47.791852055993125</v>
      </c>
    </row>
    <row r="4756" spans="4:4" x14ac:dyDescent="0.25">
      <c r="D4756">
        <f t="shared" ca="1" si="87"/>
        <v>43.08875570506175</v>
      </c>
    </row>
    <row r="4757" spans="4:4" x14ac:dyDescent="0.25">
      <c r="D4757">
        <f t="shared" ca="1" si="87"/>
        <v>49.018088771271067</v>
      </c>
    </row>
    <row r="4758" spans="4:4" x14ac:dyDescent="0.25">
      <c r="D4758">
        <f t="shared" ca="1" si="87"/>
        <v>52.076974582751632</v>
      </c>
    </row>
    <row r="4759" spans="4:4" x14ac:dyDescent="0.25">
      <c r="D4759">
        <f t="shared" ca="1" si="87"/>
        <v>51.618350471587455</v>
      </c>
    </row>
    <row r="4760" spans="4:4" x14ac:dyDescent="0.25">
      <c r="D4760">
        <f t="shared" ca="1" si="87"/>
        <v>43.842830999009067</v>
      </c>
    </row>
    <row r="4761" spans="4:4" x14ac:dyDescent="0.25">
      <c r="D4761">
        <f t="shared" ca="1" si="87"/>
        <v>48.1450030041456</v>
      </c>
    </row>
    <row r="4762" spans="4:4" x14ac:dyDescent="0.25">
      <c r="D4762">
        <f t="shared" ca="1" si="87"/>
        <v>37.653816020818681</v>
      </c>
    </row>
    <row r="4763" spans="4:4" x14ac:dyDescent="0.25">
      <c r="D4763">
        <f t="shared" ca="1" si="87"/>
        <v>45.40537482600503</v>
      </c>
    </row>
    <row r="4764" spans="4:4" x14ac:dyDescent="0.25">
      <c r="D4764">
        <f t="shared" ca="1" si="87"/>
        <v>49.448202543229165</v>
      </c>
    </row>
    <row r="4765" spans="4:4" x14ac:dyDescent="0.25">
      <c r="D4765">
        <f t="shared" ca="1" si="87"/>
        <v>49.235282791182335</v>
      </c>
    </row>
    <row r="4766" spans="4:4" x14ac:dyDescent="0.25">
      <c r="D4766">
        <f t="shared" ca="1" si="87"/>
        <v>57.468013700016691</v>
      </c>
    </row>
    <row r="4767" spans="4:4" x14ac:dyDescent="0.25">
      <c r="D4767">
        <f t="shared" ca="1" si="87"/>
        <v>53.043951683041186</v>
      </c>
    </row>
    <row r="4768" spans="4:4" x14ac:dyDescent="0.25">
      <c r="D4768">
        <f t="shared" ca="1" si="87"/>
        <v>45.196800893329161</v>
      </c>
    </row>
    <row r="4769" spans="4:4" x14ac:dyDescent="0.25">
      <c r="D4769">
        <f t="shared" ca="1" si="87"/>
        <v>51.928362718121313</v>
      </c>
    </row>
    <row r="4770" spans="4:4" x14ac:dyDescent="0.25">
      <c r="D4770">
        <f t="shared" ca="1" si="87"/>
        <v>52.46329923172393</v>
      </c>
    </row>
    <row r="4771" spans="4:4" x14ac:dyDescent="0.25">
      <c r="D4771">
        <f t="shared" ca="1" si="87"/>
        <v>49.869616653540909</v>
      </c>
    </row>
    <row r="4772" spans="4:4" x14ac:dyDescent="0.25">
      <c r="D4772">
        <f t="shared" ca="1" si="87"/>
        <v>55.602005901999263</v>
      </c>
    </row>
    <row r="4773" spans="4:4" x14ac:dyDescent="0.25">
      <c r="D4773">
        <f t="shared" ca="1" si="87"/>
        <v>53.803137071598421</v>
      </c>
    </row>
    <row r="4774" spans="4:4" x14ac:dyDescent="0.25">
      <c r="D4774">
        <f t="shared" ca="1" si="87"/>
        <v>46.622032326602579</v>
      </c>
    </row>
    <row r="4775" spans="4:4" x14ac:dyDescent="0.25">
      <c r="D4775">
        <f t="shared" ca="1" si="87"/>
        <v>45.844781005374521</v>
      </c>
    </row>
    <row r="4776" spans="4:4" x14ac:dyDescent="0.25">
      <c r="D4776">
        <f t="shared" ca="1" si="87"/>
        <v>50.710109291770237</v>
      </c>
    </row>
    <row r="4777" spans="4:4" x14ac:dyDescent="0.25">
      <c r="D4777">
        <f t="shared" ca="1" si="87"/>
        <v>41.022773318943479</v>
      </c>
    </row>
    <row r="4778" spans="4:4" x14ac:dyDescent="0.25">
      <c r="D4778">
        <f t="shared" ca="1" si="87"/>
        <v>56.72830654087776</v>
      </c>
    </row>
    <row r="4779" spans="4:4" x14ac:dyDescent="0.25">
      <c r="D4779">
        <f t="shared" ca="1" si="87"/>
        <v>44.413287569604222</v>
      </c>
    </row>
    <row r="4780" spans="4:4" x14ac:dyDescent="0.25">
      <c r="D4780">
        <f t="shared" ca="1" si="87"/>
        <v>48.564936638515242</v>
      </c>
    </row>
    <row r="4781" spans="4:4" x14ac:dyDescent="0.25">
      <c r="D4781">
        <f t="shared" ca="1" si="87"/>
        <v>49.409689206615774</v>
      </c>
    </row>
    <row r="4782" spans="4:4" x14ac:dyDescent="0.25">
      <c r="D4782">
        <f t="shared" ca="1" si="87"/>
        <v>44.196618960141805</v>
      </c>
    </row>
    <row r="4783" spans="4:4" x14ac:dyDescent="0.25">
      <c r="D4783">
        <f t="shared" ca="1" si="87"/>
        <v>46.089990902698545</v>
      </c>
    </row>
    <row r="4784" spans="4:4" x14ac:dyDescent="0.25">
      <c r="D4784">
        <f t="shared" ca="1" si="87"/>
        <v>44.100932447981236</v>
      </c>
    </row>
    <row r="4785" spans="4:4" x14ac:dyDescent="0.25">
      <c r="D4785">
        <f t="shared" ca="1" si="87"/>
        <v>43.766528021303522</v>
      </c>
    </row>
    <row r="4786" spans="4:4" x14ac:dyDescent="0.25">
      <c r="D4786">
        <f t="shared" ca="1" si="87"/>
        <v>56.929114709028433</v>
      </c>
    </row>
    <row r="4787" spans="4:4" x14ac:dyDescent="0.25">
      <c r="D4787">
        <f t="shared" ca="1" si="87"/>
        <v>55.820447332784013</v>
      </c>
    </row>
    <row r="4788" spans="4:4" x14ac:dyDescent="0.25">
      <c r="D4788">
        <f t="shared" ca="1" si="87"/>
        <v>49.747278384021648</v>
      </c>
    </row>
    <row r="4789" spans="4:4" x14ac:dyDescent="0.25">
      <c r="D4789">
        <f t="shared" ca="1" si="87"/>
        <v>44.654098061251851</v>
      </c>
    </row>
    <row r="4790" spans="4:4" x14ac:dyDescent="0.25">
      <c r="D4790">
        <f t="shared" ca="1" si="87"/>
        <v>50.733155154600169</v>
      </c>
    </row>
    <row r="4791" spans="4:4" x14ac:dyDescent="0.25">
      <c r="D4791">
        <f t="shared" ca="1" si="87"/>
        <v>45.907943623463197</v>
      </c>
    </row>
    <row r="4792" spans="4:4" x14ac:dyDescent="0.25">
      <c r="D4792">
        <f t="shared" ca="1" si="87"/>
        <v>53.351644777987858</v>
      </c>
    </row>
    <row r="4793" spans="4:4" x14ac:dyDescent="0.25">
      <c r="D4793">
        <f t="shared" ca="1" si="87"/>
        <v>52.821237636362447</v>
      </c>
    </row>
    <row r="4794" spans="4:4" x14ac:dyDescent="0.25">
      <c r="D4794">
        <f t="shared" ca="1" si="87"/>
        <v>54.577441855265199</v>
      </c>
    </row>
    <row r="4795" spans="4:4" x14ac:dyDescent="0.25">
      <c r="D4795">
        <f t="shared" ca="1" si="87"/>
        <v>51.308097502851894</v>
      </c>
    </row>
    <row r="4796" spans="4:4" x14ac:dyDescent="0.25">
      <c r="D4796">
        <f t="shared" ca="1" si="87"/>
        <v>46.910797550505514</v>
      </c>
    </row>
    <row r="4797" spans="4:4" x14ac:dyDescent="0.25">
      <c r="D4797">
        <f t="shared" ca="1" si="87"/>
        <v>45.109304954722376</v>
      </c>
    </row>
    <row r="4798" spans="4:4" x14ac:dyDescent="0.25">
      <c r="D4798">
        <f t="shared" ca="1" si="87"/>
        <v>52.229213125400548</v>
      </c>
    </row>
    <row r="4799" spans="4:4" x14ac:dyDescent="0.25">
      <c r="D4799">
        <f t="shared" ca="1" si="87"/>
        <v>48.473693801760753</v>
      </c>
    </row>
    <row r="4800" spans="4:4" x14ac:dyDescent="0.25">
      <c r="D4800">
        <f t="shared" ca="1" si="87"/>
        <v>53.055474207607993</v>
      </c>
    </row>
    <row r="4801" spans="4:4" x14ac:dyDescent="0.25">
      <c r="D4801">
        <f t="shared" ca="1" si="87"/>
        <v>47.681059915630009</v>
      </c>
    </row>
    <row r="4802" spans="4:4" x14ac:dyDescent="0.25">
      <c r="D4802">
        <f t="shared" ca="1" si="87"/>
        <v>43.209868102994243</v>
      </c>
    </row>
    <row r="4803" spans="4:4" x14ac:dyDescent="0.25">
      <c r="D4803">
        <f t="shared" ref="D4803:D4866" ca="1" si="88">_xlfn.T.INV(RAND(),25)*$G$3+$F$3</f>
        <v>57.09547114355518</v>
      </c>
    </row>
    <row r="4804" spans="4:4" x14ac:dyDescent="0.25">
      <c r="D4804">
        <f t="shared" ca="1" si="88"/>
        <v>48.65428060452868</v>
      </c>
    </row>
    <row r="4805" spans="4:4" x14ac:dyDescent="0.25">
      <c r="D4805">
        <f t="shared" ca="1" si="88"/>
        <v>45.442877229263715</v>
      </c>
    </row>
    <row r="4806" spans="4:4" x14ac:dyDescent="0.25">
      <c r="D4806">
        <f t="shared" ca="1" si="88"/>
        <v>49.894468104927697</v>
      </c>
    </row>
    <row r="4807" spans="4:4" x14ac:dyDescent="0.25">
      <c r="D4807">
        <f t="shared" ca="1" si="88"/>
        <v>45.192957207617368</v>
      </c>
    </row>
    <row r="4808" spans="4:4" x14ac:dyDescent="0.25">
      <c r="D4808">
        <f t="shared" ca="1" si="88"/>
        <v>48.637258027962787</v>
      </c>
    </row>
    <row r="4809" spans="4:4" x14ac:dyDescent="0.25">
      <c r="D4809">
        <f t="shared" ca="1" si="88"/>
        <v>49.899121139071468</v>
      </c>
    </row>
    <row r="4810" spans="4:4" x14ac:dyDescent="0.25">
      <c r="D4810">
        <f t="shared" ca="1" si="88"/>
        <v>55.754536929646108</v>
      </c>
    </row>
    <row r="4811" spans="4:4" x14ac:dyDescent="0.25">
      <c r="D4811">
        <f t="shared" ca="1" si="88"/>
        <v>50.804409215306904</v>
      </c>
    </row>
    <row r="4812" spans="4:4" x14ac:dyDescent="0.25">
      <c r="D4812">
        <f t="shared" ca="1" si="88"/>
        <v>45.045437129617433</v>
      </c>
    </row>
    <row r="4813" spans="4:4" x14ac:dyDescent="0.25">
      <c r="D4813">
        <f t="shared" ca="1" si="88"/>
        <v>42.945325091907563</v>
      </c>
    </row>
    <row r="4814" spans="4:4" x14ac:dyDescent="0.25">
      <c r="D4814">
        <f t="shared" ca="1" si="88"/>
        <v>46.875911316681176</v>
      </c>
    </row>
    <row r="4815" spans="4:4" x14ac:dyDescent="0.25">
      <c r="D4815">
        <f t="shared" ca="1" si="88"/>
        <v>55.081792714375929</v>
      </c>
    </row>
    <row r="4816" spans="4:4" x14ac:dyDescent="0.25">
      <c r="D4816">
        <f t="shared" ca="1" si="88"/>
        <v>44.627981170009633</v>
      </c>
    </row>
    <row r="4817" spans="4:4" x14ac:dyDescent="0.25">
      <c r="D4817">
        <f t="shared" ca="1" si="88"/>
        <v>47.087561694300426</v>
      </c>
    </row>
    <row r="4818" spans="4:4" x14ac:dyDescent="0.25">
      <c r="D4818">
        <f t="shared" ca="1" si="88"/>
        <v>43.768567214921866</v>
      </c>
    </row>
    <row r="4819" spans="4:4" x14ac:dyDescent="0.25">
      <c r="D4819">
        <f t="shared" ca="1" si="88"/>
        <v>57.541842551617741</v>
      </c>
    </row>
    <row r="4820" spans="4:4" x14ac:dyDescent="0.25">
      <c r="D4820">
        <f t="shared" ca="1" si="88"/>
        <v>55.47901225988798</v>
      </c>
    </row>
    <row r="4821" spans="4:4" x14ac:dyDescent="0.25">
      <c r="D4821">
        <f t="shared" ca="1" si="88"/>
        <v>50.247830904278203</v>
      </c>
    </row>
    <row r="4822" spans="4:4" x14ac:dyDescent="0.25">
      <c r="D4822">
        <f t="shared" ca="1" si="88"/>
        <v>60.526494914799898</v>
      </c>
    </row>
    <row r="4823" spans="4:4" x14ac:dyDescent="0.25">
      <c r="D4823">
        <f t="shared" ca="1" si="88"/>
        <v>50.489452478686559</v>
      </c>
    </row>
    <row r="4824" spans="4:4" x14ac:dyDescent="0.25">
      <c r="D4824">
        <f t="shared" ca="1" si="88"/>
        <v>48.656870206981566</v>
      </c>
    </row>
    <row r="4825" spans="4:4" x14ac:dyDescent="0.25">
      <c r="D4825">
        <f t="shared" ca="1" si="88"/>
        <v>47.512323497674174</v>
      </c>
    </row>
    <row r="4826" spans="4:4" x14ac:dyDescent="0.25">
      <c r="D4826">
        <f t="shared" ca="1" si="88"/>
        <v>55.635431238379255</v>
      </c>
    </row>
    <row r="4827" spans="4:4" x14ac:dyDescent="0.25">
      <c r="D4827">
        <f t="shared" ca="1" si="88"/>
        <v>38.86859927127427</v>
      </c>
    </row>
    <row r="4828" spans="4:4" x14ac:dyDescent="0.25">
      <c r="D4828">
        <f t="shared" ca="1" si="88"/>
        <v>48.731929237089268</v>
      </c>
    </row>
    <row r="4829" spans="4:4" x14ac:dyDescent="0.25">
      <c r="D4829">
        <f t="shared" ca="1" si="88"/>
        <v>59.602012406578069</v>
      </c>
    </row>
    <row r="4830" spans="4:4" x14ac:dyDescent="0.25">
      <c r="D4830">
        <f t="shared" ca="1" si="88"/>
        <v>50.472490076942542</v>
      </c>
    </row>
    <row r="4831" spans="4:4" x14ac:dyDescent="0.25">
      <c r="D4831">
        <f t="shared" ca="1" si="88"/>
        <v>44.201841716741832</v>
      </c>
    </row>
    <row r="4832" spans="4:4" x14ac:dyDescent="0.25">
      <c r="D4832">
        <f t="shared" ca="1" si="88"/>
        <v>47.384999789632822</v>
      </c>
    </row>
    <row r="4833" spans="4:4" x14ac:dyDescent="0.25">
      <c r="D4833">
        <f t="shared" ca="1" si="88"/>
        <v>42.590437810468522</v>
      </c>
    </row>
    <row r="4834" spans="4:4" x14ac:dyDescent="0.25">
      <c r="D4834">
        <f t="shared" ca="1" si="88"/>
        <v>52.502606203872951</v>
      </c>
    </row>
    <row r="4835" spans="4:4" x14ac:dyDescent="0.25">
      <c r="D4835">
        <f t="shared" ca="1" si="88"/>
        <v>51.28707853475219</v>
      </c>
    </row>
    <row r="4836" spans="4:4" x14ac:dyDescent="0.25">
      <c r="D4836">
        <f t="shared" ca="1" si="88"/>
        <v>43.011842453647738</v>
      </c>
    </row>
    <row r="4837" spans="4:4" x14ac:dyDescent="0.25">
      <c r="D4837">
        <f t="shared" ca="1" si="88"/>
        <v>51.173847363301213</v>
      </c>
    </row>
    <row r="4838" spans="4:4" x14ac:dyDescent="0.25">
      <c r="D4838">
        <f t="shared" ca="1" si="88"/>
        <v>53.493272501434745</v>
      </c>
    </row>
    <row r="4839" spans="4:4" x14ac:dyDescent="0.25">
      <c r="D4839">
        <f t="shared" ca="1" si="88"/>
        <v>55.699308747701721</v>
      </c>
    </row>
    <row r="4840" spans="4:4" x14ac:dyDescent="0.25">
      <c r="D4840">
        <f t="shared" ca="1" si="88"/>
        <v>48.046608806373463</v>
      </c>
    </row>
    <row r="4841" spans="4:4" x14ac:dyDescent="0.25">
      <c r="D4841">
        <f t="shared" ca="1" si="88"/>
        <v>51.680977880450286</v>
      </c>
    </row>
    <row r="4842" spans="4:4" x14ac:dyDescent="0.25">
      <c r="D4842">
        <f t="shared" ca="1" si="88"/>
        <v>49.778092682600644</v>
      </c>
    </row>
    <row r="4843" spans="4:4" x14ac:dyDescent="0.25">
      <c r="D4843">
        <f t="shared" ca="1" si="88"/>
        <v>60.64658505733324</v>
      </c>
    </row>
    <row r="4844" spans="4:4" x14ac:dyDescent="0.25">
      <c r="D4844">
        <f t="shared" ca="1" si="88"/>
        <v>45.619473792332151</v>
      </c>
    </row>
    <row r="4845" spans="4:4" x14ac:dyDescent="0.25">
      <c r="D4845">
        <f t="shared" ca="1" si="88"/>
        <v>49.954658707938549</v>
      </c>
    </row>
    <row r="4846" spans="4:4" x14ac:dyDescent="0.25">
      <c r="D4846">
        <f t="shared" ca="1" si="88"/>
        <v>52.21124549034851</v>
      </c>
    </row>
    <row r="4847" spans="4:4" x14ac:dyDescent="0.25">
      <c r="D4847">
        <f t="shared" ca="1" si="88"/>
        <v>55.10163627140404</v>
      </c>
    </row>
    <row r="4848" spans="4:4" x14ac:dyDescent="0.25">
      <c r="D4848">
        <f t="shared" ca="1" si="88"/>
        <v>47.432956807558448</v>
      </c>
    </row>
    <row r="4849" spans="4:4" x14ac:dyDescent="0.25">
      <c r="D4849">
        <f t="shared" ca="1" si="88"/>
        <v>51.527888531604525</v>
      </c>
    </row>
    <row r="4850" spans="4:4" x14ac:dyDescent="0.25">
      <c r="D4850">
        <f t="shared" ca="1" si="88"/>
        <v>44.718597390059244</v>
      </c>
    </row>
    <row r="4851" spans="4:4" x14ac:dyDescent="0.25">
      <c r="D4851">
        <f t="shared" ca="1" si="88"/>
        <v>48.08907960465713</v>
      </c>
    </row>
    <row r="4852" spans="4:4" x14ac:dyDescent="0.25">
      <c r="D4852">
        <f t="shared" ca="1" si="88"/>
        <v>47.173917693842036</v>
      </c>
    </row>
    <row r="4853" spans="4:4" x14ac:dyDescent="0.25">
      <c r="D4853">
        <f t="shared" ca="1" si="88"/>
        <v>42.128701865436021</v>
      </c>
    </row>
    <row r="4854" spans="4:4" x14ac:dyDescent="0.25">
      <c r="D4854">
        <f t="shared" ca="1" si="88"/>
        <v>60.05427999113769</v>
      </c>
    </row>
    <row r="4855" spans="4:4" x14ac:dyDescent="0.25">
      <c r="D4855">
        <f t="shared" ca="1" si="88"/>
        <v>47.73190892118064</v>
      </c>
    </row>
    <row r="4856" spans="4:4" x14ac:dyDescent="0.25">
      <c r="D4856">
        <f t="shared" ca="1" si="88"/>
        <v>51.428367045078524</v>
      </c>
    </row>
    <row r="4857" spans="4:4" x14ac:dyDescent="0.25">
      <c r="D4857">
        <f t="shared" ca="1" si="88"/>
        <v>50.514346162589703</v>
      </c>
    </row>
    <row r="4858" spans="4:4" x14ac:dyDescent="0.25">
      <c r="D4858">
        <f t="shared" ca="1" si="88"/>
        <v>45.976578053612819</v>
      </c>
    </row>
    <row r="4859" spans="4:4" x14ac:dyDescent="0.25">
      <c r="D4859">
        <f t="shared" ca="1" si="88"/>
        <v>49.733856384520287</v>
      </c>
    </row>
    <row r="4860" spans="4:4" x14ac:dyDescent="0.25">
      <c r="D4860">
        <f t="shared" ca="1" si="88"/>
        <v>52.739706902007974</v>
      </c>
    </row>
    <row r="4861" spans="4:4" x14ac:dyDescent="0.25">
      <c r="D4861">
        <f t="shared" ca="1" si="88"/>
        <v>46.809461563546023</v>
      </c>
    </row>
    <row r="4862" spans="4:4" x14ac:dyDescent="0.25">
      <c r="D4862">
        <f t="shared" ca="1" si="88"/>
        <v>45.349722274633699</v>
      </c>
    </row>
    <row r="4863" spans="4:4" x14ac:dyDescent="0.25">
      <c r="D4863">
        <f t="shared" ca="1" si="88"/>
        <v>57.528616013963905</v>
      </c>
    </row>
    <row r="4864" spans="4:4" x14ac:dyDescent="0.25">
      <c r="D4864">
        <f t="shared" ca="1" si="88"/>
        <v>46.167512054135898</v>
      </c>
    </row>
    <row r="4865" spans="4:4" x14ac:dyDescent="0.25">
      <c r="D4865">
        <f t="shared" ca="1" si="88"/>
        <v>48.647862379826449</v>
      </c>
    </row>
    <row r="4866" spans="4:4" x14ac:dyDescent="0.25">
      <c r="D4866">
        <f t="shared" ca="1" si="88"/>
        <v>57.025655937283922</v>
      </c>
    </row>
    <row r="4867" spans="4:4" x14ac:dyDescent="0.25">
      <c r="D4867">
        <f t="shared" ref="D4867:D4930" ca="1" si="89">_xlfn.T.INV(RAND(),25)*$G$3+$F$3</f>
        <v>40.840360253286697</v>
      </c>
    </row>
    <row r="4868" spans="4:4" x14ac:dyDescent="0.25">
      <c r="D4868">
        <f t="shared" ca="1" si="89"/>
        <v>45.027184292970048</v>
      </c>
    </row>
    <row r="4869" spans="4:4" x14ac:dyDescent="0.25">
      <c r="D4869">
        <f t="shared" ca="1" si="89"/>
        <v>52.413084159692907</v>
      </c>
    </row>
    <row r="4870" spans="4:4" x14ac:dyDescent="0.25">
      <c r="D4870">
        <f t="shared" ca="1" si="89"/>
        <v>53.557978831937461</v>
      </c>
    </row>
    <row r="4871" spans="4:4" x14ac:dyDescent="0.25">
      <c r="D4871">
        <f t="shared" ca="1" si="89"/>
        <v>49.987540888682936</v>
      </c>
    </row>
    <row r="4872" spans="4:4" x14ac:dyDescent="0.25">
      <c r="D4872">
        <f t="shared" ca="1" si="89"/>
        <v>54.52124594859032</v>
      </c>
    </row>
    <row r="4873" spans="4:4" x14ac:dyDescent="0.25">
      <c r="D4873">
        <f t="shared" ca="1" si="89"/>
        <v>50.892306151345181</v>
      </c>
    </row>
    <row r="4874" spans="4:4" x14ac:dyDescent="0.25">
      <c r="D4874">
        <f t="shared" ca="1" si="89"/>
        <v>52.617540031992888</v>
      </c>
    </row>
    <row r="4875" spans="4:4" x14ac:dyDescent="0.25">
      <c r="D4875">
        <f t="shared" ca="1" si="89"/>
        <v>49.277329443034276</v>
      </c>
    </row>
    <row r="4876" spans="4:4" x14ac:dyDescent="0.25">
      <c r="D4876">
        <f t="shared" ca="1" si="89"/>
        <v>54.484754882869332</v>
      </c>
    </row>
    <row r="4877" spans="4:4" x14ac:dyDescent="0.25">
      <c r="D4877">
        <f t="shared" ca="1" si="89"/>
        <v>49.228266104137191</v>
      </c>
    </row>
    <row r="4878" spans="4:4" x14ac:dyDescent="0.25">
      <c r="D4878">
        <f t="shared" ca="1" si="89"/>
        <v>44.566592949269612</v>
      </c>
    </row>
    <row r="4879" spans="4:4" x14ac:dyDescent="0.25">
      <c r="D4879">
        <f t="shared" ca="1" si="89"/>
        <v>48.799875218497263</v>
      </c>
    </row>
    <row r="4880" spans="4:4" x14ac:dyDescent="0.25">
      <c r="D4880">
        <f t="shared" ca="1" si="89"/>
        <v>49.485502016836911</v>
      </c>
    </row>
    <row r="4881" spans="4:4" x14ac:dyDescent="0.25">
      <c r="D4881">
        <f t="shared" ca="1" si="89"/>
        <v>44.164025503173477</v>
      </c>
    </row>
    <row r="4882" spans="4:4" x14ac:dyDescent="0.25">
      <c r="D4882">
        <f t="shared" ca="1" si="89"/>
        <v>52.059189374850583</v>
      </c>
    </row>
    <row r="4883" spans="4:4" x14ac:dyDescent="0.25">
      <c r="D4883">
        <f t="shared" ca="1" si="89"/>
        <v>45.940430068532031</v>
      </c>
    </row>
    <row r="4884" spans="4:4" x14ac:dyDescent="0.25">
      <c r="D4884">
        <f t="shared" ca="1" si="89"/>
        <v>54.407625314080768</v>
      </c>
    </row>
    <row r="4885" spans="4:4" x14ac:dyDescent="0.25">
      <c r="D4885">
        <f t="shared" ca="1" si="89"/>
        <v>52.111410727500136</v>
      </c>
    </row>
    <row r="4886" spans="4:4" x14ac:dyDescent="0.25">
      <c r="D4886">
        <f t="shared" ca="1" si="89"/>
        <v>54.685826736958028</v>
      </c>
    </row>
    <row r="4887" spans="4:4" x14ac:dyDescent="0.25">
      <c r="D4887">
        <f t="shared" ca="1" si="89"/>
        <v>43.437918707349638</v>
      </c>
    </row>
    <row r="4888" spans="4:4" x14ac:dyDescent="0.25">
      <c r="D4888">
        <f t="shared" ca="1" si="89"/>
        <v>47.805310461973583</v>
      </c>
    </row>
    <row r="4889" spans="4:4" x14ac:dyDescent="0.25">
      <c r="D4889">
        <f t="shared" ca="1" si="89"/>
        <v>49.982866178335939</v>
      </c>
    </row>
    <row r="4890" spans="4:4" x14ac:dyDescent="0.25">
      <c r="D4890">
        <f t="shared" ca="1" si="89"/>
        <v>50.248124972532338</v>
      </c>
    </row>
    <row r="4891" spans="4:4" x14ac:dyDescent="0.25">
      <c r="D4891">
        <f t="shared" ca="1" si="89"/>
        <v>54.003617288296951</v>
      </c>
    </row>
    <row r="4892" spans="4:4" x14ac:dyDescent="0.25">
      <c r="D4892">
        <f t="shared" ca="1" si="89"/>
        <v>51.10400741117072</v>
      </c>
    </row>
    <row r="4893" spans="4:4" x14ac:dyDescent="0.25">
      <c r="D4893">
        <f t="shared" ca="1" si="89"/>
        <v>45.836988801278515</v>
      </c>
    </row>
    <row r="4894" spans="4:4" x14ac:dyDescent="0.25">
      <c r="D4894">
        <f t="shared" ca="1" si="89"/>
        <v>50.444668337367055</v>
      </c>
    </row>
    <row r="4895" spans="4:4" x14ac:dyDescent="0.25">
      <c r="D4895">
        <f t="shared" ca="1" si="89"/>
        <v>48.244251843723241</v>
      </c>
    </row>
    <row r="4896" spans="4:4" x14ac:dyDescent="0.25">
      <c r="D4896">
        <f t="shared" ca="1" si="89"/>
        <v>54.112394414111257</v>
      </c>
    </row>
    <row r="4897" spans="4:4" x14ac:dyDescent="0.25">
      <c r="D4897">
        <f t="shared" ca="1" si="89"/>
        <v>41.364636170853203</v>
      </c>
    </row>
    <row r="4898" spans="4:4" x14ac:dyDescent="0.25">
      <c r="D4898">
        <f t="shared" ca="1" si="89"/>
        <v>56.782933084367258</v>
      </c>
    </row>
    <row r="4899" spans="4:4" x14ac:dyDescent="0.25">
      <c r="D4899">
        <f t="shared" ca="1" si="89"/>
        <v>53.39342512638337</v>
      </c>
    </row>
    <row r="4900" spans="4:4" x14ac:dyDescent="0.25">
      <c r="D4900">
        <f t="shared" ca="1" si="89"/>
        <v>47.338002838547176</v>
      </c>
    </row>
    <row r="4901" spans="4:4" x14ac:dyDescent="0.25">
      <c r="D4901">
        <f t="shared" ca="1" si="89"/>
        <v>43.893253710045137</v>
      </c>
    </row>
    <row r="4902" spans="4:4" x14ac:dyDescent="0.25">
      <c r="D4902">
        <f t="shared" ca="1" si="89"/>
        <v>53.987133858114021</v>
      </c>
    </row>
    <row r="4903" spans="4:4" x14ac:dyDescent="0.25">
      <c r="D4903">
        <f t="shared" ca="1" si="89"/>
        <v>40.219199520584688</v>
      </c>
    </row>
    <row r="4904" spans="4:4" x14ac:dyDescent="0.25">
      <c r="D4904">
        <f t="shared" ca="1" si="89"/>
        <v>51.332304400169555</v>
      </c>
    </row>
    <row r="4905" spans="4:4" x14ac:dyDescent="0.25">
      <c r="D4905">
        <f t="shared" ca="1" si="89"/>
        <v>48.003273383024712</v>
      </c>
    </row>
    <row r="4906" spans="4:4" x14ac:dyDescent="0.25">
      <c r="D4906">
        <f t="shared" ca="1" si="89"/>
        <v>46.850330111971651</v>
      </c>
    </row>
    <row r="4907" spans="4:4" x14ac:dyDescent="0.25">
      <c r="D4907">
        <f t="shared" ca="1" si="89"/>
        <v>55.891904342470902</v>
      </c>
    </row>
    <row r="4908" spans="4:4" x14ac:dyDescent="0.25">
      <c r="D4908">
        <f t="shared" ca="1" si="89"/>
        <v>41.215602300583512</v>
      </c>
    </row>
    <row r="4909" spans="4:4" x14ac:dyDescent="0.25">
      <c r="D4909">
        <f t="shared" ca="1" si="89"/>
        <v>51.5820645439765</v>
      </c>
    </row>
    <row r="4910" spans="4:4" x14ac:dyDescent="0.25">
      <c r="D4910">
        <f t="shared" ca="1" si="89"/>
        <v>51.337848142337165</v>
      </c>
    </row>
    <row r="4911" spans="4:4" x14ac:dyDescent="0.25">
      <c r="D4911">
        <f t="shared" ca="1" si="89"/>
        <v>54.369399107175752</v>
      </c>
    </row>
    <row r="4912" spans="4:4" x14ac:dyDescent="0.25">
      <c r="D4912">
        <f t="shared" ca="1" si="89"/>
        <v>56.264640234427169</v>
      </c>
    </row>
    <row r="4913" spans="4:4" x14ac:dyDescent="0.25">
      <c r="D4913">
        <f t="shared" ca="1" si="89"/>
        <v>50.884691863640668</v>
      </c>
    </row>
    <row r="4914" spans="4:4" x14ac:dyDescent="0.25">
      <c r="D4914">
        <f t="shared" ca="1" si="89"/>
        <v>53.448993859180462</v>
      </c>
    </row>
    <row r="4915" spans="4:4" x14ac:dyDescent="0.25">
      <c r="D4915">
        <f t="shared" ca="1" si="89"/>
        <v>51.571989943949319</v>
      </c>
    </row>
    <row r="4916" spans="4:4" x14ac:dyDescent="0.25">
      <c r="D4916">
        <f t="shared" ca="1" si="89"/>
        <v>44.094017792255848</v>
      </c>
    </row>
    <row r="4917" spans="4:4" x14ac:dyDescent="0.25">
      <c r="D4917">
        <f t="shared" ca="1" si="89"/>
        <v>50.073070834455351</v>
      </c>
    </row>
    <row r="4918" spans="4:4" x14ac:dyDescent="0.25">
      <c r="D4918">
        <f t="shared" ca="1" si="89"/>
        <v>50.677046064588545</v>
      </c>
    </row>
    <row r="4919" spans="4:4" x14ac:dyDescent="0.25">
      <c r="D4919">
        <f t="shared" ca="1" si="89"/>
        <v>55.282198735829411</v>
      </c>
    </row>
    <row r="4920" spans="4:4" x14ac:dyDescent="0.25">
      <c r="D4920">
        <f t="shared" ca="1" si="89"/>
        <v>54.08563780334778</v>
      </c>
    </row>
    <row r="4921" spans="4:4" x14ac:dyDescent="0.25">
      <c r="D4921">
        <f t="shared" ca="1" si="89"/>
        <v>39.560201059976464</v>
      </c>
    </row>
    <row r="4922" spans="4:4" x14ac:dyDescent="0.25">
      <c r="D4922">
        <f t="shared" ca="1" si="89"/>
        <v>37.998177963218744</v>
      </c>
    </row>
    <row r="4923" spans="4:4" x14ac:dyDescent="0.25">
      <c r="D4923">
        <f t="shared" ca="1" si="89"/>
        <v>37.720844569969898</v>
      </c>
    </row>
    <row r="4924" spans="4:4" x14ac:dyDescent="0.25">
      <c r="D4924">
        <f t="shared" ca="1" si="89"/>
        <v>45.564582419970385</v>
      </c>
    </row>
    <row r="4925" spans="4:4" x14ac:dyDescent="0.25">
      <c r="D4925">
        <f t="shared" ca="1" si="89"/>
        <v>43.17280913723004</v>
      </c>
    </row>
    <row r="4926" spans="4:4" x14ac:dyDescent="0.25">
      <c r="D4926">
        <f t="shared" ca="1" si="89"/>
        <v>45.942475649233643</v>
      </c>
    </row>
    <row r="4927" spans="4:4" x14ac:dyDescent="0.25">
      <c r="D4927">
        <f t="shared" ca="1" si="89"/>
        <v>46.671626427829423</v>
      </c>
    </row>
    <row r="4928" spans="4:4" x14ac:dyDescent="0.25">
      <c r="D4928">
        <f t="shared" ca="1" si="89"/>
        <v>38.970939736273991</v>
      </c>
    </row>
    <row r="4929" spans="4:4" x14ac:dyDescent="0.25">
      <c r="D4929">
        <f t="shared" ca="1" si="89"/>
        <v>42.627461469123041</v>
      </c>
    </row>
    <row r="4930" spans="4:4" x14ac:dyDescent="0.25">
      <c r="D4930">
        <f t="shared" ca="1" si="89"/>
        <v>55.094929429933011</v>
      </c>
    </row>
    <row r="4931" spans="4:4" x14ac:dyDescent="0.25">
      <c r="D4931">
        <f t="shared" ref="D4931:D4994" ca="1" si="90">_xlfn.T.INV(RAND(),25)*$G$3+$F$3</f>
        <v>47.086169399235189</v>
      </c>
    </row>
    <row r="4932" spans="4:4" x14ac:dyDescent="0.25">
      <c r="D4932">
        <f t="shared" ca="1" si="90"/>
        <v>48.892985383882689</v>
      </c>
    </row>
    <row r="4933" spans="4:4" x14ac:dyDescent="0.25">
      <c r="D4933">
        <f t="shared" ca="1" si="90"/>
        <v>41.000788800346321</v>
      </c>
    </row>
    <row r="4934" spans="4:4" x14ac:dyDescent="0.25">
      <c r="D4934">
        <f t="shared" ca="1" si="90"/>
        <v>59.659900678967745</v>
      </c>
    </row>
    <row r="4935" spans="4:4" x14ac:dyDescent="0.25">
      <c r="D4935">
        <f t="shared" ca="1" si="90"/>
        <v>47.488910437967917</v>
      </c>
    </row>
    <row r="4936" spans="4:4" x14ac:dyDescent="0.25">
      <c r="D4936">
        <f t="shared" ca="1" si="90"/>
        <v>49.322024671464106</v>
      </c>
    </row>
    <row r="4937" spans="4:4" x14ac:dyDescent="0.25">
      <c r="D4937">
        <f t="shared" ca="1" si="90"/>
        <v>50.204818846746328</v>
      </c>
    </row>
    <row r="4938" spans="4:4" x14ac:dyDescent="0.25">
      <c r="D4938">
        <f t="shared" ca="1" si="90"/>
        <v>38.978440278469748</v>
      </c>
    </row>
    <row r="4939" spans="4:4" x14ac:dyDescent="0.25">
      <c r="D4939">
        <f t="shared" ca="1" si="90"/>
        <v>54.232927877580295</v>
      </c>
    </row>
    <row r="4940" spans="4:4" x14ac:dyDescent="0.25">
      <c r="D4940">
        <f t="shared" ca="1" si="90"/>
        <v>58.917862070752179</v>
      </c>
    </row>
    <row r="4941" spans="4:4" x14ac:dyDescent="0.25">
      <c r="D4941">
        <f t="shared" ca="1" si="90"/>
        <v>48.45296747286519</v>
      </c>
    </row>
    <row r="4942" spans="4:4" x14ac:dyDescent="0.25">
      <c r="D4942">
        <f t="shared" ca="1" si="90"/>
        <v>46.832426155830717</v>
      </c>
    </row>
    <row r="4943" spans="4:4" x14ac:dyDescent="0.25">
      <c r="D4943">
        <f t="shared" ca="1" si="90"/>
        <v>49.826270581454686</v>
      </c>
    </row>
    <row r="4944" spans="4:4" x14ac:dyDescent="0.25">
      <c r="D4944">
        <f t="shared" ca="1" si="90"/>
        <v>45.418348950370373</v>
      </c>
    </row>
    <row r="4945" spans="4:4" x14ac:dyDescent="0.25">
      <c r="D4945">
        <f t="shared" ca="1" si="90"/>
        <v>51.869063053954264</v>
      </c>
    </row>
    <row r="4946" spans="4:4" x14ac:dyDescent="0.25">
      <c r="D4946">
        <f t="shared" ca="1" si="90"/>
        <v>46.296220853043742</v>
      </c>
    </row>
    <row r="4947" spans="4:4" x14ac:dyDescent="0.25">
      <c r="D4947">
        <f t="shared" ca="1" si="90"/>
        <v>53.910001747356134</v>
      </c>
    </row>
    <row r="4948" spans="4:4" x14ac:dyDescent="0.25">
      <c r="D4948">
        <f t="shared" ca="1" si="90"/>
        <v>43.602219046391603</v>
      </c>
    </row>
    <row r="4949" spans="4:4" x14ac:dyDescent="0.25">
      <c r="D4949">
        <f t="shared" ca="1" si="90"/>
        <v>59.645144772559455</v>
      </c>
    </row>
    <row r="4950" spans="4:4" x14ac:dyDescent="0.25">
      <c r="D4950">
        <f t="shared" ca="1" si="90"/>
        <v>48.346615490797475</v>
      </c>
    </row>
    <row r="4951" spans="4:4" x14ac:dyDescent="0.25">
      <c r="D4951">
        <f t="shared" ca="1" si="90"/>
        <v>63.585047419002279</v>
      </c>
    </row>
    <row r="4952" spans="4:4" x14ac:dyDescent="0.25">
      <c r="D4952">
        <f t="shared" ca="1" si="90"/>
        <v>44.251464958935983</v>
      </c>
    </row>
    <row r="4953" spans="4:4" x14ac:dyDescent="0.25">
      <c r="D4953">
        <f t="shared" ca="1" si="90"/>
        <v>45.896586259561452</v>
      </c>
    </row>
    <row r="4954" spans="4:4" x14ac:dyDescent="0.25">
      <c r="D4954">
        <f t="shared" ca="1" si="90"/>
        <v>40.656452937391087</v>
      </c>
    </row>
    <row r="4955" spans="4:4" x14ac:dyDescent="0.25">
      <c r="D4955">
        <f t="shared" ca="1" si="90"/>
        <v>42.605958782775659</v>
      </c>
    </row>
    <row r="4956" spans="4:4" x14ac:dyDescent="0.25">
      <c r="D4956">
        <f t="shared" ca="1" si="90"/>
        <v>50.337430837630237</v>
      </c>
    </row>
    <row r="4957" spans="4:4" x14ac:dyDescent="0.25">
      <c r="D4957">
        <f t="shared" ca="1" si="90"/>
        <v>51.813737035476436</v>
      </c>
    </row>
    <row r="4958" spans="4:4" x14ac:dyDescent="0.25">
      <c r="D4958">
        <f t="shared" ca="1" si="90"/>
        <v>48.398155614716757</v>
      </c>
    </row>
    <row r="4959" spans="4:4" x14ac:dyDescent="0.25">
      <c r="D4959">
        <f t="shared" ca="1" si="90"/>
        <v>53.79100344916818</v>
      </c>
    </row>
    <row r="4960" spans="4:4" x14ac:dyDescent="0.25">
      <c r="D4960">
        <f t="shared" ca="1" si="90"/>
        <v>50.440821084913523</v>
      </c>
    </row>
    <row r="4961" spans="4:4" x14ac:dyDescent="0.25">
      <c r="D4961">
        <f t="shared" ca="1" si="90"/>
        <v>46.464072585634092</v>
      </c>
    </row>
    <row r="4962" spans="4:4" x14ac:dyDescent="0.25">
      <c r="D4962">
        <f t="shared" ca="1" si="90"/>
        <v>48.230167738278602</v>
      </c>
    </row>
    <row r="4963" spans="4:4" x14ac:dyDescent="0.25">
      <c r="D4963">
        <f t="shared" ca="1" si="90"/>
        <v>47.521269463257561</v>
      </c>
    </row>
    <row r="4964" spans="4:4" x14ac:dyDescent="0.25">
      <c r="D4964">
        <f t="shared" ca="1" si="90"/>
        <v>57.503863773839939</v>
      </c>
    </row>
    <row r="4965" spans="4:4" x14ac:dyDescent="0.25">
      <c r="D4965">
        <f t="shared" ca="1" si="90"/>
        <v>46.636499102975506</v>
      </c>
    </row>
    <row r="4966" spans="4:4" x14ac:dyDescent="0.25">
      <c r="D4966">
        <f t="shared" ca="1" si="90"/>
        <v>51.428799797799307</v>
      </c>
    </row>
    <row r="4967" spans="4:4" x14ac:dyDescent="0.25">
      <c r="D4967">
        <f t="shared" ca="1" si="90"/>
        <v>54.331979538866563</v>
      </c>
    </row>
    <row r="4968" spans="4:4" x14ac:dyDescent="0.25">
      <c r="D4968">
        <f t="shared" ca="1" si="90"/>
        <v>38.726795120315607</v>
      </c>
    </row>
    <row r="4969" spans="4:4" x14ac:dyDescent="0.25">
      <c r="D4969">
        <f t="shared" ca="1" si="90"/>
        <v>40.477374245916295</v>
      </c>
    </row>
    <row r="4970" spans="4:4" x14ac:dyDescent="0.25">
      <c r="D4970">
        <f t="shared" ca="1" si="90"/>
        <v>58.571650322801112</v>
      </c>
    </row>
    <row r="4971" spans="4:4" x14ac:dyDescent="0.25">
      <c r="D4971">
        <f t="shared" ca="1" si="90"/>
        <v>46.781926649164205</v>
      </c>
    </row>
    <row r="4972" spans="4:4" x14ac:dyDescent="0.25">
      <c r="D4972">
        <f t="shared" ca="1" si="90"/>
        <v>50.498095436770704</v>
      </c>
    </row>
    <row r="4973" spans="4:4" x14ac:dyDescent="0.25">
      <c r="D4973">
        <f t="shared" ca="1" si="90"/>
        <v>54.296371716388265</v>
      </c>
    </row>
    <row r="4974" spans="4:4" x14ac:dyDescent="0.25">
      <c r="D4974">
        <f t="shared" ca="1" si="90"/>
        <v>52.566856178389116</v>
      </c>
    </row>
    <row r="4975" spans="4:4" x14ac:dyDescent="0.25">
      <c r="D4975">
        <f t="shared" ca="1" si="90"/>
        <v>43.072177066325935</v>
      </c>
    </row>
    <row r="4976" spans="4:4" x14ac:dyDescent="0.25">
      <c r="D4976">
        <f t="shared" ca="1" si="90"/>
        <v>49.626468531939793</v>
      </c>
    </row>
    <row r="4977" spans="4:4" x14ac:dyDescent="0.25">
      <c r="D4977">
        <f t="shared" ca="1" si="90"/>
        <v>56.059857739583869</v>
      </c>
    </row>
    <row r="4978" spans="4:4" x14ac:dyDescent="0.25">
      <c r="D4978">
        <f t="shared" ca="1" si="90"/>
        <v>51.334190320929274</v>
      </c>
    </row>
    <row r="4979" spans="4:4" x14ac:dyDescent="0.25">
      <c r="D4979">
        <f t="shared" ca="1" si="90"/>
        <v>51.262820504444271</v>
      </c>
    </row>
    <row r="4980" spans="4:4" x14ac:dyDescent="0.25">
      <c r="D4980">
        <f t="shared" ca="1" si="90"/>
        <v>46.64022473075805</v>
      </c>
    </row>
    <row r="4981" spans="4:4" x14ac:dyDescent="0.25">
      <c r="D4981">
        <f t="shared" ca="1" si="90"/>
        <v>48.265700580902603</v>
      </c>
    </row>
    <row r="4982" spans="4:4" x14ac:dyDescent="0.25">
      <c r="D4982">
        <f t="shared" ca="1" si="90"/>
        <v>50.729586935099483</v>
      </c>
    </row>
    <row r="4983" spans="4:4" x14ac:dyDescent="0.25">
      <c r="D4983">
        <f t="shared" ca="1" si="90"/>
        <v>47.939210479540158</v>
      </c>
    </row>
    <row r="4984" spans="4:4" x14ac:dyDescent="0.25">
      <c r="D4984">
        <f t="shared" ca="1" si="90"/>
        <v>47.246764794948049</v>
      </c>
    </row>
    <row r="4985" spans="4:4" x14ac:dyDescent="0.25">
      <c r="D4985">
        <f t="shared" ca="1" si="90"/>
        <v>41.736572796875414</v>
      </c>
    </row>
    <row r="4986" spans="4:4" x14ac:dyDescent="0.25">
      <c r="D4986">
        <f t="shared" ca="1" si="90"/>
        <v>45.50930328493785</v>
      </c>
    </row>
    <row r="4987" spans="4:4" x14ac:dyDescent="0.25">
      <c r="D4987">
        <f t="shared" ca="1" si="90"/>
        <v>52.283004643802776</v>
      </c>
    </row>
    <row r="4988" spans="4:4" x14ac:dyDescent="0.25">
      <c r="D4988">
        <f t="shared" ca="1" si="90"/>
        <v>46.184449801239005</v>
      </c>
    </row>
    <row r="4989" spans="4:4" x14ac:dyDescent="0.25">
      <c r="D4989">
        <f t="shared" ca="1" si="90"/>
        <v>53.22156758899937</v>
      </c>
    </row>
    <row r="4990" spans="4:4" x14ac:dyDescent="0.25">
      <c r="D4990">
        <f t="shared" ca="1" si="90"/>
        <v>50.200927904108198</v>
      </c>
    </row>
    <row r="4991" spans="4:4" x14ac:dyDescent="0.25">
      <c r="D4991">
        <f t="shared" ca="1" si="90"/>
        <v>49.534124007399214</v>
      </c>
    </row>
    <row r="4992" spans="4:4" x14ac:dyDescent="0.25">
      <c r="D4992">
        <f t="shared" ca="1" si="90"/>
        <v>47.202674611059038</v>
      </c>
    </row>
    <row r="4993" spans="4:4" x14ac:dyDescent="0.25">
      <c r="D4993">
        <f t="shared" ca="1" si="90"/>
        <v>45.740338736577222</v>
      </c>
    </row>
    <row r="4994" spans="4:4" x14ac:dyDescent="0.25">
      <c r="D4994">
        <f t="shared" ca="1" si="90"/>
        <v>51.948694887857194</v>
      </c>
    </row>
    <row r="4995" spans="4:4" x14ac:dyDescent="0.25">
      <c r="D4995">
        <f t="shared" ref="D4995:D5000" ca="1" si="91">_xlfn.T.INV(RAND(),25)*$G$3+$F$3</f>
        <v>55.969945143764235</v>
      </c>
    </row>
    <row r="4996" spans="4:4" x14ac:dyDescent="0.25">
      <c r="D4996">
        <f t="shared" ca="1" si="91"/>
        <v>45.857152400447283</v>
      </c>
    </row>
    <row r="4997" spans="4:4" x14ac:dyDescent="0.25">
      <c r="D4997">
        <f t="shared" ca="1" si="91"/>
        <v>50.571736832158408</v>
      </c>
    </row>
    <row r="4998" spans="4:4" x14ac:dyDescent="0.25">
      <c r="D4998">
        <f t="shared" ca="1" si="91"/>
        <v>47.094815298507037</v>
      </c>
    </row>
    <row r="4999" spans="4:4" x14ac:dyDescent="0.25">
      <c r="D4999">
        <f t="shared" ca="1" si="91"/>
        <v>43.795376954109976</v>
      </c>
    </row>
    <row r="5000" spans="4:4" x14ac:dyDescent="0.25">
      <c r="D5000">
        <f t="shared" ca="1" si="91"/>
        <v>56.476119180331054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2021-07-13T18:21:18Z</dcterms:modified>
</cp:coreProperties>
</file>