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2526/Dropbox (Personal)/Studying/Accounting/Financial Accounting/2024 Fall MBA/recitation dec 8 (6th after midterm)/"/>
    </mc:Choice>
  </mc:AlternateContent>
  <xr:revisionPtr revIDLastSave="0" documentId="13_ncr:1_{7C5E97C8-09A1-4448-AD68-544DFFD63493}" xr6:coauthVersionLast="47" xr6:coauthVersionMax="47" xr10:uidLastSave="{00000000-0000-0000-0000-000000000000}"/>
  <bookViews>
    <workbookView xWindow="-45820" yWindow="1080" windowWidth="33600" windowHeight="21040" activeTab="2" xr2:uid="{C8EF88F9-C64E-2F4B-8689-BB74325169B1}"/>
  </bookViews>
  <sheets>
    <sheet name="Q2" sheetId="1" r:id="rId1"/>
    <sheet name="Q3" sheetId="2" r:id="rId2"/>
    <sheet name="Q4" sheetId="3" r:id="rId3"/>
    <sheet name="Q5" sheetId="4" r:id="rId4"/>
    <sheet name="Q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B37" i="5"/>
  <c r="B36" i="5"/>
  <c r="E26" i="5"/>
  <c r="E23" i="5"/>
  <c r="B1" i="4" l="1"/>
  <c r="B7" i="4" s="1"/>
  <c r="F18" i="4" s="1"/>
  <c r="D33" i="3"/>
  <c r="C32" i="3"/>
  <c r="B28" i="3"/>
  <c r="D22" i="3"/>
  <c r="E22" i="3"/>
  <c r="D16" i="3"/>
  <c r="E16" i="3" s="1"/>
  <c r="C16" i="3" s="1"/>
  <c r="D17" i="3" s="1"/>
  <c r="E17" i="3" s="1"/>
  <c r="C17" i="3" s="1"/>
  <c r="D18" i="3" s="1"/>
  <c r="E18" i="3" s="1"/>
  <c r="C18" i="3" s="1"/>
  <c r="D19" i="3" s="1"/>
  <c r="E19" i="3" s="1"/>
  <c r="C19" i="3" s="1"/>
  <c r="D20" i="3" s="1"/>
  <c r="E20" i="3" s="1"/>
  <c r="C20" i="3" s="1"/>
  <c r="D21" i="3" s="1"/>
  <c r="E21" i="3" s="1"/>
  <c r="C21" i="3" s="1"/>
  <c r="C11" i="3"/>
  <c r="D12" i="3"/>
  <c r="C10" i="3"/>
  <c r="C45" i="2"/>
  <c r="C44" i="2"/>
  <c r="C43" i="2"/>
  <c r="C40" i="2"/>
  <c r="C39" i="2"/>
  <c r="C36" i="2"/>
  <c r="B36" i="2"/>
  <c r="C35" i="2"/>
  <c r="B35" i="2"/>
  <c r="C30" i="2"/>
  <c r="C31" i="2" s="1"/>
  <c r="C32" i="2" s="1"/>
  <c r="B30" i="2"/>
  <c r="C28" i="2"/>
  <c r="B28" i="2"/>
  <c r="C29" i="2"/>
  <c r="B29" i="2"/>
  <c r="C26" i="2"/>
  <c r="B26" i="2"/>
  <c r="C25" i="2"/>
  <c r="B25" i="2"/>
  <c r="C14" i="2"/>
  <c r="B14" i="2"/>
  <c r="B15" i="2"/>
  <c r="F35" i="1"/>
  <c r="H35" i="1"/>
  <c r="D35" i="1"/>
  <c r="B35" i="1"/>
  <c r="C27" i="1"/>
  <c r="B17" i="1"/>
  <c r="F17" i="1" s="1"/>
  <c r="G17" i="1" s="1"/>
  <c r="B16" i="1"/>
  <c r="F16" i="1" s="1"/>
  <c r="C12" i="4" l="1"/>
  <c r="D22" i="4"/>
  <c r="D32" i="4"/>
  <c r="D9" i="4"/>
  <c r="E33" i="4" s="1"/>
  <c r="H18" i="4"/>
  <c r="D18" i="4"/>
  <c r="D14" i="4"/>
  <c r="C13" i="4" s="1"/>
  <c r="B31" i="2"/>
  <c r="B32" i="2" s="1"/>
  <c r="B16" i="2"/>
  <c r="B17" i="2" s="1"/>
  <c r="B18" i="2" s="1"/>
  <c r="C16" i="2"/>
  <c r="C17" i="2" s="1"/>
  <c r="C18" i="2" s="1"/>
  <c r="E23" i="4" l="1"/>
  <c r="E27" i="4"/>
  <c r="B18" i="4"/>
  <c r="C7" i="4" s="1"/>
  <c r="D26" i="4" s="1"/>
  <c r="E28" i="4" s="1"/>
  <c r="E24" i="4"/>
  <c r="E35" i="4" l="1"/>
  <c r="E34" i="4" s="1"/>
</calcChain>
</file>

<file path=xl/sharedStrings.xml><?xml version="1.0" encoding="utf-8"?>
<sst xmlns="http://schemas.openxmlformats.org/spreadsheetml/2006/main" count="197" uniqueCount="146">
  <si>
    <t>write-offs</t>
  </si>
  <si>
    <t>a</t>
  </si>
  <si>
    <t>=</t>
  </si>
  <si>
    <t>+</t>
  </si>
  <si>
    <t>-</t>
  </si>
  <si>
    <t>c</t>
  </si>
  <si>
    <t>?</t>
  </si>
  <si>
    <t>b</t>
  </si>
  <si>
    <t>d</t>
  </si>
  <si>
    <t>cr. Cash</t>
  </si>
  <si>
    <t>face value</t>
  </si>
  <si>
    <t>coupon</t>
  </si>
  <si>
    <t>interest rate</t>
  </si>
  <si>
    <t>bb</t>
  </si>
  <si>
    <t>int exp</t>
  </si>
  <si>
    <t>coupon payment</t>
  </si>
  <si>
    <t>int exp is inflow, because it is the increase in the liability that the firm needs to pay down</t>
  </si>
  <si>
    <t>coupon payment is outflow, because it is essentially what's been paid down</t>
  </si>
  <si>
    <t>yield</t>
  </si>
  <si>
    <t>market value</t>
  </si>
  <si>
    <t>dr. bond payable</t>
  </si>
  <si>
    <t xml:space="preserve">cr. Gain </t>
  </si>
  <si>
    <t>dr. tax exp</t>
  </si>
  <si>
    <t>cr. Tax payable</t>
  </si>
  <si>
    <t>DO NOT GOOGLE GM'S 10-K!!!</t>
  </si>
  <si>
    <t>receivables (gross)</t>
  </si>
  <si>
    <t>Allowances</t>
  </si>
  <si>
    <t>receivables (net)</t>
  </si>
  <si>
    <t>BDE</t>
  </si>
  <si>
    <t>BB</t>
  </si>
  <si>
    <t>others</t>
  </si>
  <si>
    <t>EB</t>
  </si>
  <si>
    <t>Dr. BDE</t>
  </si>
  <si>
    <t xml:space="preserve">    Cr. Allowance for doubtful accounts</t>
  </si>
  <si>
    <t>Dr. Allowance for doubtful accounts</t>
  </si>
  <si>
    <t xml:space="preserve">    Cr. A/R</t>
  </si>
  <si>
    <t>Sales=</t>
  </si>
  <si>
    <t>write-off</t>
  </si>
  <si>
    <t>A/R</t>
  </si>
  <si>
    <t>Hair Dryer </t>
  </si>
  <si>
    <t>Hair Curler </t>
  </si>
  <si>
    <t>Annual production in units </t>
  </si>
  <si>
    <t>Direct material cost per unit </t>
  </si>
  <si>
    <t>Direct labor hours per unit </t>
  </si>
  <si>
    <t>Machine hours per unit </t>
  </si>
  <si>
    <t>Number of production runs </t>
  </si>
  <si>
    <t>Selling price per unit </t>
  </si>
  <si>
    <t>Machine cost </t>
  </si>
  <si>
    <t>General factory cost </t>
  </si>
  <si>
    <t>Set-up cost </t>
  </si>
  <si>
    <t>the production of both hair dryers and hair curlers, valued at $10 per kg in its inventory. Due to </t>
  </si>
  <si>
    <t>year. It purchased 2,000 kg and used 3,500 kg of nichrome for production during the year. </t>
  </si>
  <si>
    <t>total direct labor cost</t>
  </si>
  <si>
    <t>total overhead</t>
  </si>
  <si>
    <t>allocated overhead</t>
  </si>
  <si>
    <t>overhead per unit</t>
  </si>
  <si>
    <t>total cost per unit</t>
  </si>
  <si>
    <t>total direct labor hours</t>
  </si>
  <si>
    <t>-&gt; machine hours</t>
  </si>
  <si>
    <t>-&gt; direct labor cost</t>
  </si>
  <si>
    <t>-&gt; production runs</t>
  </si>
  <si>
    <t>total machine hours</t>
  </si>
  <si>
    <t>allocated machine cost per unit</t>
  </si>
  <si>
    <t>General factory cost per unit</t>
  </si>
  <si>
    <t>Set-up cost per unit</t>
  </si>
  <si>
    <t>traditional</t>
  </si>
  <si>
    <t>abc</t>
  </si>
  <si>
    <t>Ending units of nichrome </t>
  </si>
  <si>
    <t>Ending value of nichrome </t>
  </si>
  <si>
    <t>e</t>
  </si>
  <si>
    <t>Cost of nichrome used in production </t>
  </si>
  <si>
    <t>Total direct material cost </t>
  </si>
  <si>
    <t>Percentage of direct material cost </t>
  </si>
  <si>
    <t>acquisition cost</t>
  </si>
  <si>
    <t>for all of its machines. </t>
  </si>
  <si>
    <t>Double-declining method: the depreciation rate is 2/useful life. </t>
  </si>
  <si>
    <t>Dr. PPE</t>
  </si>
  <si>
    <t>Cr. Cash</t>
  </si>
  <si>
    <t>Dep Exp </t>
  </si>
  <si>
    <t>2014 </t>
  </si>
  <si>
    <t>2015 </t>
  </si>
  <si>
    <t>2016 </t>
  </si>
  <si>
    <t>2017 </t>
  </si>
  <si>
    <t>2018 </t>
  </si>
  <si>
    <t>2019 (unadjusted) </t>
  </si>
  <si>
    <t>Acc. Dep</t>
  </si>
  <si>
    <t>Net BV</t>
  </si>
  <si>
    <t>Gross BV</t>
  </si>
  <si>
    <t>2019 (adjusted)</t>
  </si>
  <si>
    <t>G/L</t>
  </si>
  <si>
    <t>Dr. Cash</t>
  </si>
  <si>
    <t>Dr. Loss on disposal</t>
  </si>
  <si>
    <t xml:space="preserve">Dr. Acc. Dep </t>
  </si>
  <si>
    <t xml:space="preserve">Cr. PP&amp;E </t>
  </si>
  <si>
    <t>maturity</t>
  </si>
  <si>
    <t>Dr. Bond discount</t>
  </si>
  <si>
    <t>Cr. Bond payable</t>
  </si>
  <si>
    <t>BV</t>
  </si>
  <si>
    <t>Dr. Int Exp</t>
  </si>
  <si>
    <t>Cr. Bond discount</t>
  </si>
  <si>
    <t>cr. Bond discount</t>
  </si>
  <si>
    <t>this is the carrying value of b/d</t>
  </si>
  <si>
    <t>reconciles the difference…</t>
  </si>
  <si>
    <t>The Tax Cuts and Jobs Act 2017 reduced the statutory tax rate applicable to corporations in the US from 35% to 21%, effective in January 2018. </t>
  </si>
  <si>
    <t>We recognized the tax effects of the Tax Act in the year ended December 31, 2017 and recorded $7.3 billion in tax expense which relates almost entirely to the remeasurement of deferred tax assets to the 21% tax rate </t>
  </si>
  <si>
    <t>cr. DTL</t>
  </si>
  <si>
    <t>In 2016, is taxable income higher or lower than pretax income? </t>
  </si>
  <si>
    <t>How did GM’s net deferred tax position (= DTA – DTL) change in 2016? </t>
  </si>
  <si>
    <t>lower</t>
  </si>
  <si>
    <t>taxable income -&gt; for tax purposes -&gt; tax payable</t>
  </si>
  <si>
    <t>pretax income -&gt; for accounting purposes -&gt; tax expense</t>
  </si>
  <si>
    <t>decrease in net</t>
  </si>
  <si>
    <t>(increase in DTL)</t>
  </si>
  <si>
    <t>What percent of Gross Accounts Receivable does the Allowance for Doubtful Accounts represent as of May 28, 2023? Did that percentage increase or decrease in 2023 relative to 2022? </t>
  </si>
  <si>
    <t>Provide the accounting entry to record bad debt expense and write-offs in 2023. What are the impacts of these records on the income statement and balance sheet in 2023? </t>
  </si>
  <si>
    <t>Suppose General Mills uses the income statement approach to determine the allowance for doubtful accounts, and the company estimated that 1.6% of the gross credit sales would not be collected in 2023. What are the gross credit sales in 2023? </t>
  </si>
  <si>
    <t>allocates machine cost based on machine hours, general factory cost based on direct labor cost, and set-up cost based on production runs </t>
  </si>
  <si>
    <t>the gross margin of the two products under each costing system </t>
  </si>
  <si>
    <t>What is the value of nichrome inventory at the end of the year? </t>
  </si>
  <si>
    <t>What percentage of the total direct material costs incurred during the year is due to nichrome? </t>
  </si>
  <si>
    <t>Assume all overhead costs are allocated based on direct labor cost. </t>
  </si>
  <si>
    <t>Suppose General Mills uses the balance sheet approach to determine the allowance for doubtful accounts, and the company estimated that 1.7% of the remaining accounts receivable in 2024 would not be collected. What would be the bad debt expense in 2024? </t>
  </si>
  <si>
    <t>What is the acquisition cost of the machine? Record the transaction(s) related to the purchase of the machine, assuming all amounts are paid in cash. </t>
  </si>
  <si>
    <r>
      <t>Eveningside, Inc. purchased a new machine from Westlake, Inc. for $80,000 on January 1</t>
    </r>
    <r>
      <rPr>
        <b/>
        <i/>
        <sz val="8"/>
        <color theme="1"/>
        <rFont val="Calibri"/>
        <family val="2"/>
        <scheme val="minor"/>
      </rPr>
      <t>st</t>
    </r>
    <r>
      <rPr>
        <b/>
        <i/>
        <sz val="12"/>
        <color theme="1"/>
        <rFont val="Calibri"/>
        <family val="2"/>
        <scheme val="minor"/>
      </rPr>
      <t>, 2014. </t>
    </r>
  </si>
  <si>
    <t>The shipping cost is $1,000 (paid by Westlake, Inc.), and the installation cost is $4000 (paid by </t>
  </si>
  <si>
    <t>Eveningside, Inc.). The machine has an estimated useful life of six years and an estimated salvage </t>
  </si>
  <si>
    <t>value of $10,000. Eveningside, Inc.’s policy is to use the double-declining depreciation method </t>
  </si>
  <si>
    <t>What are the depreciation expenses of this machine for years 2014, 2015, 2016, 2017, 2018, and 2019? </t>
  </si>
  <si>
    <t>salvage value</t>
  </si>
  <si>
    <t>skip</t>
  </si>
  <si>
    <r>
      <t>The machine was sold on December 31</t>
    </r>
    <r>
      <rPr>
        <b/>
        <i/>
        <sz val="8"/>
        <color theme="1"/>
        <rFont val="Calibri"/>
        <family val="2"/>
        <scheme val="minor"/>
      </rPr>
      <t>st</t>
    </r>
    <r>
      <rPr>
        <b/>
        <i/>
        <sz val="12"/>
        <color theme="1"/>
        <rFont val="Calibri"/>
        <family val="2"/>
        <scheme val="minor"/>
      </rPr>
      <t>, 2019 for $8,000, cash. Record the transaction for the disposal of this machine using the journal entries or the accounting equation. What was the gain/loss? </t>
    </r>
  </si>
  <si>
    <t>Panasonic uses FIFO to account for its nichrome inventory </t>
  </si>
  <si>
    <t>At the beginning of the year, Panasonic had 2000 kg of nichrome, a type of raw material used in </t>
  </si>
  <si>
    <t>declining prices of nickel, Panasonic only had to pay $8 per kg for nichrome purchased during the </t>
  </si>
  <si>
    <t>What are interest expenses on March 31, 2021 and 2022? </t>
  </si>
  <si>
    <t>record the issuance of the bond on March 31, 2020. </t>
  </si>
  <si>
    <t>Assume that the market rate on these bonds had risen to 8% on April 1, 2022 and that the firm repurchased all the bonds at the market price. record these transactions.</t>
  </si>
  <si>
    <t>eb bv</t>
  </si>
  <si>
    <t>journal entries</t>
  </si>
  <si>
    <t>=BV*yield</t>
  </si>
  <si>
    <t>=Int Exp - Coupon</t>
  </si>
  <si>
    <t>Record the income tax expense (using a journal entry or the accounting equation) for GM in 2016 and 2017. </t>
  </si>
  <si>
    <t>f</t>
  </si>
  <si>
    <t>effective tax rates for 2016 and 2017. </t>
  </si>
  <si>
    <t>DTL: tax expense &gt; tax payable. You're underpaying the IRS compared to what the accountant thinks</t>
  </si>
  <si>
    <t>DTA: tax expense &lt; tax payable. You're overpaying the IRS compared to what the accountant thinks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</si>
</sst>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0" fillId="0" borderId="0" xfId="2" applyNumberFormat="1" applyFont="1"/>
    <xf numFmtId="10" fontId="0" fillId="0" borderId="0" xfId="0" applyNumberFormat="1"/>
    <xf numFmtId="0" fontId="8" fillId="0" borderId="0" xfId="0" applyFont="1"/>
    <xf numFmtId="43" fontId="0" fillId="0" borderId="0" xfId="1" applyFont="1"/>
    <xf numFmtId="43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Font="1"/>
    <xf numFmtId="43" fontId="0" fillId="0" borderId="0" xfId="0" applyNumberFormat="1" applyFon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520700</xdr:colOff>
      <xdr:row>16</xdr:row>
      <xdr:rowOff>148687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90564D-3CE3-D9F1-3B3E-92A881F78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399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6143-54F8-214D-B443-344A8D065A2B}">
  <dimension ref="A1:R35"/>
  <sheetViews>
    <sheetView workbookViewId="0">
      <selection activeCell="C27" sqref="C27"/>
    </sheetView>
  </sheetViews>
  <sheetFormatPr baseColWidth="10" defaultRowHeight="16" x14ac:dyDescent="0.2"/>
  <cols>
    <col min="2" max="2" width="16.6640625" bestFit="1" customWidth="1"/>
    <col min="3" max="3" width="12.1640625" customWidth="1"/>
    <col min="4" max="4" width="14.83203125" bestFit="1" customWidth="1"/>
    <col min="6" max="6" width="12" bestFit="1" customWidth="1"/>
  </cols>
  <sheetData>
    <row r="1" spans="1:18" x14ac:dyDescent="0.2">
      <c r="A1" s="8" t="s">
        <v>24</v>
      </c>
    </row>
    <row r="3" spans="1:18" x14ac:dyDescent="0.2">
      <c r="B3" t="s">
        <v>25</v>
      </c>
      <c r="C3" t="s">
        <v>26</v>
      </c>
      <c r="D3" t="s">
        <v>27</v>
      </c>
    </row>
    <row r="4" spans="1:18" x14ac:dyDescent="0.2">
      <c r="A4">
        <v>2022</v>
      </c>
      <c r="B4" t="s">
        <v>6</v>
      </c>
      <c r="C4">
        <v>-28.3</v>
      </c>
      <c r="D4">
        <v>1692.1</v>
      </c>
    </row>
    <row r="5" spans="1:18" x14ac:dyDescent="0.2">
      <c r="A5">
        <v>2023</v>
      </c>
      <c r="B5" t="s">
        <v>6</v>
      </c>
      <c r="C5">
        <v>-26.9</v>
      </c>
      <c r="D5">
        <v>1683.2</v>
      </c>
    </row>
    <row r="7" spans="1:18" x14ac:dyDescent="0.2">
      <c r="A7" t="s">
        <v>26</v>
      </c>
      <c r="O7" s="9"/>
      <c r="P7" s="10"/>
      <c r="Q7" s="10"/>
      <c r="R7" s="10"/>
    </row>
    <row r="8" spans="1:18" x14ac:dyDescent="0.2">
      <c r="B8" t="s">
        <v>29</v>
      </c>
      <c r="C8" t="s">
        <v>28</v>
      </c>
      <c r="D8" t="s">
        <v>0</v>
      </c>
      <c r="E8" t="s">
        <v>30</v>
      </c>
      <c r="F8" t="s">
        <v>31</v>
      </c>
      <c r="O8" s="9"/>
      <c r="P8" s="10"/>
      <c r="Q8" s="9"/>
      <c r="R8" s="10"/>
    </row>
    <row r="9" spans="1:18" x14ac:dyDescent="0.2">
      <c r="A9">
        <v>2021</v>
      </c>
      <c r="B9" s="2">
        <v>33.200000000000003</v>
      </c>
      <c r="C9" s="2">
        <v>25.7</v>
      </c>
      <c r="D9" s="2">
        <v>-29.9</v>
      </c>
      <c r="E9" s="2">
        <v>7</v>
      </c>
      <c r="F9" s="2">
        <v>36</v>
      </c>
      <c r="G9" s="2"/>
      <c r="O9" s="9"/>
      <c r="P9" s="10"/>
      <c r="Q9" s="10"/>
      <c r="R9" s="9"/>
    </row>
    <row r="10" spans="1:18" x14ac:dyDescent="0.2">
      <c r="A10">
        <v>2022</v>
      </c>
      <c r="B10" s="2">
        <v>36</v>
      </c>
      <c r="C10" s="2">
        <v>23</v>
      </c>
      <c r="D10" s="2">
        <v>-26.4</v>
      </c>
      <c r="E10" s="2">
        <v>-4.3</v>
      </c>
      <c r="F10" s="2">
        <v>28.3</v>
      </c>
      <c r="G10" s="2"/>
      <c r="O10" s="9"/>
      <c r="P10" s="11"/>
      <c r="Q10" s="9"/>
      <c r="R10" s="10"/>
    </row>
    <row r="11" spans="1:18" x14ac:dyDescent="0.2">
      <c r="A11">
        <v>2023</v>
      </c>
      <c r="B11" s="2">
        <v>28.3</v>
      </c>
      <c r="C11" s="2">
        <v>29.6</v>
      </c>
      <c r="D11" s="2">
        <v>-28.6</v>
      </c>
      <c r="E11" s="2">
        <v>-2.4</v>
      </c>
      <c r="F11" s="2">
        <v>26.9</v>
      </c>
      <c r="G11" s="2"/>
      <c r="O11" s="9"/>
      <c r="P11" s="11"/>
      <c r="Q11" s="9"/>
      <c r="R11" s="10"/>
    </row>
    <row r="14" spans="1:18" x14ac:dyDescent="0.2">
      <c r="A14" s="7" t="s">
        <v>1</v>
      </c>
      <c r="B14" s="23" t="s">
        <v>113</v>
      </c>
    </row>
    <row r="15" spans="1:18" x14ac:dyDescent="0.2">
      <c r="B15" t="s">
        <v>25</v>
      </c>
      <c r="C15" t="s">
        <v>26</v>
      </c>
      <c r="D15" t="s">
        <v>27</v>
      </c>
    </row>
    <row r="16" spans="1:18" x14ac:dyDescent="0.2">
      <c r="A16">
        <v>2022</v>
      </c>
      <c r="B16">
        <f>D16-C16</f>
        <v>1720.3999999999999</v>
      </c>
      <c r="C16">
        <v>-28.3</v>
      </c>
      <c r="D16">
        <v>1692.1</v>
      </c>
      <c r="F16" s="12">
        <f>C16/B16</f>
        <v>-1.6449662869100212E-2</v>
      </c>
    </row>
    <row r="17" spans="1:7" x14ac:dyDescent="0.2">
      <c r="A17">
        <v>2023</v>
      </c>
      <c r="B17">
        <f>D17-C17</f>
        <v>1710.1000000000001</v>
      </c>
      <c r="C17">
        <v>-26.9</v>
      </c>
      <c r="D17">
        <v>1683.2</v>
      </c>
      <c r="F17" s="12">
        <f>C17/B17</f>
        <v>-1.5730074264662882E-2</v>
      </c>
      <c r="G17" s="13">
        <f>F17-F16</f>
        <v>7.1958860443733022E-4</v>
      </c>
    </row>
    <row r="19" spans="1:7" x14ac:dyDescent="0.2">
      <c r="A19" s="7" t="s">
        <v>7</v>
      </c>
      <c r="B19" s="23" t="s">
        <v>114</v>
      </c>
    </row>
    <row r="20" spans="1:7" x14ac:dyDescent="0.2">
      <c r="B20" t="s">
        <v>32</v>
      </c>
      <c r="E20">
        <v>29.6</v>
      </c>
    </row>
    <row r="21" spans="1:7" x14ac:dyDescent="0.2">
      <c r="B21" t="s">
        <v>33</v>
      </c>
      <c r="F21">
        <v>29.6</v>
      </c>
    </row>
    <row r="23" spans="1:7" x14ac:dyDescent="0.2">
      <c r="B23" t="s">
        <v>34</v>
      </c>
      <c r="E23">
        <v>28.6</v>
      </c>
    </row>
    <row r="24" spans="1:7" x14ac:dyDescent="0.2">
      <c r="B24" t="s">
        <v>35</v>
      </c>
      <c r="F24">
        <v>28.6</v>
      </c>
    </row>
    <row r="26" spans="1:7" x14ac:dyDescent="0.2">
      <c r="A26" s="7" t="s">
        <v>5</v>
      </c>
      <c r="B26" s="23" t="s">
        <v>115</v>
      </c>
    </row>
    <row r="27" spans="1:7" x14ac:dyDescent="0.2">
      <c r="B27" t="s">
        <v>36</v>
      </c>
      <c r="C27">
        <f>C11/1.6%</f>
        <v>1850</v>
      </c>
    </row>
    <row r="29" spans="1:7" x14ac:dyDescent="0.2">
      <c r="A29" s="7" t="s">
        <v>8</v>
      </c>
      <c r="B29" s="23" t="s">
        <v>121</v>
      </c>
    </row>
    <row r="30" spans="1:7" x14ac:dyDescent="0.2">
      <c r="B30" s="23">
        <v>2024</v>
      </c>
      <c r="C30" s="23"/>
    </row>
    <row r="31" spans="1:7" x14ac:dyDescent="0.2">
      <c r="B31" s="23" t="s">
        <v>38</v>
      </c>
      <c r="C31" s="23">
        <v>1754</v>
      </c>
    </row>
    <row r="32" spans="1:7" x14ac:dyDescent="0.2">
      <c r="B32" s="23" t="s">
        <v>0</v>
      </c>
      <c r="C32" s="23">
        <v>23.5</v>
      </c>
    </row>
    <row r="34" spans="2:8" x14ac:dyDescent="0.2">
      <c r="B34" t="s">
        <v>31</v>
      </c>
      <c r="C34" s="1" t="s">
        <v>2</v>
      </c>
      <c r="D34" t="s">
        <v>29</v>
      </c>
      <c r="E34" s="1" t="s">
        <v>3</v>
      </c>
      <c r="F34" t="s">
        <v>28</v>
      </c>
      <c r="G34" s="1" t="s">
        <v>4</v>
      </c>
      <c r="H34" t="s">
        <v>37</v>
      </c>
    </row>
    <row r="35" spans="2:8" x14ac:dyDescent="0.2">
      <c r="B35">
        <f>C31*1.7%</f>
        <v>29.818000000000001</v>
      </c>
      <c r="D35" s="2">
        <f>F11</f>
        <v>26.9</v>
      </c>
      <c r="F35" s="2">
        <f>B35-D35+H35</f>
        <v>26.418000000000003</v>
      </c>
      <c r="H35">
        <f>C32</f>
        <v>23.5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2941-9B84-6841-AA4E-AC6B8D37F74C}">
  <dimension ref="A1:E45"/>
  <sheetViews>
    <sheetView workbookViewId="0">
      <selection activeCell="F8" sqref="F8"/>
    </sheetView>
  </sheetViews>
  <sheetFormatPr baseColWidth="10" defaultRowHeight="16" x14ac:dyDescent="0.2"/>
  <cols>
    <col min="1" max="1" width="31.83203125" bestFit="1" customWidth="1"/>
    <col min="2" max="2" width="13" bestFit="1" customWidth="1"/>
    <col min="3" max="3" width="13.5" customWidth="1"/>
    <col min="4" max="5" width="11.6640625" bestFit="1" customWidth="1"/>
    <col min="7" max="7" width="14.5" customWidth="1"/>
    <col min="10" max="10" width="10.6640625" bestFit="1" customWidth="1"/>
  </cols>
  <sheetData>
    <row r="1" spans="1:5" x14ac:dyDescent="0.2">
      <c r="B1" s="7" t="s">
        <v>39</v>
      </c>
      <c r="C1" s="7" t="s">
        <v>40</v>
      </c>
      <c r="E1" s="23" t="s">
        <v>132</v>
      </c>
    </row>
    <row r="2" spans="1:5" x14ac:dyDescent="0.2">
      <c r="A2" t="s">
        <v>41</v>
      </c>
      <c r="B2" s="15">
        <v>200000</v>
      </c>
      <c r="C2" s="15">
        <v>150000</v>
      </c>
      <c r="E2" s="23" t="s">
        <v>50</v>
      </c>
    </row>
    <row r="3" spans="1:5" x14ac:dyDescent="0.2">
      <c r="A3" t="s">
        <v>42</v>
      </c>
      <c r="B3" s="15">
        <v>4</v>
      </c>
      <c r="C3" s="15">
        <v>5</v>
      </c>
      <c r="E3" s="23" t="s">
        <v>133</v>
      </c>
    </row>
    <row r="4" spans="1:5" x14ac:dyDescent="0.2">
      <c r="A4" s="24" t="s">
        <v>43</v>
      </c>
      <c r="B4" s="15">
        <v>0.1</v>
      </c>
      <c r="C4" s="15">
        <v>0.2</v>
      </c>
      <c r="E4" s="23" t="s">
        <v>51</v>
      </c>
    </row>
    <row r="5" spans="1:5" x14ac:dyDescent="0.2">
      <c r="A5" s="25" t="s">
        <v>44</v>
      </c>
      <c r="B5" s="15">
        <v>1</v>
      </c>
      <c r="C5" s="15">
        <v>1</v>
      </c>
      <c r="E5" s="23" t="s">
        <v>131</v>
      </c>
    </row>
    <row r="6" spans="1:5" x14ac:dyDescent="0.2">
      <c r="A6" s="26" t="s">
        <v>45</v>
      </c>
      <c r="B6" s="15">
        <v>20</v>
      </c>
      <c r="C6" s="15">
        <v>10</v>
      </c>
    </row>
    <row r="7" spans="1:5" x14ac:dyDescent="0.2">
      <c r="A7" t="s">
        <v>46</v>
      </c>
      <c r="B7" s="15">
        <v>18</v>
      </c>
      <c r="C7" s="15">
        <v>28</v>
      </c>
    </row>
    <row r="8" spans="1:5" x14ac:dyDescent="0.2">
      <c r="B8" s="15"/>
      <c r="C8" s="15"/>
    </row>
    <row r="9" spans="1:5" x14ac:dyDescent="0.2">
      <c r="A9" t="s">
        <v>47</v>
      </c>
      <c r="B9" s="15">
        <v>1400000</v>
      </c>
      <c r="C9" s="15"/>
    </row>
    <row r="10" spans="1:5" x14ac:dyDescent="0.2">
      <c r="A10" t="s">
        <v>48</v>
      </c>
      <c r="B10" s="15">
        <v>150000</v>
      </c>
      <c r="C10" s="15"/>
    </row>
    <row r="11" spans="1:5" x14ac:dyDescent="0.2">
      <c r="A11" t="s">
        <v>49</v>
      </c>
      <c r="B11" s="15">
        <v>90000</v>
      </c>
      <c r="C11" s="15"/>
    </row>
    <row r="13" spans="1:5" x14ac:dyDescent="0.2">
      <c r="A13" s="7" t="s">
        <v>1</v>
      </c>
      <c r="B13" s="23" t="s">
        <v>120</v>
      </c>
    </row>
    <row r="14" spans="1:5" x14ac:dyDescent="0.2">
      <c r="A14" s="24" t="s">
        <v>52</v>
      </c>
      <c r="B14">
        <f>B4*B2*20</f>
        <v>400000</v>
      </c>
      <c r="C14">
        <f>C4*C2*20</f>
        <v>600000</v>
      </c>
    </row>
    <row r="15" spans="1:5" x14ac:dyDescent="0.2">
      <c r="A15" s="21" t="s">
        <v>53</v>
      </c>
      <c r="B15" s="22">
        <f>SUM(B9:B11)</f>
        <v>1640000</v>
      </c>
    </row>
    <row r="16" spans="1:5" x14ac:dyDescent="0.2">
      <c r="A16" t="s">
        <v>54</v>
      </c>
      <c r="B16" s="16">
        <f>B15*B14/SUM(B14:C14)</f>
        <v>656000</v>
      </c>
      <c r="C16" s="16">
        <f>B15*C14/SUM(B14:C14)</f>
        <v>984000</v>
      </c>
    </row>
    <row r="17" spans="1:3" x14ac:dyDescent="0.2">
      <c r="A17" t="s">
        <v>55</v>
      </c>
      <c r="B17" s="2">
        <f>B16/B2</f>
        <v>3.28</v>
      </c>
      <c r="C17" s="2">
        <f>C16/C2</f>
        <v>6.56</v>
      </c>
    </row>
    <row r="18" spans="1:3" x14ac:dyDescent="0.2">
      <c r="A18" t="s">
        <v>56</v>
      </c>
      <c r="B18" s="2">
        <f>B17+B3+B4*20</f>
        <v>9.2799999999999994</v>
      </c>
      <c r="C18" s="2">
        <f>C17+C3+C4*20</f>
        <v>15.559999999999999</v>
      </c>
    </row>
    <row r="19" spans="1:3" x14ac:dyDescent="0.2">
      <c r="B19" s="2"/>
      <c r="C19" s="2"/>
    </row>
    <row r="20" spans="1:3" x14ac:dyDescent="0.2">
      <c r="A20" s="7" t="s">
        <v>7</v>
      </c>
      <c r="B20" s="23" t="s">
        <v>116</v>
      </c>
    </row>
    <row r="21" spans="1:3" x14ac:dyDescent="0.2">
      <c r="A21" s="25" t="s">
        <v>47</v>
      </c>
      <c r="B21" s="15">
        <v>1400000</v>
      </c>
      <c r="C21" s="1" t="s">
        <v>58</v>
      </c>
    </row>
    <row r="22" spans="1:3" x14ac:dyDescent="0.2">
      <c r="A22" s="24" t="s">
        <v>48</v>
      </c>
      <c r="B22" s="15">
        <v>150000</v>
      </c>
      <c r="C22" s="1" t="s">
        <v>59</v>
      </c>
    </row>
    <row r="23" spans="1:3" x14ac:dyDescent="0.2">
      <c r="A23" s="26" t="s">
        <v>49</v>
      </c>
      <c r="B23" s="15">
        <v>90000</v>
      </c>
      <c r="C23" s="1" t="s">
        <v>60</v>
      </c>
    </row>
    <row r="25" spans="1:3" x14ac:dyDescent="0.2">
      <c r="A25" s="24" t="s">
        <v>57</v>
      </c>
      <c r="B25">
        <f>B4*B2*20</f>
        <v>400000</v>
      </c>
      <c r="C25">
        <f>C4*C2*20</f>
        <v>600000</v>
      </c>
    </row>
    <row r="26" spans="1:3" x14ac:dyDescent="0.2">
      <c r="A26" s="25" t="s">
        <v>61</v>
      </c>
      <c r="B26">
        <f>B2*B5</f>
        <v>200000</v>
      </c>
      <c r="C26">
        <f>C2*C5</f>
        <v>150000</v>
      </c>
    </row>
    <row r="28" spans="1:3" x14ac:dyDescent="0.2">
      <c r="A28" s="25" t="s">
        <v>62</v>
      </c>
      <c r="B28" s="16">
        <f>B21*B26/SUM(B26:C26)/B2</f>
        <v>4</v>
      </c>
      <c r="C28" s="16">
        <f>B21*C26/SUM(B26:C26)/C2</f>
        <v>4</v>
      </c>
    </row>
    <row r="29" spans="1:3" x14ac:dyDescent="0.2">
      <c r="A29" s="24" t="s">
        <v>63</v>
      </c>
      <c r="B29" s="16">
        <f>$B$22*B25/SUM($B$25:$C$25)/B2</f>
        <v>0.3</v>
      </c>
      <c r="C29" s="16">
        <f>$B$22*C25/SUM($B$25:$C$25)/C2</f>
        <v>0.6</v>
      </c>
    </row>
    <row r="30" spans="1:3" x14ac:dyDescent="0.2">
      <c r="A30" s="26" t="s">
        <v>64</v>
      </c>
      <c r="B30" s="16">
        <f>$B$23*B6/SUM($B$6:$C$6)/B2</f>
        <v>0.3</v>
      </c>
      <c r="C30" s="16">
        <f>$B$23*C6/SUM($B$6:$C$6)/C2</f>
        <v>0.2</v>
      </c>
    </row>
    <row r="31" spans="1:3" x14ac:dyDescent="0.2">
      <c r="A31" t="s">
        <v>55</v>
      </c>
      <c r="B31" s="2">
        <f>SUM(B28:B30)</f>
        <v>4.5999999999999996</v>
      </c>
      <c r="C31" s="2">
        <f>SUM(C28:C30)</f>
        <v>4.8</v>
      </c>
    </row>
    <row r="32" spans="1:3" x14ac:dyDescent="0.2">
      <c r="A32" t="s">
        <v>56</v>
      </c>
      <c r="B32" s="2">
        <f>B31+B3+B4*20</f>
        <v>10.6</v>
      </c>
      <c r="C32" s="2">
        <f>C31+C3+C4*20</f>
        <v>13.8</v>
      </c>
    </row>
    <row r="33" spans="1:3" x14ac:dyDescent="0.2">
      <c r="B33" s="2"/>
      <c r="C33" s="2"/>
    </row>
    <row r="34" spans="1:3" x14ac:dyDescent="0.2">
      <c r="A34" s="7" t="s">
        <v>5</v>
      </c>
      <c r="B34" s="23" t="s">
        <v>117</v>
      </c>
    </row>
    <row r="35" spans="1:3" x14ac:dyDescent="0.2">
      <c r="A35" t="s">
        <v>65</v>
      </c>
      <c r="B35" s="16">
        <f>1-B18/B7</f>
        <v>0.48444444444444446</v>
      </c>
      <c r="C35" s="16">
        <f>1-C18/C7</f>
        <v>0.44428571428571428</v>
      </c>
    </row>
    <row r="36" spans="1:3" x14ac:dyDescent="0.2">
      <c r="A36" t="s">
        <v>66</v>
      </c>
      <c r="B36" s="16">
        <f>1-B32/B7</f>
        <v>0.41111111111111109</v>
      </c>
      <c r="C36" s="16">
        <f>1-C32/C7</f>
        <v>0.50714285714285712</v>
      </c>
    </row>
    <row r="38" spans="1:3" x14ac:dyDescent="0.2">
      <c r="A38" s="7" t="s">
        <v>8</v>
      </c>
      <c r="B38" s="23" t="s">
        <v>118</v>
      </c>
    </row>
    <row r="39" spans="1:3" x14ac:dyDescent="0.2">
      <c r="A39" t="s">
        <v>67</v>
      </c>
      <c r="C39">
        <f>2000+2000-3500</f>
        <v>500</v>
      </c>
    </row>
    <row r="40" spans="1:3" x14ac:dyDescent="0.2">
      <c r="A40" t="s">
        <v>68</v>
      </c>
      <c r="C40">
        <f>C39*8</f>
        <v>4000</v>
      </c>
    </row>
    <row r="42" spans="1:3" x14ac:dyDescent="0.2">
      <c r="A42" s="7" t="s">
        <v>69</v>
      </c>
      <c r="B42" s="23" t="s">
        <v>119</v>
      </c>
    </row>
    <row r="43" spans="1:3" x14ac:dyDescent="0.2">
      <c r="A43" t="s">
        <v>70</v>
      </c>
      <c r="C43">
        <f>2000*10+1500*8</f>
        <v>32000</v>
      </c>
    </row>
    <row r="44" spans="1:3" x14ac:dyDescent="0.2">
      <c r="A44" t="s">
        <v>71</v>
      </c>
      <c r="C44">
        <f>B3*B2+C3*C2</f>
        <v>1550000</v>
      </c>
    </row>
    <row r="45" spans="1:3" x14ac:dyDescent="0.2">
      <c r="A45" t="s">
        <v>72</v>
      </c>
      <c r="C45" s="12">
        <f>C43/C44</f>
        <v>2.0645161290322581E-2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A0BF-DA8C-E049-AB3A-5BAB0CF24F9D}">
  <dimension ref="A1:O33"/>
  <sheetViews>
    <sheetView tabSelected="1" workbookViewId="0">
      <selection activeCell="G35" sqref="G35"/>
    </sheetView>
  </sheetViews>
  <sheetFormatPr baseColWidth="10" defaultRowHeight="16" x14ac:dyDescent="0.2"/>
  <cols>
    <col min="1" max="1" width="19.33203125" customWidth="1"/>
    <col min="3" max="5" width="11.6640625" bestFit="1" customWidth="1"/>
    <col min="7" max="7" width="12.1640625" bestFit="1" customWidth="1"/>
  </cols>
  <sheetData>
    <row r="1" spans="1:8" x14ac:dyDescent="0.2">
      <c r="A1" s="23" t="s">
        <v>123</v>
      </c>
    </row>
    <row r="2" spans="1:8" x14ac:dyDescent="0.2">
      <c r="A2" s="23" t="s">
        <v>124</v>
      </c>
    </row>
    <row r="3" spans="1:8" x14ac:dyDescent="0.2">
      <c r="A3" s="23" t="s">
        <v>125</v>
      </c>
    </row>
    <row r="4" spans="1:8" x14ac:dyDescent="0.2">
      <c r="A4" s="23" t="s">
        <v>126</v>
      </c>
    </row>
    <row r="5" spans="1:8" x14ac:dyDescent="0.2">
      <c r="A5" s="23" t="s">
        <v>74</v>
      </c>
    </row>
    <row r="6" spans="1:8" x14ac:dyDescent="0.2">
      <c r="A6" s="23"/>
    </row>
    <row r="7" spans="1:8" x14ac:dyDescent="0.2">
      <c r="A7" s="23" t="s">
        <v>75</v>
      </c>
    </row>
    <row r="9" spans="1:8" x14ac:dyDescent="0.2">
      <c r="A9" s="7" t="s">
        <v>1</v>
      </c>
      <c r="B9" s="23" t="s">
        <v>122</v>
      </c>
    </row>
    <row r="10" spans="1:8" x14ac:dyDescent="0.2">
      <c r="A10" t="s">
        <v>73</v>
      </c>
      <c r="C10">
        <f>80000+4000</f>
        <v>84000</v>
      </c>
    </row>
    <row r="11" spans="1:8" x14ac:dyDescent="0.2">
      <c r="A11" t="s">
        <v>76</v>
      </c>
      <c r="C11">
        <f>80000+4000</f>
        <v>84000</v>
      </c>
    </row>
    <row r="12" spans="1:8" x14ac:dyDescent="0.2">
      <c r="B12" t="s">
        <v>77</v>
      </c>
      <c r="D12">
        <f>80000+4000</f>
        <v>84000</v>
      </c>
    </row>
    <row r="14" spans="1:8" x14ac:dyDescent="0.2">
      <c r="A14" s="7" t="s">
        <v>7</v>
      </c>
      <c r="B14" s="23" t="s">
        <v>127</v>
      </c>
    </row>
    <row r="15" spans="1:8" x14ac:dyDescent="0.2">
      <c r="B15" t="s">
        <v>87</v>
      </c>
      <c r="C15" t="s">
        <v>86</v>
      </c>
      <c r="D15" t="s">
        <v>78</v>
      </c>
      <c r="E15" t="s">
        <v>85</v>
      </c>
    </row>
    <row r="16" spans="1:8" x14ac:dyDescent="0.2">
      <c r="A16" t="s">
        <v>79</v>
      </c>
      <c r="B16">
        <v>84000</v>
      </c>
      <c r="C16" s="2">
        <f>B16-E16</f>
        <v>56000</v>
      </c>
      <c r="D16" s="2">
        <f>B16*2/6</f>
        <v>28000</v>
      </c>
      <c r="E16" s="2">
        <f>D16</f>
        <v>28000</v>
      </c>
      <c r="G16" t="s">
        <v>128</v>
      </c>
      <c r="H16">
        <f>10000</f>
        <v>10000</v>
      </c>
    </row>
    <row r="17" spans="1:15" x14ac:dyDescent="0.2">
      <c r="A17" t="s">
        <v>80</v>
      </c>
      <c r="B17">
        <v>84000</v>
      </c>
      <c r="C17" s="2">
        <f>B17-E17</f>
        <v>37333.333333333328</v>
      </c>
      <c r="D17" s="2">
        <f>C16*2/6</f>
        <v>18666.666666666668</v>
      </c>
      <c r="E17" s="2">
        <f>D17+E16</f>
        <v>46666.666666666672</v>
      </c>
      <c r="K17" s="10"/>
      <c r="N17" s="10"/>
    </row>
    <row r="18" spans="1:15" x14ac:dyDescent="0.2">
      <c r="A18" t="s">
        <v>81</v>
      </c>
      <c r="B18">
        <v>84000</v>
      </c>
      <c r="C18" s="2">
        <f t="shared" ref="C18:C21" si="0">B18-E18</f>
        <v>24888.888888888883</v>
      </c>
      <c r="D18" s="2">
        <f t="shared" ref="D18:D21" si="1">C17*2/6</f>
        <v>12444.444444444443</v>
      </c>
      <c r="E18" s="2">
        <f t="shared" ref="E18:E21" si="2">D18+E17</f>
        <v>59111.111111111117</v>
      </c>
      <c r="K18" s="10"/>
      <c r="M18" s="10"/>
      <c r="N18" s="10"/>
      <c r="O18" s="10"/>
    </row>
    <row r="19" spans="1:15" x14ac:dyDescent="0.2">
      <c r="A19" t="s">
        <v>82</v>
      </c>
      <c r="B19">
        <v>84000</v>
      </c>
      <c r="C19" s="2">
        <f t="shared" si="0"/>
        <v>16592.592592592584</v>
      </c>
      <c r="D19" s="2">
        <f t="shared" si="1"/>
        <v>8296.2962962962938</v>
      </c>
      <c r="E19" s="2">
        <f t="shared" si="2"/>
        <v>67407.407407407416</v>
      </c>
      <c r="K19" s="10"/>
      <c r="M19" s="10"/>
      <c r="N19" s="10"/>
      <c r="O19" s="10"/>
    </row>
    <row r="20" spans="1:15" x14ac:dyDescent="0.2">
      <c r="A20" t="s">
        <v>83</v>
      </c>
      <c r="B20">
        <v>84000</v>
      </c>
      <c r="C20" s="2">
        <f t="shared" si="0"/>
        <v>11061.728395061727</v>
      </c>
      <c r="D20" s="2">
        <f t="shared" si="1"/>
        <v>5530.864197530861</v>
      </c>
      <c r="E20" s="2">
        <f t="shared" si="2"/>
        <v>72938.271604938273</v>
      </c>
      <c r="K20" s="10"/>
      <c r="M20" s="10"/>
      <c r="N20" s="10"/>
      <c r="O20" s="10"/>
    </row>
    <row r="21" spans="1:15" x14ac:dyDescent="0.2">
      <c r="A21" t="s">
        <v>84</v>
      </c>
      <c r="B21">
        <v>84000</v>
      </c>
      <c r="C21" s="27">
        <f t="shared" si="0"/>
        <v>7374.4855967078183</v>
      </c>
      <c r="D21" s="2">
        <f t="shared" si="1"/>
        <v>3687.2427983539092</v>
      </c>
      <c r="E21" s="2">
        <f t="shared" si="2"/>
        <v>76625.514403292182</v>
      </c>
      <c r="K21" s="10"/>
      <c r="M21" s="10"/>
      <c r="N21" s="10"/>
      <c r="O21" s="10"/>
    </row>
    <row r="22" spans="1:15" x14ac:dyDescent="0.2">
      <c r="A22" s="6" t="s">
        <v>88</v>
      </c>
      <c r="B22" s="6">
        <v>84000</v>
      </c>
      <c r="C22" s="17">
        <v>10000</v>
      </c>
      <c r="D22" s="17">
        <f>E22-E20</f>
        <v>1061.7283950617275</v>
      </c>
      <c r="E22" s="17">
        <f>B22-C22</f>
        <v>74000</v>
      </c>
      <c r="K22" s="10"/>
      <c r="M22" s="10"/>
      <c r="N22" s="10"/>
      <c r="O22" s="10"/>
    </row>
    <row r="23" spans="1:15" x14ac:dyDescent="0.2">
      <c r="K23" s="10"/>
      <c r="M23" s="10"/>
      <c r="N23" s="10"/>
      <c r="O23" s="10"/>
    </row>
    <row r="24" spans="1:15" x14ac:dyDescent="0.2">
      <c r="A24" s="7" t="s">
        <v>5</v>
      </c>
      <c r="K24" s="10"/>
      <c r="M24" s="10"/>
      <c r="N24" s="10"/>
      <c r="O24" s="10"/>
    </row>
    <row r="25" spans="1:15" x14ac:dyDescent="0.2">
      <c r="A25" t="s">
        <v>129</v>
      </c>
    </row>
    <row r="27" spans="1:15" x14ac:dyDescent="0.2">
      <c r="A27" s="7" t="s">
        <v>8</v>
      </c>
      <c r="B27" s="23" t="s">
        <v>130</v>
      </c>
    </row>
    <row r="28" spans="1:15" x14ac:dyDescent="0.2">
      <c r="A28" t="s">
        <v>89</v>
      </c>
      <c r="B28" s="2">
        <f>8000-C22</f>
        <v>-2000</v>
      </c>
    </row>
    <row r="30" spans="1:15" x14ac:dyDescent="0.2">
      <c r="A30" t="s">
        <v>90</v>
      </c>
      <c r="C30">
        <v>8000</v>
      </c>
    </row>
    <row r="31" spans="1:15" x14ac:dyDescent="0.2">
      <c r="A31" t="s">
        <v>91</v>
      </c>
      <c r="C31">
        <v>2000</v>
      </c>
    </row>
    <row r="32" spans="1:15" x14ac:dyDescent="0.2">
      <c r="A32" t="s">
        <v>92</v>
      </c>
      <c r="C32" s="18">
        <f>E22</f>
        <v>74000</v>
      </c>
    </row>
    <row r="33" spans="2:4" x14ac:dyDescent="0.2">
      <c r="B33" t="s">
        <v>93</v>
      </c>
      <c r="D33">
        <f>B22</f>
        <v>84000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E71-CDEB-1C4E-AD1F-A56C417E8FF2}">
  <dimension ref="A1:J38"/>
  <sheetViews>
    <sheetView workbookViewId="0">
      <selection activeCell="F8" sqref="F8"/>
    </sheetView>
  </sheetViews>
  <sheetFormatPr baseColWidth="10" defaultRowHeight="16" x14ac:dyDescent="0.2"/>
  <cols>
    <col min="1" max="2" width="15.5" bestFit="1" customWidth="1"/>
    <col min="3" max="3" width="15.33203125" bestFit="1" customWidth="1"/>
    <col min="4" max="4" width="14.33203125" customWidth="1"/>
    <col min="5" max="5" width="11.83203125" bestFit="1" customWidth="1"/>
    <col min="8" max="8" width="14.6640625" bestFit="1" customWidth="1"/>
    <col min="10" max="10" width="14.1640625" bestFit="1" customWidth="1"/>
  </cols>
  <sheetData>
    <row r="1" spans="1:4" x14ac:dyDescent="0.2">
      <c r="A1" t="s">
        <v>10</v>
      </c>
      <c r="B1">
        <f>1500*1500</f>
        <v>2250000</v>
      </c>
    </row>
    <row r="2" spans="1:4" x14ac:dyDescent="0.2">
      <c r="A2" t="s">
        <v>11</v>
      </c>
      <c r="B2" s="5">
        <v>0.05</v>
      </c>
    </row>
    <row r="3" spans="1:4" x14ac:dyDescent="0.2">
      <c r="A3" t="s">
        <v>18</v>
      </c>
      <c r="B3" s="5">
        <v>0.06</v>
      </c>
    </row>
    <row r="4" spans="1:4" x14ac:dyDescent="0.2">
      <c r="A4" t="s">
        <v>94</v>
      </c>
      <c r="B4">
        <v>10</v>
      </c>
    </row>
    <row r="6" spans="1:4" x14ac:dyDescent="0.2">
      <c r="B6" s="4">
        <v>44256</v>
      </c>
      <c r="C6" s="4">
        <v>44651</v>
      </c>
      <c r="D6" s="4">
        <v>44652</v>
      </c>
    </row>
    <row r="7" spans="1:4" x14ac:dyDescent="0.2">
      <c r="A7" t="s">
        <v>97</v>
      </c>
      <c r="B7" s="20">
        <f>PV(B3,B4,-B1*B2,-B1)</f>
        <v>2084398.0413431693</v>
      </c>
      <c r="C7" s="20">
        <f>B18</f>
        <v>2096961.9238237594</v>
      </c>
    </row>
    <row r="8" spans="1:4" x14ac:dyDescent="0.2">
      <c r="A8" t="s">
        <v>12</v>
      </c>
      <c r="B8" s="5">
        <v>0.06</v>
      </c>
      <c r="C8" s="5">
        <v>0.06</v>
      </c>
      <c r="D8" s="3">
        <v>0.08</v>
      </c>
    </row>
    <row r="9" spans="1:4" x14ac:dyDescent="0.2">
      <c r="A9" t="s">
        <v>19</v>
      </c>
      <c r="B9" s="3"/>
      <c r="D9" s="20">
        <f>PV(D8,8,-B1*B2,-B1)</f>
        <v>1862101.871298542</v>
      </c>
    </row>
    <row r="11" spans="1:4" x14ac:dyDescent="0.2">
      <c r="A11" s="7" t="s">
        <v>1</v>
      </c>
      <c r="B11" s="23" t="s">
        <v>135</v>
      </c>
    </row>
    <row r="12" spans="1:4" x14ac:dyDescent="0.2">
      <c r="B12" t="s">
        <v>90</v>
      </c>
      <c r="C12" s="20">
        <f>B7</f>
        <v>2084398.0413431693</v>
      </c>
    </row>
    <row r="13" spans="1:4" x14ac:dyDescent="0.2">
      <c r="B13" t="s">
        <v>95</v>
      </c>
      <c r="C13" s="20">
        <f>D14-C12</f>
        <v>165601.95865683071</v>
      </c>
    </row>
    <row r="14" spans="1:4" x14ac:dyDescent="0.2">
      <c r="C14" t="s">
        <v>96</v>
      </c>
      <c r="D14">
        <f>B1</f>
        <v>2250000</v>
      </c>
    </row>
    <row r="16" spans="1:4" x14ac:dyDescent="0.2">
      <c r="A16" s="7" t="s">
        <v>7</v>
      </c>
      <c r="B16" s="23" t="s">
        <v>134</v>
      </c>
    </row>
    <row r="17" spans="1:10" x14ac:dyDescent="0.2">
      <c r="A17">
        <v>2021</v>
      </c>
      <c r="B17" t="s">
        <v>137</v>
      </c>
      <c r="C17" s="1" t="s">
        <v>2</v>
      </c>
      <c r="D17" t="s">
        <v>13</v>
      </c>
      <c r="E17" s="1" t="s">
        <v>3</v>
      </c>
      <c r="F17" t="s">
        <v>14</v>
      </c>
      <c r="G17" s="1" t="s">
        <v>4</v>
      </c>
      <c r="H17" t="s">
        <v>15</v>
      </c>
      <c r="J17" t="s">
        <v>16</v>
      </c>
    </row>
    <row r="18" spans="1:10" x14ac:dyDescent="0.2">
      <c r="B18" s="20">
        <f>D18+F18-H18</f>
        <v>2096961.9238237594</v>
      </c>
      <c r="D18" s="20">
        <f>B7</f>
        <v>2084398.0413431693</v>
      </c>
      <c r="F18" s="18">
        <f>B7*B3</f>
        <v>125063.88248059015</v>
      </c>
      <c r="H18">
        <f>B1*B2</f>
        <v>112500</v>
      </c>
      <c r="J18" t="s">
        <v>17</v>
      </c>
    </row>
    <row r="19" spans="1:10" x14ac:dyDescent="0.2">
      <c r="F19" s="1" t="s">
        <v>139</v>
      </c>
    </row>
    <row r="21" spans="1:10" x14ac:dyDescent="0.2">
      <c r="B21" t="s">
        <v>138</v>
      </c>
    </row>
    <row r="22" spans="1:10" x14ac:dyDescent="0.2">
      <c r="B22" t="s">
        <v>98</v>
      </c>
      <c r="D22" s="18">
        <f>B7*B3</f>
        <v>125063.88248059015</v>
      </c>
      <c r="G22" s="1" t="s">
        <v>139</v>
      </c>
    </row>
    <row r="23" spans="1:10" x14ac:dyDescent="0.2">
      <c r="C23" t="s">
        <v>77</v>
      </c>
      <c r="E23">
        <f>H18</f>
        <v>112500</v>
      </c>
      <c r="G23" t="s">
        <v>15</v>
      </c>
    </row>
    <row r="24" spans="1:10" x14ac:dyDescent="0.2">
      <c r="C24" t="s">
        <v>99</v>
      </c>
      <c r="E24" s="18">
        <f>D22-E23</f>
        <v>12563.882480590153</v>
      </c>
      <c r="G24" s="1" t="s">
        <v>140</v>
      </c>
    </row>
    <row r="26" spans="1:10" x14ac:dyDescent="0.2">
      <c r="A26">
        <v>2022</v>
      </c>
      <c r="B26" t="s">
        <v>98</v>
      </c>
      <c r="D26" s="19">
        <f>C7*B3</f>
        <v>125817.71542942556</v>
      </c>
      <c r="G26" s="1" t="s">
        <v>139</v>
      </c>
    </row>
    <row r="27" spans="1:10" x14ac:dyDescent="0.2">
      <c r="C27" t="s">
        <v>77</v>
      </c>
      <c r="E27">
        <f>H18</f>
        <v>112500</v>
      </c>
      <c r="G27" t="s">
        <v>15</v>
      </c>
    </row>
    <row r="28" spans="1:10" x14ac:dyDescent="0.2">
      <c r="C28" t="s">
        <v>99</v>
      </c>
      <c r="E28" s="20">
        <f>D26-E27</f>
        <v>13317.71542942556</v>
      </c>
      <c r="G28" s="1" t="s">
        <v>140</v>
      </c>
    </row>
    <row r="31" spans="1:10" x14ac:dyDescent="0.2">
      <c r="A31" s="7" t="s">
        <v>5</v>
      </c>
      <c r="B31" s="23" t="s">
        <v>136</v>
      </c>
    </row>
    <row r="32" spans="1:10" x14ac:dyDescent="0.2">
      <c r="B32" t="s">
        <v>20</v>
      </c>
      <c r="D32">
        <f>B1</f>
        <v>2250000</v>
      </c>
    </row>
    <row r="33" spans="1:10" x14ac:dyDescent="0.2">
      <c r="C33" t="s">
        <v>9</v>
      </c>
      <c r="E33" s="20">
        <f>D9</f>
        <v>1862101.871298542</v>
      </c>
      <c r="J33" s="14"/>
    </row>
    <row r="34" spans="1:10" x14ac:dyDescent="0.2">
      <c r="C34" t="s">
        <v>21</v>
      </c>
      <c r="E34" s="20">
        <f>D32-E33-E35</f>
        <v>248177.76795464297</v>
      </c>
      <c r="G34" t="s">
        <v>102</v>
      </c>
    </row>
    <row r="35" spans="1:10" x14ac:dyDescent="0.2">
      <c r="C35" t="s">
        <v>100</v>
      </c>
      <c r="E35" s="20">
        <f>C13-E24-E28</f>
        <v>139720.36074681501</v>
      </c>
      <c r="G35" t="s">
        <v>101</v>
      </c>
    </row>
    <row r="37" spans="1:10" x14ac:dyDescent="0.2">
      <c r="A37" s="7" t="s">
        <v>8</v>
      </c>
    </row>
    <row r="38" spans="1:10" x14ac:dyDescent="0.2">
      <c r="A38" t="s">
        <v>129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9877-53D2-4343-972D-DD1787ECE0F6}">
  <dimension ref="A18:H46"/>
  <sheetViews>
    <sheetView workbookViewId="0">
      <selection activeCell="F29" sqref="F29"/>
    </sheetView>
  </sheetViews>
  <sheetFormatPr baseColWidth="10" defaultRowHeight="16" x14ac:dyDescent="0.2"/>
  <cols>
    <col min="2" max="3" width="20.5" bestFit="1" customWidth="1"/>
  </cols>
  <sheetData>
    <row r="18" spans="1:8" x14ac:dyDescent="0.2">
      <c r="A18" s="23" t="s">
        <v>103</v>
      </c>
    </row>
    <row r="19" spans="1:8" x14ac:dyDescent="0.2">
      <c r="A19" s="23" t="s">
        <v>104</v>
      </c>
    </row>
    <row r="21" spans="1:8" x14ac:dyDescent="0.2">
      <c r="A21" s="7" t="s">
        <v>1</v>
      </c>
      <c r="B21" s="23" t="s">
        <v>141</v>
      </c>
    </row>
    <row r="22" spans="1:8" x14ac:dyDescent="0.2">
      <c r="A22">
        <v>2016</v>
      </c>
      <c r="B22" t="s">
        <v>22</v>
      </c>
      <c r="D22">
        <v>2739</v>
      </c>
    </row>
    <row r="23" spans="1:8" x14ac:dyDescent="0.2">
      <c r="C23" t="s">
        <v>23</v>
      </c>
      <c r="E23">
        <f>D22-E24</f>
        <v>511</v>
      </c>
      <c r="H23" t="s">
        <v>144</v>
      </c>
    </row>
    <row r="24" spans="1:8" x14ac:dyDescent="0.2">
      <c r="C24" t="s">
        <v>105</v>
      </c>
      <c r="E24">
        <v>2228</v>
      </c>
      <c r="H24" t="s">
        <v>145</v>
      </c>
    </row>
    <row r="25" spans="1:8" x14ac:dyDescent="0.2">
      <c r="A25">
        <v>2017</v>
      </c>
      <c r="B25" t="s">
        <v>22</v>
      </c>
      <c r="D25">
        <v>11533</v>
      </c>
    </row>
    <row r="26" spans="1:8" x14ac:dyDescent="0.2">
      <c r="C26" t="s">
        <v>23</v>
      </c>
      <c r="E26">
        <f>D25-E27</f>
        <v>653</v>
      </c>
    </row>
    <row r="27" spans="1:8" x14ac:dyDescent="0.2">
      <c r="C27" t="s">
        <v>105</v>
      </c>
      <c r="E27">
        <v>10880</v>
      </c>
    </row>
    <row r="29" spans="1:8" x14ac:dyDescent="0.2">
      <c r="A29" s="7" t="s">
        <v>7</v>
      </c>
    </row>
    <row r="30" spans="1:8" x14ac:dyDescent="0.2">
      <c r="A30" s="23" t="s">
        <v>106</v>
      </c>
      <c r="H30" t="s">
        <v>109</v>
      </c>
    </row>
    <row r="31" spans="1:8" x14ac:dyDescent="0.2">
      <c r="B31" t="s">
        <v>108</v>
      </c>
      <c r="H31" t="s">
        <v>110</v>
      </c>
    </row>
    <row r="32" spans="1:8" x14ac:dyDescent="0.2">
      <c r="A32" s="23" t="s">
        <v>107</v>
      </c>
    </row>
    <row r="33" spans="1:3" x14ac:dyDescent="0.2">
      <c r="B33" t="s">
        <v>111</v>
      </c>
      <c r="C33" t="s">
        <v>112</v>
      </c>
    </row>
    <row r="35" spans="1:3" x14ac:dyDescent="0.2">
      <c r="A35" s="7" t="s">
        <v>5</v>
      </c>
      <c r="B35" s="23" t="s">
        <v>143</v>
      </c>
    </row>
    <row r="36" spans="1:3" x14ac:dyDescent="0.2">
      <c r="A36">
        <v>2016</v>
      </c>
      <c r="B36">
        <f>D22/12008</f>
        <v>0.22809793471019321</v>
      </c>
    </row>
    <row r="37" spans="1:3" x14ac:dyDescent="0.2">
      <c r="A37">
        <v>2017</v>
      </c>
      <c r="B37">
        <f>D25/11863</f>
        <v>0.97218241591502996</v>
      </c>
    </row>
    <row r="39" spans="1:3" x14ac:dyDescent="0.2">
      <c r="A39" s="7" t="s">
        <v>8</v>
      </c>
    </row>
    <row r="40" spans="1:3" x14ac:dyDescent="0.2">
      <c r="A40" t="s">
        <v>129</v>
      </c>
    </row>
    <row r="42" spans="1:3" x14ac:dyDescent="0.2">
      <c r="A42" s="7" t="s">
        <v>69</v>
      </c>
    </row>
    <row r="43" spans="1:3" x14ac:dyDescent="0.2">
      <c r="A43" t="s">
        <v>129</v>
      </c>
    </row>
    <row r="45" spans="1:3" x14ac:dyDescent="0.2">
      <c r="A45" s="7" t="s">
        <v>142</v>
      </c>
    </row>
    <row r="46" spans="1:3" x14ac:dyDescent="0.2">
      <c r="A46" t="s">
        <v>129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Jiao</dc:creator>
  <cp:lastModifiedBy>Jiao, Dian</cp:lastModifiedBy>
  <dcterms:created xsi:type="dcterms:W3CDTF">2023-12-06T02:47:31Z</dcterms:created>
  <dcterms:modified xsi:type="dcterms:W3CDTF">2024-12-06T14:39:41Z</dcterms:modified>
</cp:coreProperties>
</file>