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900d787885a4dc1/Studying/Accounting/Financial Accounting/2023 Fall MBA/"/>
    </mc:Choice>
  </mc:AlternateContent>
  <xr:revisionPtr revIDLastSave="423" documentId="8_{8F469D70-15AE-1144-ADDB-F4D428611193}" xr6:coauthVersionLast="47" xr6:coauthVersionMax="47" xr10:uidLastSave="{F8E2031A-080E-2B44-AD9C-F6FE9730600C}"/>
  <bookViews>
    <workbookView xWindow="0" yWindow="500" windowWidth="22920" windowHeight="26580" xr2:uid="{C8EF88F9-C64E-2F4B-8689-BB74325169B1}"/>
  </bookViews>
  <sheets>
    <sheet name="Q2" sheetId="1" r:id="rId1"/>
    <sheet name="Q3" sheetId="2" r:id="rId2"/>
    <sheet name="Q4" sheetId="3" r:id="rId3"/>
    <sheet name="Q5" sheetId="4" r:id="rId4"/>
    <sheet name="Q6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1" i="5" l="1"/>
  <c r="E21" i="5" s="1"/>
  <c r="E15" i="5"/>
  <c r="E34" i="5"/>
  <c r="E46" i="5" s="1"/>
  <c r="D8" i="5"/>
  <c r="F26" i="5" l="1"/>
  <c r="D5" i="5"/>
  <c r="F36" i="5" s="1"/>
  <c r="E35" i="5" s="1"/>
  <c r="C5" i="5"/>
  <c r="E25" i="5" s="1"/>
  <c r="E24" i="4"/>
  <c r="E23" i="4"/>
  <c r="D22" i="4"/>
  <c r="E19" i="4"/>
  <c r="D18" i="4"/>
  <c r="C8" i="4"/>
  <c r="C11" i="4"/>
  <c r="C12" i="4" s="1"/>
  <c r="F15" i="3"/>
  <c r="F14" i="3"/>
  <c r="E13" i="3"/>
  <c r="F10" i="3"/>
  <c r="E9" i="3"/>
  <c r="F6" i="3"/>
  <c r="E5" i="3"/>
  <c r="F3" i="3"/>
  <c r="E2" i="3"/>
  <c r="C37" i="2"/>
  <c r="C36" i="2"/>
  <c r="G29" i="2"/>
  <c r="G28" i="2"/>
  <c r="F29" i="2"/>
  <c r="D33" i="2"/>
  <c r="D24" i="2"/>
  <c r="E24" i="2"/>
  <c r="C24" i="2"/>
  <c r="C19" i="2"/>
  <c r="D19" i="2"/>
  <c r="E19" i="2"/>
  <c r="C20" i="2"/>
  <c r="D20" i="2"/>
  <c r="E20" i="2"/>
  <c r="E21" i="2" s="1"/>
  <c r="D18" i="2"/>
  <c r="D21" i="2" s="1"/>
  <c r="E18" i="2"/>
  <c r="C18" i="2"/>
  <c r="C21" i="2" s="1"/>
  <c r="C14" i="2"/>
  <c r="D14" i="2"/>
  <c r="E14" i="2"/>
  <c r="C15" i="2"/>
  <c r="D15" i="2"/>
  <c r="E15" i="2"/>
  <c r="D13" i="2"/>
  <c r="E13" i="2"/>
  <c r="C13" i="2"/>
  <c r="F21" i="1"/>
  <c r="F20" i="1"/>
  <c r="H19" i="1"/>
  <c r="C22" i="1"/>
  <c r="C21" i="1"/>
  <c r="B9" i="1"/>
  <c r="C9" i="1" s="1"/>
  <c r="D9" i="1" s="1"/>
  <c r="F27" i="5" l="1"/>
  <c r="D46" i="5"/>
  <c r="E29" i="5"/>
  <c r="F30" i="5" s="1"/>
  <c r="E38" i="5"/>
  <c r="F39" i="5" s="1"/>
  <c r="D45" i="5"/>
  <c r="C9" i="5"/>
  <c r="B10" i="1"/>
  <c r="D48" i="5" l="1"/>
  <c r="E45" i="5"/>
  <c r="E48" i="5" s="1"/>
  <c r="E44" i="5"/>
  <c r="D44" i="5"/>
  <c r="D47" i="5" s="1"/>
  <c r="C10" i="1"/>
  <c r="D10" i="1" s="1"/>
  <c r="B11" i="1"/>
  <c r="C11" i="1" s="1"/>
  <c r="D11" i="1" s="1"/>
  <c r="E47" i="5" l="1"/>
  <c r="E49" i="5" s="1"/>
  <c r="D49" i="5"/>
</calcChain>
</file>

<file path=xl/sharedStrings.xml><?xml version="1.0" encoding="utf-8"?>
<sst xmlns="http://schemas.openxmlformats.org/spreadsheetml/2006/main" count="159" uniqueCount="109">
  <si>
    <t>sales</t>
  </si>
  <si>
    <t>collections</t>
  </si>
  <si>
    <t>write-offs</t>
  </si>
  <si>
    <t>a</t>
  </si>
  <si>
    <t>gross a/r</t>
  </si>
  <si>
    <t>bde</t>
  </si>
  <si>
    <t>allowance</t>
  </si>
  <si>
    <t>eb allowance</t>
  </si>
  <si>
    <t>=</t>
  </si>
  <si>
    <t>bb allowance</t>
  </si>
  <si>
    <t>+</t>
  </si>
  <si>
    <t xml:space="preserve">- </t>
  </si>
  <si>
    <t>--&gt;</t>
  </si>
  <si>
    <t>-</t>
  </si>
  <si>
    <t>c</t>
  </si>
  <si>
    <t>total sales</t>
  </si>
  <si>
    <t>total write-offs</t>
  </si>
  <si>
    <t>?</t>
  </si>
  <si>
    <t>q</t>
  </si>
  <si>
    <t>s</t>
  </si>
  <si>
    <t>x</t>
  </si>
  <si>
    <t>3</t>
  </si>
  <si>
    <t>p</t>
  </si>
  <si>
    <t>raw</t>
  </si>
  <si>
    <t>labor</t>
  </si>
  <si>
    <t>factory</t>
  </si>
  <si>
    <t>total cost</t>
  </si>
  <si>
    <t>cost per car</t>
  </si>
  <si>
    <t>input factor</t>
  </si>
  <si>
    <t>total</t>
  </si>
  <si>
    <t>Method 1</t>
  </si>
  <si>
    <t>total input factor</t>
  </si>
  <si>
    <t>profit</t>
  </si>
  <si>
    <t>b</t>
  </si>
  <si>
    <t>steel</t>
  </si>
  <si>
    <t>purchase</t>
  </si>
  <si>
    <t>use</t>
  </si>
  <si>
    <t>ending</t>
  </si>
  <si>
    <t>ending value</t>
  </si>
  <si>
    <t>beginning</t>
  </si>
  <si>
    <t>d</t>
  </si>
  <si>
    <t>cost</t>
  </si>
  <si>
    <t>used</t>
  </si>
  <si>
    <t>percentage</t>
  </si>
  <si>
    <t>dr: PP&amp;E</t>
  </si>
  <si>
    <t>cr. Cash</t>
  </si>
  <si>
    <t>dr. Dep Exp</t>
  </si>
  <si>
    <t>cr. Acc Dep</t>
  </si>
  <si>
    <t>dr. cash</t>
  </si>
  <si>
    <t>dr. acc dep</t>
  </si>
  <si>
    <t>cr. PP&amp;E</t>
  </si>
  <si>
    <t>cr. Gain</t>
  </si>
  <si>
    <t>face value</t>
  </si>
  <si>
    <t>coupon</t>
  </si>
  <si>
    <t>bond payable</t>
  </si>
  <si>
    <t>interest rate</t>
  </si>
  <si>
    <t>interest exp</t>
  </si>
  <si>
    <t>net bv</t>
  </si>
  <si>
    <t xml:space="preserve">eb </t>
  </si>
  <si>
    <t>bb</t>
  </si>
  <si>
    <t>int exp</t>
  </si>
  <si>
    <t>coupon payment</t>
  </si>
  <si>
    <t>int exp is inflow, because it is the increase in the liability that the firm needs to pay down</t>
  </si>
  <si>
    <t>coupon payment is outflow, because it is essentially what's been paid down</t>
  </si>
  <si>
    <t>yield</t>
  </si>
  <si>
    <t>=bond payable * yield</t>
  </si>
  <si>
    <t>market value</t>
  </si>
  <si>
    <t>bond issuance</t>
  </si>
  <si>
    <t>cr. Bond payable</t>
  </si>
  <si>
    <t>retirement</t>
  </si>
  <si>
    <t>dr. bond payable</t>
  </si>
  <si>
    <t xml:space="preserve">cr. Gain </t>
  </si>
  <si>
    <t>rev</t>
  </si>
  <si>
    <t>exp</t>
  </si>
  <si>
    <t>taxable income</t>
  </si>
  <si>
    <t>temporary diff</t>
  </si>
  <si>
    <t>permanent diff</t>
  </si>
  <si>
    <t>dr. tax exp</t>
  </si>
  <si>
    <t>tax rate</t>
  </si>
  <si>
    <t>cr. Tax payable</t>
  </si>
  <si>
    <t>based on tax codes; already incurred, regardless when it's gonna be paid</t>
  </si>
  <si>
    <t>cr. Deferred tax liability</t>
  </si>
  <si>
    <t>dr. tax payable</t>
  </si>
  <si>
    <r>
      <t xml:space="preserve">(i) The 2021 </t>
    </r>
    <r>
      <rPr>
        <b/>
        <sz val="12"/>
        <color theme="1"/>
        <rFont val="Calibri"/>
        <family val="2"/>
        <scheme val="minor"/>
      </rPr>
      <t>tax return</t>
    </r>
    <r>
      <rPr>
        <sz val="12"/>
        <color theme="1"/>
        <rFont val="Calibri"/>
        <family val="2"/>
        <scheme val="minor"/>
      </rPr>
      <t xml:space="preserve"> includes a $10,000 expense that will be reported in the 2022 financial statements </t>
    </r>
  </si>
  <si>
    <r>
      <t>(ii) The</t>
    </r>
    <r>
      <rPr>
        <b/>
        <sz val="12"/>
        <color theme="1"/>
        <rFont val="Calibri"/>
        <family val="2"/>
        <scheme val="minor"/>
      </rPr>
      <t xml:space="preserve"> financial statements</t>
    </r>
    <r>
      <rPr>
        <sz val="12"/>
        <color theme="1"/>
        <rFont val="Calibri"/>
        <family val="2"/>
        <scheme val="minor"/>
      </rPr>
      <t xml:space="preserve"> for 2022 include a $7,000 revenue taxable only in 2023. </t>
    </r>
  </si>
  <si>
    <t>tax</t>
  </si>
  <si>
    <t>acct</t>
  </si>
  <si>
    <t>dr. deferred tax liability</t>
  </si>
  <si>
    <t>BS</t>
  </si>
  <si>
    <t>IS</t>
  </si>
  <si>
    <t>SCF</t>
  </si>
  <si>
    <t>a &amp; b</t>
  </si>
  <si>
    <t>DTL</t>
  </si>
  <si>
    <t>T/P</t>
  </si>
  <si>
    <t>tax exp</t>
  </si>
  <si>
    <t>D(DTL)</t>
  </si>
  <si>
    <t>D(T/P)</t>
  </si>
  <si>
    <t>liabilities</t>
  </si>
  <si>
    <t>acct-tax</t>
  </si>
  <si>
    <t>temp diff (2021)</t>
  </si>
  <si>
    <t>- exp</t>
  </si>
  <si>
    <t>NI</t>
  </si>
  <si>
    <t>temp diff (2022)</t>
  </si>
  <si>
    <t>temporary</t>
  </si>
  <si>
    <t>&lt;- temporary diff</t>
  </si>
  <si>
    <t>=pretax income - temp diff - perm diff</t>
  </si>
  <si>
    <t>pretax income</t>
  </si>
  <si>
    <t>based on accounting principle-based pretax income</t>
  </si>
  <si>
    <t>when calculating tax exp, we adjust pretax income only for the permanent 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</si>
</sst>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quotePrefix="1"/>
    <xf numFmtId="0" fontId="1" fillId="0" borderId="0" xfId="0" applyFont="1"/>
    <xf numFmtId="0" fontId="0" fillId="2" borderId="0" xfId="0" applyFill="1"/>
    <xf numFmtId="2" fontId="0" fillId="0" borderId="0" xfId="0" applyNumberFormat="1"/>
    <xf numFmtId="9" fontId="0" fillId="0" borderId="0" xfId="0" applyNumberFormat="1"/>
    <xf numFmtId="14" fontId="0" fillId="0" borderId="0" xfId="0" applyNumberFormat="1"/>
    <xf numFmtId="164" fontId="0" fillId="0" borderId="0" xfId="0" applyNumberFormat="1"/>
    <xf numFmtId="0" fontId="0" fillId="2" borderId="1" xfId="0" quotePrefix="1" applyFill="1" applyBorder="1"/>
    <xf numFmtId="0" fontId="0" fillId="2" borderId="1" xfId="0" applyFill="1" applyBorder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4C6143-54F8-214D-B443-344A8D065A2B}">
  <dimension ref="A1:H22"/>
  <sheetViews>
    <sheetView tabSelected="1" workbookViewId="0">
      <selection activeCell="N24" sqref="N24"/>
    </sheetView>
  </sheetViews>
  <sheetFormatPr baseColWidth="10" defaultRowHeight="16" x14ac:dyDescent="0.2"/>
  <cols>
    <col min="2" max="2" width="13.6640625" bestFit="1" customWidth="1"/>
    <col min="3" max="3" width="12.1640625" customWidth="1"/>
    <col min="4" max="4" width="13.6640625" customWidth="1"/>
    <col min="6" max="6" width="12" bestFit="1" customWidth="1"/>
  </cols>
  <sheetData>
    <row r="1" spans="1:8" x14ac:dyDescent="0.2">
      <c r="B1" t="s">
        <v>0</v>
      </c>
      <c r="C1" t="s">
        <v>1</v>
      </c>
      <c r="D1" t="s">
        <v>2</v>
      </c>
    </row>
    <row r="2" spans="1:8" x14ac:dyDescent="0.2">
      <c r="A2">
        <v>2020</v>
      </c>
      <c r="B2">
        <v>751000</v>
      </c>
      <c r="C2">
        <v>533000</v>
      </c>
      <c r="D2">
        <v>5300</v>
      </c>
    </row>
    <row r="3" spans="1:8" x14ac:dyDescent="0.2">
      <c r="A3">
        <v>2021</v>
      </c>
      <c r="B3">
        <v>876000</v>
      </c>
      <c r="C3">
        <v>864000</v>
      </c>
      <c r="D3">
        <v>5800</v>
      </c>
    </row>
    <row r="4" spans="1:8" x14ac:dyDescent="0.2">
      <c r="A4">
        <v>2022</v>
      </c>
      <c r="B4">
        <v>972000</v>
      </c>
      <c r="C4">
        <v>938000</v>
      </c>
      <c r="D4">
        <v>6500</v>
      </c>
    </row>
    <row r="7" spans="1:8" x14ac:dyDescent="0.2">
      <c r="A7" t="s">
        <v>3</v>
      </c>
    </row>
    <row r="8" spans="1:8" x14ac:dyDescent="0.2">
      <c r="B8" t="s">
        <v>4</v>
      </c>
      <c r="C8" t="s">
        <v>6</v>
      </c>
      <c r="D8" t="s">
        <v>5</v>
      </c>
    </row>
    <row r="9" spans="1:8" x14ac:dyDescent="0.2">
      <c r="A9">
        <v>2020</v>
      </c>
      <c r="B9">
        <f>B2-C2-D2</f>
        <v>212700</v>
      </c>
      <c r="C9">
        <f>B9*0.1</f>
        <v>21270</v>
      </c>
      <c r="D9">
        <f>C9+D2</f>
        <v>26570</v>
      </c>
    </row>
    <row r="10" spans="1:8" x14ac:dyDescent="0.2">
      <c r="A10">
        <v>2021</v>
      </c>
      <c r="B10">
        <f>B3-C3-D3+B9</f>
        <v>218900</v>
      </c>
      <c r="C10">
        <f t="shared" ref="C10:C11" si="0">B10*0.1</f>
        <v>21890</v>
      </c>
      <c r="D10">
        <f>C10-C9+D3</f>
        <v>6420</v>
      </c>
    </row>
    <row r="11" spans="1:8" x14ac:dyDescent="0.2">
      <c r="A11">
        <v>2022</v>
      </c>
      <c r="B11">
        <f>B4-C4-D4+B10</f>
        <v>246400</v>
      </c>
      <c r="C11">
        <f t="shared" si="0"/>
        <v>24640</v>
      </c>
      <c r="D11">
        <f>C11-C10+D4</f>
        <v>9250</v>
      </c>
    </row>
    <row r="13" spans="1:8" x14ac:dyDescent="0.2">
      <c r="B13" t="s">
        <v>7</v>
      </c>
      <c r="C13" s="1" t="s">
        <v>8</v>
      </c>
      <c r="D13" t="s">
        <v>9</v>
      </c>
      <c r="E13" s="1" t="s">
        <v>10</v>
      </c>
      <c r="F13" t="s">
        <v>5</v>
      </c>
      <c r="G13" s="1" t="s">
        <v>11</v>
      </c>
      <c r="H13" t="s">
        <v>2</v>
      </c>
    </row>
    <row r="14" spans="1:8" x14ac:dyDescent="0.2">
      <c r="A14" s="1" t="s">
        <v>12</v>
      </c>
      <c r="B14" t="s">
        <v>5</v>
      </c>
      <c r="C14" s="1" t="s">
        <v>8</v>
      </c>
      <c r="D14" t="s">
        <v>7</v>
      </c>
      <c r="E14" s="1" t="s">
        <v>13</v>
      </c>
      <c r="F14" s="2" t="s">
        <v>9</v>
      </c>
      <c r="G14" s="1" t="s">
        <v>10</v>
      </c>
      <c r="H14" t="s">
        <v>2</v>
      </c>
    </row>
    <row r="17" spans="1:8" x14ac:dyDescent="0.2">
      <c r="A17" t="s">
        <v>14</v>
      </c>
    </row>
    <row r="18" spans="1:8" x14ac:dyDescent="0.2">
      <c r="B18" t="s">
        <v>7</v>
      </c>
      <c r="C18" s="1" t="s">
        <v>8</v>
      </c>
      <c r="D18" t="s">
        <v>9</v>
      </c>
      <c r="E18" s="1" t="s">
        <v>10</v>
      </c>
      <c r="F18" t="s">
        <v>5</v>
      </c>
      <c r="G18" s="1" t="s">
        <v>11</v>
      </c>
      <c r="H18" t="s">
        <v>2</v>
      </c>
    </row>
    <row r="19" spans="1:8" x14ac:dyDescent="0.2">
      <c r="B19">
        <v>24640</v>
      </c>
      <c r="D19">
        <v>0</v>
      </c>
      <c r="F19" s="3" t="s">
        <v>17</v>
      </c>
      <c r="H19">
        <f>SUM(D2:D4)</f>
        <v>17600</v>
      </c>
    </row>
    <row r="20" spans="1:8" x14ac:dyDescent="0.2">
      <c r="F20">
        <f>B19-D19+H19</f>
        <v>42240</v>
      </c>
    </row>
    <row r="21" spans="1:8" x14ac:dyDescent="0.2">
      <c r="B21" t="s">
        <v>15</v>
      </c>
      <c r="C21">
        <f>SUM(B2:B4)</f>
        <v>2599000</v>
      </c>
      <c r="F21">
        <f>F20/C21</f>
        <v>1.6252404771065796E-2</v>
      </c>
    </row>
    <row r="22" spans="1:8" x14ac:dyDescent="0.2">
      <c r="B22" t="s">
        <v>16</v>
      </c>
      <c r="C22">
        <f>SUM(D2:D4)</f>
        <v>17600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02941-9B84-6841-AA4E-AC6B8D37F74C}">
  <dimension ref="A1:G37"/>
  <sheetViews>
    <sheetView workbookViewId="0">
      <selection activeCell="C38" sqref="C38"/>
    </sheetView>
  </sheetViews>
  <sheetFormatPr baseColWidth="10" defaultRowHeight="16" x14ac:dyDescent="0.2"/>
  <cols>
    <col min="2" max="2" width="15" bestFit="1" customWidth="1"/>
    <col min="3" max="5" width="11.6640625" bestFit="1" customWidth="1"/>
    <col min="7" max="7" width="14.5" customWidth="1"/>
    <col min="10" max="10" width="10.6640625" bestFit="1" customWidth="1"/>
  </cols>
  <sheetData>
    <row r="1" spans="1:7" x14ac:dyDescent="0.2">
      <c r="A1" t="s">
        <v>3</v>
      </c>
    </row>
    <row r="2" spans="1:7" x14ac:dyDescent="0.2">
      <c r="C2" s="1" t="s">
        <v>21</v>
      </c>
      <c r="D2" t="s">
        <v>19</v>
      </c>
      <c r="E2" t="s">
        <v>20</v>
      </c>
    </row>
    <row r="3" spans="1:7" x14ac:dyDescent="0.2">
      <c r="B3" t="s">
        <v>18</v>
      </c>
      <c r="C3">
        <v>150000</v>
      </c>
      <c r="D3">
        <v>50000</v>
      </c>
      <c r="E3">
        <v>60000</v>
      </c>
    </row>
    <row r="4" spans="1:7" x14ac:dyDescent="0.2">
      <c r="B4" t="s">
        <v>22</v>
      </c>
      <c r="C4">
        <v>39000</v>
      </c>
      <c r="D4">
        <v>87000</v>
      </c>
      <c r="E4">
        <v>90000</v>
      </c>
    </row>
    <row r="5" spans="1:7" x14ac:dyDescent="0.2">
      <c r="B5" t="s">
        <v>28</v>
      </c>
      <c r="G5" t="s">
        <v>26</v>
      </c>
    </row>
    <row r="6" spans="1:7" x14ac:dyDescent="0.2">
      <c r="B6" t="s">
        <v>23</v>
      </c>
      <c r="C6">
        <v>1</v>
      </c>
      <c r="D6">
        <v>1.5</v>
      </c>
      <c r="E6">
        <v>1.6</v>
      </c>
      <c r="G6">
        <v>3978000000</v>
      </c>
    </row>
    <row r="7" spans="1:7" x14ac:dyDescent="0.2">
      <c r="B7" t="s">
        <v>24</v>
      </c>
      <c r="C7">
        <v>3</v>
      </c>
      <c r="D7">
        <v>4</v>
      </c>
      <c r="E7">
        <v>4</v>
      </c>
      <c r="G7">
        <v>6135000000</v>
      </c>
    </row>
    <row r="8" spans="1:7" x14ac:dyDescent="0.2">
      <c r="B8" t="s">
        <v>25</v>
      </c>
      <c r="C8">
        <v>2.5</v>
      </c>
      <c r="D8">
        <v>3</v>
      </c>
      <c r="E8">
        <v>3</v>
      </c>
      <c r="G8">
        <v>4335000000</v>
      </c>
    </row>
    <row r="10" spans="1:7" x14ac:dyDescent="0.2">
      <c r="B10" t="s">
        <v>30</v>
      </c>
    </row>
    <row r="12" spans="1:7" x14ac:dyDescent="0.2">
      <c r="B12" t="s">
        <v>31</v>
      </c>
    </row>
    <row r="13" spans="1:7" x14ac:dyDescent="0.2">
      <c r="B13" t="s">
        <v>23</v>
      </c>
      <c r="C13">
        <f>C6*C$3</f>
        <v>150000</v>
      </c>
      <c r="D13">
        <f t="shared" ref="D13:E13" si="0">D6*D$3</f>
        <v>75000</v>
      </c>
      <c r="E13">
        <f t="shared" si="0"/>
        <v>96000</v>
      </c>
    </row>
    <row r="14" spans="1:7" x14ac:dyDescent="0.2">
      <c r="B14" t="s">
        <v>24</v>
      </c>
      <c r="C14">
        <f t="shared" ref="C14:E14" si="1">C7*C$3</f>
        <v>450000</v>
      </c>
      <c r="D14">
        <f t="shared" si="1"/>
        <v>200000</v>
      </c>
      <c r="E14">
        <f t="shared" si="1"/>
        <v>240000</v>
      </c>
    </row>
    <row r="15" spans="1:7" x14ac:dyDescent="0.2">
      <c r="B15" t="s">
        <v>25</v>
      </c>
      <c r="C15">
        <f t="shared" ref="C15:E15" si="2">C8*C$3</f>
        <v>375000</v>
      </c>
      <c r="D15">
        <f t="shared" si="2"/>
        <v>150000</v>
      </c>
      <c r="E15">
        <f t="shared" si="2"/>
        <v>180000</v>
      </c>
    </row>
    <row r="17" spans="1:7" x14ac:dyDescent="0.2">
      <c r="B17" t="s">
        <v>27</v>
      </c>
    </row>
    <row r="18" spans="1:7" x14ac:dyDescent="0.2">
      <c r="B18" t="s">
        <v>23</v>
      </c>
      <c r="C18" s="4">
        <f>C13/SUM($C13:$E13)*$G6/C$3</f>
        <v>12392.52336448598</v>
      </c>
      <c r="D18" s="4">
        <f t="shared" ref="D18:E18" si="3">D13/SUM($C13:$E13)*$G6/D$3</f>
        <v>18588.785046728972</v>
      </c>
      <c r="E18" s="4">
        <f t="shared" si="3"/>
        <v>19828.037383177569</v>
      </c>
    </row>
    <row r="19" spans="1:7" x14ac:dyDescent="0.2">
      <c r="B19" t="s">
        <v>24</v>
      </c>
      <c r="C19" s="4">
        <f t="shared" ref="C19:E19" si="4">C14/SUM($C14:$E14)*$G7/C$3</f>
        <v>20679.775280898877</v>
      </c>
      <c r="D19" s="4">
        <f t="shared" si="4"/>
        <v>27573.033707865168</v>
      </c>
      <c r="E19" s="4">
        <f t="shared" si="4"/>
        <v>27573.033707865168</v>
      </c>
    </row>
    <row r="20" spans="1:7" x14ac:dyDescent="0.2">
      <c r="B20" t="s">
        <v>25</v>
      </c>
      <c r="C20" s="4">
        <f t="shared" ref="C20:E20" si="5">C15/SUM($C15:$E15)*$G8/C$3</f>
        <v>15372.340425531915</v>
      </c>
      <c r="D20" s="4">
        <f t="shared" si="5"/>
        <v>18446.808510638301</v>
      </c>
      <c r="E20" s="4">
        <f t="shared" si="5"/>
        <v>18446.808510638297</v>
      </c>
    </row>
    <row r="21" spans="1:7" x14ac:dyDescent="0.2">
      <c r="B21" t="s">
        <v>29</v>
      </c>
      <c r="C21" s="4">
        <f>SUM(C18:C20)</f>
        <v>48444.639070916775</v>
      </c>
      <c r="D21" s="4">
        <f t="shared" ref="D21:E21" si="6">SUM(D18:D20)</f>
        <v>64608.627265232441</v>
      </c>
      <c r="E21" s="4">
        <f t="shared" si="6"/>
        <v>65847.879601681037</v>
      </c>
    </row>
    <row r="23" spans="1:7" x14ac:dyDescent="0.2">
      <c r="A23" t="s">
        <v>33</v>
      </c>
    </row>
    <row r="24" spans="1:7" x14ac:dyDescent="0.2">
      <c r="B24" t="s">
        <v>32</v>
      </c>
      <c r="C24" s="4">
        <f>C4-C21</f>
        <v>-9444.6390709167754</v>
      </c>
      <c r="D24" s="4">
        <f t="shared" ref="D24:E24" si="7">D4-D21</f>
        <v>22391.372734767559</v>
      </c>
      <c r="E24" s="4">
        <f t="shared" si="7"/>
        <v>24152.120398318963</v>
      </c>
    </row>
    <row r="26" spans="1:7" x14ac:dyDescent="0.2">
      <c r="A26" t="s">
        <v>14</v>
      </c>
    </row>
    <row r="27" spans="1:7" x14ac:dyDescent="0.2">
      <c r="B27" t="s">
        <v>34</v>
      </c>
      <c r="C27" t="s">
        <v>18</v>
      </c>
      <c r="D27" t="s">
        <v>22</v>
      </c>
      <c r="F27" t="s">
        <v>42</v>
      </c>
      <c r="G27" t="s">
        <v>37</v>
      </c>
    </row>
    <row r="28" spans="1:7" x14ac:dyDescent="0.2">
      <c r="B28" t="s">
        <v>39</v>
      </c>
      <c r="C28">
        <v>52000</v>
      </c>
      <c r="D28">
        <v>800</v>
      </c>
      <c r="F28">
        <v>52000</v>
      </c>
      <c r="G28">
        <f>C28-F28</f>
        <v>0</v>
      </c>
    </row>
    <row r="29" spans="1:7" x14ac:dyDescent="0.2">
      <c r="B29" t="s">
        <v>35</v>
      </c>
      <c r="C29">
        <v>225000</v>
      </c>
      <c r="D29">
        <v>950</v>
      </c>
      <c r="F29">
        <f>C31-F28</f>
        <v>188000</v>
      </c>
      <c r="G29">
        <f>C29-F29</f>
        <v>37000</v>
      </c>
    </row>
    <row r="31" spans="1:7" x14ac:dyDescent="0.2">
      <c r="B31" t="s">
        <v>36</v>
      </c>
      <c r="C31">
        <v>240000</v>
      </c>
    </row>
    <row r="33" spans="1:4" x14ac:dyDescent="0.2">
      <c r="C33" t="s">
        <v>38</v>
      </c>
      <c r="D33">
        <f>D29*G29</f>
        <v>35150000</v>
      </c>
    </row>
    <row r="35" spans="1:4" x14ac:dyDescent="0.2">
      <c r="A35" t="s">
        <v>40</v>
      </c>
    </row>
    <row r="36" spans="1:4" x14ac:dyDescent="0.2">
      <c r="B36" t="s">
        <v>41</v>
      </c>
      <c r="C36">
        <f>D28*F28+D29*F29</f>
        <v>220200000</v>
      </c>
    </row>
    <row r="37" spans="1:4" x14ac:dyDescent="0.2">
      <c r="B37" t="s">
        <v>43</v>
      </c>
      <c r="C37">
        <f>C36/G6</f>
        <v>5.5354449472096529E-2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DA0BF-DA8C-E049-AB3A-5BAB0CF24F9D}">
  <dimension ref="A1:F15"/>
  <sheetViews>
    <sheetView workbookViewId="0">
      <selection activeCell="F16" sqref="F16"/>
    </sheetView>
  </sheetViews>
  <sheetFormatPr baseColWidth="10" defaultRowHeight="16" x14ac:dyDescent="0.2"/>
  <sheetData>
    <row r="1" spans="1:6" x14ac:dyDescent="0.2">
      <c r="A1" t="s">
        <v>3</v>
      </c>
    </row>
    <row r="2" spans="1:6" x14ac:dyDescent="0.2">
      <c r="B2" t="s">
        <v>44</v>
      </c>
      <c r="E2">
        <f>440000+45000+15000</f>
        <v>500000</v>
      </c>
    </row>
    <row r="3" spans="1:6" x14ac:dyDescent="0.2">
      <c r="C3" t="s">
        <v>45</v>
      </c>
      <c r="F3">
        <f>E2</f>
        <v>500000</v>
      </c>
    </row>
    <row r="5" spans="1:6" x14ac:dyDescent="0.2">
      <c r="B5" t="s">
        <v>46</v>
      </c>
      <c r="E5">
        <f>(E2-50000)/5</f>
        <v>90000</v>
      </c>
    </row>
    <row r="6" spans="1:6" x14ac:dyDescent="0.2">
      <c r="C6" t="s">
        <v>47</v>
      </c>
      <c r="F6">
        <f>E5</f>
        <v>90000</v>
      </c>
    </row>
    <row r="8" spans="1:6" x14ac:dyDescent="0.2">
      <c r="A8" t="s">
        <v>33</v>
      </c>
    </row>
    <row r="9" spans="1:6" x14ac:dyDescent="0.2">
      <c r="B9" t="s">
        <v>46</v>
      </c>
      <c r="E9">
        <f>E5/2</f>
        <v>45000</v>
      </c>
    </row>
    <row r="10" spans="1:6" x14ac:dyDescent="0.2">
      <c r="C10" t="s">
        <v>47</v>
      </c>
      <c r="F10">
        <f>E9</f>
        <v>45000</v>
      </c>
    </row>
    <row r="12" spans="1:6" x14ac:dyDescent="0.2">
      <c r="B12" t="s">
        <v>48</v>
      </c>
      <c r="E12">
        <v>400000</v>
      </c>
    </row>
    <row r="13" spans="1:6" x14ac:dyDescent="0.2">
      <c r="B13" t="s">
        <v>49</v>
      </c>
      <c r="E13">
        <f>E9+E5</f>
        <v>135000</v>
      </c>
    </row>
    <row r="14" spans="1:6" x14ac:dyDescent="0.2">
      <c r="C14" t="s">
        <v>50</v>
      </c>
      <c r="F14">
        <f>E2</f>
        <v>500000</v>
      </c>
    </row>
    <row r="15" spans="1:6" x14ac:dyDescent="0.2">
      <c r="C15" t="s">
        <v>51</v>
      </c>
      <c r="F15">
        <f>E12+E13-F14</f>
        <v>35000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8CE71-CDEB-1C4E-AD1F-A56C417E8FF2}">
  <dimension ref="A1:J24"/>
  <sheetViews>
    <sheetView workbookViewId="0">
      <selection activeCell="J13" sqref="J13"/>
    </sheetView>
  </sheetViews>
  <sheetFormatPr baseColWidth="10" defaultRowHeight="16" x14ac:dyDescent="0.2"/>
  <cols>
    <col min="1" max="1" width="12" bestFit="1" customWidth="1"/>
    <col min="2" max="3" width="14.6640625" bestFit="1" customWidth="1"/>
    <col min="8" max="8" width="14.6640625" bestFit="1" customWidth="1"/>
    <col min="10" max="10" width="14.1640625" bestFit="1" customWidth="1"/>
  </cols>
  <sheetData>
    <row r="1" spans="1:10" x14ac:dyDescent="0.2">
      <c r="A1" t="s">
        <v>52</v>
      </c>
      <c r="B1">
        <v>40000000</v>
      </c>
    </row>
    <row r="2" spans="1:10" x14ac:dyDescent="0.2">
      <c r="A2" t="s">
        <v>53</v>
      </c>
      <c r="B2" s="7">
        <v>0.05</v>
      </c>
    </row>
    <row r="3" spans="1:10" x14ac:dyDescent="0.2">
      <c r="A3" t="s">
        <v>64</v>
      </c>
      <c r="B3" s="7">
        <v>5.5E-2</v>
      </c>
    </row>
    <row r="5" spans="1:10" x14ac:dyDescent="0.2">
      <c r="B5" s="6">
        <v>44562</v>
      </c>
      <c r="C5" s="6">
        <v>44926</v>
      </c>
    </row>
    <row r="6" spans="1:10" x14ac:dyDescent="0.2">
      <c r="A6" t="s">
        <v>54</v>
      </c>
      <c r="B6">
        <v>37545000</v>
      </c>
    </row>
    <row r="7" spans="1:10" x14ac:dyDescent="0.2">
      <c r="A7" t="s">
        <v>55</v>
      </c>
      <c r="B7" s="5">
        <v>0.09</v>
      </c>
    </row>
    <row r="8" spans="1:10" x14ac:dyDescent="0.2">
      <c r="A8" t="s">
        <v>66</v>
      </c>
      <c r="B8" s="5"/>
      <c r="C8">
        <f>B1*0.6349</f>
        <v>25396000</v>
      </c>
    </row>
    <row r="10" spans="1:10" x14ac:dyDescent="0.2">
      <c r="A10" t="s">
        <v>3</v>
      </c>
    </row>
    <row r="11" spans="1:10" x14ac:dyDescent="0.2">
      <c r="B11" t="s">
        <v>56</v>
      </c>
      <c r="C11">
        <f>B6*B3</f>
        <v>2064975</v>
      </c>
      <c r="E11" s="1" t="s">
        <v>65</v>
      </c>
    </row>
    <row r="12" spans="1:10" x14ac:dyDescent="0.2">
      <c r="B12" t="s">
        <v>57</v>
      </c>
      <c r="C12">
        <f>B6+C11-B1*B2</f>
        <v>37609975</v>
      </c>
    </row>
    <row r="13" spans="1:10" x14ac:dyDescent="0.2">
      <c r="B13" t="s">
        <v>58</v>
      </c>
      <c r="C13" s="1" t="s">
        <v>8</v>
      </c>
      <c r="D13" t="s">
        <v>59</v>
      </c>
      <c r="E13" s="1" t="s">
        <v>10</v>
      </c>
      <c r="F13" t="s">
        <v>60</v>
      </c>
      <c r="G13" s="1" t="s">
        <v>13</v>
      </c>
      <c r="H13" t="s">
        <v>61</v>
      </c>
      <c r="J13" t="s">
        <v>62</v>
      </c>
    </row>
    <row r="14" spans="1:10" x14ac:dyDescent="0.2">
      <c r="J14" t="s">
        <v>63</v>
      </c>
    </row>
    <row r="16" spans="1:10" x14ac:dyDescent="0.2">
      <c r="A16" t="s">
        <v>33</v>
      </c>
    </row>
    <row r="17" spans="2:5" x14ac:dyDescent="0.2">
      <c r="B17" t="s">
        <v>67</v>
      </c>
    </row>
    <row r="18" spans="2:5" x14ac:dyDescent="0.2">
      <c r="B18" t="s">
        <v>48</v>
      </c>
      <c r="D18">
        <f>C8</f>
        <v>25396000</v>
      </c>
    </row>
    <row r="19" spans="2:5" x14ac:dyDescent="0.2">
      <c r="C19" t="s">
        <v>68</v>
      </c>
      <c r="E19">
        <f>D18</f>
        <v>25396000</v>
      </c>
    </row>
    <row r="21" spans="2:5" x14ac:dyDescent="0.2">
      <c r="B21" t="s">
        <v>69</v>
      </c>
    </row>
    <row r="22" spans="2:5" x14ac:dyDescent="0.2">
      <c r="B22" t="s">
        <v>70</v>
      </c>
      <c r="D22">
        <f>C12</f>
        <v>37609975</v>
      </c>
    </row>
    <row r="23" spans="2:5" x14ac:dyDescent="0.2">
      <c r="C23" t="s">
        <v>45</v>
      </c>
      <c r="E23">
        <f>D18</f>
        <v>25396000</v>
      </c>
    </row>
    <row r="24" spans="2:5" x14ac:dyDescent="0.2">
      <c r="C24" t="s">
        <v>71</v>
      </c>
      <c r="E24">
        <f>D22-E23</f>
        <v>12213975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5D9877-53D2-4343-972D-DD1787ECE0F6}">
  <dimension ref="A1:I49"/>
  <sheetViews>
    <sheetView workbookViewId="0">
      <selection activeCell="H35" sqref="H35"/>
    </sheetView>
  </sheetViews>
  <sheetFormatPr baseColWidth="10" defaultRowHeight="16" x14ac:dyDescent="0.2"/>
  <cols>
    <col min="2" max="3" width="20.5" bestFit="1" customWidth="1"/>
  </cols>
  <sheetData>
    <row r="1" spans="1:9" x14ac:dyDescent="0.2">
      <c r="A1" t="s">
        <v>91</v>
      </c>
    </row>
    <row r="2" spans="1:9" x14ac:dyDescent="0.2">
      <c r="C2">
        <v>2021</v>
      </c>
      <c r="D2">
        <v>2022</v>
      </c>
      <c r="I2" t="s">
        <v>103</v>
      </c>
    </row>
    <row r="3" spans="1:9" x14ac:dyDescent="0.2">
      <c r="B3" t="s">
        <v>72</v>
      </c>
      <c r="C3">
        <v>210000</v>
      </c>
      <c r="D3">
        <v>218000</v>
      </c>
      <c r="F3" t="s">
        <v>78</v>
      </c>
      <c r="G3" s="5">
        <v>0.3</v>
      </c>
      <c r="I3" s="5" t="s">
        <v>83</v>
      </c>
    </row>
    <row r="4" spans="1:9" x14ac:dyDescent="0.2">
      <c r="B4" t="s">
        <v>73</v>
      </c>
      <c r="C4">
        <v>120000</v>
      </c>
      <c r="D4">
        <v>133000</v>
      </c>
      <c r="I4" s="5" t="s">
        <v>84</v>
      </c>
    </row>
    <row r="5" spans="1:9" x14ac:dyDescent="0.2">
      <c r="B5" t="s">
        <v>106</v>
      </c>
      <c r="C5">
        <f>C3-C4</f>
        <v>90000</v>
      </c>
      <c r="D5">
        <f>D3-D4</f>
        <v>85000</v>
      </c>
    </row>
    <row r="7" spans="1:9" x14ac:dyDescent="0.2">
      <c r="B7" t="s">
        <v>74</v>
      </c>
      <c r="C7">
        <v>80000</v>
      </c>
      <c r="D7">
        <v>85000</v>
      </c>
      <c r="F7" s="1" t="s">
        <v>105</v>
      </c>
    </row>
    <row r="8" spans="1:9" x14ac:dyDescent="0.2">
      <c r="B8" t="s">
        <v>75</v>
      </c>
      <c r="C8">
        <v>10000</v>
      </c>
      <c r="D8">
        <f>7000-10000</f>
        <v>-3000</v>
      </c>
    </row>
    <row r="9" spans="1:9" x14ac:dyDescent="0.2">
      <c r="B9" t="s">
        <v>76</v>
      </c>
      <c r="C9">
        <f>C5-C7-C8</f>
        <v>0</v>
      </c>
      <c r="D9">
        <v>3000</v>
      </c>
    </row>
    <row r="11" spans="1:9" x14ac:dyDescent="0.2">
      <c r="B11" s="3" t="s">
        <v>99</v>
      </c>
      <c r="C11" s="3"/>
      <c r="D11" s="3"/>
      <c r="E11" s="3"/>
    </row>
    <row r="12" spans="1:9" x14ac:dyDescent="0.2">
      <c r="B12" s="3"/>
      <c r="C12" s="3" t="s">
        <v>85</v>
      </c>
      <c r="D12" s="3" t="s">
        <v>86</v>
      </c>
      <c r="E12" s="3" t="s">
        <v>98</v>
      </c>
    </row>
    <row r="13" spans="1:9" x14ac:dyDescent="0.2">
      <c r="B13" s="3" t="s">
        <v>72</v>
      </c>
      <c r="C13" s="3"/>
      <c r="D13" s="3"/>
      <c r="E13" s="3"/>
    </row>
    <row r="14" spans="1:9" x14ac:dyDescent="0.2">
      <c r="B14" s="8" t="s">
        <v>100</v>
      </c>
      <c r="C14" s="9">
        <v>10000</v>
      </c>
      <c r="D14" s="9"/>
      <c r="E14" s="9"/>
    </row>
    <row r="15" spans="1:9" x14ac:dyDescent="0.2">
      <c r="B15" s="3" t="s">
        <v>101</v>
      </c>
      <c r="C15" s="3">
        <v>-10000</v>
      </c>
      <c r="D15" s="3"/>
      <c r="E15" s="3">
        <f>-C15</f>
        <v>10000</v>
      </c>
      <c r="F15" s="10" t="s">
        <v>104</v>
      </c>
    </row>
    <row r="16" spans="1:9" x14ac:dyDescent="0.2">
      <c r="B16" s="3"/>
      <c r="C16" s="3"/>
      <c r="D16" s="3"/>
      <c r="E16" s="3"/>
    </row>
    <row r="17" spans="2:8" x14ac:dyDescent="0.2">
      <c r="B17" s="3" t="s">
        <v>102</v>
      </c>
      <c r="C17" s="3"/>
      <c r="D17" s="3"/>
      <c r="E17" s="3"/>
    </row>
    <row r="18" spans="2:8" x14ac:dyDescent="0.2">
      <c r="B18" s="3"/>
      <c r="C18" s="3" t="s">
        <v>85</v>
      </c>
      <c r="D18" s="3" t="s">
        <v>86</v>
      </c>
      <c r="E18" s="3" t="s">
        <v>98</v>
      </c>
    </row>
    <row r="19" spans="2:8" x14ac:dyDescent="0.2">
      <c r="B19" s="3" t="s">
        <v>72</v>
      </c>
      <c r="C19" s="3"/>
      <c r="D19" s="3">
        <v>7000</v>
      </c>
      <c r="E19" s="3"/>
    </row>
    <row r="20" spans="2:8" x14ac:dyDescent="0.2">
      <c r="B20" s="8" t="s">
        <v>100</v>
      </c>
      <c r="C20" s="9"/>
      <c r="D20" s="9">
        <v>10000</v>
      </c>
      <c r="E20" s="9"/>
    </row>
    <row r="21" spans="2:8" x14ac:dyDescent="0.2">
      <c r="B21" s="3" t="s">
        <v>101</v>
      </c>
      <c r="C21" s="3"/>
      <c r="D21" s="3">
        <f>D19-D20</f>
        <v>-3000</v>
      </c>
      <c r="E21" s="3">
        <f>D21</f>
        <v>-3000</v>
      </c>
      <c r="F21" s="10" t="s">
        <v>104</v>
      </c>
    </row>
    <row r="24" spans="2:8" x14ac:dyDescent="0.2">
      <c r="B24">
        <v>2021</v>
      </c>
    </row>
    <row r="25" spans="2:8" x14ac:dyDescent="0.2">
      <c r="B25" t="s">
        <v>77</v>
      </c>
      <c r="E25">
        <f>C5*G3</f>
        <v>27000</v>
      </c>
      <c r="H25" t="s">
        <v>107</v>
      </c>
    </row>
    <row r="26" spans="2:8" x14ac:dyDescent="0.2">
      <c r="C26" t="s">
        <v>79</v>
      </c>
      <c r="F26">
        <f>C7*G3</f>
        <v>24000</v>
      </c>
      <c r="H26" t="s">
        <v>80</v>
      </c>
    </row>
    <row r="27" spans="2:8" x14ac:dyDescent="0.2">
      <c r="C27" t="s">
        <v>81</v>
      </c>
      <c r="F27">
        <f>E25-F26</f>
        <v>3000</v>
      </c>
    </row>
    <row r="29" spans="2:8" x14ac:dyDescent="0.2">
      <c r="B29" t="s">
        <v>82</v>
      </c>
      <c r="E29">
        <f>F26*0.8</f>
        <v>19200</v>
      </c>
    </row>
    <row r="30" spans="2:8" x14ac:dyDescent="0.2">
      <c r="C30" t="s">
        <v>45</v>
      </c>
      <c r="F30">
        <f>E29</f>
        <v>19200</v>
      </c>
    </row>
    <row r="33" spans="2:8" x14ac:dyDescent="0.2">
      <c r="B33">
        <v>2022</v>
      </c>
    </row>
    <row r="34" spans="2:8" x14ac:dyDescent="0.2">
      <c r="B34" t="s">
        <v>77</v>
      </c>
      <c r="E34">
        <f>(D7-D9)*G3</f>
        <v>24600</v>
      </c>
      <c r="H34" t="s">
        <v>108</v>
      </c>
    </row>
    <row r="35" spans="2:8" x14ac:dyDescent="0.2">
      <c r="B35" t="s">
        <v>87</v>
      </c>
      <c r="E35">
        <f>F36-E34</f>
        <v>900</v>
      </c>
    </row>
    <row r="36" spans="2:8" x14ac:dyDescent="0.2">
      <c r="C36" t="s">
        <v>79</v>
      </c>
      <c r="F36">
        <f>D5*G3</f>
        <v>25500</v>
      </c>
    </row>
    <row r="38" spans="2:8" x14ac:dyDescent="0.2">
      <c r="B38" t="s">
        <v>82</v>
      </c>
      <c r="E38">
        <f>F26*0.2+F36*0.8</f>
        <v>25200</v>
      </c>
    </row>
    <row r="39" spans="2:8" x14ac:dyDescent="0.2">
      <c r="C39" t="s">
        <v>45</v>
      </c>
      <c r="F39">
        <f>E38</f>
        <v>25200</v>
      </c>
    </row>
    <row r="43" spans="2:8" x14ac:dyDescent="0.2">
      <c r="D43">
        <v>2021</v>
      </c>
      <c r="E43">
        <v>2022</v>
      </c>
    </row>
    <row r="44" spans="2:8" x14ac:dyDescent="0.2">
      <c r="B44" t="s">
        <v>88</v>
      </c>
      <c r="C44" t="s">
        <v>92</v>
      </c>
      <c r="D44">
        <f>F27</f>
        <v>3000</v>
      </c>
      <c r="E44">
        <f>F27-E35</f>
        <v>2100</v>
      </c>
      <c r="G44" t="s">
        <v>97</v>
      </c>
    </row>
    <row r="45" spans="2:8" x14ac:dyDescent="0.2">
      <c r="C45" t="s">
        <v>93</v>
      </c>
      <c r="D45">
        <f>F26-E29</f>
        <v>4800</v>
      </c>
      <c r="E45">
        <f>D45+F36-E38</f>
        <v>5100</v>
      </c>
      <c r="G45" t="s">
        <v>97</v>
      </c>
    </row>
    <row r="46" spans="2:8" x14ac:dyDescent="0.2">
      <c r="B46" t="s">
        <v>89</v>
      </c>
      <c r="C46" t="s">
        <v>94</v>
      </c>
      <c r="D46">
        <f>E25</f>
        <v>27000</v>
      </c>
      <c r="E46">
        <f>E34</f>
        <v>24600</v>
      </c>
    </row>
    <row r="47" spans="2:8" x14ac:dyDescent="0.2">
      <c r="B47" t="s">
        <v>90</v>
      </c>
      <c r="C47" t="s">
        <v>95</v>
      </c>
      <c r="D47">
        <f>D44</f>
        <v>3000</v>
      </c>
      <c r="E47">
        <f>E44-D44</f>
        <v>-900</v>
      </c>
    </row>
    <row r="48" spans="2:8" x14ac:dyDescent="0.2">
      <c r="C48" t="s">
        <v>96</v>
      </c>
      <c r="D48">
        <f>D45</f>
        <v>4800</v>
      </c>
      <c r="E48">
        <f>E45-D45</f>
        <v>300</v>
      </c>
    </row>
    <row r="49" spans="4:5" x14ac:dyDescent="0.2">
      <c r="D49">
        <f>D48+D47</f>
        <v>7800</v>
      </c>
      <c r="E49">
        <f>E48+E47</f>
        <v>-600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Q2</vt:lpstr>
      <vt:lpstr>Q3</vt:lpstr>
      <vt:lpstr>Q4</vt:lpstr>
      <vt:lpstr>Q5</vt:lpstr>
      <vt:lpstr>Q6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 Jiao</dc:creator>
  <cp:lastModifiedBy>Dian Jiao</cp:lastModifiedBy>
  <dcterms:created xsi:type="dcterms:W3CDTF">2023-12-06T02:47:31Z</dcterms:created>
  <dcterms:modified xsi:type="dcterms:W3CDTF">2023-12-07T15:16:47Z</dcterms:modified>
</cp:coreProperties>
</file>