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es\Desktop\"/>
    </mc:Choice>
  </mc:AlternateContent>
  <xr:revisionPtr revIDLastSave="0" documentId="13_ncr:1_{7E725C61-52C8-4FA8-897B-010E3187422F}" xr6:coauthVersionLast="36" xr6:coauthVersionMax="36" xr10:uidLastSave="{00000000-0000-0000-0000-000000000000}"/>
  <bookViews>
    <workbookView xWindow="0" yWindow="0" windowWidth="20490" windowHeight="7695" xr2:uid="{FFE8D854-F869-47C4-ABA1-80DF5CB8D862}"/>
  </bookViews>
  <sheets>
    <sheet name="PROPIEDADES" sheetId="1" r:id="rId1"/>
    <sheet name="TABLAS NEC" sheetId="2" r:id="rId2"/>
    <sheet name="FORMULAS" sheetId="3" r:id="rId3"/>
    <sheet name="CHEQUEO (2)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3" i="1" l="1"/>
  <c r="B182" i="1"/>
  <c r="B154" i="1"/>
  <c r="B153" i="1"/>
  <c r="B137" i="1"/>
  <c r="B136" i="1"/>
  <c r="B123" i="1"/>
  <c r="B122" i="1"/>
  <c r="B110" i="1"/>
  <c r="B109" i="1"/>
  <c r="B94" i="1"/>
  <c r="B93" i="1"/>
  <c r="B80" i="1"/>
  <c r="B79" i="1"/>
  <c r="B65" i="1"/>
  <c r="B64" i="1"/>
  <c r="B50" i="1"/>
  <c r="B49" i="1"/>
  <c r="B34" i="1"/>
  <c r="B33" i="1"/>
  <c r="B18" i="1"/>
  <c r="B17" i="1"/>
  <c r="B13" i="1"/>
  <c r="B167" i="1"/>
  <c r="B168" i="1"/>
  <c r="C117" i="4"/>
  <c r="C116" i="4"/>
  <c r="C115" i="4"/>
  <c r="R112" i="4"/>
  <c r="M112" i="4"/>
  <c r="D112" i="4"/>
  <c r="O112" i="4" s="1"/>
  <c r="R111" i="4"/>
  <c r="M111" i="4"/>
  <c r="D111" i="4"/>
  <c r="N111" i="4" s="1"/>
  <c r="R110" i="4"/>
  <c r="M110" i="4"/>
  <c r="D110" i="4"/>
  <c r="O110" i="4" s="1"/>
  <c r="T109" i="4"/>
  <c r="U109" i="4" s="1"/>
  <c r="R109" i="4"/>
  <c r="M109" i="4"/>
  <c r="D109" i="4"/>
  <c r="N109" i="4" s="1"/>
  <c r="N114" i="4" s="1"/>
  <c r="O114" i="4" s="1"/>
  <c r="N112" i="4" l="1"/>
  <c r="O109" i="4"/>
  <c r="O111" i="4"/>
  <c r="N110" i="4"/>
  <c r="C105" i="4"/>
  <c r="C104" i="4"/>
  <c r="C103" i="4"/>
  <c r="R101" i="4"/>
  <c r="M101" i="4"/>
  <c r="D101" i="4"/>
  <c r="O101" i="4" s="1"/>
  <c r="R100" i="4"/>
  <c r="O100" i="4"/>
  <c r="M100" i="4"/>
  <c r="D100" i="4"/>
  <c r="N100" i="4" s="1"/>
  <c r="R99" i="4"/>
  <c r="M99" i="4"/>
  <c r="D99" i="4"/>
  <c r="O99" i="4" s="1"/>
  <c r="T98" i="4"/>
  <c r="U98" i="4" s="1"/>
  <c r="R98" i="4"/>
  <c r="M98" i="4"/>
  <c r="D98" i="4"/>
  <c r="N98" i="4" s="1"/>
  <c r="D77" i="4"/>
  <c r="N77" i="4"/>
  <c r="N44" i="4"/>
  <c r="O44" i="4" s="1"/>
  <c r="D41" i="4"/>
  <c r="N41" i="4"/>
  <c r="M41" i="4"/>
  <c r="O41" i="4"/>
  <c r="B181" i="1"/>
  <c r="B178" i="1"/>
  <c r="J173" i="1"/>
  <c r="J172" i="1"/>
  <c r="J171" i="1"/>
  <c r="G173" i="1"/>
  <c r="B173" i="1"/>
  <c r="F173" i="1" s="1"/>
  <c r="G172" i="1"/>
  <c r="B172" i="1"/>
  <c r="G171" i="1"/>
  <c r="B171" i="1"/>
  <c r="D90" i="4"/>
  <c r="B166" i="1"/>
  <c r="B163" i="1"/>
  <c r="G158" i="1"/>
  <c r="F158" i="1"/>
  <c r="B158" i="1"/>
  <c r="D158" i="1" s="1"/>
  <c r="G157" i="1"/>
  <c r="F157" i="1"/>
  <c r="F159" i="1" s="1"/>
  <c r="B157" i="1"/>
  <c r="D157" i="1" s="1"/>
  <c r="D159" i="1" s="1"/>
  <c r="D88" i="4"/>
  <c r="D89" i="4"/>
  <c r="O89" i="4" s="1"/>
  <c r="O77" i="4"/>
  <c r="D65" i="4"/>
  <c r="O65" i="4" s="1"/>
  <c r="D53" i="4"/>
  <c r="O53" i="4" s="1"/>
  <c r="D18" i="4"/>
  <c r="O18" i="4" s="1"/>
  <c r="M89" i="4"/>
  <c r="M77" i="4"/>
  <c r="M65" i="4"/>
  <c r="M53" i="4"/>
  <c r="M18" i="4"/>
  <c r="D6" i="4"/>
  <c r="M6" i="4"/>
  <c r="M87" i="4"/>
  <c r="B152" i="1"/>
  <c r="B149" i="1"/>
  <c r="G144" i="1"/>
  <c r="B144" i="1"/>
  <c r="G143" i="1"/>
  <c r="B143" i="1"/>
  <c r="D143" i="1" s="1"/>
  <c r="G142" i="1"/>
  <c r="B142" i="1"/>
  <c r="F142" i="1" s="1"/>
  <c r="G141" i="1"/>
  <c r="B141" i="1"/>
  <c r="G140" i="1"/>
  <c r="B140" i="1"/>
  <c r="B145" i="1" s="1"/>
  <c r="B135" i="1"/>
  <c r="B132" i="1"/>
  <c r="N101" i="4" l="1"/>
  <c r="O98" i="4"/>
  <c r="N99" i="4"/>
  <c r="O6" i="4"/>
  <c r="F143" i="1"/>
  <c r="D173" i="1"/>
  <c r="D144" i="1"/>
  <c r="F144" i="1"/>
  <c r="D142" i="1"/>
  <c r="D172" i="1"/>
  <c r="B174" i="1"/>
  <c r="B177" i="1" s="1"/>
  <c r="D171" i="1"/>
  <c r="F172" i="1"/>
  <c r="F171" i="1"/>
  <c r="F174" i="1" s="1"/>
  <c r="B176" i="1" s="1"/>
  <c r="B161" i="1"/>
  <c r="B159" i="1"/>
  <c r="B162" i="1" s="1"/>
  <c r="N89" i="4"/>
  <c r="N65" i="4"/>
  <c r="N53" i="4"/>
  <c r="N18" i="4"/>
  <c r="N6" i="4"/>
  <c r="B148" i="1"/>
  <c r="D141" i="1"/>
  <c r="F141" i="1"/>
  <c r="D140" i="1"/>
  <c r="F140" i="1"/>
  <c r="G127" i="1"/>
  <c r="F127" i="1"/>
  <c r="B127" i="1"/>
  <c r="D127" i="1" s="1"/>
  <c r="G126" i="1"/>
  <c r="B126" i="1"/>
  <c r="D126" i="1" s="1"/>
  <c r="F126" i="1" l="1"/>
  <c r="D174" i="1"/>
  <c r="B175" i="1" s="1"/>
  <c r="B147" i="1"/>
  <c r="F145" i="1"/>
  <c r="D145" i="1"/>
  <c r="B146" i="1" s="1"/>
  <c r="B160" i="1"/>
  <c r="J157" i="1" s="1"/>
  <c r="J158" i="1"/>
  <c r="D128" i="1"/>
  <c r="F128" i="1"/>
  <c r="B130" i="1"/>
  <c r="B128" i="1"/>
  <c r="B131" i="1" s="1"/>
  <c r="M4" i="4"/>
  <c r="J174" i="1" l="1"/>
  <c r="J144" i="1"/>
  <c r="J141" i="1"/>
  <c r="J143" i="1"/>
  <c r="J142" i="1"/>
  <c r="J140" i="1"/>
  <c r="B129" i="1"/>
  <c r="J127" i="1" s="1"/>
  <c r="J159" i="1"/>
  <c r="J145" i="1"/>
  <c r="J126" i="1"/>
  <c r="B105" i="1"/>
  <c r="G99" i="1"/>
  <c r="G97" i="1"/>
  <c r="B108" i="1"/>
  <c r="G100" i="1"/>
  <c r="B100" i="1"/>
  <c r="B99" i="1"/>
  <c r="G98" i="1"/>
  <c r="F98" i="1"/>
  <c r="B98" i="1"/>
  <c r="D98" i="1" s="1"/>
  <c r="B97" i="1"/>
  <c r="B101" i="1" s="1"/>
  <c r="B104" i="1" s="1"/>
  <c r="C9" i="4"/>
  <c r="D4" i="4" s="1"/>
  <c r="C10" i="4"/>
  <c r="N8" i="3"/>
  <c r="N5" i="3"/>
  <c r="N6" i="3"/>
  <c r="N7" i="3"/>
  <c r="N4" i="3"/>
  <c r="C10" i="3"/>
  <c r="D4" i="3"/>
  <c r="M8" i="3"/>
  <c r="O8" i="3" s="1"/>
  <c r="D8" i="3"/>
  <c r="O7" i="3"/>
  <c r="C94" i="4"/>
  <c r="C93" i="4"/>
  <c r="C92" i="4"/>
  <c r="M90" i="4"/>
  <c r="R90" i="4"/>
  <c r="R89" i="4"/>
  <c r="R88" i="4"/>
  <c r="M88" i="4"/>
  <c r="T87" i="4"/>
  <c r="U87" i="4" s="1"/>
  <c r="R87" i="4"/>
  <c r="C83" i="4"/>
  <c r="D76" i="4" s="1"/>
  <c r="C82" i="4"/>
  <c r="C81" i="4"/>
  <c r="D75" i="4" s="1"/>
  <c r="M78" i="4"/>
  <c r="R78" i="4"/>
  <c r="R77" i="4"/>
  <c r="R76" i="4"/>
  <c r="M76" i="4"/>
  <c r="T75" i="4"/>
  <c r="U75" i="4" s="1"/>
  <c r="R75" i="4"/>
  <c r="M75" i="4"/>
  <c r="C70" i="4"/>
  <c r="C69" i="4"/>
  <c r="C68" i="4"/>
  <c r="D63" i="4" s="1"/>
  <c r="M66" i="4"/>
  <c r="D66" i="4"/>
  <c r="R66" i="4"/>
  <c r="R65" i="4"/>
  <c r="R64" i="4"/>
  <c r="M64" i="4"/>
  <c r="D64" i="4"/>
  <c r="T63" i="4"/>
  <c r="U63" i="4" s="1"/>
  <c r="R63" i="4"/>
  <c r="M63" i="4"/>
  <c r="C58" i="4"/>
  <c r="D52" i="4" s="1"/>
  <c r="C57" i="4"/>
  <c r="C56" i="4"/>
  <c r="D51" i="4" s="1"/>
  <c r="M54" i="4"/>
  <c r="R54" i="4"/>
  <c r="R53" i="4"/>
  <c r="R52" i="4"/>
  <c r="M52" i="4"/>
  <c r="T51" i="4"/>
  <c r="U51" i="4" s="1"/>
  <c r="R51" i="4"/>
  <c r="M51" i="4"/>
  <c r="C46" i="4"/>
  <c r="C45" i="4"/>
  <c r="C44" i="4"/>
  <c r="D39" i="4" s="1"/>
  <c r="M42" i="4"/>
  <c r="D42" i="4"/>
  <c r="R43" i="4"/>
  <c r="R42" i="4"/>
  <c r="R40" i="4"/>
  <c r="M40" i="4"/>
  <c r="T39" i="4"/>
  <c r="U39" i="4" s="1"/>
  <c r="R39" i="4"/>
  <c r="M39" i="4"/>
  <c r="C34" i="4"/>
  <c r="D29" i="4" s="1"/>
  <c r="C33" i="4"/>
  <c r="C32" i="4"/>
  <c r="D28" i="4" s="1"/>
  <c r="M30" i="4"/>
  <c r="R31" i="4"/>
  <c r="R30" i="4"/>
  <c r="R29" i="4"/>
  <c r="M29" i="4"/>
  <c r="T28" i="4"/>
  <c r="U28" i="4" s="1"/>
  <c r="R28" i="4"/>
  <c r="M28" i="4"/>
  <c r="C23" i="4"/>
  <c r="D17" i="4" s="1"/>
  <c r="C22" i="4"/>
  <c r="C21" i="4"/>
  <c r="D16" i="4" s="1"/>
  <c r="M19" i="4"/>
  <c r="D19" i="4"/>
  <c r="R19" i="4"/>
  <c r="R18" i="4"/>
  <c r="R17" i="4"/>
  <c r="M17" i="4"/>
  <c r="T16" i="4"/>
  <c r="U16" i="4" s="1"/>
  <c r="R16" i="4"/>
  <c r="M16" i="4"/>
  <c r="C11" i="4"/>
  <c r="M7" i="4"/>
  <c r="R7" i="4"/>
  <c r="R6" i="4"/>
  <c r="R5" i="4"/>
  <c r="M5" i="4"/>
  <c r="T4" i="4"/>
  <c r="U4" i="4" s="1"/>
  <c r="R4" i="4"/>
  <c r="D5" i="3"/>
  <c r="D7" i="3"/>
  <c r="V11" i="3"/>
  <c r="V10" i="3"/>
  <c r="U9" i="3"/>
  <c r="D6" i="3"/>
  <c r="C12" i="3"/>
  <c r="C11" i="3"/>
  <c r="M5" i="3"/>
  <c r="M6" i="3"/>
  <c r="O6" i="3" s="1"/>
  <c r="M7" i="3"/>
  <c r="M4" i="3"/>
  <c r="O4" i="3" s="1"/>
  <c r="B5" i="1"/>
  <c r="R5" i="3"/>
  <c r="R6" i="3"/>
  <c r="R7" i="3"/>
  <c r="R4" i="3"/>
  <c r="T4" i="3"/>
  <c r="U4" i="3" s="1"/>
  <c r="O4" i="4" l="1"/>
  <c r="N4" i="4"/>
  <c r="N9" i="4" s="1"/>
  <c r="O9" i="4" s="1"/>
  <c r="D97" i="1"/>
  <c r="F97" i="1"/>
  <c r="J128" i="1"/>
  <c r="O28" i="4"/>
  <c r="D30" i="4"/>
  <c r="N30" i="4" s="1"/>
  <c r="O52" i="4"/>
  <c r="O64" i="4"/>
  <c r="O66" i="4"/>
  <c r="O75" i="4"/>
  <c r="N28" i="4"/>
  <c r="N17" i="4"/>
  <c r="O90" i="4"/>
  <c r="D5" i="4"/>
  <c r="N5" i="4" s="1"/>
  <c r="D7" i="4"/>
  <c r="N7" i="4" s="1"/>
  <c r="O42" i="4"/>
  <c r="O51" i="4"/>
  <c r="D100" i="1"/>
  <c r="D99" i="1"/>
  <c r="F100" i="1"/>
  <c r="F99" i="1"/>
  <c r="O39" i="4"/>
  <c r="O16" i="4"/>
  <c r="O63" i="4"/>
  <c r="O76" i="4"/>
  <c r="O19" i="4"/>
  <c r="O17" i="4"/>
  <c r="O29" i="4"/>
  <c r="D87" i="4"/>
  <c r="O87" i="4" s="1"/>
  <c r="N76" i="4"/>
  <c r="N75" i="4"/>
  <c r="N80" i="4" s="1"/>
  <c r="O80" i="4" s="1"/>
  <c r="N64" i="4"/>
  <c r="N51" i="4"/>
  <c r="N56" i="4" s="1"/>
  <c r="O56" i="4" s="1"/>
  <c r="N90" i="4"/>
  <c r="N63" i="4"/>
  <c r="N68" i="4" s="1"/>
  <c r="O68" i="4" s="1"/>
  <c r="N66" i="4"/>
  <c r="N52" i="4"/>
  <c r="N39" i="4"/>
  <c r="N42" i="4"/>
  <c r="N29" i="4"/>
  <c r="N16" i="4"/>
  <c r="N21" i="4" s="1"/>
  <c r="O21" i="4" s="1"/>
  <c r="N19" i="4"/>
  <c r="D78" i="4"/>
  <c r="D54" i="4"/>
  <c r="D40" i="4"/>
  <c r="O5" i="3"/>
  <c r="O30" i="4" l="1"/>
  <c r="F101" i="1"/>
  <c r="B103" i="1" s="1"/>
  <c r="O5" i="4"/>
  <c r="O7" i="4"/>
  <c r="N87" i="4"/>
  <c r="N92" i="4" s="1"/>
  <c r="O92" i="4" s="1"/>
  <c r="D101" i="1"/>
  <c r="B102" i="1" s="1"/>
  <c r="J100" i="1" s="1"/>
  <c r="N88" i="4"/>
  <c r="O88" i="4"/>
  <c r="O78" i="4"/>
  <c r="N78" i="4"/>
  <c r="O54" i="4"/>
  <c r="N54" i="4"/>
  <c r="N40" i="4"/>
  <c r="O40" i="4"/>
  <c r="J97" i="1" l="1"/>
  <c r="J101" i="1" s="1"/>
  <c r="J99" i="1"/>
  <c r="J98" i="1"/>
  <c r="B121" i="1" l="1"/>
  <c r="G113" i="1"/>
  <c r="B113" i="1"/>
  <c r="B118" i="1" l="1"/>
  <c r="F113" i="1"/>
  <c r="F114" i="1" s="1"/>
  <c r="B92" i="1"/>
  <c r="B89" i="1"/>
  <c r="G83" i="1"/>
  <c r="E84" i="1"/>
  <c r="G84" i="1"/>
  <c r="B84" i="1"/>
  <c r="B83" i="1"/>
  <c r="D83" i="1" s="1"/>
  <c r="B78" i="1"/>
  <c r="B75" i="1"/>
  <c r="G68" i="1"/>
  <c r="E70" i="1"/>
  <c r="G70" i="1"/>
  <c r="B70" i="1"/>
  <c r="D70" i="1" s="1"/>
  <c r="G69" i="1"/>
  <c r="B69" i="1"/>
  <c r="F69" i="1" s="1"/>
  <c r="B68" i="1"/>
  <c r="D68" i="1" s="1"/>
  <c r="B63" i="1"/>
  <c r="B60" i="1"/>
  <c r="G55" i="1"/>
  <c r="B55" i="1"/>
  <c r="D55" i="1" s="1"/>
  <c r="G54" i="1"/>
  <c r="B54" i="1"/>
  <c r="G53" i="1"/>
  <c r="B53" i="1"/>
  <c r="B48" i="1"/>
  <c r="B45" i="1"/>
  <c r="G39" i="1"/>
  <c r="E40" i="1"/>
  <c r="E39" i="1"/>
  <c r="E38" i="1"/>
  <c r="G40" i="1"/>
  <c r="B40" i="1"/>
  <c r="F40" i="1" s="1"/>
  <c r="B39" i="1"/>
  <c r="D39" i="1" s="1"/>
  <c r="G38" i="1"/>
  <c r="B38" i="1"/>
  <c r="D38" i="1" s="1"/>
  <c r="G37" i="1"/>
  <c r="B37" i="1"/>
  <c r="B32" i="1"/>
  <c r="B16" i="1"/>
  <c r="B29" i="1"/>
  <c r="G21" i="1"/>
  <c r="G24" i="1"/>
  <c r="B24" i="1"/>
  <c r="G23" i="1"/>
  <c r="B23" i="1"/>
  <c r="D23" i="1" s="1"/>
  <c r="G22" i="1"/>
  <c r="B22" i="1"/>
  <c r="D22" i="1" s="1"/>
  <c r="B21" i="1"/>
  <c r="D21" i="1" s="1"/>
  <c r="G6" i="1"/>
  <c r="G5" i="1"/>
  <c r="G7" i="1"/>
  <c r="G8" i="1"/>
  <c r="B6" i="1"/>
  <c r="F6" i="1" s="1"/>
  <c r="B7" i="1"/>
  <c r="B8" i="1"/>
  <c r="F8" i="1" s="1"/>
  <c r="F5" i="1"/>
  <c r="F22" i="1" l="1"/>
  <c r="B41" i="1"/>
  <c r="B44" i="1" s="1"/>
  <c r="F38" i="1"/>
  <c r="B9" i="1"/>
  <c r="B12" i="1" s="1"/>
  <c r="F23" i="1"/>
  <c r="F39" i="1"/>
  <c r="D53" i="1"/>
  <c r="D56" i="1" s="1"/>
  <c r="D69" i="1"/>
  <c r="D71" i="1" s="1"/>
  <c r="F53" i="1"/>
  <c r="D54" i="1"/>
  <c r="F83" i="1"/>
  <c r="D113" i="1"/>
  <c r="D114" i="1" s="1"/>
  <c r="B56" i="1"/>
  <c r="B59" i="1" s="1"/>
  <c r="F70" i="1"/>
  <c r="B85" i="1"/>
  <c r="B88" i="1" s="1"/>
  <c r="B114" i="1"/>
  <c r="B117" i="1" s="1"/>
  <c r="D84" i="1"/>
  <c r="D85" i="1" s="1"/>
  <c r="F84" i="1"/>
  <c r="B71" i="1"/>
  <c r="B74" i="1" s="1"/>
  <c r="F68" i="1"/>
  <c r="F54" i="1"/>
  <c r="F55" i="1"/>
  <c r="D37" i="1"/>
  <c r="F37" i="1"/>
  <c r="D40" i="1"/>
  <c r="B25" i="1"/>
  <c r="B28" i="1" s="1"/>
  <c r="F21" i="1"/>
  <c r="D24" i="1"/>
  <c r="F24" i="1"/>
  <c r="D7" i="1"/>
  <c r="F7" i="1"/>
  <c r="F9" i="1" s="1"/>
  <c r="B11" i="1" s="1"/>
  <c r="D6" i="1"/>
  <c r="D5" i="1"/>
  <c r="D8" i="1"/>
  <c r="I8" i="1" l="1"/>
  <c r="I141" i="1"/>
  <c r="I144" i="1"/>
  <c r="I172" i="1"/>
  <c r="I143" i="1"/>
  <c r="I140" i="1"/>
  <c r="I171" i="1"/>
  <c r="I173" i="1"/>
  <c r="I142" i="1"/>
  <c r="I97" i="1"/>
  <c r="I100" i="1"/>
  <c r="I98" i="1"/>
  <c r="I99" i="1"/>
  <c r="F56" i="1"/>
  <c r="B58" i="1" s="1"/>
  <c r="I53" i="1" s="1"/>
  <c r="B57" i="1"/>
  <c r="H53" i="1" s="1"/>
  <c r="D9" i="1"/>
  <c r="B10" i="1" s="1"/>
  <c r="B115" i="1"/>
  <c r="H113" i="1" s="1"/>
  <c r="H114" i="1" s="1"/>
  <c r="I55" i="1"/>
  <c r="F71" i="1"/>
  <c r="B73" i="1" s="1"/>
  <c r="B86" i="1"/>
  <c r="F85" i="1"/>
  <c r="B87" i="1" s="1"/>
  <c r="B116" i="1"/>
  <c r="J113" i="1" s="1"/>
  <c r="B72" i="1"/>
  <c r="D41" i="1"/>
  <c r="B42" i="1" s="1"/>
  <c r="F41" i="1"/>
  <c r="B43" i="1" s="1"/>
  <c r="F25" i="1"/>
  <c r="B27" i="1" s="1"/>
  <c r="D25" i="1"/>
  <c r="B26" i="1" s="1"/>
  <c r="J22" i="1" s="1"/>
  <c r="H7" i="1"/>
  <c r="I5" i="1"/>
  <c r="H8" i="1"/>
  <c r="I7" i="1"/>
  <c r="I6" i="1"/>
  <c r="I157" i="1" l="1"/>
  <c r="I158" i="1"/>
  <c r="I126" i="1"/>
  <c r="I127" i="1"/>
  <c r="J23" i="1"/>
  <c r="B119" i="1"/>
  <c r="J55" i="1"/>
  <c r="I54" i="1"/>
  <c r="H157" i="1"/>
  <c r="H158" i="1"/>
  <c r="H159" i="1" s="1"/>
  <c r="H126" i="1"/>
  <c r="H127" i="1"/>
  <c r="J53" i="1"/>
  <c r="J54" i="1"/>
  <c r="J56" i="1" s="1"/>
  <c r="H140" i="1"/>
  <c r="H145" i="1" s="1"/>
  <c r="H141" i="1"/>
  <c r="H142" i="1"/>
  <c r="H173" i="1"/>
  <c r="H171" i="1"/>
  <c r="H143" i="1"/>
  <c r="H144" i="1"/>
  <c r="H172" i="1"/>
  <c r="H97" i="1"/>
  <c r="H101" i="1" s="1"/>
  <c r="H98" i="1"/>
  <c r="H100" i="1"/>
  <c r="H99" i="1"/>
  <c r="I101" i="1"/>
  <c r="I174" i="1"/>
  <c r="I145" i="1"/>
  <c r="H5" i="1"/>
  <c r="H9" i="1" s="1"/>
  <c r="J5" i="1"/>
  <c r="J8" i="1"/>
  <c r="J24" i="1"/>
  <c r="J114" i="1"/>
  <c r="I113" i="1"/>
  <c r="I114" i="1" s="1"/>
  <c r="J7" i="1"/>
  <c r="J69" i="1"/>
  <c r="H70" i="1"/>
  <c r="H69" i="1"/>
  <c r="H68" i="1"/>
  <c r="H83" i="1"/>
  <c r="H84" i="1"/>
  <c r="J38" i="1"/>
  <c r="H40" i="1"/>
  <c r="J39" i="1"/>
  <c r="H38" i="1"/>
  <c r="H37" i="1"/>
  <c r="J40" i="1"/>
  <c r="H39" i="1"/>
  <c r="J37" i="1"/>
  <c r="J6" i="1"/>
  <c r="I40" i="1"/>
  <c r="I37" i="1"/>
  <c r="I38" i="1"/>
  <c r="I39" i="1"/>
  <c r="J83" i="1"/>
  <c r="I84" i="1"/>
  <c r="I83" i="1"/>
  <c r="I85" i="1" s="1"/>
  <c r="J84" i="1"/>
  <c r="I70" i="1"/>
  <c r="J68" i="1"/>
  <c r="I68" i="1"/>
  <c r="I69" i="1"/>
  <c r="H6" i="1"/>
  <c r="H22" i="1"/>
  <c r="H24" i="1"/>
  <c r="J21" i="1"/>
  <c r="H23" i="1"/>
  <c r="H21" i="1"/>
  <c r="I22" i="1"/>
  <c r="I23" i="1"/>
  <c r="I21" i="1"/>
  <c r="I24" i="1"/>
  <c r="H55" i="1"/>
  <c r="H54" i="1"/>
  <c r="I56" i="1"/>
  <c r="J70" i="1"/>
  <c r="J25" i="1"/>
  <c r="I9" i="1"/>
  <c r="H174" i="1" l="1"/>
  <c r="B107" i="1"/>
  <c r="B179" i="1"/>
  <c r="B150" i="1"/>
  <c r="B164" i="1"/>
  <c r="I128" i="1"/>
  <c r="B14" i="1"/>
  <c r="J85" i="1"/>
  <c r="B151" i="1"/>
  <c r="B106" i="1"/>
  <c r="B180" i="1"/>
  <c r="H128" i="1"/>
  <c r="I159" i="1"/>
  <c r="I25" i="1"/>
  <c r="I41" i="1"/>
  <c r="J9" i="1"/>
  <c r="H41" i="1"/>
  <c r="B46" i="1" s="1"/>
  <c r="B15" i="1"/>
  <c r="B91" i="1"/>
  <c r="B47" i="1"/>
  <c r="H56" i="1"/>
  <c r="I71" i="1"/>
  <c r="H85" i="1"/>
  <c r="B120" i="1"/>
  <c r="B62" i="1"/>
  <c r="H25" i="1"/>
  <c r="H71" i="1"/>
  <c r="B76" i="1" s="1"/>
  <c r="J71" i="1"/>
  <c r="J41" i="1"/>
  <c r="B31" i="1" l="1"/>
  <c r="B165" i="1"/>
  <c r="B133" i="1"/>
  <c r="B134" i="1"/>
  <c r="B61" i="1"/>
  <c r="B30" i="1"/>
  <c r="B90" i="1"/>
  <c r="B77" i="1"/>
</calcChain>
</file>

<file path=xl/sharedStrings.xml><?xml version="1.0" encoding="utf-8"?>
<sst xmlns="http://schemas.openxmlformats.org/spreadsheetml/2006/main" count="897" uniqueCount="191">
  <si>
    <t>ÁREA</t>
  </si>
  <si>
    <t>ÁREA DE CORTE</t>
  </si>
  <si>
    <t>cm</t>
  </si>
  <si>
    <t xml:space="preserve">DIÁMETRO INTERNO </t>
  </si>
  <si>
    <t>DIÁMETRO EXTERNO</t>
  </si>
  <si>
    <t>MÓDULO PLÁSTICO</t>
  </si>
  <si>
    <t>I</t>
  </si>
  <si>
    <t>Yi</t>
  </si>
  <si>
    <t>ÁREA.Yi</t>
  </si>
  <si>
    <t>Xi</t>
  </si>
  <si>
    <t>ÁREA.Xi</t>
  </si>
  <si>
    <t>Ix</t>
  </si>
  <si>
    <t>Ixy</t>
  </si>
  <si>
    <t>TOTAL</t>
  </si>
  <si>
    <t>Yc</t>
  </si>
  <si>
    <t>Xc</t>
  </si>
  <si>
    <t>Iy</t>
  </si>
  <si>
    <t>CONSTANTE TORSIONAL</t>
  </si>
  <si>
    <t>MÓDULO DE SECCIÓN Sx</t>
  </si>
  <si>
    <t>MÓDULO DE SECCIÓN Sy</t>
  </si>
  <si>
    <t>RADIO DE GIRO rx</t>
  </si>
  <si>
    <t>RADIO DE GIRO ry</t>
  </si>
  <si>
    <t>LOCALIDAD</t>
  </si>
  <si>
    <t>TEMPERATURA MEDIA ANUAL</t>
  </si>
  <si>
    <t>°C</t>
  </si>
  <si>
    <t>HUMEDAD RELATIVA PROMEDIO ANUAL</t>
  </si>
  <si>
    <t>%</t>
  </si>
  <si>
    <t>HUMEDAD DE EQUILIBRIO DE LA MADERA (MEDIA ANUAL)</t>
  </si>
  <si>
    <t>Putumayo</t>
  </si>
  <si>
    <t>El Coca</t>
  </si>
  <si>
    <t>Limoncocha</t>
  </si>
  <si>
    <t>Tiputini</t>
  </si>
  <si>
    <t>Lago Agrio</t>
  </si>
  <si>
    <t>El Chaco</t>
  </si>
  <si>
    <t>Baeza</t>
  </si>
  <si>
    <t>Tena</t>
  </si>
  <si>
    <t>Papallacta</t>
  </si>
  <si>
    <t xml:space="preserve">PARTE DE LA GUADÚA </t>
  </si>
  <si>
    <t>CONICIDAD</t>
  </si>
  <si>
    <t>Cepa</t>
  </si>
  <si>
    <t>Basa</t>
  </si>
  <si>
    <t>Sobrebasa</t>
  </si>
  <si>
    <t xml:space="preserve">TIPO </t>
  </si>
  <si>
    <t xml:space="preserve">SE PERMITE </t>
  </si>
  <si>
    <t>LÍMITES</t>
  </si>
  <si>
    <t>RECOMENTACIÓN</t>
  </si>
  <si>
    <t>Grieta longitudinal</t>
  </si>
  <si>
    <t>Sí</t>
  </si>
  <si>
    <t>La grieta debe estar contenida entre dos nudos, si la grieta pasa al canuto siguiente no debe tener una longitud superior al 20% del culmo</t>
  </si>
  <si>
    <t>Si los culmos presentan fisuras después de instalados, estos pueden ser tratados por medio de abrazaderas o zunchos metálicos.</t>
  </si>
  <si>
    <t>COMBINACIONES DE CARGAS PARA EL DISEÑO</t>
  </si>
  <si>
    <t>D</t>
  </si>
  <si>
    <t>D + 0.75L + 0.525Ex</t>
  </si>
  <si>
    <t>D + L</t>
  </si>
  <si>
    <t>D + 0.75L - 0.525Ex</t>
  </si>
  <si>
    <t>D + 0.75L + 0.525Ey</t>
  </si>
  <si>
    <t>D + 0.75L - 0.525Ey</t>
  </si>
  <si>
    <t>D - 0.7Ey</t>
  </si>
  <si>
    <t>D + 0.7Ex</t>
  </si>
  <si>
    <t>D + 0.7Ey</t>
  </si>
  <si>
    <t>D - 0.7Ex</t>
  </si>
  <si>
    <t>D + 0.75L + 0.525EQx</t>
  </si>
  <si>
    <t>D + 0.75L - 0.525EQx</t>
  </si>
  <si>
    <t>D + 0.75L + 0.525EQy</t>
  </si>
  <si>
    <t>D + 0.75L - 0.525EQy</t>
  </si>
  <si>
    <t>D + 0.7EQx</t>
  </si>
  <si>
    <t>D - 0.7EQx</t>
  </si>
  <si>
    <t>D + 0.7EQy</t>
  </si>
  <si>
    <t>D - 0.7EQy</t>
  </si>
  <si>
    <t>SECCIÓN</t>
  </si>
  <si>
    <t>Fb</t>
  </si>
  <si>
    <t>Fb Flexión</t>
  </si>
  <si>
    <t>Ft Tracción</t>
  </si>
  <si>
    <t xml:space="preserve">Fc Compresión II </t>
  </si>
  <si>
    <t xml:space="preserve">Fp Compresión I </t>
  </si>
  <si>
    <t>Fv Corte</t>
  </si>
  <si>
    <t>Módulo percentil 5</t>
  </si>
  <si>
    <t>E 0.5</t>
  </si>
  <si>
    <t>E 0.05</t>
  </si>
  <si>
    <t>Módulo mínimo</t>
  </si>
  <si>
    <t>E mín</t>
  </si>
  <si>
    <t>Duración de carga</t>
  </si>
  <si>
    <t>Flexión</t>
  </si>
  <si>
    <t>Tracción</t>
  </si>
  <si>
    <t xml:space="preserve">Compresión ll </t>
  </si>
  <si>
    <t>Compresión I</t>
  </si>
  <si>
    <t>Carga de diseño</t>
  </si>
  <si>
    <t xml:space="preserve">Permanente </t>
  </si>
  <si>
    <t xml:space="preserve">Diez años </t>
  </si>
  <si>
    <t>Dos meses</t>
  </si>
  <si>
    <t xml:space="preserve">Siete días </t>
  </si>
  <si>
    <t>Diez minutos</t>
  </si>
  <si>
    <t>Impacto</t>
  </si>
  <si>
    <t>Corte</t>
  </si>
  <si>
    <t>Muerta</t>
  </si>
  <si>
    <t>Viva</t>
  </si>
  <si>
    <t>Construcción</t>
  </si>
  <si>
    <t>Viento y sismo</t>
  </si>
  <si>
    <t>Esfuerzos</t>
  </si>
  <si>
    <t>CH ≤ 12%</t>
  </si>
  <si>
    <t>CH = 13%</t>
  </si>
  <si>
    <t>CH = 14%</t>
  </si>
  <si>
    <t>CH = 15%</t>
  </si>
  <si>
    <t>CH = 16%</t>
  </si>
  <si>
    <t>CH = 17%</t>
  </si>
  <si>
    <t>CH = 18%</t>
  </si>
  <si>
    <t xml:space="preserve">Flexión </t>
  </si>
  <si>
    <t xml:space="preserve">Tracción </t>
  </si>
  <si>
    <t>Compresión II</t>
  </si>
  <si>
    <t xml:space="preserve">Módulo de elasticidad </t>
  </si>
  <si>
    <t>Ft</t>
  </si>
  <si>
    <t>Fc</t>
  </si>
  <si>
    <t>Fp</t>
  </si>
  <si>
    <t>Fy</t>
  </si>
  <si>
    <t>E0.5</t>
  </si>
  <si>
    <t>E0.05</t>
  </si>
  <si>
    <t>Emín</t>
  </si>
  <si>
    <r>
      <t xml:space="preserve">CH </t>
    </r>
    <r>
      <rPr>
        <b/>
        <sz val="8"/>
        <color theme="1"/>
        <rFont val="Calibri"/>
        <family val="2"/>
      </rPr>
      <t>≥ 19%</t>
    </r>
  </si>
  <si>
    <t>Compresión paralela</t>
  </si>
  <si>
    <t>Compresión perpendicular</t>
  </si>
  <si>
    <t>Módulo de elasticidad</t>
  </si>
  <si>
    <t>E</t>
  </si>
  <si>
    <t>Condiciones de servicio</t>
  </si>
  <si>
    <t>Húmedo</t>
  </si>
  <si>
    <t>Seco</t>
  </si>
  <si>
    <t>Ct</t>
  </si>
  <si>
    <t>T ≤  37C</t>
  </si>
  <si>
    <t>37C ≤  T ≤  52C</t>
  </si>
  <si>
    <t>52C ≤  T ≤  65C</t>
  </si>
  <si>
    <t>I/De</t>
  </si>
  <si>
    <t>Cc</t>
  </si>
  <si>
    <t>d/b</t>
  </si>
  <si>
    <r>
      <t>C</t>
    </r>
    <r>
      <rPr>
        <b/>
        <sz val="6"/>
        <color theme="1"/>
        <rFont val="Arial Narrow"/>
        <family val="2"/>
      </rPr>
      <t>L</t>
    </r>
  </si>
  <si>
    <t>ESFUERZO ADMISIBLE</t>
  </si>
  <si>
    <t>Flexión Fb</t>
  </si>
  <si>
    <t>Tracción Ft</t>
  </si>
  <si>
    <t>Compresión II Fc</t>
  </si>
  <si>
    <t>Compresión I Fc</t>
  </si>
  <si>
    <t>Corte Fv</t>
  </si>
  <si>
    <t>ESFUERZO CALCULADO</t>
  </si>
  <si>
    <t>COEFICIENTES DE MODIFICACIÓN</t>
  </si>
  <si>
    <t>Cd</t>
  </si>
  <si>
    <t>Cm</t>
  </si>
  <si>
    <t>Cl</t>
  </si>
  <si>
    <t>Cf</t>
  </si>
  <si>
    <t>Cr</t>
  </si>
  <si>
    <t>Cp</t>
  </si>
  <si>
    <t>De</t>
  </si>
  <si>
    <t>d</t>
  </si>
  <si>
    <t>b</t>
  </si>
  <si>
    <t>ESFUERZO ADMISIBLE MODIFICADO</t>
  </si>
  <si>
    <t>Fv</t>
  </si>
  <si>
    <t>Fc II</t>
  </si>
  <si>
    <t>Fc I</t>
  </si>
  <si>
    <t>M</t>
  </si>
  <si>
    <t>V</t>
  </si>
  <si>
    <t>T</t>
  </si>
  <si>
    <t>R</t>
  </si>
  <si>
    <t>N</t>
  </si>
  <si>
    <t>Momento</t>
  </si>
  <si>
    <t>F compre.</t>
  </si>
  <si>
    <t>F en sent. Per</t>
  </si>
  <si>
    <t>Landa</t>
  </si>
  <si>
    <t>menor 30</t>
  </si>
  <si>
    <t>entre 30 y ck</t>
  </si>
  <si>
    <t>entre ck y 150</t>
  </si>
  <si>
    <t>CHEQUEO SECCIÓN CRÍTICA</t>
  </si>
  <si>
    <t>Ton.m</t>
  </si>
  <si>
    <t>Cortante</t>
  </si>
  <si>
    <t>Ton</t>
  </si>
  <si>
    <t>Axial</t>
  </si>
  <si>
    <t>N.mm</t>
  </si>
  <si>
    <t>L elemento</t>
  </si>
  <si>
    <t>Relación de esfuerzos          &lt; 1</t>
  </si>
  <si>
    <t>ESFUERZO  CALCULADO</t>
  </si>
  <si>
    <t>Flexocompresión</t>
  </si>
  <si>
    <t>SECCIÓN 1</t>
  </si>
  <si>
    <t>SECCIÓN 2</t>
  </si>
  <si>
    <t>SECCIÓN 3</t>
  </si>
  <si>
    <t>SECCIÓN 4</t>
  </si>
  <si>
    <t>SECCIÓN 5</t>
  </si>
  <si>
    <t>SECCIÓN 6</t>
  </si>
  <si>
    <t>SECCIÓN 7</t>
  </si>
  <si>
    <t>SECCIÓN 8</t>
  </si>
  <si>
    <t>CUMBRERO 5</t>
  </si>
  <si>
    <t>CUMBRERO 2</t>
  </si>
  <si>
    <t>CUMBRERO 4</t>
  </si>
  <si>
    <t>CUMBRERO 3</t>
  </si>
  <si>
    <t>8 EN CUBIERTAS</t>
  </si>
  <si>
    <t>8 EN COLUMNAS</t>
  </si>
  <si>
    <t>7 SECCIÓN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</si>
</sst>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b/>
      <sz val="8"/>
      <color theme="0"/>
      <name val="Arial Narrow"/>
      <family val="2"/>
    </font>
    <font>
      <b/>
      <sz val="8"/>
      <name val="Arial Narrow"/>
      <family val="2"/>
    </font>
    <font>
      <sz val="8"/>
      <color theme="0"/>
      <name val="Arial Narrow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6"/>
      <color theme="1"/>
      <name val="Arial Narrow"/>
      <family val="2"/>
    </font>
    <font>
      <sz val="8"/>
      <name val="Arial Narrow"/>
      <family val="2"/>
    </font>
    <font>
      <sz val="8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0" fontId="2" fillId="0" borderId="11" xfId="0" applyNumberFormat="1" applyFont="1" applyBorder="1" applyAlignment="1">
      <alignment horizontal="center" vertical="center" wrapText="1"/>
    </xf>
    <xf numFmtId="10" fontId="2" fillId="0" borderId="12" xfId="0" applyNumberFormat="1" applyFont="1" applyBorder="1" applyAlignment="1">
      <alignment horizontal="center" vertical="center" wrapText="1"/>
    </xf>
    <xf numFmtId="10" fontId="2" fillId="0" borderId="1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2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2" fontId="2" fillId="0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2" fontId="0" fillId="0" borderId="0" xfId="0" applyNumberFormat="1" applyFont="1" applyAlignment="1">
      <alignment wrapText="1"/>
    </xf>
    <xf numFmtId="0" fontId="0" fillId="0" borderId="0" xfId="0" applyAlignment="1">
      <alignment horizontal="center" wrapText="1"/>
    </xf>
    <xf numFmtId="0" fontId="3" fillId="2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Alignment="1">
      <alignment wrapText="1"/>
    </xf>
    <xf numFmtId="2" fontId="2" fillId="0" borderId="2" xfId="0" applyNumberFormat="1" applyFont="1" applyBorder="1" applyAlignment="1">
      <alignment wrapText="1"/>
    </xf>
    <xf numFmtId="0" fontId="6" fillId="0" borderId="0" xfId="0" applyFont="1" applyAlignment="1">
      <alignment wrapText="1"/>
    </xf>
    <xf numFmtId="2" fontId="10" fillId="0" borderId="2" xfId="0" applyNumberFormat="1" applyFont="1" applyBorder="1" applyAlignment="1">
      <alignment horizontal="center" vertical="center" wrapText="1"/>
    </xf>
    <xf numFmtId="2" fontId="9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Relationship Id="rId1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9</xdr:row>
      <xdr:rowOff>95023</xdr:rowOff>
    </xdr:from>
    <xdr:to>
      <xdr:col>7</xdr:col>
      <xdr:colOff>142875</xdr:colOff>
      <xdr:row>17</xdr:row>
      <xdr:rowOff>56663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BC50113-E97A-4BD3-8A9D-4324B8F55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62375" y="1552348"/>
          <a:ext cx="1352550" cy="125704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133351</xdr:colOff>
      <xdr:row>25</xdr:row>
      <xdr:rowOff>57151</xdr:rowOff>
    </xdr:from>
    <xdr:to>
      <xdr:col>7</xdr:col>
      <xdr:colOff>56714</xdr:colOff>
      <xdr:row>33</xdr:row>
      <xdr:rowOff>95250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5754757-9DA8-4D4C-B108-21444A7F0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48101" y="4267201"/>
          <a:ext cx="1180663" cy="13334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200025</xdr:colOff>
      <xdr:row>41</xdr:row>
      <xdr:rowOff>65618</xdr:rowOff>
    </xdr:from>
    <xdr:to>
      <xdr:col>8</xdr:col>
      <xdr:colOff>38100</xdr:colOff>
      <xdr:row>49</xdr:row>
      <xdr:rowOff>77260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1E3F85B-B601-4A34-A799-42F02DCD9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286125" y="6866468"/>
          <a:ext cx="2352675" cy="130704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47625</xdr:colOff>
      <xdr:row>56</xdr:row>
      <xdr:rowOff>101926</xdr:rowOff>
    </xdr:from>
    <xdr:to>
      <xdr:col>7</xdr:col>
      <xdr:colOff>200025</xdr:colOff>
      <xdr:row>64</xdr:row>
      <xdr:rowOff>56796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7E9547B-A7EB-4D76-87C8-9D4932574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62375" y="9331651"/>
          <a:ext cx="1409700" cy="125027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495300</xdr:colOff>
      <xdr:row>71</xdr:row>
      <xdr:rowOff>60749</xdr:rowOff>
    </xdr:from>
    <xdr:to>
      <xdr:col>7</xdr:col>
      <xdr:colOff>333375</xdr:colOff>
      <xdr:row>79</xdr:row>
      <xdr:rowOff>94804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C885260-E728-4605-B70F-1C984F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581400" y="11719349"/>
          <a:ext cx="1724025" cy="13294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95250</xdr:colOff>
      <xdr:row>85</xdr:row>
      <xdr:rowOff>87177</xdr:rowOff>
    </xdr:from>
    <xdr:to>
      <xdr:col>7</xdr:col>
      <xdr:colOff>190500</xdr:colOff>
      <xdr:row>93</xdr:row>
      <xdr:rowOff>75843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FF2578F-F183-4760-96EC-E89B4F3C9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10000" y="14012727"/>
          <a:ext cx="1352550" cy="12840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28575</xdr:colOff>
      <xdr:row>114</xdr:row>
      <xdr:rowOff>106127</xdr:rowOff>
    </xdr:from>
    <xdr:to>
      <xdr:col>7</xdr:col>
      <xdr:colOff>47625</xdr:colOff>
      <xdr:row>122</xdr:row>
      <xdr:rowOff>75930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C9AEC572-689F-4B8F-9786-DA70DE14B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43325" y="18403652"/>
          <a:ext cx="1276350" cy="126520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381045</xdr:colOff>
      <xdr:row>101</xdr:row>
      <xdr:rowOff>76199</xdr:rowOff>
    </xdr:from>
    <xdr:to>
      <xdr:col>7</xdr:col>
      <xdr:colOff>266031</xdr:colOff>
      <xdr:row>109</xdr:row>
      <xdr:rowOff>104274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F97332-4DC3-41B9-A51E-3BC98B7D5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467145" y="20802599"/>
          <a:ext cx="1770936" cy="13234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180975</xdr:colOff>
      <xdr:row>128</xdr:row>
      <xdr:rowOff>85726</xdr:rowOff>
    </xdr:from>
    <xdr:to>
      <xdr:col>7</xdr:col>
      <xdr:colOff>476250</xdr:colOff>
      <xdr:row>136</xdr:row>
      <xdr:rowOff>60407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40A726-A615-4FA7-9758-5387A1979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267075" y="20812126"/>
          <a:ext cx="2181225" cy="12700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69819</xdr:colOff>
      <xdr:row>145</xdr:row>
      <xdr:rowOff>66675</xdr:rowOff>
    </xdr:from>
    <xdr:to>
      <xdr:col>6</xdr:col>
      <xdr:colOff>590101</xdr:colOff>
      <xdr:row>153</xdr:row>
      <xdr:rowOff>85213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B739C5C-9EC6-46D5-A52A-F2AD14B03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84569" y="23545800"/>
          <a:ext cx="1148932" cy="131393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323851</xdr:colOff>
      <xdr:row>159</xdr:row>
      <xdr:rowOff>82536</xdr:rowOff>
    </xdr:from>
    <xdr:to>
      <xdr:col>6</xdr:col>
      <xdr:colOff>381001</xdr:colOff>
      <xdr:row>167</xdr:row>
      <xdr:rowOff>62724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9FB977A-3615-4E34-AB8A-AAC545BF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38601" y="25828611"/>
          <a:ext cx="685800" cy="12755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133350</xdr:colOff>
      <xdr:row>174</xdr:row>
      <xdr:rowOff>117376</xdr:rowOff>
    </xdr:from>
    <xdr:to>
      <xdr:col>7</xdr:col>
      <xdr:colOff>276225</xdr:colOff>
      <xdr:row>182</xdr:row>
      <xdr:rowOff>69515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E648065-F883-4539-93A8-1412B3935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219450" y="28292326"/>
          <a:ext cx="2028825" cy="124753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409575</xdr:colOff>
      <xdr:row>8</xdr:row>
      <xdr:rowOff>85725</xdr:rowOff>
    </xdr:from>
    <xdr:to>
      <xdr:col>16</xdr:col>
      <xdr:colOff>47561</xdr:colOff>
      <xdr:row>10</xdr:row>
      <xdr:rowOff>85677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5E28DCE-4DCC-45E9-9F91-5432F7C61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30375" y="1743075"/>
          <a:ext cx="514286" cy="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11</xdr:row>
      <xdr:rowOff>38100</xdr:rowOff>
    </xdr:from>
    <xdr:to>
      <xdr:col>17</xdr:col>
      <xdr:colOff>66488</xdr:colOff>
      <xdr:row>13</xdr:row>
      <xdr:rowOff>114243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9DD484A-A2A8-4D1D-9ACD-1673E8129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44650" y="2266950"/>
          <a:ext cx="1495238" cy="457143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419100</xdr:colOff>
      <xdr:row>14</xdr:row>
      <xdr:rowOff>19050</xdr:rowOff>
    </xdr:from>
    <xdr:to>
      <xdr:col>16</xdr:col>
      <xdr:colOff>66610</xdr:colOff>
      <xdr:row>16</xdr:row>
      <xdr:rowOff>57098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68950DF-3967-4B1A-94AB-972A48F7F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39900" y="2819400"/>
          <a:ext cx="523810" cy="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371475</xdr:colOff>
      <xdr:row>17</xdr:row>
      <xdr:rowOff>9525</xdr:rowOff>
    </xdr:from>
    <xdr:to>
      <xdr:col>16</xdr:col>
      <xdr:colOff>180889</xdr:colOff>
      <xdr:row>19</xdr:row>
      <xdr:rowOff>19001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DBE8B3A-6F27-4669-B15D-C3DFC5365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92275" y="3381375"/>
          <a:ext cx="685714" cy="390476"/>
        </a:xfrm>
        <a:prstGeom prst="rect">
          <a:avLst/>
        </a:prstGeom>
      </xdr:spPr>
    </xdr:pic>
    <xdr:clientData/>
  </xdr:twoCellAnchor>
  <xdr:twoCellAnchor editAs="oneCell">
    <xdr:from>
      <xdr:col>15</xdr:col>
      <xdr:colOff>409575</xdr:colOff>
      <xdr:row>19</xdr:row>
      <xdr:rowOff>142875</xdr:rowOff>
    </xdr:from>
    <xdr:to>
      <xdr:col>16</xdr:col>
      <xdr:colOff>133275</xdr:colOff>
      <xdr:row>22</xdr:row>
      <xdr:rowOff>18994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D83447C-E70C-4D91-94A1-9FD4F7ED3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30375" y="3895725"/>
          <a:ext cx="600000" cy="447619"/>
        </a:xfrm>
        <a:prstGeom prst="rect">
          <a:avLst/>
        </a:prstGeom>
      </xdr:spPr>
    </xdr:pic>
    <xdr:clientData/>
  </xdr:twoCellAnchor>
  <xdr:twoCellAnchor editAs="oneCell">
    <xdr:from>
      <xdr:col>21</xdr:col>
      <xdr:colOff>104775</xdr:colOff>
      <xdr:row>7</xdr:row>
      <xdr:rowOff>28575</xdr:rowOff>
    </xdr:from>
    <xdr:to>
      <xdr:col>21</xdr:col>
      <xdr:colOff>723823</xdr:colOff>
      <xdr:row>8</xdr:row>
      <xdr:rowOff>190456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D4A6ABA-6A14-4B06-9B4E-7076EB46C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25525" y="1657350"/>
          <a:ext cx="619048" cy="3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16</xdr:col>
      <xdr:colOff>561795</xdr:colOff>
      <xdr:row>25</xdr:row>
      <xdr:rowOff>133286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DE42DE6-AEB4-48E2-B605-A6E2DFE30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20800" y="4514850"/>
          <a:ext cx="1438095" cy="5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790575</xdr:colOff>
      <xdr:row>24</xdr:row>
      <xdr:rowOff>19050</xdr:rowOff>
    </xdr:from>
    <xdr:to>
      <xdr:col>18</xdr:col>
      <xdr:colOff>190356</xdr:colOff>
      <xdr:row>26</xdr:row>
      <xdr:rowOff>180907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A51A381-9AE4-495B-AE9A-9D3E34DA9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687675" y="4724400"/>
          <a:ext cx="1152381" cy="542857"/>
        </a:xfrm>
        <a:prstGeom prst="rect">
          <a:avLst/>
        </a:prstGeom>
      </xdr:spPr>
    </xdr:pic>
    <xdr:clientData/>
  </xdr:twoCellAnchor>
  <xdr:twoCellAnchor editAs="oneCell">
    <xdr:from>
      <xdr:col>15</xdr:col>
      <xdr:colOff>485775</xdr:colOff>
      <xdr:row>26</xdr:row>
      <xdr:rowOff>152400</xdr:rowOff>
    </xdr:from>
    <xdr:to>
      <xdr:col>16</xdr:col>
      <xdr:colOff>418999</xdr:colOff>
      <xdr:row>28</xdr:row>
      <xdr:rowOff>180924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54D431A-1FC8-4AB2-900C-9C79663C5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506575" y="5238750"/>
          <a:ext cx="809524" cy="409524"/>
        </a:xfrm>
        <a:prstGeom prst="rect">
          <a:avLst/>
        </a:prstGeom>
      </xdr:spPr>
    </xdr:pic>
    <xdr:clientData/>
  </xdr:twoCellAnchor>
  <xdr:twoCellAnchor editAs="oneCell">
    <xdr:from>
      <xdr:col>18</xdr:col>
      <xdr:colOff>601601</xdr:colOff>
      <xdr:row>14</xdr:row>
      <xdr:rowOff>28575</xdr:rowOff>
    </xdr:from>
    <xdr:to>
      <xdr:col>22</xdr:col>
      <xdr:colOff>161327</xdr:colOff>
      <xdr:row>23</xdr:row>
      <xdr:rowOff>66333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7448C77-1FBF-4175-A822-F37C0D19B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593451" y="2990850"/>
          <a:ext cx="3064926" cy="1752258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762000</xdr:colOff>
      <xdr:row>24</xdr:row>
      <xdr:rowOff>82290</xdr:rowOff>
    </xdr:from>
    <xdr:to>
      <xdr:col>22</xdr:col>
      <xdr:colOff>323282</xdr:colOff>
      <xdr:row>31</xdr:row>
      <xdr:rowOff>47384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F034746-9C4D-4F91-B1EB-C577280DB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753850" y="4949565"/>
          <a:ext cx="3066482" cy="1298594"/>
        </a:xfrm>
        <a:prstGeom prst="rect">
          <a:avLst/>
        </a:prstGeom>
      </xdr:spPr>
    </xdr:pic>
    <xdr:clientData/>
  </xdr:twoCellAnchor>
  <xdr:twoCellAnchor editAs="oneCell">
    <xdr:from>
      <xdr:col>18</xdr:col>
      <xdr:colOff>838200</xdr:colOff>
      <xdr:row>32</xdr:row>
      <xdr:rowOff>70604</xdr:rowOff>
    </xdr:from>
    <xdr:to>
      <xdr:col>22</xdr:col>
      <xdr:colOff>361358</xdr:colOff>
      <xdr:row>42</xdr:row>
      <xdr:rowOff>152012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647F8C3-9ECE-4F8B-ADA3-C236BE545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830050" y="6461879"/>
          <a:ext cx="3028358" cy="1986408"/>
        </a:xfrm>
        <a:prstGeom prst="rect">
          <a:avLst/>
        </a:prstGeom>
      </xdr:spPr>
    </xdr:pic>
    <xdr:clientData/>
  </xdr:twoCellAnchor>
  <xdr:twoCellAnchor editAs="oneCell">
    <xdr:from>
      <xdr:col>22</xdr:col>
      <xdr:colOff>457199</xdr:colOff>
      <xdr:row>12</xdr:row>
      <xdr:rowOff>47626</xdr:rowOff>
    </xdr:from>
    <xdr:to>
      <xdr:col>25</xdr:col>
      <xdr:colOff>848234</xdr:colOff>
      <xdr:row>20</xdr:row>
      <xdr:rowOff>142646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5A3BED-5001-4610-B482-20F2C1BD0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954249" y="2628901"/>
          <a:ext cx="3019935" cy="1619020"/>
        </a:xfrm>
        <a:prstGeom prst="rect">
          <a:avLst/>
        </a:prstGeom>
      </xdr:spPr>
    </xdr:pic>
    <xdr:clientData/>
  </xdr:twoCellAnchor>
  <xdr:twoCellAnchor editAs="oneCell">
    <xdr:from>
      <xdr:col>22</xdr:col>
      <xdr:colOff>609599</xdr:colOff>
      <xdr:row>21</xdr:row>
      <xdr:rowOff>149086</xdr:rowOff>
    </xdr:from>
    <xdr:to>
      <xdr:col>26</xdr:col>
      <xdr:colOff>47104</xdr:colOff>
      <xdr:row>28</xdr:row>
      <xdr:rowOff>95023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7E71E44-2727-401E-8FE1-3EC89082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106649" y="4444861"/>
          <a:ext cx="2942705" cy="12794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7BBB2-5162-43CB-9245-01827D1C9E2B}">
  <dimension ref="A1:L183"/>
  <sheetViews>
    <sheetView tabSelected="1" workbookViewId="0"/>
  </sheetViews>
  <sheetFormatPr baseColWidth="10" defaultRowHeight="12.75" x14ac:dyDescent="0.25"/>
  <cols>
    <col min="1" max="1" width="18" style="41" bestFit="1" customWidth="1"/>
    <col min="2" max="10" width="9.42578125" style="41" customWidth="1"/>
    <col min="11" max="13" width="11.42578125" style="41"/>
    <col min="14" max="14" width="16.5703125" style="41" customWidth="1"/>
    <col min="15" max="16384" width="11.42578125" style="41"/>
  </cols>
  <sheetData>
    <row r="1" spans="1:12" x14ac:dyDescent="0.25">
      <c r="A1" s="40" t="s">
        <v>4</v>
      </c>
      <c r="B1" s="4">
        <v>12</v>
      </c>
      <c r="C1" s="4" t="s">
        <v>2</v>
      </c>
    </row>
    <row r="2" spans="1:12" x14ac:dyDescent="0.25">
      <c r="A2" s="40" t="s">
        <v>3</v>
      </c>
      <c r="B2" s="4">
        <v>10</v>
      </c>
      <c r="C2" s="4" t="s">
        <v>2</v>
      </c>
    </row>
    <row r="4" spans="1:12" s="1" customFormat="1" x14ac:dyDescent="0.25">
      <c r="A4" s="11"/>
      <c r="B4" s="12" t="s">
        <v>0</v>
      </c>
      <c r="C4" s="12" t="s">
        <v>7</v>
      </c>
      <c r="D4" s="12" t="s">
        <v>8</v>
      </c>
      <c r="E4" s="12" t="s">
        <v>9</v>
      </c>
      <c r="F4" s="12" t="s">
        <v>10</v>
      </c>
      <c r="G4" s="5" t="s">
        <v>6</v>
      </c>
      <c r="H4" s="5" t="s">
        <v>11</v>
      </c>
      <c r="I4" s="5" t="s">
        <v>16</v>
      </c>
      <c r="J4" s="5" t="s">
        <v>12</v>
      </c>
    </row>
    <row r="5" spans="1:12" s="1" customFormat="1" x14ac:dyDescent="0.25">
      <c r="A5" s="4">
        <v>1</v>
      </c>
      <c r="B5" s="6">
        <f>+PI()*($B$1^2 - $B$2^2)/4</f>
        <v>34.557519189487721</v>
      </c>
      <c r="C5" s="4">
        <v>6</v>
      </c>
      <c r="D5" s="6">
        <f>+B5*C5</f>
        <v>207.34511513692632</v>
      </c>
      <c r="E5" s="4">
        <v>6</v>
      </c>
      <c r="F5" s="6">
        <f>+B5*E5</f>
        <v>207.34511513692632</v>
      </c>
      <c r="G5" s="9">
        <f>(PI()*($B$1^4 - $B$2^4)/64)</f>
        <v>527.00216763968774</v>
      </c>
      <c r="H5" s="9">
        <f>+G5+(B5*($B$10-C5)^2)</f>
        <v>1771.0728584612457</v>
      </c>
      <c r="I5" s="9">
        <f>+G5+(B5*($B$11-E5)^2)</f>
        <v>8532.1961958538141</v>
      </c>
      <c r="J5" s="9">
        <f>0+(B5*(B10-C5)*(B11-E5))</f>
        <v>3155.7926523840183</v>
      </c>
    </row>
    <row r="6" spans="1:12" x14ac:dyDescent="0.25">
      <c r="A6" s="4">
        <v>2</v>
      </c>
      <c r="B6" s="6">
        <f t="shared" ref="B6:B8" si="0">+PI()*($B$1^2 - $B$2^2)/4</f>
        <v>34.557519189487721</v>
      </c>
      <c r="C6" s="4">
        <v>6</v>
      </c>
      <c r="D6" s="6">
        <f t="shared" ref="D6:D8" si="1">+B6*C6</f>
        <v>207.34511513692632</v>
      </c>
      <c r="E6" s="4">
        <v>31.92</v>
      </c>
      <c r="F6" s="6">
        <f t="shared" ref="F6:F8" si="2">+B6*E6</f>
        <v>1103.076012528448</v>
      </c>
      <c r="G6" s="9">
        <f>(PI()*($B$1^4 - $B$2^4)/64)</f>
        <v>527.00216763968774</v>
      </c>
      <c r="H6" s="9">
        <f t="shared" ref="H6:H8" si="3">+G6+(B6*($B$10-C6)^2)</f>
        <v>1771.0728584612457</v>
      </c>
      <c r="I6" s="9">
        <f>+G6+(B6*($B$11-E6)^2)</f>
        <v>4483.4925396441395</v>
      </c>
      <c r="J6" s="6">
        <f>0+(B6*(B10-C6)*(B11-E6))</f>
        <v>-2218.5927319651123</v>
      </c>
    </row>
    <row r="7" spans="1:12" x14ac:dyDescent="0.25">
      <c r="A7" s="4">
        <v>3</v>
      </c>
      <c r="B7" s="6">
        <f t="shared" si="0"/>
        <v>34.557519189487721</v>
      </c>
      <c r="C7" s="4">
        <v>18</v>
      </c>
      <c r="D7" s="6">
        <f t="shared" si="1"/>
        <v>622.03534541077897</v>
      </c>
      <c r="E7" s="4">
        <v>10.56</v>
      </c>
      <c r="F7" s="6">
        <f t="shared" si="2"/>
        <v>364.92740264099035</v>
      </c>
      <c r="G7" s="9">
        <f t="shared" ref="G7:G8" si="4">(PI()*($B$1^4 - $B$2^4)/64)</f>
        <v>527.00216763968774</v>
      </c>
      <c r="H7" s="9">
        <f t="shared" si="3"/>
        <v>1771.0728584612457</v>
      </c>
      <c r="I7" s="9">
        <f>+G7+(B7*(E7-$B$11)^2)</f>
        <v>4453.9665952486375</v>
      </c>
      <c r="J7" s="6">
        <f>0+(B7*(C7-B10)*(E7-B11))</f>
        <v>-2210.2989273596345</v>
      </c>
    </row>
    <row r="8" spans="1:12" x14ac:dyDescent="0.25">
      <c r="A8" s="4">
        <v>4</v>
      </c>
      <c r="B8" s="6">
        <f t="shared" si="0"/>
        <v>34.557519189487721</v>
      </c>
      <c r="C8" s="4">
        <v>18</v>
      </c>
      <c r="D8" s="6">
        <f t="shared" si="1"/>
        <v>622.03534541077897</v>
      </c>
      <c r="E8" s="6">
        <v>36.4</v>
      </c>
      <c r="F8" s="6">
        <f t="shared" si="2"/>
        <v>1257.8936984973529</v>
      </c>
      <c r="G8" s="9">
        <f t="shared" si="4"/>
        <v>527.00216763968774</v>
      </c>
      <c r="H8" s="9">
        <f t="shared" si="3"/>
        <v>1771.0728584612457</v>
      </c>
      <c r="I8" s="9">
        <f>+G8+(B8*(E8-$B$11)^2)</f>
        <v>8490.1742525193986</v>
      </c>
      <c r="J8" s="6">
        <f>0+(B8*(C8-B10)*(E8-B11))</f>
        <v>3147.4988477785414</v>
      </c>
    </row>
    <row r="9" spans="1:12" s="2" customFormat="1" x14ac:dyDescent="0.25">
      <c r="A9" s="13" t="s">
        <v>13</v>
      </c>
      <c r="B9" s="14">
        <f>+SUM(B5:B8)</f>
        <v>138.23007675795088</v>
      </c>
      <c r="C9" s="13"/>
      <c r="D9" s="14">
        <f>+SUM(D5:D8)</f>
        <v>1658.7609210954106</v>
      </c>
      <c r="E9" s="13"/>
      <c r="F9" s="14">
        <f>+SUM(F5:F8)</f>
        <v>2933.2422288037178</v>
      </c>
      <c r="G9" s="13"/>
      <c r="H9" s="14">
        <f>+SUM(H5:H8)</f>
        <v>7084.2914338449827</v>
      </c>
      <c r="I9" s="14">
        <f>+SUM(I5:I8)</f>
        <v>25959.82958326599</v>
      </c>
      <c r="J9" s="14">
        <f>+SUM(J5:J8)</f>
        <v>1874.3998408378129</v>
      </c>
    </row>
    <row r="10" spans="1:12" x14ac:dyDescent="0.25">
      <c r="A10" s="8" t="s">
        <v>14</v>
      </c>
      <c r="B10" s="8">
        <f>+D9/B9</f>
        <v>12</v>
      </c>
      <c r="C10" s="42"/>
      <c r="D10" s="42"/>
      <c r="E10" s="42"/>
      <c r="F10" s="42"/>
      <c r="G10" s="7"/>
      <c r="H10" s="7"/>
      <c r="I10" s="42"/>
      <c r="J10" s="43"/>
      <c r="L10" s="41" t="s">
        <v>176</v>
      </c>
    </row>
    <row r="11" spans="1:12" s="2" customFormat="1" x14ac:dyDescent="0.25">
      <c r="A11" s="8" t="s">
        <v>15</v>
      </c>
      <c r="B11" s="8">
        <f>+F9/B9</f>
        <v>21.22</v>
      </c>
      <c r="C11" s="3"/>
      <c r="D11" s="3"/>
      <c r="E11" s="42"/>
      <c r="F11" s="42"/>
      <c r="G11" s="3"/>
      <c r="H11" s="3"/>
      <c r="I11" s="3"/>
      <c r="J11" s="15"/>
    </row>
    <row r="12" spans="1:12" s="2" customFormat="1" x14ac:dyDescent="0.25">
      <c r="A12" s="44" t="s">
        <v>1</v>
      </c>
      <c r="B12" s="6">
        <f>+B9</f>
        <v>138.23007675795088</v>
      </c>
      <c r="C12" s="3"/>
      <c r="D12" s="3"/>
      <c r="E12" s="3"/>
      <c r="F12" s="3"/>
      <c r="G12" s="3"/>
      <c r="H12" s="3"/>
      <c r="I12" s="3"/>
      <c r="J12" s="15"/>
    </row>
    <row r="13" spans="1:12" s="2" customFormat="1" x14ac:dyDescent="0.25">
      <c r="A13" s="44" t="s">
        <v>17</v>
      </c>
      <c r="B13" s="6">
        <f>4*PI()*(($B$1^4) -($B$2^4))/32</f>
        <v>4216.0173411175019</v>
      </c>
      <c r="C13" s="3"/>
      <c r="D13" s="3"/>
      <c r="E13" s="3"/>
      <c r="F13" s="3"/>
      <c r="G13" s="3"/>
      <c r="H13" s="3"/>
      <c r="I13" s="3"/>
      <c r="J13" s="15"/>
    </row>
    <row r="14" spans="1:12" s="2" customFormat="1" x14ac:dyDescent="0.25">
      <c r="A14" s="44" t="s">
        <v>18</v>
      </c>
      <c r="B14" s="6">
        <f>+H9/B10</f>
        <v>590.35761948708193</v>
      </c>
      <c r="C14" s="3"/>
      <c r="D14" s="3"/>
      <c r="E14" s="3"/>
      <c r="F14" s="16"/>
      <c r="G14" s="3"/>
      <c r="H14" s="3"/>
      <c r="I14" s="3"/>
      <c r="J14" s="15"/>
    </row>
    <row r="15" spans="1:12" x14ac:dyDescent="0.25">
      <c r="A15" s="44" t="s">
        <v>19</v>
      </c>
      <c r="B15" s="6">
        <f>I9/B11</f>
        <v>1223.3661443574924</v>
      </c>
      <c r="C15" s="42"/>
      <c r="D15" s="42"/>
      <c r="E15" s="42"/>
      <c r="F15" s="42"/>
      <c r="G15" s="42"/>
      <c r="H15" s="42"/>
      <c r="I15" s="42"/>
      <c r="J15" s="43"/>
    </row>
    <row r="16" spans="1:12" x14ac:dyDescent="0.25">
      <c r="A16" s="44" t="s">
        <v>5</v>
      </c>
      <c r="B16" s="6">
        <f>4*4*(($B$1/2)^3 - ($B$2/2)^3)/3</f>
        <v>485.33333333333331</v>
      </c>
      <c r="C16" s="42"/>
      <c r="D16" s="42"/>
      <c r="E16" s="42"/>
      <c r="F16" s="42"/>
      <c r="G16" s="42"/>
      <c r="H16" s="42"/>
      <c r="I16" s="42"/>
      <c r="J16" s="43"/>
    </row>
    <row r="17" spans="1:12" x14ac:dyDescent="0.25">
      <c r="A17" s="44" t="s">
        <v>20</v>
      </c>
      <c r="B17" s="6">
        <f>+(H9/B9)^0.5</f>
        <v>7.1589105316381767</v>
      </c>
      <c r="C17" s="42"/>
      <c r="D17" s="42"/>
      <c r="E17" s="42"/>
      <c r="F17" s="42"/>
      <c r="G17" s="42"/>
      <c r="H17" s="42"/>
      <c r="I17" s="42"/>
      <c r="J17" s="43"/>
    </row>
    <row r="18" spans="1:12" x14ac:dyDescent="0.25">
      <c r="A18" s="44" t="s">
        <v>21</v>
      </c>
      <c r="B18" s="6">
        <f>+(I9/B9)^0.5</f>
        <v>13.704072387432868</v>
      </c>
      <c r="C18" s="45"/>
      <c r="D18" s="45"/>
      <c r="E18" s="45"/>
      <c r="F18" s="45"/>
      <c r="G18" s="45"/>
      <c r="H18" s="45"/>
      <c r="I18" s="45"/>
      <c r="J18" s="46"/>
    </row>
    <row r="20" spans="1:12" x14ac:dyDescent="0.25">
      <c r="A20" s="11"/>
      <c r="B20" s="12" t="s">
        <v>0</v>
      </c>
      <c r="C20" s="12" t="s">
        <v>7</v>
      </c>
      <c r="D20" s="12" t="s">
        <v>8</v>
      </c>
      <c r="E20" s="12" t="s">
        <v>9</v>
      </c>
      <c r="F20" s="12" t="s">
        <v>10</v>
      </c>
      <c r="G20" s="5" t="s">
        <v>6</v>
      </c>
      <c r="H20" s="5" t="s">
        <v>11</v>
      </c>
      <c r="I20" s="5" t="s">
        <v>16</v>
      </c>
      <c r="J20" s="5" t="s">
        <v>12</v>
      </c>
    </row>
    <row r="21" spans="1:12" x14ac:dyDescent="0.25">
      <c r="A21" s="4">
        <v>1</v>
      </c>
      <c r="B21" s="6">
        <f>+PI()*($B$1^2 - $B$2^2)/4</f>
        <v>34.557519189487721</v>
      </c>
      <c r="C21" s="4">
        <v>6</v>
      </c>
      <c r="D21" s="6">
        <f>+B21*C21</f>
        <v>207.34511513692632</v>
      </c>
      <c r="E21" s="4">
        <v>6</v>
      </c>
      <c r="F21" s="6">
        <f>+B21*E21</f>
        <v>207.34511513692632</v>
      </c>
      <c r="G21" s="9">
        <f>(PI()*($B$1^4 - $B$2^4)/64)</f>
        <v>527.00216763968774</v>
      </c>
      <c r="H21" s="9">
        <f>+G21+(B21*($B$26-C21)^2)</f>
        <v>1771.0728584612457</v>
      </c>
      <c r="I21" s="9">
        <f>+G21+(B21*($B$27-E21)^2)</f>
        <v>5503.28493092592</v>
      </c>
      <c r="J21" s="9">
        <f>0+(B21*(B26-C21)*(B27-E21))</f>
        <v>2488.1413816431159</v>
      </c>
    </row>
    <row r="22" spans="1:12" x14ac:dyDescent="0.25">
      <c r="A22" s="4">
        <v>2</v>
      </c>
      <c r="B22" s="6">
        <f t="shared" ref="B22:B24" si="5">+PI()*($B$1^2 - $B$2^2)/4</f>
        <v>34.557519189487721</v>
      </c>
      <c r="C22" s="4">
        <v>6</v>
      </c>
      <c r="D22" s="6">
        <f t="shared" ref="D22:D24" si="6">+B22*C22</f>
        <v>207.34511513692632</v>
      </c>
      <c r="E22" s="4">
        <v>30</v>
      </c>
      <c r="F22" s="6">
        <f t="shared" ref="F22:F24" si="7">+B22*E22</f>
        <v>1036.7255756846316</v>
      </c>
      <c r="G22" s="9">
        <f>(PI()*($B$1^4 - $B$2^4)/64)</f>
        <v>527.00216763968774</v>
      </c>
      <c r="H22" s="9">
        <f>+G22+(B22*($B$26-C22)^2)</f>
        <v>1771.0728584612457</v>
      </c>
      <c r="I22" s="9">
        <f>+G22+(B22*($B$27-E22)^2)</f>
        <v>5503.28493092592</v>
      </c>
      <c r="J22" s="6">
        <f>0+(B22*(B26-C22)*(B27-E22))</f>
        <v>-2488.1413816431159</v>
      </c>
    </row>
    <row r="23" spans="1:12" x14ac:dyDescent="0.25">
      <c r="A23" s="4">
        <v>3</v>
      </c>
      <c r="B23" s="6">
        <f t="shared" si="5"/>
        <v>34.557519189487721</v>
      </c>
      <c r="C23" s="4">
        <v>18</v>
      </c>
      <c r="D23" s="6">
        <f t="shared" si="6"/>
        <v>622.03534541077897</v>
      </c>
      <c r="E23" s="4">
        <v>6</v>
      </c>
      <c r="F23" s="6">
        <f t="shared" si="7"/>
        <v>207.34511513692632</v>
      </c>
      <c r="G23" s="9">
        <f t="shared" ref="G23:G24" si="8">(PI()*($B$1^4 - $B$2^4)/64)</f>
        <v>527.00216763968774</v>
      </c>
      <c r="H23" s="9">
        <f>+G23+(B23*($B$26-C23)^2)</f>
        <v>1771.0728584612457</v>
      </c>
      <c r="I23" s="9">
        <f>+G23+(B23*(E23-$B$27)^2)</f>
        <v>5503.28493092592</v>
      </c>
      <c r="J23" s="6">
        <f>0+(B23*(C23-B26)*(E23-B27))</f>
        <v>-2488.1413816431159</v>
      </c>
    </row>
    <row r="24" spans="1:12" x14ac:dyDescent="0.25">
      <c r="A24" s="4">
        <v>4</v>
      </c>
      <c r="B24" s="6">
        <f t="shared" si="5"/>
        <v>34.557519189487721</v>
      </c>
      <c r="C24" s="4">
        <v>18</v>
      </c>
      <c r="D24" s="6">
        <f t="shared" si="6"/>
        <v>622.03534541077897</v>
      </c>
      <c r="E24" s="6">
        <v>30</v>
      </c>
      <c r="F24" s="6">
        <f t="shared" si="7"/>
        <v>1036.7255756846316</v>
      </c>
      <c r="G24" s="9">
        <f t="shared" si="8"/>
        <v>527.00216763968774</v>
      </c>
      <c r="H24" s="9">
        <f>+G24+(B24*($B$26-C24)^2)</f>
        <v>1771.0728584612457</v>
      </c>
      <c r="I24" s="9">
        <f>+G24+(B24*(E24-$B$27)^2)</f>
        <v>5503.28493092592</v>
      </c>
      <c r="J24" s="6">
        <f>0+(B24*(C24-B26)*(E24-B27))</f>
        <v>2488.1413816431159</v>
      </c>
    </row>
    <row r="25" spans="1:12" x14ac:dyDescent="0.25">
      <c r="A25" s="13" t="s">
        <v>13</v>
      </c>
      <c r="B25" s="14">
        <f>+SUM(B21:B24)</f>
        <v>138.23007675795088</v>
      </c>
      <c r="C25" s="13"/>
      <c r="D25" s="14">
        <f>+SUM(D21:D24)</f>
        <v>1658.7609210954106</v>
      </c>
      <c r="E25" s="13"/>
      <c r="F25" s="14">
        <f>+SUM(F21:F24)</f>
        <v>2488.1413816431159</v>
      </c>
      <c r="G25" s="13"/>
      <c r="H25" s="14">
        <f>+SUM(H21:H24)</f>
        <v>7084.2914338449827</v>
      </c>
      <c r="I25" s="14">
        <f>+SUM(I21:I24)</f>
        <v>22013.13972370368</v>
      </c>
      <c r="J25" s="14">
        <f>+SUM(J21:J24)</f>
        <v>0</v>
      </c>
    </row>
    <row r="26" spans="1:12" x14ac:dyDescent="0.25">
      <c r="A26" s="8" t="s">
        <v>14</v>
      </c>
      <c r="B26" s="8">
        <f>+D25/B25</f>
        <v>12</v>
      </c>
      <c r="C26" s="47"/>
      <c r="D26" s="48"/>
      <c r="E26" s="48"/>
      <c r="F26" s="48"/>
      <c r="G26" s="48"/>
      <c r="H26" s="48"/>
      <c r="I26" s="48"/>
      <c r="J26" s="49"/>
    </row>
    <row r="27" spans="1:12" x14ac:dyDescent="0.25">
      <c r="A27" s="8" t="s">
        <v>15</v>
      </c>
      <c r="B27" s="8">
        <f>+F25/B25</f>
        <v>18</v>
      </c>
      <c r="C27" s="50"/>
      <c r="D27" s="42"/>
      <c r="E27" s="42"/>
      <c r="F27" s="42"/>
      <c r="G27" s="42"/>
      <c r="H27" s="42"/>
      <c r="I27" s="42"/>
      <c r="J27" s="43"/>
    </row>
    <row r="28" spans="1:12" x14ac:dyDescent="0.25">
      <c r="A28" s="44" t="s">
        <v>1</v>
      </c>
      <c r="B28" s="6">
        <f>+B25</f>
        <v>138.23007675795088</v>
      </c>
      <c r="C28" s="50"/>
      <c r="D28" s="42"/>
      <c r="E28" s="42"/>
      <c r="F28" s="42"/>
      <c r="G28" s="42"/>
      <c r="H28" s="42"/>
      <c r="I28" s="42"/>
      <c r="J28" s="43"/>
    </row>
    <row r="29" spans="1:12" x14ac:dyDescent="0.25">
      <c r="A29" s="44" t="s">
        <v>17</v>
      </c>
      <c r="B29" s="6">
        <f>4*PI()*($B$1^4 -$B$2^4)/32</f>
        <v>4216.0173411175019</v>
      </c>
      <c r="C29" s="50"/>
      <c r="D29" s="42"/>
      <c r="E29" s="42"/>
      <c r="F29" s="42"/>
      <c r="G29" s="42"/>
      <c r="H29" s="42"/>
      <c r="I29" s="42"/>
      <c r="J29" s="43"/>
      <c r="L29" s="41" t="s">
        <v>177</v>
      </c>
    </row>
    <row r="30" spans="1:12" x14ac:dyDescent="0.25">
      <c r="A30" s="44" t="s">
        <v>18</v>
      </c>
      <c r="B30" s="6">
        <f>+H25/B26</f>
        <v>590.35761948708193</v>
      </c>
      <c r="C30" s="50"/>
      <c r="D30" s="42"/>
      <c r="E30" s="42"/>
      <c r="F30" s="42"/>
      <c r="G30" s="42"/>
      <c r="H30" s="42"/>
      <c r="I30" s="42"/>
      <c r="J30" s="43"/>
    </row>
    <row r="31" spans="1:12" x14ac:dyDescent="0.25">
      <c r="A31" s="44" t="s">
        <v>19</v>
      </c>
      <c r="B31" s="6">
        <f>I25/B27</f>
        <v>1222.9522068724266</v>
      </c>
      <c r="C31" s="50"/>
      <c r="D31" s="42"/>
      <c r="E31" s="42"/>
      <c r="F31" s="42"/>
      <c r="G31" s="42"/>
      <c r="H31" s="42"/>
      <c r="I31" s="42"/>
      <c r="J31" s="43"/>
    </row>
    <row r="32" spans="1:12" x14ac:dyDescent="0.25">
      <c r="A32" s="44" t="s">
        <v>5</v>
      </c>
      <c r="B32" s="6">
        <f>4*4*(($B$1/2)^3 - ($B$2/2)^3)/3</f>
        <v>485.33333333333331</v>
      </c>
      <c r="C32" s="50"/>
      <c r="D32" s="42"/>
      <c r="E32" s="42"/>
      <c r="F32" s="42"/>
      <c r="G32" s="42"/>
      <c r="H32" s="42"/>
      <c r="I32" s="42"/>
      <c r="J32" s="43"/>
    </row>
    <row r="33" spans="1:12" x14ac:dyDescent="0.25">
      <c r="A33" s="44" t="s">
        <v>20</v>
      </c>
      <c r="B33" s="6">
        <f>+(H25/B25)^0.5</f>
        <v>7.1589105316381767</v>
      </c>
      <c r="C33" s="50"/>
      <c r="D33" s="42"/>
      <c r="E33" s="42"/>
      <c r="F33" s="42"/>
      <c r="G33" s="42"/>
      <c r="H33" s="42"/>
      <c r="I33" s="42"/>
      <c r="J33" s="43"/>
    </row>
    <row r="34" spans="1:12" x14ac:dyDescent="0.25">
      <c r="A34" s="44" t="s">
        <v>21</v>
      </c>
      <c r="B34" s="6">
        <f>+(I25/B25)^0.5</f>
        <v>12.619429464123963</v>
      </c>
      <c r="C34" s="51"/>
      <c r="D34" s="45"/>
      <c r="E34" s="45"/>
      <c r="F34" s="45"/>
      <c r="G34" s="45"/>
      <c r="H34" s="45"/>
      <c r="I34" s="45"/>
      <c r="J34" s="46"/>
    </row>
    <row r="36" spans="1:12" x14ac:dyDescent="0.25">
      <c r="A36" s="11"/>
      <c r="B36" s="12" t="s">
        <v>0</v>
      </c>
      <c r="C36" s="12" t="s">
        <v>7</v>
      </c>
      <c r="D36" s="12" t="s">
        <v>8</v>
      </c>
      <c r="E36" s="12" t="s">
        <v>9</v>
      </c>
      <c r="F36" s="12" t="s">
        <v>10</v>
      </c>
      <c r="G36" s="5" t="s">
        <v>6</v>
      </c>
      <c r="H36" s="5" t="s">
        <v>11</v>
      </c>
      <c r="I36" s="5" t="s">
        <v>16</v>
      </c>
      <c r="J36" s="5" t="s">
        <v>12</v>
      </c>
    </row>
    <row r="37" spans="1:12" x14ac:dyDescent="0.25">
      <c r="A37" s="4">
        <v>1</v>
      </c>
      <c r="B37" s="6">
        <f>+PI()*($B$1^2 - $B$2^2)/4</f>
        <v>34.557519189487721</v>
      </c>
      <c r="C37" s="4">
        <v>6</v>
      </c>
      <c r="D37" s="6">
        <f>+B37*C37</f>
        <v>207.34511513692632</v>
      </c>
      <c r="E37" s="4">
        <v>6</v>
      </c>
      <c r="F37" s="6">
        <f>+B37*E37</f>
        <v>207.34511513692632</v>
      </c>
      <c r="G37" s="9">
        <f>(PI()*($B$1^4 - $B$2^4)/64)</f>
        <v>527.00216763968774</v>
      </c>
      <c r="H37" s="9">
        <f>+G37+(B37*($B$42-C37)^2)</f>
        <v>527.00216763968774</v>
      </c>
      <c r="I37" s="9">
        <f>+G37+(B37*($B$43-E37)^2)</f>
        <v>33565.593981680344</v>
      </c>
      <c r="J37" s="9">
        <f>0+(B37*(B42-C37)*(B43-E37))</f>
        <v>0</v>
      </c>
    </row>
    <row r="38" spans="1:12" x14ac:dyDescent="0.25">
      <c r="A38" s="4">
        <v>2</v>
      </c>
      <c r="B38" s="6">
        <f t="shared" ref="B38:B40" si="9">+PI()*($B$1^2 - $B$2^2)/4</f>
        <v>34.557519189487721</v>
      </c>
      <c r="C38" s="4">
        <v>6</v>
      </c>
      <c r="D38" s="6">
        <f t="shared" ref="D38:D40" si="10">+B38*C38</f>
        <v>207.34511513692632</v>
      </c>
      <c r="E38" s="4">
        <f>12+12.92+6</f>
        <v>30.92</v>
      </c>
      <c r="F38" s="6">
        <f t="shared" ref="F38:F39" si="11">+B38*E38</f>
        <v>1068.5184933389603</v>
      </c>
      <c r="G38" s="9">
        <f>(PI()*($B$1^4 - $B$2^4)/64)</f>
        <v>527.00216763968774</v>
      </c>
      <c r="H38" s="9">
        <f>+G38+(B38*($B$42-C38)^2)</f>
        <v>527.00216763968774</v>
      </c>
      <c r="I38" s="9">
        <f>+G38+(B38*($B$43-E38)^2)</f>
        <v>1771.0728584612457</v>
      </c>
      <c r="J38" s="6">
        <f>0+(B38*(B42-C38)*(B43-E38))</f>
        <v>0</v>
      </c>
    </row>
    <row r="39" spans="1:12" x14ac:dyDescent="0.25">
      <c r="A39" s="4">
        <v>3</v>
      </c>
      <c r="B39" s="6">
        <f t="shared" si="9"/>
        <v>34.557519189487721</v>
      </c>
      <c r="C39" s="4">
        <v>6</v>
      </c>
      <c r="D39" s="6">
        <f t="shared" si="10"/>
        <v>207.34511513692632</v>
      </c>
      <c r="E39" s="4">
        <f>12+12.92+12+6</f>
        <v>42.92</v>
      </c>
      <c r="F39" s="6">
        <f t="shared" si="11"/>
        <v>1483.2087236128129</v>
      </c>
      <c r="G39" s="9">
        <f>(PI()*($B$1^4 - $B$2^4)/64)</f>
        <v>527.00216763968774</v>
      </c>
      <c r="H39" s="9">
        <f>+G39+(B39*($B$42-C39)^2)</f>
        <v>527.00216763968774</v>
      </c>
      <c r="I39" s="9">
        <f>+G39+(B39*(E39-$B$43)^2)</f>
        <v>1771.0728584612457</v>
      </c>
      <c r="J39" s="6">
        <f>0+(B39*(C39-B42)*(E39-B43))</f>
        <v>0</v>
      </c>
    </row>
    <row r="40" spans="1:12" x14ac:dyDescent="0.25">
      <c r="A40" s="4">
        <v>4</v>
      </c>
      <c r="B40" s="6">
        <f t="shared" si="9"/>
        <v>34.557519189487721</v>
      </c>
      <c r="C40" s="4">
        <v>6</v>
      </c>
      <c r="D40" s="6">
        <f t="shared" si="10"/>
        <v>207.34511513692632</v>
      </c>
      <c r="E40" s="6">
        <f>12+12.92+12+12+12.92+6</f>
        <v>67.84</v>
      </c>
      <c r="F40" s="6">
        <f>+B40*E40</f>
        <v>2344.3821018148469</v>
      </c>
      <c r="G40" s="9">
        <f t="shared" ref="G40" si="12">(PI()*($B$1^4 - $B$2^4)/64)</f>
        <v>527.00216763968774</v>
      </c>
      <c r="H40" s="9">
        <f>+G40+(B40*($B$42-C40)^2)</f>
        <v>527.00216763968774</v>
      </c>
      <c r="I40" s="9">
        <f>+G40+(B40*(E40-$B$43)^2)</f>
        <v>33565.593981680344</v>
      </c>
      <c r="J40" s="6">
        <f>0+(B40*(C40-B42)*(E40-B43))</f>
        <v>0</v>
      </c>
    </row>
    <row r="41" spans="1:12" x14ac:dyDescent="0.25">
      <c r="A41" s="13" t="s">
        <v>13</v>
      </c>
      <c r="B41" s="14">
        <f>+SUM(B37:B40)</f>
        <v>138.23007675795088</v>
      </c>
      <c r="C41" s="13"/>
      <c r="D41" s="14">
        <f>+SUM(D37:D40)</f>
        <v>829.3804605477053</v>
      </c>
      <c r="E41" s="13"/>
      <c r="F41" s="14">
        <f>+SUM(F37:F40)</f>
        <v>5103.4544339035465</v>
      </c>
      <c r="G41" s="14"/>
      <c r="H41" s="14">
        <f>+SUM(H37:H40)</f>
        <v>2108.008670558751</v>
      </c>
      <c r="I41" s="14">
        <f>+SUM(I37:I40)</f>
        <v>70673.333680283176</v>
      </c>
      <c r="J41" s="14">
        <f>+SUM(J37:J40)</f>
        <v>0</v>
      </c>
    </row>
    <row r="42" spans="1:12" x14ac:dyDescent="0.25">
      <c r="A42" s="8" t="s">
        <v>14</v>
      </c>
      <c r="B42" s="8">
        <f>+D41/B41</f>
        <v>6</v>
      </c>
      <c r="C42" s="47"/>
      <c r="D42" s="48"/>
      <c r="E42" s="48"/>
      <c r="F42" s="48"/>
      <c r="G42" s="48"/>
      <c r="H42" s="48"/>
      <c r="I42" s="48"/>
      <c r="J42" s="49"/>
    </row>
    <row r="43" spans="1:12" x14ac:dyDescent="0.25">
      <c r="A43" s="8" t="s">
        <v>15</v>
      </c>
      <c r="B43" s="8">
        <f>+F41/B41</f>
        <v>36.92</v>
      </c>
      <c r="C43" s="50"/>
      <c r="D43" s="42"/>
      <c r="E43" s="42"/>
      <c r="F43" s="42"/>
      <c r="G43" s="42"/>
      <c r="H43" s="42"/>
      <c r="I43" s="42"/>
      <c r="J43" s="43"/>
    </row>
    <row r="44" spans="1:12" x14ac:dyDescent="0.25">
      <c r="A44" s="44" t="s">
        <v>1</v>
      </c>
      <c r="B44" s="6">
        <f>+B41</f>
        <v>138.23007675795088</v>
      </c>
      <c r="C44" s="50"/>
      <c r="D44" s="42"/>
      <c r="E44" s="42"/>
      <c r="F44" s="42"/>
      <c r="G44" s="42"/>
      <c r="H44" s="42"/>
      <c r="I44" s="42"/>
      <c r="J44" s="43"/>
    </row>
    <row r="45" spans="1:12" x14ac:dyDescent="0.25">
      <c r="A45" s="44" t="s">
        <v>17</v>
      </c>
      <c r="B45" s="6">
        <f>4*PI()*($B$1^4 -$B$2^4)/32</f>
        <v>4216.0173411175019</v>
      </c>
      <c r="C45" s="50"/>
      <c r="D45" s="42"/>
      <c r="E45" s="42"/>
      <c r="F45" s="42"/>
      <c r="G45" s="42"/>
      <c r="H45" s="42"/>
      <c r="I45" s="42"/>
      <c r="J45" s="43"/>
      <c r="L45" s="41" t="s">
        <v>178</v>
      </c>
    </row>
    <row r="46" spans="1:12" x14ac:dyDescent="0.25">
      <c r="A46" s="44" t="s">
        <v>18</v>
      </c>
      <c r="B46" s="6">
        <f>+H41/B42</f>
        <v>351.33477842645851</v>
      </c>
      <c r="C46" s="50"/>
      <c r="D46" s="42"/>
      <c r="E46" s="42"/>
      <c r="F46" s="42"/>
      <c r="G46" s="42"/>
      <c r="H46" s="42"/>
      <c r="I46" s="42"/>
      <c r="J46" s="43"/>
    </row>
    <row r="47" spans="1:12" x14ac:dyDescent="0.25">
      <c r="A47" s="44" t="s">
        <v>19</v>
      </c>
      <c r="B47" s="6">
        <f>I41/B43</f>
        <v>1914.2289729220795</v>
      </c>
      <c r="C47" s="50"/>
      <c r="D47" s="42"/>
      <c r="E47" s="42"/>
      <c r="F47" s="42"/>
      <c r="G47" s="42"/>
      <c r="H47" s="42"/>
      <c r="I47" s="42"/>
      <c r="J47" s="43"/>
    </row>
    <row r="48" spans="1:12" x14ac:dyDescent="0.25">
      <c r="A48" s="44" t="s">
        <v>5</v>
      </c>
      <c r="B48" s="6">
        <f>4*4*(($B$1/2)^3 - ($B$2/2)^3)/3</f>
        <v>485.33333333333331</v>
      </c>
      <c r="C48" s="50"/>
      <c r="D48" s="42"/>
      <c r="E48" s="42"/>
      <c r="F48" s="42"/>
      <c r="G48" s="42"/>
      <c r="H48" s="42"/>
      <c r="I48" s="42"/>
      <c r="J48" s="43"/>
    </row>
    <row r="49" spans="1:12" x14ac:dyDescent="0.25">
      <c r="A49" s="44" t="s">
        <v>20</v>
      </c>
      <c r="B49" s="6">
        <f>+(H41/B41)^0.5</f>
        <v>3.905124837953327</v>
      </c>
      <c r="C49" s="50"/>
      <c r="D49" s="42"/>
      <c r="E49" s="42"/>
      <c r="F49" s="42"/>
      <c r="G49" s="42"/>
      <c r="H49" s="42"/>
      <c r="I49" s="42"/>
      <c r="J49" s="43"/>
    </row>
    <row r="50" spans="1:12" x14ac:dyDescent="0.25">
      <c r="A50" s="44" t="s">
        <v>21</v>
      </c>
      <c r="B50" s="6">
        <f>+(I41/B41)^0.5</f>
        <v>22.611351131677207</v>
      </c>
      <c r="C50" s="51"/>
      <c r="D50" s="45"/>
      <c r="E50" s="45"/>
      <c r="F50" s="45"/>
      <c r="G50" s="45"/>
      <c r="H50" s="45"/>
      <c r="I50" s="45"/>
      <c r="J50" s="46"/>
    </row>
    <row r="52" spans="1:12" x14ac:dyDescent="0.25">
      <c r="A52" s="11"/>
      <c r="B52" s="12" t="s">
        <v>0</v>
      </c>
      <c r="C52" s="12" t="s">
        <v>7</v>
      </c>
      <c r="D52" s="12" t="s">
        <v>8</v>
      </c>
      <c r="E52" s="12" t="s">
        <v>9</v>
      </c>
      <c r="F52" s="12" t="s">
        <v>10</v>
      </c>
      <c r="G52" s="5" t="s">
        <v>6</v>
      </c>
      <c r="H52" s="5" t="s">
        <v>11</v>
      </c>
      <c r="I52" s="5" t="s">
        <v>16</v>
      </c>
      <c r="J52" s="5" t="s">
        <v>12</v>
      </c>
    </row>
    <row r="53" spans="1:12" x14ac:dyDescent="0.25">
      <c r="A53" s="4">
        <v>1</v>
      </c>
      <c r="B53" s="6">
        <f>+PI()*($B$1^2 - $B$2^2)/4</f>
        <v>34.557519189487721</v>
      </c>
      <c r="C53" s="4">
        <v>6</v>
      </c>
      <c r="D53" s="6">
        <f>+B53*C53</f>
        <v>207.34511513692632</v>
      </c>
      <c r="E53" s="4">
        <v>6</v>
      </c>
      <c r="F53" s="6">
        <f>+B53*E53</f>
        <v>207.34511513692632</v>
      </c>
      <c r="G53" s="9">
        <f>(PI()*($B$1^4 - $B$2^4)/64)</f>
        <v>527.00216763968774</v>
      </c>
      <c r="H53" s="9">
        <f>+G53+(B53*($B$57-C53)^2)</f>
        <v>2738.6833957669019</v>
      </c>
      <c r="I53" s="9">
        <f>+G53+(B53*($B$58-E53)^2)</f>
        <v>5217.2350658349333</v>
      </c>
      <c r="J53" s="9">
        <f>0+(B53*(B58-E53)*(B57-C53))</f>
        <v>3220.7607884602553</v>
      </c>
    </row>
    <row r="54" spans="1:12" x14ac:dyDescent="0.25">
      <c r="A54" s="4">
        <v>2</v>
      </c>
      <c r="B54" s="6">
        <f t="shared" ref="B54:B55" si="13">+PI()*($B$1^2 - $B$2^2)/4</f>
        <v>34.557519189487721</v>
      </c>
      <c r="C54" s="4">
        <v>18</v>
      </c>
      <c r="D54" s="6">
        <f>+B54*C54</f>
        <v>622.03534541077897</v>
      </c>
      <c r="E54" s="4">
        <v>10.55</v>
      </c>
      <c r="F54" s="6">
        <f t="shared" ref="F54:F55" si="14">+B54*E54</f>
        <v>364.5818274490955</v>
      </c>
      <c r="G54" s="9">
        <f>(PI()*($B$1^4 - $B$2^4)/64)</f>
        <v>527.00216763968774</v>
      </c>
      <c r="H54" s="9">
        <f>+G54+(B54*($B$57-C54)^2)</f>
        <v>1079.9224746714913</v>
      </c>
      <c r="I54" s="9">
        <f>+G54+(B54*($B$58-E54)^2)</f>
        <v>2269.0467099817624</v>
      </c>
      <c r="J54" s="6">
        <f>0+(B54*(E54-B58)*(B57-C54))</f>
        <v>981.43354498145095</v>
      </c>
    </row>
    <row r="55" spans="1:12" x14ac:dyDescent="0.25">
      <c r="A55" s="4">
        <v>3</v>
      </c>
      <c r="B55" s="6">
        <f t="shared" si="13"/>
        <v>34.557519189487721</v>
      </c>
      <c r="C55" s="4">
        <v>18</v>
      </c>
      <c r="D55" s="6">
        <f>+B55*C55</f>
        <v>622.03534541077897</v>
      </c>
      <c r="E55" s="6">
        <v>36.4</v>
      </c>
      <c r="F55" s="6">
        <f t="shared" si="14"/>
        <v>1257.8936984973529</v>
      </c>
      <c r="G55" s="9">
        <f>(PI()*($B$1^4 - $B$2^4)/64)</f>
        <v>527.00216763968774</v>
      </c>
      <c r="H55" s="9">
        <f>+G55+(B55*($B$57-C55)^2)</f>
        <v>1079.9224746714913</v>
      </c>
      <c r="I55" s="9">
        <f>+G55+(B55*(E55-$B$58)^2)</f>
        <v>12676.130007693964</v>
      </c>
      <c r="J55" s="6">
        <f>0+(B55*(E55-B58)*(B57-C55))</f>
        <v>-2591.8139392115791</v>
      </c>
    </row>
    <row r="56" spans="1:12" x14ac:dyDescent="0.25">
      <c r="A56" s="13" t="s">
        <v>13</v>
      </c>
      <c r="B56" s="14">
        <f>+SUM(B53:B55)</f>
        <v>103.67255756846316</v>
      </c>
      <c r="C56" s="13"/>
      <c r="D56" s="14">
        <f>+SUM(D53:D55)</f>
        <v>1451.4158059584843</v>
      </c>
      <c r="E56" s="13"/>
      <c r="F56" s="14">
        <f>+SUM(F53:F55)</f>
        <v>1829.8206410833748</v>
      </c>
      <c r="G56" s="14"/>
      <c r="H56" s="14">
        <f>+SUM(H53:H55)</f>
        <v>4898.528345109884</v>
      </c>
      <c r="I56" s="14">
        <f>+SUM(I53:I55)</f>
        <v>20162.411783510659</v>
      </c>
      <c r="J56" s="14">
        <f>+SUM(J53:J55)</f>
        <v>1610.3803942301274</v>
      </c>
    </row>
    <row r="57" spans="1:12" x14ac:dyDescent="0.25">
      <c r="A57" s="8" t="s">
        <v>14</v>
      </c>
      <c r="B57" s="8">
        <f>+D56/B56</f>
        <v>14</v>
      </c>
      <c r="C57" s="47"/>
      <c r="D57" s="48"/>
      <c r="E57" s="48"/>
      <c r="F57" s="48"/>
      <c r="G57" s="48"/>
      <c r="H57" s="48"/>
      <c r="I57" s="48"/>
      <c r="J57" s="49"/>
    </row>
    <row r="58" spans="1:12" x14ac:dyDescent="0.25">
      <c r="A58" s="8" t="s">
        <v>15</v>
      </c>
      <c r="B58" s="10">
        <f>+F56/B56</f>
        <v>17.649999999999999</v>
      </c>
      <c r="C58" s="50"/>
      <c r="D58" s="42"/>
      <c r="E58" s="42"/>
      <c r="F58" s="42"/>
      <c r="G58" s="42"/>
      <c r="H58" s="42"/>
      <c r="I58" s="42"/>
      <c r="J58" s="43"/>
    </row>
    <row r="59" spans="1:12" x14ac:dyDescent="0.25">
      <c r="A59" s="44" t="s">
        <v>1</v>
      </c>
      <c r="B59" s="6">
        <f>+B56</f>
        <v>103.67255756846316</v>
      </c>
      <c r="C59" s="50"/>
      <c r="D59" s="42"/>
      <c r="E59" s="42"/>
      <c r="F59" s="42"/>
      <c r="G59" s="42"/>
      <c r="H59" s="42"/>
      <c r="I59" s="42"/>
      <c r="J59" s="43"/>
    </row>
    <row r="60" spans="1:12" x14ac:dyDescent="0.25">
      <c r="A60" s="44" t="s">
        <v>17</v>
      </c>
      <c r="B60" s="6">
        <f>3*PI()*($B$1^4 -$B$2^4)/32</f>
        <v>3162.0130058381269</v>
      </c>
      <c r="C60" s="50"/>
      <c r="D60" s="42"/>
      <c r="E60" s="42"/>
      <c r="F60" s="42"/>
      <c r="G60" s="42"/>
      <c r="H60" s="42"/>
      <c r="I60" s="42"/>
      <c r="J60" s="43"/>
      <c r="L60" s="41" t="s">
        <v>179</v>
      </c>
    </row>
    <row r="61" spans="1:12" x14ac:dyDescent="0.25">
      <c r="A61" s="44" t="s">
        <v>18</v>
      </c>
      <c r="B61" s="6">
        <f>+H56/B57</f>
        <v>349.89488179356312</v>
      </c>
      <c r="C61" s="50"/>
      <c r="D61" s="42"/>
      <c r="E61" s="42"/>
      <c r="F61" s="42"/>
      <c r="G61" s="42"/>
      <c r="H61" s="42"/>
      <c r="I61" s="42"/>
      <c r="J61" s="43"/>
    </row>
    <row r="62" spans="1:12" x14ac:dyDescent="0.25">
      <c r="A62" s="44" t="s">
        <v>19</v>
      </c>
      <c r="B62" s="6">
        <f>I56/B58</f>
        <v>1142.3462766861564</v>
      </c>
      <c r="C62" s="50"/>
      <c r="D62" s="42"/>
      <c r="E62" s="42"/>
      <c r="F62" s="42"/>
      <c r="G62" s="42"/>
      <c r="H62" s="42"/>
      <c r="I62" s="42"/>
      <c r="J62" s="43"/>
    </row>
    <row r="63" spans="1:12" x14ac:dyDescent="0.25">
      <c r="A63" s="44" t="s">
        <v>5</v>
      </c>
      <c r="B63" s="6">
        <f>3*4*(($B$1/2)^3 - ($B$2/2)^3)/3</f>
        <v>364</v>
      </c>
      <c r="C63" s="50"/>
      <c r="D63" s="42"/>
      <c r="E63" s="42"/>
      <c r="F63" s="42"/>
      <c r="G63" s="42"/>
      <c r="H63" s="42"/>
      <c r="I63" s="42"/>
      <c r="J63" s="43"/>
    </row>
    <row r="64" spans="1:12" x14ac:dyDescent="0.25">
      <c r="A64" s="44" t="s">
        <v>20</v>
      </c>
      <c r="B64" s="6">
        <f>+(H56/B56)^0.5</f>
        <v>6.8738635424337593</v>
      </c>
      <c r="C64" s="50"/>
      <c r="D64" s="42"/>
      <c r="E64" s="42"/>
      <c r="F64" s="42"/>
      <c r="G64" s="42"/>
      <c r="H64" s="42"/>
      <c r="I64" s="42"/>
      <c r="J64" s="43"/>
    </row>
    <row r="65" spans="1:12" x14ac:dyDescent="0.25">
      <c r="A65" s="44" t="s">
        <v>21</v>
      </c>
      <c r="B65" s="6">
        <f>+(I56/B56)^0.5</f>
        <v>13.945668383647542</v>
      </c>
      <c r="C65" s="51"/>
      <c r="D65" s="45"/>
      <c r="E65" s="45"/>
      <c r="F65" s="45"/>
      <c r="G65" s="45"/>
      <c r="H65" s="45"/>
      <c r="I65" s="45"/>
      <c r="J65" s="46"/>
    </row>
    <row r="67" spans="1:12" x14ac:dyDescent="0.25">
      <c r="A67" s="11"/>
      <c r="B67" s="12" t="s">
        <v>0</v>
      </c>
      <c r="C67" s="12" t="s">
        <v>7</v>
      </c>
      <c r="D67" s="12" t="s">
        <v>8</v>
      </c>
      <c r="E67" s="12" t="s">
        <v>9</v>
      </c>
      <c r="F67" s="12" t="s">
        <v>10</v>
      </c>
      <c r="G67" s="5" t="s">
        <v>6</v>
      </c>
      <c r="H67" s="5" t="s">
        <v>11</v>
      </c>
      <c r="I67" s="5" t="s">
        <v>16</v>
      </c>
      <c r="J67" s="5" t="s">
        <v>12</v>
      </c>
    </row>
    <row r="68" spans="1:12" x14ac:dyDescent="0.25">
      <c r="A68" s="4">
        <v>1</v>
      </c>
      <c r="B68" s="6">
        <f>+PI()*($B$1^2 - $B$2^2)/4</f>
        <v>34.557519189487721</v>
      </c>
      <c r="C68" s="4">
        <v>6</v>
      </c>
      <c r="D68" s="6">
        <f>+B68*C68</f>
        <v>207.34511513692632</v>
      </c>
      <c r="E68" s="4">
        <v>6</v>
      </c>
      <c r="F68" s="6">
        <f>+B68*E68</f>
        <v>207.34511513692632</v>
      </c>
      <c r="G68" s="9">
        <f>(PI()*($B$1^4 - $B$2^4)/64)</f>
        <v>527.00216763968774</v>
      </c>
      <c r="H68" s="9">
        <f>+G68+(B68*($B$72-C68)^2)</f>
        <v>527.00216763968774</v>
      </c>
      <c r="I68" s="9">
        <f>+G68+(B68*($B$73-E68)^2)</f>
        <v>9716.1014778216013</v>
      </c>
      <c r="J68" s="9">
        <f>0+(B68*(B73-E68)*(B72-C68))</f>
        <v>0</v>
      </c>
    </row>
    <row r="69" spans="1:12" x14ac:dyDescent="0.25">
      <c r="A69" s="4">
        <v>2</v>
      </c>
      <c r="B69" s="6">
        <f t="shared" ref="B69:B70" si="15">+PI()*($B$1^2 - $B$2^2)/4</f>
        <v>34.557519189487721</v>
      </c>
      <c r="C69" s="4">
        <v>6</v>
      </c>
      <c r="D69" s="6">
        <f>+B69*C69</f>
        <v>207.34511513692632</v>
      </c>
      <c r="E69" s="4">
        <v>18</v>
      </c>
      <c r="F69" s="6">
        <f t="shared" ref="F69:F70" si="16">+B69*E69</f>
        <v>622.03534541077897</v>
      </c>
      <c r="G69" s="9">
        <f>(PI()*($B$1^4 - $B$2^4)/64)</f>
        <v>527.00216763968774</v>
      </c>
      <c r="H69" s="9">
        <f>+G69+(B69*($B$72-C69)^2)</f>
        <v>527.00216763968774</v>
      </c>
      <c r="I69" s="9">
        <f>+G69+(B69*($B$73-E69)^2)</f>
        <v>1167.9535311099207</v>
      </c>
      <c r="J69" s="6">
        <f>0+(B69*(E69-B73)*(B72-C69))</f>
        <v>0</v>
      </c>
    </row>
    <row r="70" spans="1:12" x14ac:dyDescent="0.25">
      <c r="A70" s="4">
        <v>3</v>
      </c>
      <c r="B70" s="6">
        <f t="shared" si="15"/>
        <v>34.557519189487721</v>
      </c>
      <c r="C70" s="4">
        <v>6</v>
      </c>
      <c r="D70" s="6">
        <f>+B70*C70</f>
        <v>207.34511513692632</v>
      </c>
      <c r="E70" s="6">
        <f>12+12+12.92+6</f>
        <v>42.92</v>
      </c>
      <c r="F70" s="6">
        <f t="shared" si="16"/>
        <v>1483.2087236128129</v>
      </c>
      <c r="G70" s="9">
        <f>(PI()*($B$1^4 - $B$2^4)/64)</f>
        <v>527.00216763968774</v>
      </c>
      <c r="H70" s="9">
        <f>+G70+(B70*($B$72-C70)^2)</f>
        <v>527.00216763968774</v>
      </c>
      <c r="I70" s="9">
        <f>+G70+(B70*(E70-$B$73)^2)</f>
        <v>15210.820751657762</v>
      </c>
      <c r="J70" s="6">
        <f>0+(B70*(E70-B73)*(B72-C70))</f>
        <v>0</v>
      </c>
    </row>
    <row r="71" spans="1:12" x14ac:dyDescent="0.25">
      <c r="A71" s="13" t="s">
        <v>13</v>
      </c>
      <c r="B71" s="14">
        <f>+SUM(B68:B70)</f>
        <v>103.67255756846316</v>
      </c>
      <c r="C71" s="13"/>
      <c r="D71" s="14">
        <f>+SUM(D68:D70)</f>
        <v>622.03534541077897</v>
      </c>
      <c r="E71" s="13"/>
      <c r="F71" s="14">
        <f>+SUM(F68:F70)</f>
        <v>2312.589184160518</v>
      </c>
      <c r="G71" s="14"/>
      <c r="H71" s="14">
        <f>+SUM(H68:H70)</f>
        <v>1581.0065029190632</v>
      </c>
      <c r="I71" s="14">
        <f>+SUM(I68:I70)</f>
        <v>26094.875760589282</v>
      </c>
      <c r="J71" s="14">
        <f>+SUM(J68:J70)</f>
        <v>0</v>
      </c>
    </row>
    <row r="72" spans="1:12" x14ac:dyDescent="0.25">
      <c r="A72" s="8" t="s">
        <v>14</v>
      </c>
      <c r="B72" s="8">
        <f>+D71/B71</f>
        <v>6</v>
      </c>
      <c r="C72" s="47"/>
      <c r="D72" s="48"/>
      <c r="E72" s="48"/>
      <c r="F72" s="48"/>
      <c r="G72" s="48"/>
      <c r="H72" s="48"/>
      <c r="I72" s="48"/>
      <c r="J72" s="49"/>
    </row>
    <row r="73" spans="1:12" x14ac:dyDescent="0.25">
      <c r="A73" s="8" t="s">
        <v>15</v>
      </c>
      <c r="B73" s="10">
        <f>+F71/B71</f>
        <v>22.306666666666665</v>
      </c>
      <c r="C73" s="50"/>
      <c r="D73" s="42"/>
      <c r="E73" s="42"/>
      <c r="F73" s="42"/>
      <c r="G73" s="42"/>
      <c r="H73" s="42"/>
      <c r="I73" s="42"/>
      <c r="J73" s="43"/>
    </row>
    <row r="74" spans="1:12" x14ac:dyDescent="0.25">
      <c r="A74" s="44" t="s">
        <v>1</v>
      </c>
      <c r="B74" s="6">
        <f>+B71</f>
        <v>103.67255756846316</v>
      </c>
      <c r="C74" s="50"/>
      <c r="D74" s="42"/>
      <c r="E74" s="42"/>
      <c r="F74" s="42"/>
      <c r="G74" s="42"/>
      <c r="H74" s="42"/>
      <c r="I74" s="42"/>
      <c r="J74" s="43"/>
    </row>
    <row r="75" spans="1:12" x14ac:dyDescent="0.25">
      <c r="A75" s="44" t="s">
        <v>17</v>
      </c>
      <c r="B75" s="6">
        <f>3*PI()*($B$1^4 -$B$2^4)/32</f>
        <v>3162.0130058381269</v>
      </c>
      <c r="C75" s="50"/>
      <c r="D75" s="42"/>
      <c r="E75" s="42"/>
      <c r="F75" s="42"/>
      <c r="G75" s="42"/>
      <c r="H75" s="42"/>
      <c r="I75" s="42"/>
      <c r="J75" s="43"/>
      <c r="L75" s="41" t="s">
        <v>180</v>
      </c>
    </row>
    <row r="76" spans="1:12" x14ac:dyDescent="0.25">
      <c r="A76" s="44" t="s">
        <v>18</v>
      </c>
      <c r="B76" s="6">
        <f>+H71/B72</f>
        <v>263.50108381984387</v>
      </c>
      <c r="C76" s="50"/>
      <c r="D76" s="42"/>
      <c r="E76" s="42"/>
      <c r="F76" s="42"/>
      <c r="G76" s="42"/>
      <c r="H76" s="42"/>
      <c r="I76" s="42"/>
      <c r="J76" s="43"/>
    </row>
    <row r="77" spans="1:12" x14ac:dyDescent="0.25">
      <c r="A77" s="44" t="s">
        <v>19</v>
      </c>
      <c r="B77" s="6">
        <f>I71/B73</f>
        <v>1169.8240777311394</v>
      </c>
      <c r="C77" s="50"/>
      <c r="D77" s="42"/>
      <c r="E77" s="42"/>
      <c r="F77" s="42"/>
      <c r="G77" s="42"/>
      <c r="H77" s="42"/>
      <c r="I77" s="42"/>
      <c r="J77" s="43"/>
    </row>
    <row r="78" spans="1:12" x14ac:dyDescent="0.25">
      <c r="A78" s="44" t="s">
        <v>5</v>
      </c>
      <c r="B78" s="6">
        <f>3*4*(($B$1/2)^3 - ($B$2/2)^3)/3</f>
        <v>364</v>
      </c>
      <c r="C78" s="50"/>
      <c r="D78" s="42"/>
      <c r="E78" s="42"/>
      <c r="F78" s="42"/>
      <c r="G78" s="42"/>
      <c r="H78" s="42"/>
      <c r="I78" s="42"/>
      <c r="J78" s="43"/>
    </row>
    <row r="79" spans="1:12" x14ac:dyDescent="0.25">
      <c r="A79" s="44" t="s">
        <v>20</v>
      </c>
      <c r="B79" s="6">
        <f>+(H71/B71)^0.5</f>
        <v>3.905124837953327</v>
      </c>
      <c r="C79" s="50"/>
      <c r="D79" s="42"/>
      <c r="E79" s="42"/>
      <c r="F79" s="42"/>
      <c r="G79" s="42"/>
      <c r="H79" s="42"/>
      <c r="I79" s="42"/>
      <c r="J79" s="43"/>
    </row>
    <row r="80" spans="1:12" x14ac:dyDescent="0.25">
      <c r="A80" s="44" t="s">
        <v>21</v>
      </c>
      <c r="B80" s="6">
        <f>+(I71/B71)^0.5</f>
        <v>15.865205815102293</v>
      </c>
      <c r="C80" s="51"/>
      <c r="D80" s="45"/>
      <c r="E80" s="45"/>
      <c r="F80" s="45"/>
      <c r="G80" s="45"/>
      <c r="H80" s="45"/>
      <c r="I80" s="45"/>
      <c r="J80" s="46"/>
    </row>
    <row r="82" spans="1:12" x14ac:dyDescent="0.25">
      <c r="A82" s="11"/>
      <c r="B82" s="12" t="s">
        <v>0</v>
      </c>
      <c r="C82" s="12" t="s">
        <v>7</v>
      </c>
      <c r="D82" s="12" t="s">
        <v>8</v>
      </c>
      <c r="E82" s="12" t="s">
        <v>9</v>
      </c>
      <c r="F82" s="12" t="s">
        <v>10</v>
      </c>
      <c r="G82" s="5" t="s">
        <v>6</v>
      </c>
      <c r="H82" s="5" t="s">
        <v>11</v>
      </c>
      <c r="I82" s="5" t="s">
        <v>16</v>
      </c>
      <c r="J82" s="5" t="s">
        <v>12</v>
      </c>
    </row>
    <row r="83" spans="1:12" x14ac:dyDescent="0.25">
      <c r="A83" s="4">
        <v>1</v>
      </c>
      <c r="B83" s="6">
        <f>+PI()*($B$1^2 - $B$2^2)/4</f>
        <v>34.557519189487721</v>
      </c>
      <c r="C83" s="4">
        <v>6</v>
      </c>
      <c r="D83" s="6">
        <f>+B83*C83</f>
        <v>207.34511513692632</v>
      </c>
      <c r="E83" s="4">
        <v>6</v>
      </c>
      <c r="F83" s="6">
        <f>+B83*E83</f>
        <v>207.34511513692632</v>
      </c>
      <c r="G83" s="9">
        <f>(PI()*($B$1^4 - $B$2^4)/64)</f>
        <v>527.00216763968774</v>
      </c>
      <c r="H83" s="9">
        <f>+G83+(B83*($B$86-C83)^2)</f>
        <v>527.00216763968774</v>
      </c>
      <c r="I83" s="9">
        <f>+G83+(B83*($B$87-E83)^2)</f>
        <v>5892.1123138383609</v>
      </c>
      <c r="J83" s="9">
        <f>0+(B83*(B87-E83)*(B86-C83))</f>
        <v>0</v>
      </c>
    </row>
    <row r="84" spans="1:12" x14ac:dyDescent="0.25">
      <c r="A84" s="4">
        <v>2</v>
      </c>
      <c r="B84" s="6">
        <f t="shared" ref="B84" si="17">+PI()*($B$1^2 - $B$2^2)/4</f>
        <v>34.557519189487721</v>
      </c>
      <c r="C84" s="4">
        <v>6</v>
      </c>
      <c r="D84" s="6">
        <f>+B84*C84</f>
        <v>207.34511513692632</v>
      </c>
      <c r="E84" s="4">
        <f>12+12.92+6</f>
        <v>30.92</v>
      </c>
      <c r="F84" s="6">
        <f t="shared" ref="F84" si="18">+B84*E84</f>
        <v>1068.5184933389603</v>
      </c>
      <c r="G84" s="9">
        <f>(PI()*($B$1^4 - $B$2^4)/64)</f>
        <v>527.00216763968774</v>
      </c>
      <c r="H84" s="9">
        <f>+G84+(B84*($B$86-C84)^2)</f>
        <v>527.00216763968774</v>
      </c>
      <c r="I84" s="9">
        <f>+G84+(B84*($B$87-E84)^2)</f>
        <v>5892.1123138383609</v>
      </c>
      <c r="J84" s="6">
        <f>0+(B84*(E84-B87)*(B86-C84))</f>
        <v>0</v>
      </c>
    </row>
    <row r="85" spans="1:12" x14ac:dyDescent="0.25">
      <c r="A85" s="13" t="s">
        <v>13</v>
      </c>
      <c r="B85" s="14">
        <f>+SUM(B83:B84)</f>
        <v>69.115038378975441</v>
      </c>
      <c r="C85" s="13"/>
      <c r="D85" s="14">
        <f>+SUM(D83:D84)</f>
        <v>414.69023027385265</v>
      </c>
      <c r="E85" s="13"/>
      <c r="F85" s="14">
        <f>+SUM(F83:F84)</f>
        <v>1275.8636084758866</v>
      </c>
      <c r="G85" s="14"/>
      <c r="H85" s="14">
        <f>+SUM(H82:H84)</f>
        <v>1054.0043352793755</v>
      </c>
      <c r="I85" s="14">
        <f>+SUM(I82:I84)</f>
        <v>11784.224627676722</v>
      </c>
      <c r="J85" s="14">
        <f>+SUM(J82:J84)</f>
        <v>0</v>
      </c>
    </row>
    <row r="86" spans="1:12" x14ac:dyDescent="0.25">
      <c r="A86" s="8" t="s">
        <v>14</v>
      </c>
      <c r="B86" s="8">
        <f>+D85/B85</f>
        <v>6</v>
      </c>
      <c r="C86" s="47"/>
      <c r="D86" s="48"/>
      <c r="E86" s="48"/>
      <c r="F86" s="48"/>
      <c r="G86" s="48"/>
      <c r="H86" s="48"/>
      <c r="I86" s="48"/>
      <c r="J86" s="49"/>
    </row>
    <row r="87" spans="1:12" x14ac:dyDescent="0.25">
      <c r="A87" s="8" t="s">
        <v>15</v>
      </c>
      <c r="B87" s="10">
        <f>+F85/B85</f>
        <v>18.46</v>
      </c>
      <c r="C87" s="50"/>
      <c r="D87" s="42"/>
      <c r="E87" s="42"/>
      <c r="F87" s="42"/>
      <c r="G87" s="42"/>
      <c r="H87" s="42"/>
      <c r="I87" s="42"/>
      <c r="J87" s="43"/>
    </row>
    <row r="88" spans="1:12" x14ac:dyDescent="0.25">
      <c r="A88" s="44" t="s">
        <v>1</v>
      </c>
      <c r="B88" s="6">
        <f>+B85</f>
        <v>69.115038378975441</v>
      </c>
      <c r="C88" s="50"/>
      <c r="D88" s="42"/>
      <c r="E88" s="42"/>
      <c r="F88" s="42"/>
      <c r="G88" s="42"/>
      <c r="H88" s="42"/>
      <c r="I88" s="42"/>
      <c r="J88" s="43"/>
    </row>
    <row r="89" spans="1:12" x14ac:dyDescent="0.25">
      <c r="A89" s="44" t="s">
        <v>17</v>
      </c>
      <c r="B89" s="6">
        <f>2*PI()*($B$1^4 -$B$2^4)/32</f>
        <v>2108.008670558751</v>
      </c>
      <c r="C89" s="50"/>
      <c r="D89" s="42"/>
      <c r="E89" s="42"/>
      <c r="F89" s="42"/>
      <c r="G89" s="42"/>
      <c r="H89" s="42"/>
      <c r="I89" s="42"/>
      <c r="J89" s="43"/>
    </row>
    <row r="90" spans="1:12" x14ac:dyDescent="0.25">
      <c r="A90" s="44" t="s">
        <v>18</v>
      </c>
      <c r="B90" s="6">
        <f>+H85/B86</f>
        <v>175.66738921322926</v>
      </c>
      <c r="C90" s="50"/>
      <c r="D90" s="42"/>
      <c r="E90" s="42"/>
      <c r="F90" s="42"/>
      <c r="G90" s="42"/>
      <c r="H90" s="42"/>
      <c r="I90" s="42"/>
      <c r="J90" s="43"/>
      <c r="L90" s="41" t="s">
        <v>181</v>
      </c>
    </row>
    <row r="91" spans="1:12" x14ac:dyDescent="0.25">
      <c r="A91" s="44" t="s">
        <v>19</v>
      </c>
      <c r="B91" s="6">
        <f>I85/B87</f>
        <v>638.36536444619287</v>
      </c>
      <c r="C91" s="50"/>
      <c r="D91" s="42"/>
      <c r="E91" s="42"/>
      <c r="F91" s="42"/>
      <c r="G91" s="42"/>
      <c r="H91" s="42"/>
      <c r="I91" s="42"/>
      <c r="J91" s="43"/>
    </row>
    <row r="92" spans="1:12" x14ac:dyDescent="0.25">
      <c r="A92" s="44" t="s">
        <v>5</v>
      </c>
      <c r="B92" s="6">
        <f>2*4*(($B$1/2)^3 - ($B$2/2)^3)/3</f>
        <v>242.66666666666666</v>
      </c>
      <c r="C92" s="50"/>
      <c r="D92" s="42"/>
      <c r="E92" s="42"/>
      <c r="F92" s="42"/>
      <c r="G92" s="42"/>
      <c r="H92" s="42"/>
      <c r="I92" s="42"/>
      <c r="J92" s="43"/>
    </row>
    <row r="93" spans="1:12" x14ac:dyDescent="0.25">
      <c r="A93" s="44" t="s">
        <v>20</v>
      </c>
      <c r="B93" s="6">
        <f>+(H85/B85)^0.5</f>
        <v>3.905124837953327</v>
      </c>
      <c r="C93" s="50"/>
      <c r="D93" s="42"/>
      <c r="E93" s="42"/>
      <c r="F93" s="42"/>
      <c r="G93" s="42"/>
      <c r="H93" s="42"/>
      <c r="I93" s="42"/>
      <c r="J93" s="43"/>
    </row>
    <row r="94" spans="1:12" x14ac:dyDescent="0.25">
      <c r="A94" s="44" t="s">
        <v>21</v>
      </c>
      <c r="B94" s="6">
        <f>+(I85/B85)^0.5</f>
        <v>13.057626124223349</v>
      </c>
      <c r="C94" s="51"/>
      <c r="D94" s="45"/>
      <c r="E94" s="45"/>
      <c r="F94" s="45"/>
      <c r="G94" s="45"/>
      <c r="H94" s="45"/>
      <c r="I94" s="45"/>
      <c r="J94" s="46"/>
    </row>
    <row r="96" spans="1:12" x14ac:dyDescent="0.25">
      <c r="A96" s="11"/>
      <c r="B96" s="12" t="s">
        <v>0</v>
      </c>
      <c r="C96" s="12" t="s">
        <v>7</v>
      </c>
      <c r="D96" s="12" t="s">
        <v>8</v>
      </c>
      <c r="E96" s="12" t="s">
        <v>9</v>
      </c>
      <c r="F96" s="12" t="s">
        <v>10</v>
      </c>
      <c r="G96" s="5" t="s">
        <v>6</v>
      </c>
      <c r="H96" s="5" t="s">
        <v>11</v>
      </c>
      <c r="I96" s="5" t="s">
        <v>16</v>
      </c>
      <c r="J96" s="5" t="s">
        <v>12</v>
      </c>
    </row>
    <row r="97" spans="1:12" x14ac:dyDescent="0.25">
      <c r="A97" s="4">
        <v>1</v>
      </c>
      <c r="B97" s="6">
        <f>+PI()*($B$1^2 - $B$2^2)/4</f>
        <v>34.557519189487721</v>
      </c>
      <c r="C97" s="4">
        <v>12</v>
      </c>
      <c r="D97" s="6">
        <f>+B97*C97</f>
        <v>414.69023027385265</v>
      </c>
      <c r="E97" s="4">
        <v>6</v>
      </c>
      <c r="F97" s="6">
        <f>+B97*E97</f>
        <v>207.34511513692632</v>
      </c>
      <c r="G97" s="9">
        <f>(PI()*($B$1^4 - $B$2^4)/64)</f>
        <v>527.00216763968774</v>
      </c>
      <c r="H97" s="9">
        <f>+G97+(B97*($B$10-C97)^2)</f>
        <v>527.00216763968774</v>
      </c>
      <c r="I97" s="9">
        <f>+G97+(B97*($B$11-E97)^2)</f>
        <v>8532.1961958538141</v>
      </c>
      <c r="J97" s="9">
        <f>0+(B97*(B102-C97)*(B103-E97))</f>
        <v>0</v>
      </c>
    </row>
    <row r="98" spans="1:12" x14ac:dyDescent="0.25">
      <c r="A98" s="4">
        <v>2</v>
      </c>
      <c r="B98" s="6">
        <f t="shared" ref="B98:B100" si="19">+PI()*($B$1^2 - $B$2^2)/4</f>
        <v>34.557519189487721</v>
      </c>
      <c r="C98" s="4">
        <v>18</v>
      </c>
      <c r="D98" s="6">
        <f t="shared" ref="D98:D100" si="20">+B98*C98</f>
        <v>622.03534541077897</v>
      </c>
      <c r="E98" s="4">
        <v>16.39</v>
      </c>
      <c r="F98" s="6">
        <f t="shared" ref="F98:F100" si="21">+B98*E98</f>
        <v>566.39773951570373</v>
      </c>
      <c r="G98" s="9">
        <f>(PI()*($B$1^4 - $B$2^4)/64)</f>
        <v>527.00216763968774</v>
      </c>
      <c r="H98" s="9">
        <f>+G98+(B98*($B$10-C98)^2)</f>
        <v>1771.0728584612457</v>
      </c>
      <c r="I98" s="9">
        <f>+G98+(B98*($B$11-E98)^2)</f>
        <v>1333.1910770593272</v>
      </c>
      <c r="J98" s="6">
        <f>0+(B98*(B102-C98)*(B103-E98))</f>
        <v>0</v>
      </c>
    </row>
    <row r="99" spans="1:12" x14ac:dyDescent="0.25">
      <c r="A99" s="4">
        <v>3</v>
      </c>
      <c r="B99" s="6">
        <f t="shared" si="19"/>
        <v>34.557519189487721</v>
      </c>
      <c r="C99" s="4">
        <v>6</v>
      </c>
      <c r="D99" s="6">
        <f t="shared" si="20"/>
        <v>207.34511513692632</v>
      </c>
      <c r="E99" s="4">
        <v>16.39</v>
      </c>
      <c r="F99" s="6">
        <f t="shared" si="21"/>
        <v>566.39773951570373</v>
      </c>
      <c r="G99" s="9">
        <f>(PI()*($B$1^4 - $B$2^4)/64)</f>
        <v>527.00216763968774</v>
      </c>
      <c r="H99" s="9">
        <f t="shared" ref="H99:H100" si="22">+G99+(B99*($B$10-C99)^2)</f>
        <v>1771.0728584612457</v>
      </c>
      <c r="I99" s="9">
        <f>+G99+(B99*(E99-$B$11)^2)</f>
        <v>1333.1910770593272</v>
      </c>
      <c r="J99" s="6">
        <f>0+(B99*(C99-B102)*(E99-B103))</f>
        <v>0</v>
      </c>
    </row>
    <row r="100" spans="1:12" x14ac:dyDescent="0.25">
      <c r="A100" s="4">
        <v>4</v>
      </c>
      <c r="B100" s="6">
        <f t="shared" si="19"/>
        <v>34.557519189487721</v>
      </c>
      <c r="C100" s="4">
        <v>12</v>
      </c>
      <c r="D100" s="6">
        <f t="shared" si="20"/>
        <v>414.69023027385265</v>
      </c>
      <c r="E100" s="6">
        <v>26.78</v>
      </c>
      <c r="F100" s="6">
        <f t="shared" si="21"/>
        <v>925.45036389448126</v>
      </c>
      <c r="G100" s="9">
        <f t="shared" ref="G100" si="23">(PI()*($B$1^4 - $B$2^4)/64)</f>
        <v>527.00216763968774</v>
      </c>
      <c r="H100" s="9">
        <f t="shared" si="22"/>
        <v>527.00216763968774</v>
      </c>
      <c r="I100" s="9">
        <f>+G100+(B100*(E100-$B$11)^2)</f>
        <v>1595.2994928558362</v>
      </c>
      <c r="J100" s="6">
        <f>0+(B100*(C100-B102)*(E100-B103))</f>
        <v>0</v>
      </c>
    </row>
    <row r="101" spans="1:12" x14ac:dyDescent="0.25">
      <c r="A101" s="13" t="s">
        <v>13</v>
      </c>
      <c r="B101" s="14">
        <f>+SUM(B97:B100)</f>
        <v>138.23007675795088</v>
      </c>
      <c r="C101" s="13"/>
      <c r="D101" s="14">
        <f>+SUM(D97:D100)</f>
        <v>1658.7609210954106</v>
      </c>
      <c r="E101" s="13"/>
      <c r="F101" s="14">
        <f>+SUM(F97:F100)</f>
        <v>2265.5909580628149</v>
      </c>
      <c r="G101" s="13"/>
      <c r="H101" s="14">
        <f>+SUM(H97:H100)</f>
        <v>4596.1500522018669</v>
      </c>
      <c r="I101" s="14">
        <f>+SUM(I97:I100)</f>
        <v>12793.877842828306</v>
      </c>
      <c r="J101" s="14">
        <f>+SUM(J97:J100)</f>
        <v>0</v>
      </c>
    </row>
    <row r="102" spans="1:12" x14ac:dyDescent="0.25">
      <c r="A102" s="8" t="s">
        <v>14</v>
      </c>
      <c r="B102" s="8">
        <f>+D101/B101</f>
        <v>12</v>
      </c>
      <c r="C102" s="42"/>
      <c r="D102" s="42"/>
      <c r="E102" s="42"/>
      <c r="F102" s="42"/>
      <c r="G102" s="7"/>
      <c r="H102" s="7"/>
      <c r="I102" s="42"/>
      <c r="J102" s="43"/>
    </row>
    <row r="103" spans="1:12" x14ac:dyDescent="0.25">
      <c r="A103" s="8" t="s">
        <v>15</v>
      </c>
      <c r="B103" s="10">
        <f>+F101/B101</f>
        <v>16.39</v>
      </c>
      <c r="C103" s="3"/>
      <c r="D103" s="3"/>
      <c r="E103" s="42"/>
      <c r="F103" s="42"/>
      <c r="G103" s="3"/>
      <c r="H103" s="3"/>
      <c r="I103" s="3"/>
      <c r="J103" s="15"/>
    </row>
    <row r="104" spans="1:12" x14ac:dyDescent="0.25">
      <c r="A104" s="44" t="s">
        <v>1</v>
      </c>
      <c r="B104" s="6">
        <f>+B101</f>
        <v>138.23007675795088</v>
      </c>
      <c r="C104" s="3"/>
      <c r="D104" s="3"/>
      <c r="E104" s="3"/>
      <c r="F104" s="3"/>
      <c r="G104" s="3"/>
      <c r="H104" s="3"/>
      <c r="I104" s="3"/>
      <c r="J104" s="15"/>
    </row>
    <row r="105" spans="1:12" x14ac:dyDescent="0.25">
      <c r="A105" s="44" t="s">
        <v>17</v>
      </c>
      <c r="B105" s="6">
        <f>4*PI()*($B$1^4 -$B$2^4)/32</f>
        <v>4216.0173411175019</v>
      </c>
      <c r="C105" s="3"/>
      <c r="D105" s="3"/>
      <c r="E105" s="3"/>
      <c r="F105" s="3"/>
      <c r="G105" s="3"/>
      <c r="H105" s="3"/>
      <c r="I105" s="3"/>
      <c r="J105" s="15"/>
    </row>
    <row r="106" spans="1:12" x14ac:dyDescent="0.25">
      <c r="A106" s="44" t="s">
        <v>18</v>
      </c>
      <c r="B106" s="6">
        <f>+H101/B102</f>
        <v>383.01250435015555</v>
      </c>
      <c r="C106" s="3"/>
      <c r="D106" s="3"/>
      <c r="E106" s="3"/>
      <c r="F106" s="16"/>
      <c r="G106" s="3"/>
      <c r="H106" s="3"/>
      <c r="I106" s="3"/>
      <c r="J106" s="15"/>
      <c r="L106" s="41" t="s">
        <v>186</v>
      </c>
    </row>
    <row r="107" spans="1:12" x14ac:dyDescent="0.25">
      <c r="A107" s="44" t="s">
        <v>19</v>
      </c>
      <c r="B107" s="6">
        <f>I101/B103</f>
        <v>780.59047241173312</v>
      </c>
      <c r="C107" s="42"/>
      <c r="D107" s="42"/>
      <c r="E107" s="42"/>
      <c r="F107" s="42"/>
      <c r="G107" s="42"/>
      <c r="H107" s="42"/>
      <c r="I107" s="42"/>
      <c r="J107" s="43"/>
    </row>
    <row r="108" spans="1:12" x14ac:dyDescent="0.25">
      <c r="A108" s="44" t="s">
        <v>5</v>
      </c>
      <c r="B108" s="6">
        <f>4*4*(($B$1/2)^3 - ($B$2/2)^3)/3</f>
        <v>485.33333333333331</v>
      </c>
      <c r="C108" s="42"/>
      <c r="D108" s="42"/>
      <c r="E108" s="42"/>
      <c r="F108" s="42"/>
      <c r="G108" s="42"/>
      <c r="H108" s="42"/>
      <c r="I108" s="42"/>
      <c r="J108" s="43"/>
    </row>
    <row r="109" spans="1:12" x14ac:dyDescent="0.25">
      <c r="A109" s="44" t="s">
        <v>20</v>
      </c>
      <c r="B109" s="6">
        <f>+(H101/B101)^0.5</f>
        <v>5.7662812973353983</v>
      </c>
      <c r="C109" s="42"/>
      <c r="D109" s="42"/>
      <c r="E109" s="42"/>
      <c r="F109" s="42"/>
      <c r="G109" s="42"/>
      <c r="H109" s="42"/>
      <c r="I109" s="42"/>
      <c r="J109" s="43"/>
    </row>
    <row r="110" spans="1:12" x14ac:dyDescent="0.25">
      <c r="A110" s="44" t="s">
        <v>21</v>
      </c>
      <c r="B110" s="6">
        <f>+(I101/B101)^0.5</f>
        <v>9.6205483211717198</v>
      </c>
      <c r="C110" s="45"/>
      <c r="D110" s="45"/>
      <c r="E110" s="45"/>
      <c r="F110" s="45"/>
      <c r="G110" s="45"/>
      <c r="H110" s="45"/>
      <c r="I110" s="45"/>
      <c r="J110" s="46"/>
    </row>
    <row r="112" spans="1:12" x14ac:dyDescent="0.25">
      <c r="A112" s="11"/>
      <c r="B112" s="12" t="s">
        <v>0</v>
      </c>
      <c r="C112" s="12" t="s">
        <v>7</v>
      </c>
      <c r="D112" s="12" t="s">
        <v>8</v>
      </c>
      <c r="E112" s="12" t="s">
        <v>9</v>
      </c>
      <c r="F112" s="12" t="s">
        <v>10</v>
      </c>
      <c r="G112" s="5" t="s">
        <v>6</v>
      </c>
      <c r="H112" s="5" t="s">
        <v>11</v>
      </c>
      <c r="I112" s="5" t="s">
        <v>16</v>
      </c>
      <c r="J112" s="5" t="s">
        <v>12</v>
      </c>
    </row>
    <row r="113" spans="1:12" x14ac:dyDescent="0.25">
      <c r="A113" s="4">
        <v>1</v>
      </c>
      <c r="B113" s="6">
        <f>+PI()*($B$1^2 - $B$2^2)/4</f>
        <v>34.557519189487721</v>
      </c>
      <c r="C113" s="4">
        <v>6</v>
      </c>
      <c r="D113" s="6">
        <f>+B113*C113</f>
        <v>207.34511513692632</v>
      </c>
      <c r="E113" s="4">
        <v>6</v>
      </c>
      <c r="F113" s="6">
        <f>+B113*E113</f>
        <v>207.34511513692632</v>
      </c>
      <c r="G113" s="9">
        <f>(PI()*($B$1^4 - $B$2^4)/64)</f>
        <v>527.00216763968774</v>
      </c>
      <c r="H113" s="9">
        <f>+G113+(B113*($B$115-C113)^2)</f>
        <v>527.00216763968774</v>
      </c>
      <c r="I113" s="9">
        <f>+G113+(B113*($B$116-E113)^2)</f>
        <v>527.00216763968774</v>
      </c>
      <c r="J113" s="9">
        <f>0+(B113*(B116-E113)*(B115-C113))</f>
        <v>0</v>
      </c>
    </row>
    <row r="114" spans="1:12" x14ac:dyDescent="0.25">
      <c r="A114" s="13" t="s">
        <v>13</v>
      </c>
      <c r="B114" s="14">
        <f>+SUM(B113:B113)</f>
        <v>34.557519189487721</v>
      </c>
      <c r="C114" s="13"/>
      <c r="D114" s="14">
        <f>+SUM(D113:D113)</f>
        <v>207.34511513692632</v>
      </c>
      <c r="E114" s="13"/>
      <c r="F114" s="14">
        <f>+SUM(F113:F113)</f>
        <v>207.34511513692632</v>
      </c>
      <c r="G114" s="14"/>
      <c r="H114" s="14">
        <f>+SUM(H113)</f>
        <v>527.00216763968774</v>
      </c>
      <c r="I114" s="14">
        <f>+SUM(I113)</f>
        <v>527.00216763968774</v>
      </c>
      <c r="J114" s="14">
        <f>+SUM(J113)</f>
        <v>0</v>
      </c>
    </row>
    <row r="115" spans="1:12" x14ac:dyDescent="0.25">
      <c r="A115" s="8" t="s">
        <v>14</v>
      </c>
      <c r="B115" s="10">
        <f>+D114/B114</f>
        <v>6</v>
      </c>
      <c r="C115" s="47"/>
      <c r="D115" s="48"/>
      <c r="E115" s="48"/>
      <c r="F115" s="48"/>
      <c r="G115" s="48"/>
      <c r="H115" s="48"/>
      <c r="I115" s="48"/>
      <c r="J115" s="49"/>
    </row>
    <row r="116" spans="1:12" x14ac:dyDescent="0.25">
      <c r="A116" s="8" t="s">
        <v>15</v>
      </c>
      <c r="B116" s="10">
        <f>+F114/B114</f>
        <v>6</v>
      </c>
      <c r="C116" s="50"/>
      <c r="D116" s="42"/>
      <c r="E116" s="42"/>
      <c r="F116" s="42"/>
      <c r="G116" s="42"/>
      <c r="H116" s="42"/>
      <c r="I116" s="42"/>
      <c r="J116" s="43"/>
    </row>
    <row r="117" spans="1:12" x14ac:dyDescent="0.25">
      <c r="A117" s="44" t="s">
        <v>1</v>
      </c>
      <c r="B117" s="6">
        <f>+B114</f>
        <v>34.557519189487721</v>
      </c>
      <c r="C117" s="50"/>
      <c r="D117" s="42"/>
      <c r="E117" s="42"/>
      <c r="F117" s="42"/>
      <c r="G117" s="42"/>
      <c r="H117" s="42"/>
      <c r="I117" s="42"/>
      <c r="J117" s="43"/>
    </row>
    <row r="118" spans="1:12" x14ac:dyDescent="0.25">
      <c r="A118" s="44" t="s">
        <v>17</v>
      </c>
      <c r="B118" s="6">
        <f>PI()*($B$1^4 -$B$2^4)/32</f>
        <v>1054.0043352793755</v>
      </c>
      <c r="C118" s="50"/>
      <c r="D118" s="42"/>
      <c r="E118" s="42"/>
      <c r="F118" s="42"/>
      <c r="G118" s="42"/>
      <c r="H118" s="42"/>
      <c r="I118" s="42"/>
      <c r="J118" s="43"/>
      <c r="L118" s="41" t="s">
        <v>183</v>
      </c>
    </row>
    <row r="119" spans="1:12" x14ac:dyDescent="0.25">
      <c r="A119" s="44" t="s">
        <v>18</v>
      </c>
      <c r="B119" s="6">
        <f>+H114/B115</f>
        <v>87.833694606614628</v>
      </c>
      <c r="C119" s="50"/>
      <c r="D119" s="42"/>
      <c r="E119" s="42"/>
      <c r="F119" s="42"/>
      <c r="G119" s="42"/>
      <c r="H119" s="42"/>
      <c r="I119" s="42"/>
      <c r="J119" s="43"/>
    </row>
    <row r="120" spans="1:12" x14ac:dyDescent="0.25">
      <c r="A120" s="44" t="s">
        <v>19</v>
      </c>
      <c r="B120" s="6">
        <f>I114/B116</f>
        <v>87.833694606614628</v>
      </c>
      <c r="C120" s="50"/>
      <c r="D120" s="42"/>
      <c r="E120" s="42"/>
      <c r="F120" s="42"/>
      <c r="G120" s="42"/>
      <c r="H120" s="42"/>
      <c r="I120" s="42"/>
      <c r="J120" s="43"/>
    </row>
    <row r="121" spans="1:12" x14ac:dyDescent="0.25">
      <c r="A121" s="44" t="s">
        <v>5</v>
      </c>
      <c r="B121" s="6">
        <f>4*(($B$1/2)^3 - ($B$2/2)^3)/3</f>
        <v>121.33333333333333</v>
      </c>
      <c r="C121" s="50"/>
      <c r="D121" s="42"/>
      <c r="E121" s="42"/>
      <c r="F121" s="42"/>
      <c r="G121" s="42"/>
      <c r="H121" s="42"/>
      <c r="I121" s="42"/>
      <c r="J121" s="43"/>
    </row>
    <row r="122" spans="1:12" x14ac:dyDescent="0.25">
      <c r="A122" s="44" t="s">
        <v>20</v>
      </c>
      <c r="B122" s="6">
        <f>+(H114/B114)^0.5</f>
        <v>3.905124837953327</v>
      </c>
      <c r="C122" s="50"/>
      <c r="D122" s="42"/>
      <c r="E122" s="42"/>
      <c r="F122" s="42"/>
      <c r="G122" s="42"/>
      <c r="H122" s="42"/>
      <c r="I122" s="42"/>
      <c r="J122" s="43"/>
    </row>
    <row r="123" spans="1:12" x14ac:dyDescent="0.25">
      <c r="A123" s="44" t="s">
        <v>21</v>
      </c>
      <c r="B123" s="6">
        <f>+(I114/B114)^0.5</f>
        <v>3.905124837953327</v>
      </c>
      <c r="C123" s="51"/>
      <c r="D123" s="45"/>
      <c r="E123" s="45"/>
      <c r="F123" s="45"/>
      <c r="G123" s="45"/>
      <c r="H123" s="45"/>
      <c r="I123" s="45"/>
      <c r="J123" s="46"/>
    </row>
    <row r="125" spans="1:12" x14ac:dyDescent="0.25">
      <c r="A125" s="11"/>
      <c r="B125" s="12" t="s">
        <v>0</v>
      </c>
      <c r="C125" s="12" t="s">
        <v>7</v>
      </c>
      <c r="D125" s="12" t="s">
        <v>8</v>
      </c>
      <c r="E125" s="12" t="s">
        <v>9</v>
      </c>
      <c r="F125" s="12" t="s">
        <v>10</v>
      </c>
      <c r="G125" s="5" t="s">
        <v>6</v>
      </c>
      <c r="H125" s="5" t="s">
        <v>11</v>
      </c>
      <c r="I125" s="5" t="s">
        <v>16</v>
      </c>
      <c r="J125" s="5" t="s">
        <v>12</v>
      </c>
    </row>
    <row r="126" spans="1:12" x14ac:dyDescent="0.25">
      <c r="A126" s="4">
        <v>1</v>
      </c>
      <c r="B126" s="6">
        <f>+PI()*($B$1^2 - $B$2^2)/4</f>
        <v>34.557519189487721</v>
      </c>
      <c r="C126" s="4">
        <v>6</v>
      </c>
      <c r="D126" s="6">
        <f>+B126*C126</f>
        <v>207.34511513692632</v>
      </c>
      <c r="E126" s="4">
        <v>6</v>
      </c>
      <c r="F126" s="6">
        <f>+B126*E126</f>
        <v>207.34511513692632</v>
      </c>
      <c r="G126" s="9">
        <f>(PI()*($B$1^4 - $B$2^4)/64)</f>
        <v>527.00216763968774</v>
      </c>
      <c r="H126" s="9">
        <f>+G126+(B126*($B$86-C126)^2)</f>
        <v>527.00216763968774</v>
      </c>
      <c r="I126" s="9">
        <f>+G126+(B126*($B$87-E126)^2)</f>
        <v>5892.1123138383609</v>
      </c>
      <c r="J126" s="9">
        <f>0+(B126*(B130-E126)*(B129-C126))</f>
        <v>0</v>
      </c>
    </row>
    <row r="127" spans="1:12" x14ac:dyDescent="0.25">
      <c r="A127" s="4">
        <v>2</v>
      </c>
      <c r="B127" s="6">
        <f t="shared" ref="B127" si="24">+PI()*($B$1^2 - $B$2^2)/4</f>
        <v>34.557519189487721</v>
      </c>
      <c r="C127" s="4">
        <v>6</v>
      </c>
      <c r="D127" s="6">
        <f>+B127*C127</f>
        <v>207.34511513692632</v>
      </c>
      <c r="E127" s="4">
        <v>18</v>
      </c>
      <c r="F127" s="6">
        <f t="shared" ref="F127" si="25">+B127*E127</f>
        <v>622.03534541077897</v>
      </c>
      <c r="G127" s="9">
        <f>(PI()*($B$1^4 - $B$2^4)/64)</f>
        <v>527.00216763968774</v>
      </c>
      <c r="H127" s="9">
        <f>+G127+(B127*($B$86-C127)^2)</f>
        <v>527.00216763968774</v>
      </c>
      <c r="I127" s="9">
        <f>+G127+(B127*($B$87-E127)^2)</f>
        <v>534.31453870018333</v>
      </c>
      <c r="J127" s="6">
        <f>0+(B127*(E127-B130)*(B129-C127))</f>
        <v>0</v>
      </c>
    </row>
    <row r="128" spans="1:12" x14ac:dyDescent="0.25">
      <c r="A128" s="13" t="s">
        <v>13</v>
      </c>
      <c r="B128" s="14">
        <f>+SUM(B126:B127)</f>
        <v>69.115038378975441</v>
      </c>
      <c r="C128" s="13"/>
      <c r="D128" s="14">
        <f>+SUM(D126:D127)</f>
        <v>414.69023027385265</v>
      </c>
      <c r="E128" s="13"/>
      <c r="F128" s="14">
        <f>+SUM(F126:F127)</f>
        <v>829.3804605477053</v>
      </c>
      <c r="G128" s="14"/>
      <c r="H128" s="14">
        <f>+SUM(H125:H127)</f>
        <v>1054.0043352793755</v>
      </c>
      <c r="I128" s="14">
        <f>+SUM(I125:I127)</f>
        <v>6426.4268525385442</v>
      </c>
      <c r="J128" s="14">
        <f>+SUM(J125:J127)</f>
        <v>0</v>
      </c>
    </row>
    <row r="129" spans="1:12" x14ac:dyDescent="0.25">
      <c r="A129" s="8" t="s">
        <v>14</v>
      </c>
      <c r="B129" s="8">
        <f>+D128/B128</f>
        <v>6</v>
      </c>
      <c r="C129" s="47"/>
      <c r="D129" s="48"/>
      <c r="E129" s="48"/>
      <c r="F129" s="48"/>
      <c r="G129" s="48"/>
      <c r="H129" s="48"/>
      <c r="I129" s="48"/>
      <c r="J129" s="49"/>
    </row>
    <row r="130" spans="1:12" x14ac:dyDescent="0.25">
      <c r="A130" s="8" t="s">
        <v>15</v>
      </c>
      <c r="B130" s="10">
        <f>+F128/B128</f>
        <v>12</v>
      </c>
      <c r="C130" s="50"/>
      <c r="D130" s="42"/>
      <c r="E130" s="42"/>
      <c r="F130" s="42"/>
      <c r="G130" s="42"/>
      <c r="H130" s="42"/>
      <c r="I130" s="42"/>
      <c r="J130" s="43"/>
    </row>
    <row r="131" spans="1:12" x14ac:dyDescent="0.25">
      <c r="A131" s="44" t="s">
        <v>1</v>
      </c>
      <c r="B131" s="6">
        <f>+B128</f>
        <v>69.115038378975441</v>
      </c>
      <c r="C131" s="50"/>
      <c r="D131" s="42"/>
      <c r="E131" s="42"/>
      <c r="F131" s="42"/>
      <c r="G131" s="42"/>
      <c r="H131" s="42"/>
      <c r="I131" s="42"/>
      <c r="J131" s="43"/>
    </row>
    <row r="132" spans="1:12" x14ac:dyDescent="0.25">
      <c r="A132" s="44" t="s">
        <v>17</v>
      </c>
      <c r="B132" s="6">
        <f>2*PI()*($B$1^4 -$B$2^4)/32</f>
        <v>2108.008670558751</v>
      </c>
      <c r="C132" s="50"/>
      <c r="D132" s="42"/>
      <c r="E132" s="42"/>
      <c r="F132" s="42"/>
      <c r="G132" s="42"/>
      <c r="H132" s="42"/>
      <c r="I132" s="42"/>
      <c r="J132" s="43"/>
      <c r="L132" s="41" t="s">
        <v>185</v>
      </c>
    </row>
    <row r="133" spans="1:12" x14ac:dyDescent="0.25">
      <c r="A133" s="44" t="s">
        <v>18</v>
      </c>
      <c r="B133" s="6">
        <f>+H128/B129</f>
        <v>175.66738921322926</v>
      </c>
      <c r="C133" s="50"/>
      <c r="D133" s="42"/>
      <c r="E133" s="42"/>
      <c r="F133" s="42"/>
      <c r="G133" s="42"/>
      <c r="H133" s="42"/>
      <c r="I133" s="42"/>
      <c r="J133" s="43"/>
    </row>
    <row r="134" spans="1:12" x14ac:dyDescent="0.25">
      <c r="A134" s="44" t="s">
        <v>19</v>
      </c>
      <c r="B134" s="6">
        <f>I128/B130</f>
        <v>535.53557104487868</v>
      </c>
      <c r="C134" s="50"/>
      <c r="D134" s="42"/>
      <c r="E134" s="42"/>
      <c r="F134" s="42"/>
      <c r="G134" s="42"/>
      <c r="H134" s="42"/>
      <c r="I134" s="42"/>
      <c r="J134" s="43"/>
    </row>
    <row r="135" spans="1:12" x14ac:dyDescent="0.25">
      <c r="A135" s="44" t="s">
        <v>5</v>
      </c>
      <c r="B135" s="6">
        <f>2*4*(($B$1/2)^3 - ($B$2/2)^3)/3</f>
        <v>242.66666666666666</v>
      </c>
      <c r="C135" s="50"/>
      <c r="D135" s="42"/>
      <c r="E135" s="42"/>
      <c r="F135" s="42"/>
      <c r="G135" s="42"/>
      <c r="H135" s="42"/>
      <c r="I135" s="42"/>
      <c r="J135" s="43"/>
    </row>
    <row r="136" spans="1:12" x14ac:dyDescent="0.25">
      <c r="A136" s="44" t="s">
        <v>20</v>
      </c>
      <c r="B136" s="6">
        <f>(H128/B128)^0.5</f>
        <v>3.905124837953327</v>
      </c>
      <c r="C136" s="50"/>
      <c r="D136" s="42"/>
      <c r="E136" s="42"/>
      <c r="F136" s="42"/>
      <c r="G136" s="42"/>
      <c r="H136" s="42"/>
      <c r="I136" s="42"/>
      <c r="J136" s="43"/>
    </row>
    <row r="137" spans="1:12" x14ac:dyDescent="0.25">
      <c r="A137" s="44" t="s">
        <v>21</v>
      </c>
      <c r="B137" s="6">
        <f>+(I128/B128)^0.5</f>
        <v>9.6426967182422576</v>
      </c>
      <c r="C137" s="51"/>
      <c r="D137" s="45"/>
      <c r="E137" s="45"/>
      <c r="F137" s="45"/>
      <c r="G137" s="45"/>
      <c r="H137" s="45"/>
      <c r="I137" s="45"/>
      <c r="J137" s="46"/>
    </row>
    <row r="139" spans="1:12" x14ac:dyDescent="0.25">
      <c r="A139" s="11"/>
      <c r="B139" s="12" t="s">
        <v>0</v>
      </c>
      <c r="C139" s="12" t="s">
        <v>7</v>
      </c>
      <c r="D139" s="12" t="s">
        <v>8</v>
      </c>
      <c r="E139" s="12" t="s">
        <v>9</v>
      </c>
      <c r="F139" s="12" t="s">
        <v>10</v>
      </c>
      <c r="G139" s="5" t="s">
        <v>6</v>
      </c>
      <c r="H139" s="5" t="s">
        <v>11</v>
      </c>
      <c r="I139" s="5" t="s">
        <v>16</v>
      </c>
      <c r="J139" s="5" t="s">
        <v>12</v>
      </c>
    </row>
    <row r="140" spans="1:12" x14ac:dyDescent="0.25">
      <c r="A140" s="4">
        <v>1</v>
      </c>
      <c r="B140" s="6">
        <f>+PI()*($B$1^2 - $B$2^2)/4</f>
        <v>34.557519189487721</v>
      </c>
      <c r="C140" s="4">
        <v>12</v>
      </c>
      <c r="D140" s="6">
        <f>+B140*C140</f>
        <v>414.69023027385265</v>
      </c>
      <c r="E140" s="4">
        <v>6</v>
      </c>
      <c r="F140" s="6">
        <f>+B140*E140</f>
        <v>207.34511513692632</v>
      </c>
      <c r="G140" s="9">
        <f>(PI()*($B$1^4 - $B$2^4)/64)</f>
        <v>527.00216763968774</v>
      </c>
      <c r="H140" s="9">
        <f>+G140+(B140*($B$10-C140)^2)</f>
        <v>527.00216763968774</v>
      </c>
      <c r="I140" s="9">
        <f>+G140+(B140*($B$11-E140)^2)</f>
        <v>8532.1961958538141</v>
      </c>
      <c r="J140" s="9">
        <f>0+(B140*(B146-C140)*(B147-E140))</f>
        <v>1292.5894477635982</v>
      </c>
    </row>
    <row r="141" spans="1:12" x14ac:dyDescent="0.25">
      <c r="A141" s="4">
        <v>2</v>
      </c>
      <c r="B141" s="6">
        <f t="shared" ref="B141:B144" si="26">+PI()*($B$1^2 - $B$2^2)/4</f>
        <v>34.557519189487721</v>
      </c>
      <c r="C141" s="4">
        <v>18</v>
      </c>
      <c r="D141" s="6">
        <f t="shared" ref="D141:D144" si="27">+B141*C141</f>
        <v>622.03534541077897</v>
      </c>
      <c r="E141" s="4">
        <v>16.39</v>
      </c>
      <c r="F141" s="6">
        <f t="shared" ref="F141:F144" si="28">+B141*E141</f>
        <v>566.39773951570373</v>
      </c>
      <c r="G141" s="9">
        <f>(PI()*($B$1^4 - $B$2^4)/64)</f>
        <v>527.00216763968774</v>
      </c>
      <c r="H141" s="9">
        <f t="shared" ref="H141:H144" si="29">+G141+(B141*($B$10-C141)^2)</f>
        <v>1771.0728584612457</v>
      </c>
      <c r="I141" s="9">
        <f t="shared" ref="I141:I144" si="30">+G141+(B141*($B$11-E141)^2)</f>
        <v>1333.1910770593272</v>
      </c>
      <c r="J141" s="6">
        <f>0+(B141*(B146-C141)*(B147-E141))</f>
        <v>2.9465513071176921E-13</v>
      </c>
    </row>
    <row r="142" spans="1:12" x14ac:dyDescent="0.25">
      <c r="A142" s="4">
        <v>3</v>
      </c>
      <c r="B142" s="6">
        <f t="shared" si="26"/>
        <v>34.557519189487721</v>
      </c>
      <c r="C142" s="4">
        <v>6</v>
      </c>
      <c r="D142" s="6">
        <f t="shared" si="27"/>
        <v>207.34511513692632</v>
      </c>
      <c r="E142" s="4">
        <v>16.39</v>
      </c>
      <c r="F142" s="6">
        <f t="shared" si="28"/>
        <v>566.39773951570373</v>
      </c>
      <c r="G142" s="9">
        <f>(PI()*($B$1^4 - $B$2^4)/64)</f>
        <v>527.00216763968774</v>
      </c>
      <c r="H142" s="9">
        <f t="shared" si="29"/>
        <v>1771.0728584612457</v>
      </c>
      <c r="I142" s="9">
        <f t="shared" si="30"/>
        <v>1333.1910770593272</v>
      </c>
      <c r="J142" s="6">
        <f>0+(B142*(C142-B146)*(E142-B147))</f>
        <v>-1.1786205228470766E-12</v>
      </c>
    </row>
    <row r="143" spans="1:12" x14ac:dyDescent="0.25">
      <c r="A143" s="4">
        <v>4</v>
      </c>
      <c r="B143" s="6">
        <f t="shared" si="26"/>
        <v>34.557519189487721</v>
      </c>
      <c r="C143" s="4">
        <v>12</v>
      </c>
      <c r="D143" s="6">
        <f t="shared" si="27"/>
        <v>414.69023027385265</v>
      </c>
      <c r="E143" s="6">
        <v>26.78</v>
      </c>
      <c r="F143" s="6">
        <f t="shared" si="28"/>
        <v>925.45036389448126</v>
      </c>
      <c r="G143" s="9">
        <f t="shared" ref="G143:G144" si="31">(PI()*($B$1^4 - $B$2^4)/64)</f>
        <v>527.00216763968774</v>
      </c>
      <c r="H143" s="9">
        <f t="shared" si="29"/>
        <v>527.00216763968774</v>
      </c>
      <c r="I143" s="9">
        <f t="shared" si="30"/>
        <v>1595.2994928558362</v>
      </c>
      <c r="J143" s="6">
        <f>0+(B143*(C143-B146)*(E143-B147))</f>
        <v>-1292.5894477635991</v>
      </c>
    </row>
    <row r="144" spans="1:12" x14ac:dyDescent="0.25">
      <c r="A144" s="4">
        <v>5</v>
      </c>
      <c r="B144" s="6">
        <f t="shared" si="26"/>
        <v>34.557519189487721</v>
      </c>
      <c r="C144" s="4">
        <v>30</v>
      </c>
      <c r="D144" s="6">
        <f t="shared" si="27"/>
        <v>1036.7255756846316</v>
      </c>
      <c r="E144" s="6">
        <v>16.39</v>
      </c>
      <c r="F144" s="6">
        <f t="shared" si="28"/>
        <v>566.39773951570373</v>
      </c>
      <c r="G144" s="9">
        <f t="shared" si="31"/>
        <v>527.00216763968774</v>
      </c>
      <c r="H144" s="9">
        <f t="shared" si="29"/>
        <v>11723.63838503371</v>
      </c>
      <c r="I144" s="9">
        <f t="shared" si="30"/>
        <v>1333.1910770593272</v>
      </c>
      <c r="J144" s="6">
        <f>0+(B144*(C144-B146)*(E144-B147))</f>
        <v>1.7679307842706152E-12</v>
      </c>
    </row>
    <row r="145" spans="1:12" x14ac:dyDescent="0.25">
      <c r="A145" s="13" t="s">
        <v>13</v>
      </c>
      <c r="B145" s="14">
        <f>+SUM(B140:B144)</f>
        <v>172.7875959474386</v>
      </c>
      <c r="C145" s="13"/>
      <c r="D145" s="14">
        <f>+SUM(D140:D144)</f>
        <v>2695.4864967800422</v>
      </c>
      <c r="E145" s="13"/>
      <c r="F145" s="14">
        <f>+SUM(F140:F144)</f>
        <v>2831.9886975785184</v>
      </c>
      <c r="G145" s="13"/>
      <c r="H145" s="14">
        <f>+SUM(H140:H144)</f>
        <v>16319.788437235577</v>
      </c>
      <c r="I145" s="14">
        <f>+SUM(I140:I144)</f>
        <v>14127.068919887633</v>
      </c>
      <c r="J145" s="14">
        <f>+SUM(J140:J144)</f>
        <v>-5.1058619275241309E-14</v>
      </c>
    </row>
    <row r="146" spans="1:12" x14ac:dyDescent="0.25">
      <c r="A146" s="8" t="s">
        <v>14</v>
      </c>
      <c r="B146" s="8">
        <f>+D145/B145</f>
        <v>15.6</v>
      </c>
      <c r="C146" s="42"/>
      <c r="D146" s="42"/>
      <c r="E146" s="42"/>
      <c r="F146" s="42"/>
      <c r="G146" s="7"/>
      <c r="H146" s="7"/>
      <c r="I146" s="42"/>
      <c r="J146" s="43"/>
    </row>
    <row r="147" spans="1:12" x14ac:dyDescent="0.25">
      <c r="A147" s="8" t="s">
        <v>15</v>
      </c>
      <c r="B147" s="10">
        <f>+F145/B145</f>
        <v>16.389999999999997</v>
      </c>
      <c r="C147" s="3"/>
      <c r="D147" s="3"/>
      <c r="E147" s="42"/>
      <c r="F147" s="42"/>
      <c r="G147" s="3"/>
      <c r="H147" s="3"/>
      <c r="I147" s="3"/>
      <c r="J147" s="15"/>
    </row>
    <row r="148" spans="1:12" x14ac:dyDescent="0.25">
      <c r="A148" s="44" t="s">
        <v>1</v>
      </c>
      <c r="B148" s="6">
        <f>+B145</f>
        <v>172.7875959474386</v>
      </c>
      <c r="C148" s="3"/>
      <c r="D148" s="3"/>
      <c r="E148" s="3"/>
      <c r="F148" s="3"/>
      <c r="G148" s="3"/>
      <c r="H148" s="3"/>
      <c r="I148" s="3"/>
      <c r="J148" s="15"/>
    </row>
    <row r="149" spans="1:12" x14ac:dyDescent="0.25">
      <c r="A149" s="44" t="s">
        <v>17</v>
      </c>
      <c r="B149" s="6">
        <f>5*PI()*($B$1^4 -$B$2^4)/32</f>
        <v>5270.0216763968783</v>
      </c>
      <c r="C149" s="3"/>
      <c r="D149" s="3"/>
      <c r="E149" s="3"/>
      <c r="F149" s="3"/>
      <c r="G149" s="3"/>
      <c r="H149" s="3"/>
      <c r="I149" s="3"/>
      <c r="J149" s="15"/>
    </row>
    <row r="150" spans="1:12" x14ac:dyDescent="0.25">
      <c r="A150" s="44" t="s">
        <v>18</v>
      </c>
      <c r="B150" s="6">
        <f>+H145/B146</f>
        <v>1046.140284438178</v>
      </c>
      <c r="C150" s="3"/>
      <c r="D150" s="3"/>
      <c r="E150" s="3"/>
      <c r="F150" s="16"/>
      <c r="G150" s="3"/>
      <c r="H150" s="3"/>
      <c r="I150" s="3"/>
      <c r="J150" s="15"/>
      <c r="L150" s="41" t="s">
        <v>184</v>
      </c>
    </row>
    <row r="151" spans="1:12" x14ac:dyDescent="0.25">
      <c r="A151" s="44" t="s">
        <v>19</v>
      </c>
      <c r="B151" s="6">
        <f>I145/B147</f>
        <v>861.93220987721998</v>
      </c>
      <c r="C151" s="42"/>
      <c r="D151" s="42"/>
      <c r="E151" s="42"/>
      <c r="F151" s="42"/>
      <c r="G151" s="42"/>
      <c r="H151" s="42"/>
      <c r="I151" s="42"/>
      <c r="J151" s="43"/>
    </row>
    <row r="152" spans="1:12" x14ac:dyDescent="0.25">
      <c r="A152" s="44" t="s">
        <v>5</v>
      </c>
      <c r="B152" s="6">
        <f>5*4*(($B$1/2)^3 - ($B$2/2)^3)/3</f>
        <v>606.66666666666663</v>
      </c>
      <c r="C152" s="42"/>
      <c r="D152" s="42"/>
      <c r="E152" s="42"/>
      <c r="F152" s="42"/>
      <c r="G152" s="42"/>
      <c r="H152" s="42"/>
      <c r="I152" s="42"/>
      <c r="J152" s="43"/>
    </row>
    <row r="153" spans="1:12" x14ac:dyDescent="0.25">
      <c r="A153" s="44" t="s">
        <v>20</v>
      </c>
      <c r="B153" s="6">
        <f>+(H145/B145)^0.5</f>
        <v>9.7185389848474646</v>
      </c>
      <c r="C153" s="42"/>
      <c r="D153" s="42"/>
      <c r="E153" s="42"/>
      <c r="F153" s="42"/>
      <c r="G153" s="42"/>
      <c r="H153" s="42"/>
      <c r="I153" s="42"/>
      <c r="J153" s="43"/>
    </row>
    <row r="154" spans="1:12" x14ac:dyDescent="0.25">
      <c r="A154" s="44" t="s">
        <v>21</v>
      </c>
      <c r="B154" s="6">
        <f>+(I145/B145)^0.5</f>
        <v>9.0421092672008783</v>
      </c>
      <c r="C154" s="45"/>
      <c r="D154" s="45"/>
      <c r="E154" s="45"/>
      <c r="F154" s="45"/>
      <c r="G154" s="45"/>
      <c r="H154" s="45"/>
      <c r="I154" s="45"/>
      <c r="J154" s="46"/>
    </row>
    <row r="156" spans="1:12" x14ac:dyDescent="0.25">
      <c r="A156" s="11"/>
      <c r="B156" s="12" t="s">
        <v>0</v>
      </c>
      <c r="C156" s="12" t="s">
        <v>7</v>
      </c>
      <c r="D156" s="12" t="s">
        <v>8</v>
      </c>
      <c r="E156" s="12" t="s">
        <v>9</v>
      </c>
      <c r="F156" s="12" t="s">
        <v>10</v>
      </c>
      <c r="G156" s="5" t="s">
        <v>6</v>
      </c>
      <c r="H156" s="5" t="s">
        <v>11</v>
      </c>
      <c r="I156" s="5" t="s">
        <v>16</v>
      </c>
      <c r="J156" s="5" t="s">
        <v>12</v>
      </c>
    </row>
    <row r="157" spans="1:12" x14ac:dyDescent="0.25">
      <c r="A157" s="4">
        <v>1</v>
      </c>
      <c r="B157" s="6">
        <f>+PI()*($B$1^2 - $B$2^2)/4</f>
        <v>34.557519189487721</v>
      </c>
      <c r="C157" s="4">
        <v>6</v>
      </c>
      <c r="D157" s="6">
        <f>+B157*C157</f>
        <v>207.34511513692632</v>
      </c>
      <c r="E157" s="4">
        <v>6</v>
      </c>
      <c r="F157" s="6">
        <f>+B157*E157</f>
        <v>207.34511513692632</v>
      </c>
      <c r="G157" s="9">
        <f>(PI()*($B$1^4 - $B$2^4)/64)</f>
        <v>527.00216763968774</v>
      </c>
      <c r="H157" s="9">
        <f>+G157+(B157*($B$86-C157)^2)</f>
        <v>527.00216763968774</v>
      </c>
      <c r="I157" s="9">
        <f>+G157+(B157*($B$87-E157)^2)</f>
        <v>5892.1123138383609</v>
      </c>
      <c r="J157" s="9">
        <f>0+(B157*(B161-E157)*(B160-C157))</f>
        <v>0</v>
      </c>
    </row>
    <row r="158" spans="1:12" x14ac:dyDescent="0.25">
      <c r="A158" s="4">
        <v>2</v>
      </c>
      <c r="B158" s="6">
        <f t="shared" ref="B158" si="32">+PI()*($B$1^2 - $B$2^2)/4</f>
        <v>34.557519189487721</v>
      </c>
      <c r="C158" s="4">
        <v>18</v>
      </c>
      <c r="D158" s="6">
        <f>+B158*C158</f>
        <v>622.03534541077897</v>
      </c>
      <c r="E158" s="4">
        <v>6</v>
      </c>
      <c r="F158" s="6">
        <f t="shared" ref="F158" si="33">+B158*E158</f>
        <v>207.34511513692632</v>
      </c>
      <c r="G158" s="9">
        <f>(PI()*($B$1^4 - $B$2^4)/64)</f>
        <v>527.00216763968774</v>
      </c>
      <c r="H158" s="9">
        <f>+G158+(B158*($B$86-C158)^2)</f>
        <v>5503.28493092592</v>
      </c>
      <c r="I158" s="9">
        <f>+G158+(B158*($B$87-E158)^2)</f>
        <v>5892.1123138383609</v>
      </c>
      <c r="J158" s="6">
        <f>0+(B158*(E158-B161)*(B160-C158))</f>
        <v>0</v>
      </c>
    </row>
    <row r="159" spans="1:12" x14ac:dyDescent="0.25">
      <c r="A159" s="13" t="s">
        <v>13</v>
      </c>
      <c r="B159" s="14">
        <f>+SUM(B157:B158)</f>
        <v>69.115038378975441</v>
      </c>
      <c r="C159" s="13"/>
      <c r="D159" s="14">
        <f>+SUM(D157:D158)</f>
        <v>829.3804605477053</v>
      </c>
      <c r="E159" s="13"/>
      <c r="F159" s="14">
        <f>+SUM(F157:F158)</f>
        <v>414.69023027385265</v>
      </c>
      <c r="G159" s="14"/>
      <c r="H159" s="14">
        <f>+SUM(H156:H158)</f>
        <v>6030.2870985656082</v>
      </c>
      <c r="I159" s="14">
        <f>+SUM(I156:I158)</f>
        <v>11784.224627676722</v>
      </c>
      <c r="J159" s="14">
        <f>+SUM(J156:J158)</f>
        <v>0</v>
      </c>
    </row>
    <row r="160" spans="1:12" x14ac:dyDescent="0.25">
      <c r="A160" s="8" t="s">
        <v>14</v>
      </c>
      <c r="B160" s="8">
        <f>+D159/B159</f>
        <v>12</v>
      </c>
      <c r="C160" s="47"/>
      <c r="D160" s="48"/>
      <c r="E160" s="48"/>
      <c r="F160" s="48"/>
      <c r="G160" s="48"/>
      <c r="H160" s="48"/>
      <c r="I160" s="48"/>
      <c r="J160" s="49"/>
    </row>
    <row r="161" spans="1:12" x14ac:dyDescent="0.25">
      <c r="A161" s="8" t="s">
        <v>15</v>
      </c>
      <c r="B161" s="10">
        <f>+F159/B159</f>
        <v>6</v>
      </c>
      <c r="C161" s="50"/>
      <c r="D161" s="42"/>
      <c r="E161" s="42"/>
      <c r="F161" s="42"/>
      <c r="G161" s="42"/>
      <c r="H161" s="42"/>
      <c r="I161" s="42"/>
      <c r="J161" s="43"/>
    </row>
    <row r="162" spans="1:12" x14ac:dyDescent="0.25">
      <c r="A162" s="44" t="s">
        <v>1</v>
      </c>
      <c r="B162" s="6">
        <f>+B159</f>
        <v>69.115038378975441</v>
      </c>
      <c r="C162" s="50"/>
      <c r="D162" s="42"/>
      <c r="E162" s="42"/>
      <c r="F162" s="42"/>
      <c r="G162" s="42"/>
      <c r="H162" s="42"/>
      <c r="I162" s="42"/>
      <c r="J162" s="43"/>
    </row>
    <row r="163" spans="1:12" x14ac:dyDescent="0.25">
      <c r="A163" s="44" t="s">
        <v>17</v>
      </c>
      <c r="B163" s="6">
        <f>2*PI()*($B$1^4 -$B$2^4)/32</f>
        <v>2108.008670558751</v>
      </c>
      <c r="C163" s="50"/>
      <c r="D163" s="42"/>
      <c r="E163" s="42"/>
      <c r="F163" s="42"/>
      <c r="G163" s="42"/>
      <c r="H163" s="42"/>
      <c r="I163" s="42"/>
      <c r="J163" s="43"/>
      <c r="L163" s="41" t="s">
        <v>182</v>
      </c>
    </row>
    <row r="164" spans="1:12" x14ac:dyDescent="0.25">
      <c r="A164" s="44" t="s">
        <v>18</v>
      </c>
      <c r="B164" s="6">
        <f>+H159/B160</f>
        <v>502.52392488046735</v>
      </c>
      <c r="C164" s="50"/>
      <c r="D164" s="42"/>
      <c r="E164" s="42"/>
      <c r="F164" s="42"/>
      <c r="G164" s="42"/>
      <c r="H164" s="42"/>
      <c r="I164" s="42"/>
      <c r="J164" s="43"/>
    </row>
    <row r="165" spans="1:12" x14ac:dyDescent="0.25">
      <c r="A165" s="44" t="s">
        <v>19</v>
      </c>
      <c r="B165" s="6">
        <f>I159/B161</f>
        <v>1964.0374379461202</v>
      </c>
      <c r="C165" s="50"/>
      <c r="D165" s="42"/>
      <c r="E165" s="42"/>
      <c r="F165" s="42"/>
      <c r="G165" s="42"/>
      <c r="H165" s="42"/>
      <c r="I165" s="42"/>
      <c r="J165" s="43"/>
    </row>
    <row r="166" spans="1:12" x14ac:dyDescent="0.25">
      <c r="A166" s="44" t="s">
        <v>5</v>
      </c>
      <c r="B166" s="6">
        <f>2*4*(($B$1/2)^3 - ($B$2/2)^3)/3</f>
        <v>242.66666666666666</v>
      </c>
      <c r="C166" s="50"/>
      <c r="D166" s="42"/>
      <c r="E166" s="42"/>
      <c r="F166" s="42"/>
      <c r="G166" s="42"/>
      <c r="H166" s="42"/>
      <c r="I166" s="42"/>
      <c r="J166" s="43"/>
    </row>
    <row r="167" spans="1:12" x14ac:dyDescent="0.25">
      <c r="A167" s="44" t="s">
        <v>20</v>
      </c>
      <c r="B167" s="6">
        <f>+(H159/B159)^0.5</f>
        <v>9.3407708461347028</v>
      </c>
      <c r="C167" s="50"/>
      <c r="D167" s="42"/>
      <c r="E167" s="42"/>
      <c r="F167" s="42"/>
      <c r="G167" s="42"/>
      <c r="H167" s="42"/>
      <c r="I167" s="42"/>
      <c r="J167" s="43"/>
    </row>
    <row r="168" spans="1:12" x14ac:dyDescent="0.25">
      <c r="A168" s="44" t="s">
        <v>21</v>
      </c>
      <c r="B168" s="6">
        <f>+(I159/B159)^0.5</f>
        <v>13.057626124223349</v>
      </c>
      <c r="C168" s="51"/>
      <c r="D168" s="45"/>
      <c r="E168" s="45"/>
      <c r="F168" s="45"/>
      <c r="G168" s="45"/>
      <c r="H168" s="45"/>
      <c r="I168" s="45"/>
      <c r="J168" s="46"/>
    </row>
    <row r="170" spans="1:12" x14ac:dyDescent="0.25">
      <c r="A170" s="11"/>
      <c r="B170" s="12" t="s">
        <v>0</v>
      </c>
      <c r="C170" s="12" t="s">
        <v>7</v>
      </c>
      <c r="D170" s="12" t="s">
        <v>8</v>
      </c>
      <c r="E170" s="12" t="s">
        <v>9</v>
      </c>
      <c r="F170" s="12" t="s">
        <v>10</v>
      </c>
      <c r="G170" s="5" t="s">
        <v>6</v>
      </c>
      <c r="H170" s="5" t="s">
        <v>11</v>
      </c>
      <c r="I170" s="5" t="s">
        <v>16</v>
      </c>
      <c r="J170" s="5" t="s">
        <v>12</v>
      </c>
    </row>
    <row r="171" spans="1:12" x14ac:dyDescent="0.25">
      <c r="A171" s="4">
        <v>1</v>
      </c>
      <c r="B171" s="6">
        <f>+PI()*($B$1^2 - $B$2^2)/4</f>
        <v>34.557519189487721</v>
      </c>
      <c r="C171" s="4">
        <v>12</v>
      </c>
      <c r="D171" s="6">
        <f>+B171*C171</f>
        <v>414.69023027385265</v>
      </c>
      <c r="E171" s="4">
        <v>6</v>
      </c>
      <c r="F171" s="6">
        <f>+B171*E171</f>
        <v>207.34511513692632</v>
      </c>
      <c r="G171" s="9">
        <f>(PI()*($B$1^4 - $B$2^4)/64)</f>
        <v>527.00216763968774</v>
      </c>
      <c r="H171" s="9">
        <f>+G171+(B171*($B$10-C171)^2)</f>
        <v>527.00216763968774</v>
      </c>
      <c r="I171" s="9">
        <f>+G171+(B171*($B$11-E171)^2)</f>
        <v>8532.1961958538141</v>
      </c>
      <c r="J171" s="9">
        <f>0+(B171*(C171-B175)*(B176-E171))</f>
        <v>718.10524875755493</v>
      </c>
    </row>
    <row r="172" spans="1:12" x14ac:dyDescent="0.25">
      <c r="A172" s="4">
        <v>2</v>
      </c>
      <c r="B172" s="6">
        <f t="shared" ref="B172:B173" si="34">+PI()*($B$1^2 - $B$2^2)/4</f>
        <v>34.557519189487721</v>
      </c>
      <c r="C172" s="4">
        <v>6</v>
      </c>
      <c r="D172" s="6">
        <f t="shared" ref="D172:D173" si="35">+B172*C172</f>
        <v>207.34511513692632</v>
      </c>
      <c r="E172" s="4">
        <v>16.39</v>
      </c>
      <c r="F172" s="6">
        <f t="shared" ref="F172:F173" si="36">+B172*E172</f>
        <v>566.39773951570373</v>
      </c>
      <c r="G172" s="9">
        <f>(PI()*($B$1^4 - $B$2^4)/64)</f>
        <v>527.00216763968774</v>
      </c>
      <c r="H172" s="9">
        <f>+G172+(B172*($B$10-C172)^2)</f>
        <v>1771.0728584612457</v>
      </c>
      <c r="I172" s="9">
        <f>+G172+(B172*($B$11-E172)^2)</f>
        <v>1333.1910770593272</v>
      </c>
      <c r="J172" s="6">
        <f>0+(B172*(B175-C172)*(B176-E172))</f>
        <v>0</v>
      </c>
    </row>
    <row r="173" spans="1:12" x14ac:dyDescent="0.25">
      <c r="A173" s="4">
        <v>3</v>
      </c>
      <c r="B173" s="6">
        <f t="shared" si="34"/>
        <v>34.557519189487721</v>
      </c>
      <c r="C173" s="4">
        <v>12</v>
      </c>
      <c r="D173" s="6">
        <f t="shared" si="35"/>
        <v>414.69023027385265</v>
      </c>
      <c r="E173" s="6">
        <v>26.78</v>
      </c>
      <c r="F173" s="6">
        <f t="shared" si="36"/>
        <v>925.45036389448126</v>
      </c>
      <c r="G173" s="9">
        <f>(PI()*($B$1^4 - $B$2^4)/64)</f>
        <v>527.00216763968774</v>
      </c>
      <c r="H173" s="9">
        <f t="shared" ref="H173" si="37">+G173+(B173*($B$10-C173)^2)</f>
        <v>527.00216763968774</v>
      </c>
      <c r="I173" s="9">
        <f>+G173+(B173*(E173-$B$11)^2)</f>
        <v>1595.2994928558362</v>
      </c>
      <c r="J173" s="6">
        <f>0+(B173*(C173-B175)*(E173-B176))</f>
        <v>718.10524875755493</v>
      </c>
    </row>
    <row r="174" spans="1:12" x14ac:dyDescent="0.25">
      <c r="A174" s="13" t="s">
        <v>13</v>
      </c>
      <c r="B174" s="14">
        <f>+SUM(B171:B173)</f>
        <v>103.67255756846316</v>
      </c>
      <c r="C174" s="13"/>
      <c r="D174" s="14">
        <f>+SUM(D171:D173)</f>
        <v>1036.7255756846316</v>
      </c>
      <c r="E174" s="13"/>
      <c r="F174" s="14">
        <f>+SUM(F171:F173)</f>
        <v>1699.1932185471114</v>
      </c>
      <c r="G174" s="13"/>
      <c r="H174" s="14">
        <f>+SUM(H171:H173)</f>
        <v>2825.0771937406212</v>
      </c>
      <c r="I174" s="14">
        <f>+SUM(I171:I173)</f>
        <v>11460.686765768978</v>
      </c>
      <c r="J174" s="14">
        <f>+SUM(J171:J173)</f>
        <v>1436.2104975151099</v>
      </c>
    </row>
    <row r="175" spans="1:12" x14ac:dyDescent="0.25">
      <c r="A175" s="8" t="s">
        <v>14</v>
      </c>
      <c r="B175" s="8">
        <f>+D174/B174</f>
        <v>10</v>
      </c>
      <c r="C175" s="42"/>
      <c r="D175" s="42"/>
      <c r="E175" s="42"/>
      <c r="F175" s="42"/>
      <c r="G175" s="7"/>
      <c r="H175" s="7"/>
      <c r="I175" s="42"/>
      <c r="J175" s="43"/>
    </row>
    <row r="176" spans="1:12" x14ac:dyDescent="0.25">
      <c r="A176" s="8" t="s">
        <v>15</v>
      </c>
      <c r="B176" s="10">
        <f>+F174/B174</f>
        <v>16.39</v>
      </c>
      <c r="C176" s="3"/>
      <c r="D176" s="3"/>
      <c r="E176" s="42"/>
      <c r="F176" s="42"/>
      <c r="G176" s="3"/>
      <c r="H176" s="3"/>
      <c r="I176" s="3"/>
      <c r="J176" s="15"/>
    </row>
    <row r="177" spans="1:12" x14ac:dyDescent="0.25">
      <c r="A177" s="44" t="s">
        <v>1</v>
      </c>
      <c r="B177" s="6">
        <f>+B174</f>
        <v>103.67255756846316</v>
      </c>
      <c r="C177" s="3"/>
      <c r="D177" s="3"/>
      <c r="E177" s="3"/>
      <c r="F177" s="3"/>
      <c r="G177" s="3"/>
      <c r="H177" s="3"/>
      <c r="I177" s="3"/>
      <c r="J177" s="15"/>
    </row>
    <row r="178" spans="1:12" x14ac:dyDescent="0.25">
      <c r="A178" s="44" t="s">
        <v>17</v>
      </c>
      <c r="B178" s="6">
        <f>3*PI()*($B$1^4 -$B$2^4)/32</f>
        <v>3162.0130058381269</v>
      </c>
      <c r="C178" s="3"/>
      <c r="D178" s="3"/>
      <c r="E178" s="3"/>
      <c r="F178" s="3"/>
      <c r="G178" s="3"/>
      <c r="H178" s="3"/>
      <c r="I178" s="3"/>
      <c r="J178" s="15"/>
    </row>
    <row r="179" spans="1:12" x14ac:dyDescent="0.25">
      <c r="A179" s="44" t="s">
        <v>18</v>
      </c>
      <c r="B179" s="6">
        <f>+H174/B175</f>
        <v>282.50771937406211</v>
      </c>
      <c r="C179" s="3"/>
      <c r="D179" s="3"/>
      <c r="E179" s="3"/>
      <c r="F179" s="16"/>
      <c r="G179" s="3"/>
      <c r="H179" s="3"/>
      <c r="I179" s="3"/>
      <c r="J179" s="15"/>
      <c r="L179" s="41" t="s">
        <v>187</v>
      </c>
    </row>
    <row r="180" spans="1:12" x14ac:dyDescent="0.25">
      <c r="A180" s="44" t="s">
        <v>19</v>
      </c>
      <c r="B180" s="6">
        <f>I174/B176</f>
        <v>699.24873494624637</v>
      </c>
      <c r="C180" s="42"/>
      <c r="D180" s="42"/>
      <c r="E180" s="42"/>
      <c r="F180" s="42"/>
      <c r="G180" s="42"/>
      <c r="H180" s="42"/>
      <c r="I180" s="42"/>
      <c r="J180" s="43"/>
    </row>
    <row r="181" spans="1:12" x14ac:dyDescent="0.25">
      <c r="A181" s="44" t="s">
        <v>5</v>
      </c>
      <c r="B181" s="6">
        <f>3*4*(($B$1/2)^3 - ($B$2/2)^3)/3</f>
        <v>364</v>
      </c>
      <c r="C181" s="42"/>
      <c r="D181" s="42"/>
      <c r="E181" s="42"/>
      <c r="F181" s="42"/>
      <c r="G181" s="42"/>
      <c r="H181" s="42"/>
      <c r="I181" s="42"/>
      <c r="J181" s="43"/>
    </row>
    <row r="182" spans="1:12" x14ac:dyDescent="0.25">
      <c r="A182" s="44" t="s">
        <v>20</v>
      </c>
      <c r="B182" s="6">
        <f>+(H174/B174)^0.5</f>
        <v>5.2201532544552753</v>
      </c>
      <c r="C182" s="42"/>
      <c r="D182" s="42"/>
      <c r="E182" s="42"/>
      <c r="F182" s="42"/>
      <c r="G182" s="42"/>
      <c r="H182" s="42"/>
      <c r="I182" s="42"/>
      <c r="J182" s="43"/>
    </row>
    <row r="183" spans="1:12" x14ac:dyDescent="0.25">
      <c r="A183" s="44" t="s">
        <v>21</v>
      </c>
      <c r="B183" s="6">
        <f>+(I174/B174)^0.5</f>
        <v>10.514131760001234</v>
      </c>
      <c r="C183" s="45"/>
      <c r="D183" s="45"/>
      <c r="E183" s="45"/>
      <c r="F183" s="45"/>
      <c r="G183" s="45"/>
      <c r="H183" s="45"/>
      <c r="I183" s="45"/>
      <c r="J183" s="4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662C-A284-4008-A5BE-16EB1DAD889E}">
  <dimension ref="A1:J94"/>
  <sheetViews>
    <sheetView topLeftCell="A6" workbookViewId="0">
      <selection activeCell="A21" sqref="A21:B39"/>
    </sheetView>
  </sheetViews>
  <sheetFormatPr baseColWidth="10" defaultRowHeight="12.75" x14ac:dyDescent="0.25"/>
  <cols>
    <col min="1" max="1" width="14.140625" style="17" customWidth="1"/>
    <col min="2" max="2" width="19.140625" style="17" customWidth="1"/>
    <col min="3" max="3" width="18" style="17" customWidth="1"/>
    <col min="4" max="4" width="19.28515625" style="17" customWidth="1"/>
    <col min="5" max="16384" width="11.42578125" style="17"/>
  </cols>
  <sheetData>
    <row r="1" spans="1:4" ht="38.25" x14ac:dyDescent="0.25">
      <c r="A1" s="80" t="s">
        <v>22</v>
      </c>
      <c r="B1" s="26" t="s">
        <v>23</v>
      </c>
      <c r="C1" s="26" t="s">
        <v>25</v>
      </c>
      <c r="D1" s="26" t="s">
        <v>27</v>
      </c>
    </row>
    <row r="2" spans="1:4" x14ac:dyDescent="0.25">
      <c r="A2" s="80"/>
      <c r="B2" s="26" t="s">
        <v>24</v>
      </c>
      <c r="C2" s="26" t="s">
        <v>26</v>
      </c>
      <c r="D2" s="26" t="s">
        <v>26</v>
      </c>
    </row>
    <row r="3" spans="1:4" x14ac:dyDescent="0.25">
      <c r="A3" s="20" t="s">
        <v>28</v>
      </c>
      <c r="B3" s="28">
        <v>25.3</v>
      </c>
      <c r="C3" s="21">
        <v>85.3</v>
      </c>
      <c r="D3" s="28">
        <v>19.5</v>
      </c>
    </row>
    <row r="4" spans="1:4" x14ac:dyDescent="0.25">
      <c r="A4" s="20" t="s">
        <v>29</v>
      </c>
      <c r="B4" s="29">
        <v>25.5</v>
      </c>
      <c r="C4" s="21">
        <v>88.7</v>
      </c>
      <c r="D4" s="29">
        <v>21.1</v>
      </c>
    </row>
    <row r="5" spans="1:4" x14ac:dyDescent="0.25">
      <c r="A5" s="20" t="s">
        <v>30</v>
      </c>
      <c r="B5" s="29">
        <v>24.6</v>
      </c>
      <c r="C5" s="21">
        <v>89</v>
      </c>
      <c r="D5" s="29">
        <v>21.3</v>
      </c>
    </row>
    <row r="6" spans="1:4" x14ac:dyDescent="0.25">
      <c r="A6" s="20" t="s">
        <v>31</v>
      </c>
      <c r="B6" s="29">
        <v>25.3</v>
      </c>
      <c r="C6" s="21">
        <v>87.4</v>
      </c>
      <c r="D6" s="29">
        <v>20.5</v>
      </c>
    </row>
    <row r="7" spans="1:4" x14ac:dyDescent="0.25">
      <c r="A7" s="20" t="s">
        <v>32</v>
      </c>
      <c r="B7" s="29">
        <v>25.4</v>
      </c>
      <c r="C7" s="21">
        <v>84.9</v>
      </c>
      <c r="D7" s="29">
        <v>19.3</v>
      </c>
    </row>
    <row r="8" spans="1:4" x14ac:dyDescent="0.25">
      <c r="A8" s="20" t="s">
        <v>33</v>
      </c>
      <c r="B8" s="29">
        <v>18.3</v>
      </c>
      <c r="C8" s="21">
        <v>88.2</v>
      </c>
      <c r="D8" s="29">
        <v>21.1</v>
      </c>
    </row>
    <row r="9" spans="1:4" x14ac:dyDescent="0.25">
      <c r="A9" s="20" t="s">
        <v>34</v>
      </c>
      <c r="B9" s="29">
        <v>16.7</v>
      </c>
      <c r="C9" s="21">
        <v>88.8</v>
      </c>
      <c r="D9" s="29">
        <v>21.4</v>
      </c>
    </row>
    <row r="10" spans="1:4" x14ac:dyDescent="0.25">
      <c r="A10" s="20" t="s">
        <v>35</v>
      </c>
      <c r="B10" s="29">
        <v>23.1</v>
      </c>
      <c r="C10" s="21">
        <v>89.2</v>
      </c>
      <c r="D10" s="29">
        <v>21.4</v>
      </c>
    </row>
    <row r="11" spans="1:4" x14ac:dyDescent="0.25">
      <c r="A11" s="23" t="s">
        <v>36</v>
      </c>
      <c r="B11" s="30">
        <v>9.4</v>
      </c>
      <c r="C11" s="24">
        <v>92.4</v>
      </c>
      <c r="D11" s="30">
        <v>23.6</v>
      </c>
    </row>
    <row r="13" spans="1:4" ht="25.5" x14ac:dyDescent="0.25">
      <c r="A13" s="32" t="s">
        <v>37</v>
      </c>
      <c r="B13" s="26" t="s">
        <v>38</v>
      </c>
    </row>
    <row r="14" spans="1:4" x14ac:dyDescent="0.25">
      <c r="A14" s="20" t="s">
        <v>39</v>
      </c>
      <c r="B14" s="34">
        <v>1.6999999999999999E-3</v>
      </c>
    </row>
    <row r="15" spans="1:4" x14ac:dyDescent="0.25">
      <c r="A15" s="20" t="s">
        <v>40</v>
      </c>
      <c r="B15" s="35">
        <v>3.3E-3</v>
      </c>
    </row>
    <row r="16" spans="1:4" x14ac:dyDescent="0.25">
      <c r="A16" s="23" t="s">
        <v>41</v>
      </c>
      <c r="B16" s="36">
        <v>5.0000000000000001E-3</v>
      </c>
    </row>
    <row r="18" spans="1:4" x14ac:dyDescent="0.25">
      <c r="A18" s="32" t="s">
        <v>42</v>
      </c>
      <c r="B18" s="39" t="s">
        <v>43</v>
      </c>
      <c r="C18" s="39" t="s">
        <v>44</v>
      </c>
      <c r="D18" s="33" t="s">
        <v>45</v>
      </c>
    </row>
    <row r="19" spans="1:4" ht="76.5" x14ac:dyDescent="0.25">
      <c r="A19" s="23" t="s">
        <v>46</v>
      </c>
      <c r="B19" s="24" t="s">
        <v>47</v>
      </c>
      <c r="C19" s="37" t="s">
        <v>48</v>
      </c>
      <c r="D19" s="38" t="s">
        <v>49</v>
      </c>
    </row>
    <row r="21" spans="1:4" x14ac:dyDescent="0.25">
      <c r="A21" s="81" t="s">
        <v>50</v>
      </c>
      <c r="B21" s="82"/>
    </row>
    <row r="22" spans="1:4" x14ac:dyDescent="0.25">
      <c r="A22" s="20">
        <v>1</v>
      </c>
      <c r="B22" s="28" t="s">
        <v>51</v>
      </c>
    </row>
    <row r="23" spans="1:4" x14ac:dyDescent="0.25">
      <c r="A23" s="20">
        <v>2</v>
      </c>
      <c r="B23" s="29" t="s">
        <v>53</v>
      </c>
    </row>
    <row r="24" spans="1:4" x14ac:dyDescent="0.25">
      <c r="A24" s="20">
        <v>3</v>
      </c>
      <c r="B24" s="29" t="s">
        <v>52</v>
      </c>
    </row>
    <row r="25" spans="1:4" x14ac:dyDescent="0.25">
      <c r="A25" s="20">
        <v>4</v>
      </c>
      <c r="B25" s="29" t="s">
        <v>54</v>
      </c>
    </row>
    <row r="26" spans="1:4" x14ac:dyDescent="0.25">
      <c r="A26" s="20">
        <v>5</v>
      </c>
      <c r="B26" s="29" t="s">
        <v>55</v>
      </c>
    </row>
    <row r="27" spans="1:4" x14ac:dyDescent="0.25">
      <c r="A27" s="20">
        <v>6</v>
      </c>
      <c r="B27" s="29" t="s">
        <v>56</v>
      </c>
    </row>
    <row r="28" spans="1:4" x14ac:dyDescent="0.25">
      <c r="A28" s="20">
        <v>7</v>
      </c>
      <c r="B28" s="29" t="s">
        <v>58</v>
      </c>
    </row>
    <row r="29" spans="1:4" x14ac:dyDescent="0.25">
      <c r="A29" s="20">
        <v>8</v>
      </c>
      <c r="B29" s="29" t="s">
        <v>60</v>
      </c>
    </row>
    <row r="30" spans="1:4" x14ac:dyDescent="0.25">
      <c r="A30" s="20">
        <v>9</v>
      </c>
      <c r="B30" s="29" t="s">
        <v>59</v>
      </c>
    </row>
    <row r="31" spans="1:4" x14ac:dyDescent="0.25">
      <c r="A31" s="20">
        <v>10</v>
      </c>
      <c r="B31" s="29" t="s">
        <v>57</v>
      </c>
    </row>
    <row r="32" spans="1:4" x14ac:dyDescent="0.25">
      <c r="A32" s="20">
        <v>11</v>
      </c>
      <c r="B32" s="29" t="s">
        <v>61</v>
      </c>
    </row>
    <row r="33" spans="1:7" x14ac:dyDescent="0.25">
      <c r="A33" s="20">
        <v>12</v>
      </c>
      <c r="B33" s="29" t="s">
        <v>62</v>
      </c>
    </row>
    <row r="34" spans="1:7" x14ac:dyDescent="0.25">
      <c r="A34" s="20">
        <v>13</v>
      </c>
      <c r="B34" s="29" t="s">
        <v>63</v>
      </c>
    </row>
    <row r="35" spans="1:7" x14ac:dyDescent="0.25">
      <c r="A35" s="20">
        <v>14</v>
      </c>
      <c r="B35" s="29" t="s">
        <v>64</v>
      </c>
    </row>
    <row r="36" spans="1:7" x14ac:dyDescent="0.25">
      <c r="A36" s="20">
        <v>15</v>
      </c>
      <c r="B36" s="29" t="s">
        <v>65</v>
      </c>
    </row>
    <row r="37" spans="1:7" x14ac:dyDescent="0.25">
      <c r="A37" s="20">
        <v>16</v>
      </c>
      <c r="B37" s="29" t="s">
        <v>66</v>
      </c>
    </row>
    <row r="38" spans="1:7" x14ac:dyDescent="0.25">
      <c r="A38" s="20">
        <v>17</v>
      </c>
      <c r="B38" s="29" t="s">
        <v>67</v>
      </c>
    </row>
    <row r="39" spans="1:7" x14ac:dyDescent="0.25">
      <c r="A39" s="23">
        <v>18</v>
      </c>
      <c r="B39" s="30" t="s">
        <v>68</v>
      </c>
    </row>
    <row r="41" spans="1:7" x14ac:dyDescent="0.25">
      <c r="A41" s="32" t="s">
        <v>71</v>
      </c>
      <c r="B41" s="39" t="s">
        <v>72</v>
      </c>
      <c r="C41" s="39" t="s">
        <v>73</v>
      </c>
      <c r="D41" s="39" t="s">
        <v>74</v>
      </c>
      <c r="E41" s="33" t="s">
        <v>75</v>
      </c>
    </row>
    <row r="42" spans="1:7" x14ac:dyDescent="0.25">
      <c r="A42" s="23">
        <v>15</v>
      </c>
      <c r="B42" s="24">
        <v>19</v>
      </c>
      <c r="C42" s="24">
        <v>14</v>
      </c>
      <c r="D42" s="24">
        <v>1.4</v>
      </c>
      <c r="E42" s="25">
        <v>1.2</v>
      </c>
    </row>
    <row r="44" spans="1:7" x14ac:dyDescent="0.25">
      <c r="A44" s="31" t="s">
        <v>76</v>
      </c>
      <c r="B44" s="18" t="s">
        <v>76</v>
      </c>
      <c r="C44" s="19" t="s">
        <v>79</v>
      </c>
    </row>
    <row r="45" spans="1:7" x14ac:dyDescent="0.25">
      <c r="A45" s="52" t="s">
        <v>77</v>
      </c>
      <c r="B45" s="53" t="s">
        <v>78</v>
      </c>
      <c r="C45" s="54" t="s">
        <v>80</v>
      </c>
    </row>
    <row r="46" spans="1:7" x14ac:dyDescent="0.25">
      <c r="A46" s="55">
        <v>12000</v>
      </c>
      <c r="B46" s="56">
        <v>7500</v>
      </c>
      <c r="C46" s="57">
        <v>4000</v>
      </c>
    </row>
    <row r="48" spans="1:7" ht="25.5" x14ac:dyDescent="0.25">
      <c r="A48" s="32" t="s">
        <v>81</v>
      </c>
      <c r="B48" s="39" t="s">
        <v>82</v>
      </c>
      <c r="C48" s="39" t="s">
        <v>83</v>
      </c>
      <c r="D48" s="39" t="s">
        <v>84</v>
      </c>
      <c r="E48" s="39" t="s">
        <v>85</v>
      </c>
      <c r="F48" s="39" t="s">
        <v>93</v>
      </c>
      <c r="G48" s="33" t="s">
        <v>86</v>
      </c>
    </row>
    <row r="49" spans="1:10" x14ac:dyDescent="0.25">
      <c r="A49" s="20" t="s">
        <v>87</v>
      </c>
      <c r="B49" s="21">
        <v>0.9</v>
      </c>
      <c r="C49" s="21">
        <v>0.9</v>
      </c>
      <c r="D49" s="21">
        <v>0.9</v>
      </c>
      <c r="E49" s="21">
        <v>0.9</v>
      </c>
      <c r="F49" s="21">
        <v>0.9</v>
      </c>
      <c r="G49" s="22" t="s">
        <v>94</v>
      </c>
    </row>
    <row r="50" spans="1:10" x14ac:dyDescent="0.25">
      <c r="A50" s="20" t="s">
        <v>88</v>
      </c>
      <c r="B50" s="21">
        <v>1</v>
      </c>
      <c r="C50" s="21">
        <v>1</v>
      </c>
      <c r="D50" s="21">
        <v>1</v>
      </c>
      <c r="E50" s="21">
        <v>0.9</v>
      </c>
      <c r="F50" s="21">
        <v>1</v>
      </c>
      <c r="G50" s="22" t="s">
        <v>95</v>
      </c>
    </row>
    <row r="51" spans="1:10" x14ac:dyDescent="0.25">
      <c r="A51" s="20" t="s">
        <v>89</v>
      </c>
      <c r="B51" s="21">
        <v>1.1499999999999999</v>
      </c>
      <c r="C51" s="21">
        <v>1.1499999999999999</v>
      </c>
      <c r="D51" s="21">
        <v>1.1499999999999999</v>
      </c>
      <c r="E51" s="21">
        <v>0.9</v>
      </c>
      <c r="F51" s="21">
        <v>1.1499999999999999</v>
      </c>
      <c r="G51" s="83" t="s">
        <v>96</v>
      </c>
    </row>
    <row r="52" spans="1:10" x14ac:dyDescent="0.25">
      <c r="A52" s="20" t="s">
        <v>90</v>
      </c>
      <c r="B52" s="21">
        <v>1.25</v>
      </c>
      <c r="C52" s="21">
        <v>1.25</v>
      </c>
      <c r="D52" s="21">
        <v>1.25</v>
      </c>
      <c r="E52" s="21">
        <v>0.9</v>
      </c>
      <c r="F52" s="21">
        <v>1.25</v>
      </c>
      <c r="G52" s="83"/>
    </row>
    <row r="53" spans="1:10" x14ac:dyDescent="0.25">
      <c r="A53" s="20" t="s">
        <v>91</v>
      </c>
      <c r="B53" s="21">
        <v>1.6</v>
      </c>
      <c r="C53" s="21">
        <v>1.6</v>
      </c>
      <c r="D53" s="21">
        <v>1.6</v>
      </c>
      <c r="E53" s="21">
        <v>0.9</v>
      </c>
      <c r="F53" s="21">
        <v>1.6</v>
      </c>
      <c r="G53" s="22" t="s">
        <v>97</v>
      </c>
    </row>
    <row r="54" spans="1:10" x14ac:dyDescent="0.25">
      <c r="A54" s="23" t="s">
        <v>92</v>
      </c>
      <c r="B54" s="24">
        <v>2</v>
      </c>
      <c r="C54" s="24">
        <v>2</v>
      </c>
      <c r="D54" s="24">
        <v>2</v>
      </c>
      <c r="E54" s="24">
        <v>0.9</v>
      </c>
      <c r="F54" s="24">
        <v>2</v>
      </c>
      <c r="G54" s="25" t="s">
        <v>92</v>
      </c>
    </row>
    <row r="56" spans="1:10" x14ac:dyDescent="0.25">
      <c r="A56" s="81" t="s">
        <v>98</v>
      </c>
      <c r="B56" s="82"/>
      <c r="C56" s="39" t="s">
        <v>99</v>
      </c>
      <c r="D56" s="39" t="s">
        <v>100</v>
      </c>
      <c r="E56" s="39" t="s">
        <v>101</v>
      </c>
      <c r="F56" s="39" t="s">
        <v>102</v>
      </c>
      <c r="G56" s="39" t="s">
        <v>103</v>
      </c>
      <c r="H56" s="39" t="s">
        <v>104</v>
      </c>
      <c r="I56" s="39" t="s">
        <v>105</v>
      </c>
      <c r="J56" s="33" t="s">
        <v>117</v>
      </c>
    </row>
    <row r="57" spans="1:10" x14ac:dyDescent="0.25">
      <c r="A57" s="20" t="s">
        <v>106</v>
      </c>
      <c r="B57" s="22" t="s">
        <v>70</v>
      </c>
      <c r="C57" s="58">
        <v>1</v>
      </c>
      <c r="D57" s="58">
        <v>0.96</v>
      </c>
      <c r="E57" s="58">
        <v>0.91</v>
      </c>
      <c r="F57" s="58">
        <v>0.87</v>
      </c>
      <c r="G57" s="58">
        <v>0.83</v>
      </c>
      <c r="H57" s="58">
        <v>0.79</v>
      </c>
      <c r="I57" s="58">
        <v>0.74</v>
      </c>
      <c r="J57" s="59">
        <v>0.7</v>
      </c>
    </row>
    <row r="58" spans="1:10" x14ac:dyDescent="0.25">
      <c r="A58" s="20" t="s">
        <v>107</v>
      </c>
      <c r="B58" s="22" t="s">
        <v>110</v>
      </c>
      <c r="C58" s="58">
        <v>1</v>
      </c>
      <c r="D58" s="58">
        <v>0.97</v>
      </c>
      <c r="E58" s="58">
        <v>0.94</v>
      </c>
      <c r="F58" s="58">
        <v>0.91</v>
      </c>
      <c r="G58" s="58">
        <v>0.89</v>
      </c>
      <c r="H58" s="58">
        <v>0.86</v>
      </c>
      <c r="I58" s="58">
        <v>0.83</v>
      </c>
      <c r="J58" s="59">
        <v>0.8</v>
      </c>
    </row>
    <row r="59" spans="1:10" x14ac:dyDescent="0.25">
      <c r="A59" s="20" t="s">
        <v>108</v>
      </c>
      <c r="B59" s="22" t="s">
        <v>111</v>
      </c>
      <c r="C59" s="58">
        <v>1</v>
      </c>
      <c r="D59" s="58">
        <v>0.96</v>
      </c>
      <c r="E59" s="58">
        <v>0.91</v>
      </c>
      <c r="F59" s="58">
        <v>0.87</v>
      </c>
      <c r="G59" s="58">
        <v>0.83</v>
      </c>
      <c r="H59" s="58">
        <v>0.79</v>
      </c>
      <c r="I59" s="58">
        <v>0.74</v>
      </c>
      <c r="J59" s="59">
        <v>0.7</v>
      </c>
    </row>
    <row r="60" spans="1:10" x14ac:dyDescent="0.25">
      <c r="A60" s="20" t="s">
        <v>85</v>
      </c>
      <c r="B60" s="22" t="s">
        <v>112</v>
      </c>
      <c r="C60" s="58">
        <v>1</v>
      </c>
      <c r="D60" s="58">
        <v>0.97</v>
      </c>
      <c r="E60" s="58">
        <v>0.94</v>
      </c>
      <c r="F60" s="58">
        <v>0.91</v>
      </c>
      <c r="G60" s="58">
        <v>0.89</v>
      </c>
      <c r="H60" s="58">
        <v>0.86</v>
      </c>
      <c r="I60" s="58">
        <v>0.83</v>
      </c>
      <c r="J60" s="59">
        <v>0.8</v>
      </c>
    </row>
    <row r="61" spans="1:10" x14ac:dyDescent="0.25">
      <c r="A61" s="20" t="s">
        <v>93</v>
      </c>
      <c r="B61" s="22" t="s">
        <v>113</v>
      </c>
      <c r="C61" s="58">
        <v>1</v>
      </c>
      <c r="D61" s="58">
        <v>0.97</v>
      </c>
      <c r="E61" s="58">
        <v>0.94</v>
      </c>
      <c r="F61" s="58">
        <v>0.91</v>
      </c>
      <c r="G61" s="58">
        <v>0.89</v>
      </c>
      <c r="H61" s="58">
        <v>0.86</v>
      </c>
      <c r="I61" s="58">
        <v>0.83</v>
      </c>
      <c r="J61" s="59">
        <v>0.8</v>
      </c>
    </row>
    <row r="62" spans="1:10" x14ac:dyDescent="0.25">
      <c r="A62" s="84" t="s">
        <v>109</v>
      </c>
      <c r="B62" s="22" t="s">
        <v>114</v>
      </c>
      <c r="C62" s="86">
        <v>1</v>
      </c>
      <c r="D62" s="86">
        <v>0.99</v>
      </c>
      <c r="E62" s="86">
        <v>0.97</v>
      </c>
      <c r="F62" s="86">
        <v>0.96</v>
      </c>
      <c r="G62" s="86">
        <v>0.94</v>
      </c>
      <c r="H62" s="86">
        <v>0.93</v>
      </c>
      <c r="I62" s="86">
        <v>0.91</v>
      </c>
      <c r="J62" s="88">
        <v>0.9</v>
      </c>
    </row>
    <row r="63" spans="1:10" x14ac:dyDescent="0.25">
      <c r="A63" s="84"/>
      <c r="B63" s="22" t="s">
        <v>115</v>
      </c>
      <c r="C63" s="86"/>
      <c r="D63" s="86"/>
      <c r="E63" s="86"/>
      <c r="F63" s="86"/>
      <c r="G63" s="86"/>
      <c r="H63" s="86"/>
      <c r="I63" s="86"/>
      <c r="J63" s="88"/>
    </row>
    <row r="64" spans="1:10" x14ac:dyDescent="0.25">
      <c r="A64" s="85"/>
      <c r="B64" s="25" t="s">
        <v>116</v>
      </c>
      <c r="C64" s="87"/>
      <c r="D64" s="87"/>
      <c r="E64" s="87"/>
      <c r="F64" s="87"/>
      <c r="G64" s="87"/>
      <c r="H64" s="87"/>
      <c r="I64" s="87"/>
      <c r="J64" s="89"/>
    </row>
    <row r="66" spans="1:6" x14ac:dyDescent="0.25">
      <c r="A66" s="90" t="s">
        <v>98</v>
      </c>
      <c r="B66" s="91"/>
      <c r="C66" s="91" t="s">
        <v>122</v>
      </c>
      <c r="D66" s="91" t="s">
        <v>125</v>
      </c>
      <c r="E66" s="91"/>
      <c r="F66" s="94"/>
    </row>
    <row r="67" spans="1:6" x14ac:dyDescent="0.25">
      <c r="A67" s="92"/>
      <c r="B67" s="93"/>
      <c r="C67" s="93"/>
      <c r="D67" s="53" t="s">
        <v>126</v>
      </c>
      <c r="E67" s="53" t="s">
        <v>127</v>
      </c>
      <c r="F67" s="54" t="s">
        <v>128</v>
      </c>
    </row>
    <row r="68" spans="1:6" x14ac:dyDescent="0.25">
      <c r="A68" s="97" t="s">
        <v>82</v>
      </c>
      <c r="B68" s="98" t="s">
        <v>70</v>
      </c>
      <c r="C68" s="21" t="s">
        <v>123</v>
      </c>
      <c r="D68" s="95">
        <v>1</v>
      </c>
      <c r="E68" s="21">
        <v>0.6</v>
      </c>
      <c r="F68" s="22">
        <v>0.4</v>
      </c>
    </row>
    <row r="69" spans="1:6" x14ac:dyDescent="0.25">
      <c r="A69" s="84"/>
      <c r="B69" s="95"/>
      <c r="C69" s="21" t="s">
        <v>124</v>
      </c>
      <c r="D69" s="95"/>
      <c r="E69" s="21">
        <v>0.85</v>
      </c>
      <c r="F69" s="22">
        <v>0.6</v>
      </c>
    </row>
    <row r="70" spans="1:6" x14ac:dyDescent="0.25">
      <c r="A70" s="84" t="s">
        <v>83</v>
      </c>
      <c r="B70" s="95" t="s">
        <v>110</v>
      </c>
      <c r="C70" s="21" t="s">
        <v>123</v>
      </c>
      <c r="D70" s="95"/>
      <c r="E70" s="21">
        <v>0.85</v>
      </c>
      <c r="F70" s="22">
        <v>0.8</v>
      </c>
    </row>
    <row r="71" spans="1:6" x14ac:dyDescent="0.25">
      <c r="A71" s="84"/>
      <c r="B71" s="95"/>
      <c r="C71" s="21" t="s">
        <v>124</v>
      </c>
      <c r="D71" s="95"/>
      <c r="E71" s="21">
        <v>0.9</v>
      </c>
      <c r="F71" s="22">
        <v>0.8</v>
      </c>
    </row>
    <row r="72" spans="1:6" x14ac:dyDescent="0.25">
      <c r="A72" s="84" t="s">
        <v>118</v>
      </c>
      <c r="B72" s="95" t="s">
        <v>111</v>
      </c>
      <c r="C72" s="21" t="s">
        <v>123</v>
      </c>
      <c r="D72" s="95"/>
      <c r="E72" s="21">
        <v>0.65</v>
      </c>
      <c r="F72" s="22">
        <v>0.4</v>
      </c>
    </row>
    <row r="73" spans="1:6" x14ac:dyDescent="0.25">
      <c r="A73" s="84"/>
      <c r="B73" s="95"/>
      <c r="C73" s="21" t="s">
        <v>124</v>
      </c>
      <c r="D73" s="95"/>
      <c r="E73" s="21">
        <v>0.8</v>
      </c>
      <c r="F73" s="22">
        <v>0.6</v>
      </c>
    </row>
    <row r="74" spans="1:6" ht="25.5" customHeight="1" x14ac:dyDescent="0.25">
      <c r="A74" s="84" t="s">
        <v>119</v>
      </c>
      <c r="B74" s="95" t="s">
        <v>112</v>
      </c>
      <c r="C74" s="21" t="s">
        <v>123</v>
      </c>
      <c r="D74" s="95"/>
      <c r="E74" s="21">
        <v>0.8</v>
      </c>
      <c r="F74" s="22">
        <v>0.5</v>
      </c>
    </row>
    <row r="75" spans="1:6" x14ac:dyDescent="0.25">
      <c r="A75" s="84"/>
      <c r="B75" s="95"/>
      <c r="C75" s="21" t="s">
        <v>124</v>
      </c>
      <c r="D75" s="95"/>
      <c r="E75" s="21">
        <v>0.9</v>
      </c>
      <c r="F75" s="22">
        <v>0.7</v>
      </c>
    </row>
    <row r="76" spans="1:6" x14ac:dyDescent="0.25">
      <c r="A76" s="84" t="s">
        <v>93</v>
      </c>
      <c r="B76" s="95" t="s">
        <v>113</v>
      </c>
      <c r="C76" s="21" t="s">
        <v>123</v>
      </c>
      <c r="D76" s="95"/>
      <c r="E76" s="21">
        <v>0.65</v>
      </c>
      <c r="F76" s="22">
        <v>0.4</v>
      </c>
    </row>
    <row r="77" spans="1:6" x14ac:dyDescent="0.25">
      <c r="A77" s="84"/>
      <c r="B77" s="95"/>
      <c r="C77" s="21" t="s">
        <v>124</v>
      </c>
      <c r="D77" s="95"/>
      <c r="E77" s="21">
        <v>0.8</v>
      </c>
      <c r="F77" s="22">
        <v>0.6</v>
      </c>
    </row>
    <row r="78" spans="1:6" x14ac:dyDescent="0.25">
      <c r="A78" s="84" t="s">
        <v>120</v>
      </c>
      <c r="B78" s="95" t="s">
        <v>121</v>
      </c>
      <c r="C78" s="21" t="s">
        <v>123</v>
      </c>
      <c r="D78" s="95"/>
      <c r="E78" s="21">
        <v>0.8</v>
      </c>
      <c r="F78" s="22">
        <v>0.8</v>
      </c>
    </row>
    <row r="79" spans="1:6" x14ac:dyDescent="0.25">
      <c r="A79" s="85"/>
      <c r="B79" s="96"/>
      <c r="C79" s="24" t="s">
        <v>124</v>
      </c>
      <c r="D79" s="96"/>
      <c r="E79" s="24">
        <v>0.9</v>
      </c>
      <c r="F79" s="25">
        <v>0.8</v>
      </c>
    </row>
    <row r="81" spans="1:2" x14ac:dyDescent="0.25">
      <c r="A81" s="32" t="s">
        <v>129</v>
      </c>
      <c r="B81" s="33" t="s">
        <v>130</v>
      </c>
    </row>
    <row r="82" spans="1:2" x14ac:dyDescent="0.25">
      <c r="A82" s="20">
        <v>5</v>
      </c>
      <c r="B82" s="22">
        <v>0.7</v>
      </c>
    </row>
    <row r="83" spans="1:2" x14ac:dyDescent="0.25">
      <c r="A83" s="20">
        <v>7</v>
      </c>
      <c r="B83" s="22">
        <v>0.75</v>
      </c>
    </row>
    <row r="84" spans="1:2" x14ac:dyDescent="0.25">
      <c r="A84" s="20">
        <v>9</v>
      </c>
      <c r="B84" s="22">
        <v>0.81</v>
      </c>
    </row>
    <row r="85" spans="1:2" x14ac:dyDescent="0.25">
      <c r="A85" s="20">
        <v>11</v>
      </c>
      <c r="B85" s="22">
        <v>0.86</v>
      </c>
    </row>
    <row r="86" spans="1:2" x14ac:dyDescent="0.25">
      <c r="A86" s="20">
        <v>13</v>
      </c>
      <c r="B86" s="22">
        <v>0.91</v>
      </c>
    </row>
    <row r="87" spans="1:2" x14ac:dyDescent="0.25">
      <c r="A87" s="23">
        <v>15</v>
      </c>
      <c r="B87" s="25">
        <v>0.93</v>
      </c>
    </row>
    <row r="89" spans="1:2" x14ac:dyDescent="0.25">
      <c r="A89" s="32" t="s">
        <v>131</v>
      </c>
      <c r="B89" s="33" t="s">
        <v>132</v>
      </c>
    </row>
    <row r="90" spans="1:2" x14ac:dyDescent="0.25">
      <c r="A90" s="20">
        <v>1</v>
      </c>
      <c r="B90" s="22">
        <v>1</v>
      </c>
    </row>
    <row r="91" spans="1:2" x14ac:dyDescent="0.25">
      <c r="A91" s="20">
        <v>2</v>
      </c>
      <c r="B91" s="22">
        <v>0.98</v>
      </c>
    </row>
    <row r="92" spans="1:2" x14ac:dyDescent="0.25">
      <c r="A92" s="20">
        <v>3</v>
      </c>
      <c r="B92" s="22">
        <v>0.95</v>
      </c>
    </row>
    <row r="93" spans="1:2" x14ac:dyDescent="0.25">
      <c r="A93" s="20">
        <v>4</v>
      </c>
      <c r="B93" s="22">
        <v>0.91</v>
      </c>
    </row>
    <row r="94" spans="1:2" x14ac:dyDescent="0.25">
      <c r="A94" s="23">
        <v>5</v>
      </c>
      <c r="B94" s="25">
        <v>0.87</v>
      </c>
    </row>
  </sheetData>
  <mergeCells count="29">
    <mergeCell ref="B76:B77"/>
    <mergeCell ref="A78:A79"/>
    <mergeCell ref="B78:B79"/>
    <mergeCell ref="D68:D79"/>
    <mergeCell ref="A68:A69"/>
    <mergeCell ref="B68:B69"/>
    <mergeCell ref="A70:A71"/>
    <mergeCell ref="B70:B71"/>
    <mergeCell ref="A72:A73"/>
    <mergeCell ref="B72:B73"/>
    <mergeCell ref="A74:A75"/>
    <mergeCell ref="B74:B75"/>
    <mergeCell ref="A76:A77"/>
    <mergeCell ref="H62:H64"/>
    <mergeCell ref="I62:I64"/>
    <mergeCell ref="J62:J64"/>
    <mergeCell ref="A66:B67"/>
    <mergeCell ref="C66:C67"/>
    <mergeCell ref="D66:F66"/>
    <mergeCell ref="A1:A2"/>
    <mergeCell ref="A21:B21"/>
    <mergeCell ref="G51:G52"/>
    <mergeCell ref="A56:B56"/>
    <mergeCell ref="A62:A64"/>
    <mergeCell ref="C62:C64"/>
    <mergeCell ref="D62:D64"/>
    <mergeCell ref="E62:E64"/>
    <mergeCell ref="F62:F64"/>
    <mergeCell ref="G62:G6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FE08-90B2-46B2-A828-094A824EBCB5}">
  <dimension ref="A2:AB1048576"/>
  <sheetViews>
    <sheetView workbookViewId="0">
      <selection activeCell="D18" sqref="D18"/>
    </sheetView>
  </sheetViews>
  <sheetFormatPr baseColWidth="10" defaultColWidth="13.140625" defaultRowHeight="15" x14ac:dyDescent="0.25"/>
  <cols>
    <col min="1" max="3" width="13.140625" style="61"/>
    <col min="4" max="4" width="16.28515625" style="61" customWidth="1"/>
    <col min="5" max="12" width="4.5703125" style="61" customWidth="1"/>
    <col min="13" max="15" width="16.5703125" style="61" customWidth="1"/>
    <col min="16" max="22" width="13.140625" style="61"/>
    <col min="23" max="24" width="13.140625" style="70"/>
    <col min="25" max="16384" width="13.140625" style="61"/>
  </cols>
  <sheetData>
    <row r="2" spans="1:28" ht="25.5" x14ac:dyDescent="0.25">
      <c r="A2" s="106" t="s">
        <v>69</v>
      </c>
      <c r="B2" s="102" t="s">
        <v>133</v>
      </c>
      <c r="C2" s="103"/>
      <c r="D2" s="71" t="s">
        <v>139</v>
      </c>
      <c r="E2" s="104" t="s">
        <v>140</v>
      </c>
      <c r="F2" s="105"/>
      <c r="G2" s="105"/>
      <c r="H2" s="105"/>
      <c r="I2" s="105"/>
      <c r="J2" s="105"/>
      <c r="K2" s="105"/>
      <c r="L2" s="105"/>
      <c r="M2" s="5" t="s">
        <v>150</v>
      </c>
      <c r="N2" s="5" t="s">
        <v>173</v>
      </c>
      <c r="O2" s="5" t="s">
        <v>166</v>
      </c>
    </row>
    <row r="3" spans="1:28" x14ac:dyDescent="0.25">
      <c r="A3" s="107"/>
      <c r="B3" s="65"/>
      <c r="C3" s="66"/>
      <c r="D3" s="5"/>
      <c r="E3" s="5" t="s">
        <v>141</v>
      </c>
      <c r="F3" s="5" t="s">
        <v>142</v>
      </c>
      <c r="G3" s="5" t="s">
        <v>125</v>
      </c>
      <c r="H3" s="5" t="s">
        <v>143</v>
      </c>
      <c r="I3" s="68" t="s">
        <v>144</v>
      </c>
      <c r="J3" s="5" t="s">
        <v>145</v>
      </c>
      <c r="K3" s="5" t="s">
        <v>146</v>
      </c>
      <c r="L3" s="5" t="s">
        <v>130</v>
      </c>
      <c r="M3" s="5"/>
      <c r="N3" s="5"/>
      <c r="O3" s="5"/>
      <c r="P3" s="61" t="s">
        <v>6</v>
      </c>
      <c r="Q3" s="61" t="s">
        <v>147</v>
      </c>
      <c r="R3" s="61" t="s">
        <v>129</v>
      </c>
      <c r="S3" s="61" t="s">
        <v>148</v>
      </c>
      <c r="T3" s="61" t="s">
        <v>149</v>
      </c>
      <c r="U3" s="61" t="s">
        <v>131</v>
      </c>
      <c r="V3" s="61" t="s">
        <v>162</v>
      </c>
      <c r="W3" s="73" t="s">
        <v>154</v>
      </c>
      <c r="X3" s="73" t="s">
        <v>159</v>
      </c>
      <c r="Y3" s="77">
        <v>3.89</v>
      </c>
      <c r="Z3" s="61" t="s">
        <v>167</v>
      </c>
      <c r="AA3" s="77">
        <v>38147868.499173999</v>
      </c>
      <c r="AB3" s="61" t="s">
        <v>171</v>
      </c>
    </row>
    <row r="4" spans="1:28" s="62" customFormat="1" x14ac:dyDescent="0.25">
      <c r="A4" s="99">
        <v>1</v>
      </c>
      <c r="B4" s="9" t="s">
        <v>134</v>
      </c>
      <c r="C4" s="9">
        <v>15</v>
      </c>
      <c r="D4" s="9">
        <f>+AA3/C10</f>
        <v>64.618236878720836</v>
      </c>
      <c r="E4" s="27">
        <v>1.25</v>
      </c>
      <c r="F4" s="9">
        <v>0.7</v>
      </c>
      <c r="G4" s="9">
        <v>1</v>
      </c>
      <c r="H4" s="9">
        <v>1</v>
      </c>
      <c r="I4" s="9">
        <v>1</v>
      </c>
      <c r="J4" s="9">
        <v>1.1000000000000001</v>
      </c>
      <c r="K4" s="9">
        <v>1</v>
      </c>
      <c r="L4" s="9">
        <v>1</v>
      </c>
      <c r="M4" s="9">
        <f>+C4*E4*F4*G4*H4*I4*J4*K4*L4</f>
        <v>14.437500000000002</v>
      </c>
      <c r="N4" s="9">
        <f>+D4/M4</f>
        <v>4.4757220348897544</v>
      </c>
      <c r="O4" s="9" t="str">
        <f>+IF(D4&gt;M4,"NO PASA","PASA")</f>
        <v>NO PASA</v>
      </c>
      <c r="P4" s="69">
        <v>7084.2914338449827</v>
      </c>
      <c r="Q4" s="62">
        <v>36.92</v>
      </c>
      <c r="R4" s="69">
        <f>+P4/Q4</f>
        <v>191.88221651801143</v>
      </c>
      <c r="S4" s="62">
        <v>24</v>
      </c>
      <c r="T4" s="62">
        <f>12.92+12+12</f>
        <v>36.92</v>
      </c>
      <c r="U4" s="69">
        <f>+S4/T4</f>
        <v>0.65005417118093167</v>
      </c>
      <c r="W4" s="74" t="s">
        <v>155</v>
      </c>
      <c r="X4" s="74" t="s">
        <v>168</v>
      </c>
      <c r="Y4" s="77">
        <v>1.79</v>
      </c>
      <c r="Z4" s="62" t="s">
        <v>169</v>
      </c>
      <c r="AA4" s="77">
        <v>17554</v>
      </c>
      <c r="AB4" s="62" t="s">
        <v>158</v>
      </c>
    </row>
    <row r="5" spans="1:28" s="62" customFormat="1" x14ac:dyDescent="0.25">
      <c r="A5" s="100"/>
      <c r="B5" s="63" t="s">
        <v>135</v>
      </c>
      <c r="C5" s="63">
        <v>19</v>
      </c>
      <c r="D5" s="63">
        <f>AA5/C12</f>
        <v>0.87260314707929176</v>
      </c>
      <c r="E5" s="64">
        <v>1.25</v>
      </c>
      <c r="F5" s="63">
        <v>0.8</v>
      </c>
      <c r="G5" s="63">
        <v>1</v>
      </c>
      <c r="H5" s="63">
        <v>1</v>
      </c>
      <c r="I5" s="63">
        <v>1</v>
      </c>
      <c r="J5" s="9">
        <v>1.1000000000000001</v>
      </c>
      <c r="K5" s="63">
        <v>1</v>
      </c>
      <c r="L5" s="63">
        <v>1</v>
      </c>
      <c r="M5" s="9">
        <f t="shared" ref="M5:M7" si="0">+C5*E5*F5*G5*H5*I5*J5*K5*L5</f>
        <v>20.900000000000002</v>
      </c>
      <c r="N5" s="9">
        <f t="shared" ref="N5:N7" si="1">+D5/M5</f>
        <v>4.1751346750205344E-2</v>
      </c>
      <c r="O5" s="9" t="str">
        <f t="shared" ref="O5:O8" si="2">+IF(D5&gt;M5,"NO PASA","PASA")</f>
        <v>PASA</v>
      </c>
      <c r="P5" s="69">
        <v>25959.82958326599</v>
      </c>
      <c r="Q5" s="62">
        <v>36.92</v>
      </c>
      <c r="R5" s="69">
        <f t="shared" ref="R5:R7" si="3">+P5/Q5</f>
        <v>703.13731265617525</v>
      </c>
      <c r="W5" s="74" t="s">
        <v>156</v>
      </c>
      <c r="X5" s="74" t="s">
        <v>170</v>
      </c>
      <c r="Y5" s="77">
        <v>1.23</v>
      </c>
      <c r="Z5" s="62" t="s">
        <v>169</v>
      </c>
      <c r="AA5" s="77">
        <v>12062</v>
      </c>
      <c r="AB5" s="62" t="s">
        <v>158</v>
      </c>
    </row>
    <row r="6" spans="1:28" s="62" customFormat="1" x14ac:dyDescent="0.25">
      <c r="A6" s="100"/>
      <c r="B6" s="78" t="s">
        <v>136</v>
      </c>
      <c r="C6" s="78">
        <v>14</v>
      </c>
      <c r="D6" s="78">
        <f>3*AA6*120/(2*(10^2)*(12.92*10))</f>
        <v>8.4301857585139341</v>
      </c>
      <c r="E6" s="78">
        <v>1.25</v>
      </c>
      <c r="F6" s="78">
        <v>0.7</v>
      </c>
      <c r="G6" s="78">
        <v>1</v>
      </c>
      <c r="H6" s="78">
        <v>1</v>
      </c>
      <c r="I6" s="78">
        <v>1</v>
      </c>
      <c r="J6" s="78">
        <v>1.1000000000000001</v>
      </c>
      <c r="K6" s="78">
        <v>1</v>
      </c>
      <c r="L6" s="78">
        <v>1</v>
      </c>
      <c r="M6" s="78">
        <f t="shared" si="0"/>
        <v>13.475000000000001</v>
      </c>
      <c r="N6" s="9">
        <f t="shared" si="1"/>
        <v>0.62561675387858506</v>
      </c>
      <c r="O6" s="78" t="str">
        <f t="shared" si="2"/>
        <v>PASA</v>
      </c>
      <c r="P6" s="69">
        <v>7084.2914338449827</v>
      </c>
      <c r="Q6" s="62">
        <v>24</v>
      </c>
      <c r="R6" s="69">
        <f t="shared" si="3"/>
        <v>295.17880974354097</v>
      </c>
      <c r="W6" s="74" t="s">
        <v>157</v>
      </c>
      <c r="X6" s="74" t="s">
        <v>161</v>
      </c>
      <c r="Y6" s="62">
        <v>6.1699999999999998E-2</v>
      </c>
      <c r="Z6" s="62" t="s">
        <v>169</v>
      </c>
      <c r="AA6" s="62">
        <v>605.1</v>
      </c>
      <c r="AB6" s="62" t="s">
        <v>158</v>
      </c>
    </row>
    <row r="7" spans="1:28" s="62" customFormat="1" x14ac:dyDescent="0.25">
      <c r="A7" s="100"/>
      <c r="B7" s="9" t="s">
        <v>137</v>
      </c>
      <c r="C7" s="9">
        <v>1.4</v>
      </c>
      <c r="D7" s="9">
        <f>+AA7/C12</f>
        <v>0.87260314707929176</v>
      </c>
      <c r="E7" s="9">
        <v>0.9</v>
      </c>
      <c r="F7" s="9">
        <v>0.8</v>
      </c>
      <c r="G7" s="9">
        <v>1</v>
      </c>
      <c r="H7" s="9">
        <v>1</v>
      </c>
      <c r="I7" s="9">
        <v>1</v>
      </c>
      <c r="J7" s="9">
        <v>1.1000000000000001</v>
      </c>
      <c r="K7" s="9">
        <v>1</v>
      </c>
      <c r="L7" s="9">
        <v>1</v>
      </c>
      <c r="M7" s="9">
        <f t="shared" si="0"/>
        <v>1.1088</v>
      </c>
      <c r="N7" s="9">
        <f t="shared" si="1"/>
        <v>0.78697975025188649</v>
      </c>
      <c r="O7" s="9" t="str">
        <f t="shared" si="2"/>
        <v>PASA</v>
      </c>
      <c r="P7" s="69">
        <v>25959.82958326599</v>
      </c>
      <c r="Q7" s="62">
        <v>24</v>
      </c>
      <c r="R7" s="69">
        <f t="shared" si="3"/>
        <v>1081.6595659694162</v>
      </c>
      <c r="W7" s="74" t="s">
        <v>158</v>
      </c>
      <c r="X7" s="74" t="s">
        <v>160</v>
      </c>
      <c r="Y7" s="77">
        <v>1.23</v>
      </c>
      <c r="Z7" s="62" t="s">
        <v>169</v>
      </c>
      <c r="AA7" s="77">
        <v>12062</v>
      </c>
      <c r="AB7" s="62" t="s">
        <v>158</v>
      </c>
    </row>
    <row r="8" spans="1:28" s="62" customFormat="1" x14ac:dyDescent="0.25">
      <c r="A8" s="101"/>
      <c r="B8" s="9" t="s">
        <v>138</v>
      </c>
      <c r="C8" s="9">
        <v>1.2</v>
      </c>
      <c r="D8" s="9">
        <f>(2*AA4/(3*C12))*((3*120^2)-(6*120*10)+(4*10^2))/((120^2)+(2*120*10)+(2*10))</f>
        <v>1.8321358718999528</v>
      </c>
      <c r="E8" s="67">
        <v>1.25</v>
      </c>
      <c r="F8" s="9">
        <v>0.8</v>
      </c>
      <c r="G8" s="9">
        <v>1</v>
      </c>
      <c r="H8" s="9">
        <v>1</v>
      </c>
      <c r="I8" s="9">
        <v>1</v>
      </c>
      <c r="J8" s="9">
        <v>1.1000000000000001</v>
      </c>
      <c r="K8" s="9">
        <v>1</v>
      </c>
      <c r="L8" s="9">
        <v>1</v>
      </c>
      <c r="M8" s="9">
        <f>+C8*E8*F8*G8*H8*I8*J8*K8*L8</f>
        <v>1.3200000000000003</v>
      </c>
      <c r="N8" s="9">
        <f>+D8/M8</f>
        <v>1.3879817211363275</v>
      </c>
      <c r="O8" s="9" t="str">
        <f t="shared" si="2"/>
        <v>NO PASA</v>
      </c>
      <c r="W8" s="72"/>
      <c r="X8" s="72"/>
    </row>
    <row r="9" spans="1:28" x14ac:dyDescent="0.25">
      <c r="T9" s="44" t="s">
        <v>172</v>
      </c>
      <c r="U9" s="6">
        <f>8.77*1000</f>
        <v>8770</v>
      </c>
    </row>
    <row r="10" spans="1:28" x14ac:dyDescent="0.25">
      <c r="A10" s="44" t="s">
        <v>18</v>
      </c>
      <c r="B10" s="6">
        <v>590.35761948708193</v>
      </c>
      <c r="C10" s="76">
        <f>+B10*10^3</f>
        <v>590357.61948708189</v>
      </c>
      <c r="S10" s="61" t="s">
        <v>110</v>
      </c>
      <c r="T10" s="44" t="s">
        <v>20</v>
      </c>
      <c r="U10" s="6">
        <v>602.55284912159811</v>
      </c>
      <c r="V10" s="75">
        <f>+U9/U10</f>
        <v>14.5547399083498</v>
      </c>
    </row>
    <row r="11" spans="1:28" x14ac:dyDescent="0.25">
      <c r="A11" s="44" t="s">
        <v>19</v>
      </c>
      <c r="B11" s="6">
        <v>1223.3661443574924</v>
      </c>
      <c r="C11" s="76">
        <f>+B11*10^3</f>
        <v>1223366.1443574924</v>
      </c>
      <c r="T11" s="44" t="s">
        <v>21</v>
      </c>
      <c r="U11" s="6">
        <v>2208.0075931628239</v>
      </c>
      <c r="V11" s="75">
        <f>+U9/U11</f>
        <v>3.9719066307365178</v>
      </c>
    </row>
    <row r="12" spans="1:28" x14ac:dyDescent="0.25">
      <c r="A12" s="44" t="s">
        <v>1</v>
      </c>
      <c r="B12" s="6">
        <v>138.23007675795088</v>
      </c>
      <c r="C12" s="76">
        <f>+B12*10^2</f>
        <v>13823.007675795088</v>
      </c>
    </row>
    <row r="13" spans="1:28" x14ac:dyDescent="0.25">
      <c r="S13" s="61" t="s">
        <v>151</v>
      </c>
    </row>
    <row r="15" spans="1:28" x14ac:dyDescent="0.25">
      <c r="S15" s="61" t="s">
        <v>110</v>
      </c>
    </row>
    <row r="18" spans="18:19" x14ac:dyDescent="0.25">
      <c r="S18" s="61" t="s">
        <v>152</v>
      </c>
    </row>
    <row r="21" spans="18:19" x14ac:dyDescent="0.25">
      <c r="R21" s="61" t="s">
        <v>163</v>
      </c>
      <c r="S21" s="61" t="s">
        <v>153</v>
      </c>
    </row>
    <row r="24" spans="18:19" x14ac:dyDescent="0.25">
      <c r="R24" s="61" t="s">
        <v>164</v>
      </c>
    </row>
    <row r="28" spans="18:19" x14ac:dyDescent="0.25">
      <c r="R28" s="61" t="s">
        <v>165</v>
      </c>
    </row>
    <row r="1048576" spans="28:28" x14ac:dyDescent="0.25">
      <c r="AB1048576" s="62" t="s">
        <v>158</v>
      </c>
    </row>
  </sheetData>
  <mergeCells count="4">
    <mergeCell ref="A4:A8"/>
    <mergeCell ref="B2:C2"/>
    <mergeCell ref="E2:L2"/>
    <mergeCell ref="A2:A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A1D6B-D9F3-4D24-BE37-102DE80853D1}">
  <dimension ref="A2:AB1048575"/>
  <sheetViews>
    <sheetView topLeftCell="A71" workbookViewId="0">
      <selection activeCell="Q81" sqref="Q81"/>
    </sheetView>
  </sheetViews>
  <sheetFormatPr baseColWidth="10" defaultColWidth="13.140625" defaultRowHeight="15" x14ac:dyDescent="0.25"/>
  <cols>
    <col min="1" max="3" width="13.140625" style="61"/>
    <col min="4" max="4" width="16.28515625" style="61" customWidth="1"/>
    <col min="5" max="12" width="4.5703125" style="61" customWidth="1"/>
    <col min="13" max="15" width="16.5703125" style="61" customWidth="1"/>
    <col min="16" max="22" width="13.140625" style="61"/>
    <col min="23" max="24" width="13.140625" style="70"/>
    <col min="25" max="16384" width="13.140625" style="61"/>
  </cols>
  <sheetData>
    <row r="2" spans="1:28" ht="25.5" x14ac:dyDescent="0.25">
      <c r="A2" s="106" t="s">
        <v>69</v>
      </c>
      <c r="B2" s="102" t="s">
        <v>133</v>
      </c>
      <c r="C2" s="103"/>
      <c r="D2" s="71" t="s">
        <v>174</v>
      </c>
      <c r="E2" s="104" t="s">
        <v>140</v>
      </c>
      <c r="F2" s="105"/>
      <c r="G2" s="105"/>
      <c r="H2" s="105"/>
      <c r="I2" s="105"/>
      <c r="J2" s="105"/>
      <c r="K2" s="105"/>
      <c r="L2" s="105"/>
      <c r="M2" s="5" t="s">
        <v>150</v>
      </c>
      <c r="N2" s="5" t="s">
        <v>173</v>
      </c>
      <c r="O2" s="5" t="s">
        <v>166</v>
      </c>
    </row>
    <row r="3" spans="1:28" x14ac:dyDescent="0.25">
      <c r="A3" s="107"/>
      <c r="B3" s="65"/>
      <c r="C3" s="66"/>
      <c r="D3" s="5"/>
      <c r="E3" s="5" t="s">
        <v>141</v>
      </c>
      <c r="F3" s="5" t="s">
        <v>142</v>
      </c>
      <c r="G3" s="5" t="s">
        <v>125</v>
      </c>
      <c r="H3" s="5" t="s">
        <v>143</v>
      </c>
      <c r="I3" s="5" t="s">
        <v>144</v>
      </c>
      <c r="J3" s="5" t="s">
        <v>145</v>
      </c>
      <c r="K3" s="5" t="s">
        <v>146</v>
      </c>
      <c r="L3" s="5" t="s">
        <v>130</v>
      </c>
      <c r="M3" s="5"/>
      <c r="N3" s="5"/>
      <c r="O3" s="5"/>
      <c r="P3" s="61" t="s">
        <v>6</v>
      </c>
      <c r="Q3" s="61" t="s">
        <v>147</v>
      </c>
      <c r="R3" s="61" t="s">
        <v>129</v>
      </c>
      <c r="S3" s="61" t="s">
        <v>148</v>
      </c>
      <c r="T3" s="61" t="s">
        <v>149</v>
      </c>
      <c r="U3" s="61" t="s">
        <v>131</v>
      </c>
      <c r="V3" s="61" t="s">
        <v>162</v>
      </c>
      <c r="W3" s="73" t="s">
        <v>154</v>
      </c>
      <c r="X3" s="73" t="s">
        <v>159</v>
      </c>
      <c r="Y3" s="77">
        <v>0.49</v>
      </c>
      <c r="Z3" s="61" t="s">
        <v>167</v>
      </c>
      <c r="AA3" s="77">
        <v>4805258.4998960001</v>
      </c>
      <c r="AB3" s="61" t="s">
        <v>171</v>
      </c>
    </row>
    <row r="4" spans="1:28" s="62" customFormat="1" x14ac:dyDescent="0.25">
      <c r="A4" s="99">
        <v>1</v>
      </c>
      <c r="B4" s="9" t="s">
        <v>134</v>
      </c>
      <c r="C4" s="9">
        <v>15</v>
      </c>
      <c r="D4" s="9">
        <f>+AA3/C9</f>
        <v>8.1395722546461489</v>
      </c>
      <c r="E4" s="9">
        <v>1.6</v>
      </c>
      <c r="F4" s="9">
        <v>0.7</v>
      </c>
      <c r="G4" s="9">
        <v>1</v>
      </c>
      <c r="H4" s="9">
        <v>1</v>
      </c>
      <c r="I4" s="9">
        <v>1</v>
      </c>
      <c r="J4" s="9">
        <v>1.1000000000000001</v>
      </c>
      <c r="K4" s="9">
        <v>1</v>
      </c>
      <c r="L4" s="9">
        <v>1</v>
      </c>
      <c r="M4" s="9">
        <f>+C4*E4*F4*G4*H4*I4*J4*K4*L4</f>
        <v>18.479999999999997</v>
      </c>
      <c r="N4" s="9">
        <f>+D4/M4</f>
        <v>0.4404530440825839</v>
      </c>
      <c r="O4" s="9" t="str">
        <f>+IF(D4&gt;M4," NO PASA","PASA")</f>
        <v>PASA</v>
      </c>
      <c r="P4" s="69">
        <v>7084.2914338449827</v>
      </c>
      <c r="Q4" s="62">
        <v>36.92</v>
      </c>
      <c r="R4" s="69">
        <f>+P4/Q4</f>
        <v>191.88221651801143</v>
      </c>
      <c r="S4" s="62">
        <v>24</v>
      </c>
      <c r="T4" s="62">
        <f>12.92+12+12</f>
        <v>36.92</v>
      </c>
      <c r="U4" s="69">
        <f>+S4/T4</f>
        <v>0.65005417118093167</v>
      </c>
      <c r="W4" s="74" t="s">
        <v>155</v>
      </c>
      <c r="X4" s="74" t="s">
        <v>168</v>
      </c>
      <c r="Y4" s="77">
        <v>0.83</v>
      </c>
      <c r="Z4" s="62" t="s">
        <v>169</v>
      </c>
      <c r="AA4" s="77">
        <v>8140</v>
      </c>
      <c r="AB4" s="62" t="s">
        <v>158</v>
      </c>
    </row>
    <row r="5" spans="1:28" s="62" customFormat="1" x14ac:dyDescent="0.25">
      <c r="A5" s="100"/>
      <c r="B5" s="63" t="s">
        <v>135</v>
      </c>
      <c r="C5" s="63">
        <v>19</v>
      </c>
      <c r="D5" s="63">
        <f>AA5/C11</f>
        <v>0.85842388851292284</v>
      </c>
      <c r="E5" s="63">
        <v>1.6</v>
      </c>
      <c r="F5" s="63">
        <v>0.8</v>
      </c>
      <c r="G5" s="63">
        <v>1</v>
      </c>
      <c r="H5" s="63">
        <v>1</v>
      </c>
      <c r="I5" s="63">
        <v>1</v>
      </c>
      <c r="J5" s="9">
        <v>1.1000000000000001</v>
      </c>
      <c r="K5" s="63">
        <v>1</v>
      </c>
      <c r="L5" s="63">
        <v>1</v>
      </c>
      <c r="M5" s="9">
        <f t="shared" ref="M5:M6" si="0">+C5*E5*F5*G5*H5*I5*J5*K5*L5</f>
        <v>26.752000000000006</v>
      </c>
      <c r="N5" s="9">
        <f>+D5/M5</f>
        <v>3.2088213535919653E-2</v>
      </c>
      <c r="O5" s="9" t="str">
        <f t="shared" ref="O5:O6" si="1">+IF(D5&gt;M5," NO PASA","PASA")</f>
        <v>PASA</v>
      </c>
      <c r="P5" s="69">
        <v>25959.82958326599</v>
      </c>
      <c r="Q5" s="62">
        <v>36.92</v>
      </c>
      <c r="R5" s="69">
        <f t="shared" ref="R5:R7" si="2">+P5/Q5</f>
        <v>703.13731265617525</v>
      </c>
      <c r="W5" s="74" t="s">
        <v>156</v>
      </c>
      <c r="X5" s="74" t="s">
        <v>170</v>
      </c>
      <c r="Y5" s="77">
        <v>1.21</v>
      </c>
      <c r="Z5" s="62" t="s">
        <v>169</v>
      </c>
      <c r="AA5" s="77">
        <v>11866</v>
      </c>
      <c r="AB5" s="62" t="s">
        <v>158</v>
      </c>
    </row>
    <row r="6" spans="1:28" s="62" customFormat="1" x14ac:dyDescent="0.25">
      <c r="A6" s="100"/>
      <c r="B6" s="9" t="s">
        <v>136</v>
      </c>
      <c r="C6" s="9">
        <v>14</v>
      </c>
      <c r="D6" s="9">
        <f>+AA6/C11</f>
        <v>9.2237523837348442E-2</v>
      </c>
      <c r="E6" s="63">
        <v>1.6</v>
      </c>
      <c r="F6" s="63">
        <v>0.7</v>
      </c>
      <c r="G6" s="63">
        <v>1</v>
      </c>
      <c r="H6" s="63">
        <v>1</v>
      </c>
      <c r="I6" s="63">
        <v>1</v>
      </c>
      <c r="J6" s="63">
        <v>1.1000000000000001</v>
      </c>
      <c r="K6" s="63">
        <v>1</v>
      </c>
      <c r="L6" s="63">
        <v>1</v>
      </c>
      <c r="M6" s="9">
        <f t="shared" si="0"/>
        <v>17.248000000000001</v>
      </c>
      <c r="N6" s="9">
        <f t="shared" ref="N6" si="3">+D6/M6</f>
        <v>5.3477228569891256E-3</v>
      </c>
      <c r="O6" s="9" t="str">
        <f t="shared" si="1"/>
        <v>PASA</v>
      </c>
      <c r="P6" s="69">
        <v>7084.2914338449827</v>
      </c>
      <c r="Q6" s="62">
        <v>24</v>
      </c>
      <c r="R6" s="69">
        <f t="shared" si="2"/>
        <v>295.17880974354097</v>
      </c>
      <c r="W6" s="74" t="s">
        <v>158</v>
      </c>
      <c r="X6" s="74" t="s">
        <v>160</v>
      </c>
      <c r="Y6" s="77">
        <v>0.13</v>
      </c>
      <c r="Z6" s="62" t="s">
        <v>169</v>
      </c>
      <c r="AA6" s="77">
        <v>1275</v>
      </c>
      <c r="AB6" s="62" t="s">
        <v>158</v>
      </c>
    </row>
    <row r="7" spans="1:28" s="62" customFormat="1" x14ac:dyDescent="0.25">
      <c r="A7" s="101"/>
      <c r="B7" s="9" t="s">
        <v>138</v>
      </c>
      <c r="C7" s="9">
        <v>1.2</v>
      </c>
      <c r="D7" s="9">
        <f>(2*AA4/(3*C11))*((3*120^2)-(6*120*10)+(4*10^2))/((120^2)+(2*120*10)+(2*10))</f>
        <v>0.84958334267207569</v>
      </c>
      <c r="E7" s="67">
        <v>1.6</v>
      </c>
      <c r="F7" s="9">
        <v>0.8</v>
      </c>
      <c r="G7" s="9">
        <v>1</v>
      </c>
      <c r="H7" s="9">
        <v>1</v>
      </c>
      <c r="I7" s="9">
        <v>1</v>
      </c>
      <c r="J7" s="9">
        <v>1.1000000000000001</v>
      </c>
      <c r="K7" s="9">
        <v>1</v>
      </c>
      <c r="L7" s="9">
        <v>1</v>
      </c>
      <c r="M7" s="9">
        <f>+C7*E7*F7*G7*H7*I7*J7*K7*L7</f>
        <v>1.6896000000000002</v>
      </c>
      <c r="N7" s="9">
        <f>+D7/M7</f>
        <v>0.50283105035042353</v>
      </c>
      <c r="O7" s="9" t="str">
        <f>+IF(D7&gt;M7," NO PASA","PASA")</f>
        <v>PASA</v>
      </c>
      <c r="P7" s="69">
        <v>25959.82958326599</v>
      </c>
      <c r="Q7" s="62">
        <v>24</v>
      </c>
      <c r="R7" s="69">
        <f t="shared" si="2"/>
        <v>1081.6595659694162</v>
      </c>
    </row>
    <row r="8" spans="1:28" s="62" customFormat="1" x14ac:dyDescent="0.25">
      <c r="W8" s="72"/>
      <c r="X8" s="72"/>
    </row>
    <row r="9" spans="1:28" x14ac:dyDescent="0.25">
      <c r="A9" s="44" t="s">
        <v>18</v>
      </c>
      <c r="B9" s="6">
        <v>590.35761948708193</v>
      </c>
      <c r="C9" s="76">
        <f>+B9*10^3</f>
        <v>590357.61948708189</v>
      </c>
      <c r="M9" s="26" t="s">
        <v>175</v>
      </c>
      <c r="N9" s="60">
        <f>+N4+N6</f>
        <v>0.44580076693957305</v>
      </c>
      <c r="O9" s="26" t="str">
        <f>+IF(N9&lt;1,"PASA","NO PASA")</f>
        <v>PASA</v>
      </c>
    </row>
    <row r="10" spans="1:28" x14ac:dyDescent="0.25">
      <c r="A10" s="44" t="s">
        <v>19</v>
      </c>
      <c r="B10" s="6">
        <v>1223.3661443574924</v>
      </c>
      <c r="C10" s="76">
        <f>+B10*10^3</f>
        <v>1223366.1443574924</v>
      </c>
      <c r="V10" s="75"/>
    </row>
    <row r="11" spans="1:28" x14ac:dyDescent="0.25">
      <c r="A11" s="44" t="s">
        <v>1</v>
      </c>
      <c r="B11" s="6">
        <v>138.23007675795088</v>
      </c>
      <c r="C11" s="76">
        <f>+B11*10^2</f>
        <v>13823.007675795088</v>
      </c>
      <c r="V11" s="75"/>
    </row>
    <row r="14" spans="1:28" ht="25.5" x14ac:dyDescent="0.25">
      <c r="A14" s="106" t="s">
        <v>69</v>
      </c>
      <c r="B14" s="102" t="s">
        <v>133</v>
      </c>
      <c r="C14" s="103"/>
      <c r="D14" s="71" t="s">
        <v>174</v>
      </c>
      <c r="E14" s="104" t="s">
        <v>140</v>
      </c>
      <c r="F14" s="105"/>
      <c r="G14" s="105"/>
      <c r="H14" s="105"/>
      <c r="I14" s="105"/>
      <c r="J14" s="105"/>
      <c r="K14" s="105"/>
      <c r="L14" s="105"/>
      <c r="M14" s="5" t="s">
        <v>150</v>
      </c>
      <c r="N14" s="5" t="s">
        <v>173</v>
      </c>
      <c r="O14" s="5" t="s">
        <v>166</v>
      </c>
    </row>
    <row r="15" spans="1:28" x14ac:dyDescent="0.25">
      <c r="A15" s="107"/>
      <c r="B15" s="65"/>
      <c r="C15" s="66"/>
      <c r="D15" s="5"/>
      <c r="E15" s="5" t="s">
        <v>141</v>
      </c>
      <c r="F15" s="5" t="s">
        <v>142</v>
      </c>
      <c r="G15" s="5" t="s">
        <v>125</v>
      </c>
      <c r="H15" s="5" t="s">
        <v>143</v>
      </c>
      <c r="I15" s="5" t="s">
        <v>144</v>
      </c>
      <c r="J15" s="5" t="s">
        <v>145</v>
      </c>
      <c r="K15" s="5" t="s">
        <v>146</v>
      </c>
      <c r="L15" s="5" t="s">
        <v>130</v>
      </c>
      <c r="M15" s="5"/>
      <c r="N15" s="5"/>
      <c r="O15" s="5"/>
      <c r="P15" s="61" t="s">
        <v>6</v>
      </c>
      <c r="Q15" s="61" t="s">
        <v>147</v>
      </c>
      <c r="R15" s="61" t="s">
        <v>129</v>
      </c>
      <c r="S15" s="61" t="s">
        <v>148</v>
      </c>
      <c r="T15" s="61" t="s">
        <v>149</v>
      </c>
      <c r="U15" s="61" t="s">
        <v>131</v>
      </c>
      <c r="V15" s="61" t="s">
        <v>162</v>
      </c>
      <c r="W15" s="73" t="s">
        <v>154</v>
      </c>
      <c r="X15" s="73" t="s">
        <v>159</v>
      </c>
      <c r="Y15" s="77">
        <v>0.28000000000000003</v>
      </c>
      <c r="Z15" s="61" t="s">
        <v>167</v>
      </c>
      <c r="AA15" s="77">
        <v>2745861.9999409998</v>
      </c>
      <c r="AB15" s="61" t="s">
        <v>171</v>
      </c>
    </row>
    <row r="16" spans="1:28" s="62" customFormat="1" x14ac:dyDescent="0.25">
      <c r="A16" s="99">
        <v>2</v>
      </c>
      <c r="B16" s="9" t="s">
        <v>134</v>
      </c>
      <c r="C16" s="9">
        <v>15</v>
      </c>
      <c r="D16" s="9">
        <f>+AA15/C21</f>
        <v>4.6511841455128105</v>
      </c>
      <c r="E16" s="9">
        <v>1.6</v>
      </c>
      <c r="F16" s="9">
        <v>0.7</v>
      </c>
      <c r="G16" s="9">
        <v>1</v>
      </c>
      <c r="H16" s="9">
        <v>1</v>
      </c>
      <c r="I16" s="9">
        <v>1</v>
      </c>
      <c r="J16" s="9">
        <v>1.1000000000000001</v>
      </c>
      <c r="K16" s="9">
        <v>1</v>
      </c>
      <c r="L16" s="9">
        <v>1</v>
      </c>
      <c r="M16" s="9">
        <f>+C16*E16*F16*G16*H16*I16*J16*K16*L16</f>
        <v>18.479999999999997</v>
      </c>
      <c r="N16" s="9">
        <f>+D16/M16</f>
        <v>0.25168745376151574</v>
      </c>
      <c r="O16" s="9" t="str">
        <f>+IF(D16&gt;M16," NO PASA","PASA")</f>
        <v>PASA</v>
      </c>
      <c r="P16" s="69">
        <v>7084.2914338449827</v>
      </c>
      <c r="Q16" s="62">
        <v>36.92</v>
      </c>
      <c r="R16" s="69">
        <f>+P16/Q16</f>
        <v>191.88221651801143</v>
      </c>
      <c r="S16" s="62">
        <v>24</v>
      </c>
      <c r="T16" s="62">
        <f>12.92+12+12</f>
        <v>36.92</v>
      </c>
      <c r="U16" s="69">
        <f>+S16/T16</f>
        <v>0.65005417118093167</v>
      </c>
      <c r="W16" s="74" t="s">
        <v>155</v>
      </c>
      <c r="X16" s="74" t="s">
        <v>168</v>
      </c>
      <c r="Y16" s="77">
        <v>0.48</v>
      </c>
      <c r="Z16" s="62" t="s">
        <v>169</v>
      </c>
      <c r="AA16" s="77">
        <v>4707</v>
      </c>
      <c r="AB16" s="62" t="s">
        <v>158</v>
      </c>
    </row>
    <row r="17" spans="1:28" s="62" customFormat="1" x14ac:dyDescent="0.25">
      <c r="A17" s="100"/>
      <c r="B17" s="63" t="s">
        <v>135</v>
      </c>
      <c r="C17" s="63">
        <v>19</v>
      </c>
      <c r="D17" s="63">
        <f>AA17/C23</f>
        <v>0.76618636467557444</v>
      </c>
      <c r="E17" s="63">
        <v>1.6</v>
      </c>
      <c r="F17" s="63">
        <v>0.8</v>
      </c>
      <c r="G17" s="63">
        <v>1</v>
      </c>
      <c r="H17" s="63">
        <v>1</v>
      </c>
      <c r="I17" s="63">
        <v>1</v>
      </c>
      <c r="J17" s="9">
        <v>1.1000000000000001</v>
      </c>
      <c r="K17" s="63">
        <v>1</v>
      </c>
      <c r="L17" s="63">
        <v>1</v>
      </c>
      <c r="M17" s="9">
        <f t="shared" ref="M17:M18" si="4">+C17*E17*F17*G17*H17*I17*J17*K17*L17</f>
        <v>26.752000000000006</v>
      </c>
      <c r="N17" s="9">
        <f t="shared" ref="N17:N18" si="5">+D17/M17</f>
        <v>2.8640339588650355E-2</v>
      </c>
      <c r="O17" s="9" t="str">
        <f t="shared" ref="O17:O18" si="6">+IF(D17&gt;M17," NO PASA","PASA")</f>
        <v>PASA</v>
      </c>
      <c r="P17" s="69">
        <v>25959.82958326599</v>
      </c>
      <c r="Q17" s="62">
        <v>36.92</v>
      </c>
      <c r="R17" s="69">
        <f t="shared" ref="R17:R19" si="7">+P17/Q17</f>
        <v>703.13731265617525</v>
      </c>
      <c r="W17" s="74" t="s">
        <v>156</v>
      </c>
      <c r="X17" s="74" t="s">
        <v>170</v>
      </c>
      <c r="Y17" s="77">
        <v>1.08</v>
      </c>
      <c r="Z17" s="62" t="s">
        <v>169</v>
      </c>
      <c r="AA17" s="77">
        <v>10591</v>
      </c>
      <c r="AB17" s="62" t="s">
        <v>158</v>
      </c>
    </row>
    <row r="18" spans="1:28" s="62" customFormat="1" x14ac:dyDescent="0.25">
      <c r="A18" s="100"/>
      <c r="B18" s="9" t="s">
        <v>136</v>
      </c>
      <c r="C18" s="9">
        <v>14</v>
      </c>
      <c r="D18" s="9">
        <f>+AA18/C23</f>
        <v>0.1276856702532706</v>
      </c>
      <c r="E18" s="63">
        <v>1.6</v>
      </c>
      <c r="F18" s="63">
        <v>0.7</v>
      </c>
      <c r="G18" s="63">
        <v>1</v>
      </c>
      <c r="H18" s="63">
        <v>1</v>
      </c>
      <c r="I18" s="63">
        <v>1</v>
      </c>
      <c r="J18" s="63">
        <v>1.1000000000000001</v>
      </c>
      <c r="K18" s="63">
        <v>1</v>
      </c>
      <c r="L18" s="63">
        <v>1</v>
      </c>
      <c r="M18" s="9">
        <f t="shared" si="4"/>
        <v>17.248000000000001</v>
      </c>
      <c r="N18" s="9">
        <f t="shared" si="5"/>
        <v>7.4029261510476924E-3</v>
      </c>
      <c r="O18" s="9" t="str">
        <f t="shared" si="6"/>
        <v>PASA</v>
      </c>
      <c r="P18" s="69">
        <v>7084.2914338449827</v>
      </c>
      <c r="Q18" s="62">
        <v>24</v>
      </c>
      <c r="R18" s="69">
        <f t="shared" si="7"/>
        <v>295.17880974354097</v>
      </c>
      <c r="W18" s="74" t="s">
        <v>158</v>
      </c>
      <c r="X18" s="74" t="s">
        <v>160</v>
      </c>
      <c r="Y18" s="77">
        <v>0.18</v>
      </c>
      <c r="Z18" s="62" t="s">
        <v>169</v>
      </c>
      <c r="AA18" s="77">
        <v>1765</v>
      </c>
      <c r="AB18" s="62" t="s">
        <v>158</v>
      </c>
    </row>
    <row r="19" spans="1:28" s="62" customFormat="1" x14ac:dyDescent="0.25">
      <c r="A19" s="101"/>
      <c r="B19" s="9" t="s">
        <v>138</v>
      </c>
      <c r="C19" s="9">
        <v>1.2</v>
      </c>
      <c r="D19" s="9">
        <f>(2*AA16/(3*C23))*((3*120^2)-(6*120*10)+(4*10^2))/((120^2)+(2*120*10)+(2*10))</f>
        <v>0.49127626461393847</v>
      </c>
      <c r="E19" s="67">
        <v>1.6</v>
      </c>
      <c r="F19" s="9">
        <v>0.8</v>
      </c>
      <c r="G19" s="9">
        <v>1</v>
      </c>
      <c r="H19" s="9">
        <v>1</v>
      </c>
      <c r="I19" s="9">
        <v>1</v>
      </c>
      <c r="J19" s="9">
        <v>1.1000000000000001</v>
      </c>
      <c r="K19" s="9">
        <v>1</v>
      </c>
      <c r="L19" s="9">
        <v>1</v>
      </c>
      <c r="M19" s="9">
        <f>+C19*E19*F19*G19*H19*I19*J19*K19*L19</f>
        <v>1.6896000000000002</v>
      </c>
      <c r="N19" s="9">
        <f>+D19/M19</f>
        <v>0.2907648346436662</v>
      </c>
      <c r="O19" s="9" t="str">
        <f>+IF(D19&gt;M19," NO PASA","PASA")</f>
        <v>PASA</v>
      </c>
      <c r="P19" s="69">
        <v>25959.82958326599</v>
      </c>
      <c r="Q19" s="62">
        <v>24</v>
      </c>
      <c r="R19" s="69">
        <f t="shared" si="7"/>
        <v>1081.6595659694162</v>
      </c>
    </row>
    <row r="20" spans="1:28" s="62" customFormat="1" x14ac:dyDescent="0.25">
      <c r="W20" s="72"/>
      <c r="X20" s="72"/>
    </row>
    <row r="21" spans="1:28" x14ac:dyDescent="0.25">
      <c r="A21" s="44" t="s">
        <v>18</v>
      </c>
      <c r="B21" s="6">
        <v>590.35761948708193</v>
      </c>
      <c r="C21" s="76">
        <f>+B21*10^3</f>
        <v>590357.61948708189</v>
      </c>
      <c r="M21" s="26" t="s">
        <v>175</v>
      </c>
      <c r="N21" s="60">
        <f>+N16+N18</f>
        <v>0.25909037991256345</v>
      </c>
      <c r="O21" s="26" t="str">
        <f>+IF(N21&lt;1,"PASA","NO PASA")</f>
        <v>PASA</v>
      </c>
    </row>
    <row r="22" spans="1:28" x14ac:dyDescent="0.25">
      <c r="A22" s="44" t="s">
        <v>19</v>
      </c>
      <c r="B22" s="6">
        <v>1222.9522068724266</v>
      </c>
      <c r="C22" s="76">
        <f>+B22*10^3</f>
        <v>1222952.2068724267</v>
      </c>
      <c r="V22" s="75"/>
    </row>
    <row r="23" spans="1:28" x14ac:dyDescent="0.25">
      <c r="A23" s="44" t="s">
        <v>1</v>
      </c>
      <c r="B23" s="6">
        <v>138.23007675795088</v>
      </c>
      <c r="C23" s="76">
        <f>+B23*10^2</f>
        <v>13823.007675795088</v>
      </c>
      <c r="V23" s="75"/>
    </row>
    <row r="26" spans="1:28" ht="25.5" x14ac:dyDescent="0.25">
      <c r="A26" s="106" t="s">
        <v>69</v>
      </c>
      <c r="B26" s="102" t="s">
        <v>133</v>
      </c>
      <c r="C26" s="103"/>
      <c r="D26" s="71" t="s">
        <v>174</v>
      </c>
      <c r="E26" s="104" t="s">
        <v>140</v>
      </c>
      <c r="F26" s="105"/>
      <c r="G26" s="105"/>
      <c r="H26" s="105"/>
      <c r="I26" s="105"/>
      <c r="J26" s="105"/>
      <c r="K26" s="105"/>
      <c r="L26" s="105"/>
      <c r="M26" s="5" t="s">
        <v>150</v>
      </c>
      <c r="N26" s="5" t="s">
        <v>173</v>
      </c>
      <c r="O26" s="5" t="s">
        <v>166</v>
      </c>
    </row>
    <row r="27" spans="1:28" x14ac:dyDescent="0.25">
      <c r="A27" s="107"/>
      <c r="B27" s="65"/>
      <c r="C27" s="66"/>
      <c r="D27" s="5"/>
      <c r="E27" s="5" t="s">
        <v>141</v>
      </c>
      <c r="F27" s="5" t="s">
        <v>142</v>
      </c>
      <c r="G27" s="5" t="s">
        <v>125</v>
      </c>
      <c r="H27" s="5" t="s">
        <v>143</v>
      </c>
      <c r="I27" s="5" t="s">
        <v>144</v>
      </c>
      <c r="J27" s="5" t="s">
        <v>145</v>
      </c>
      <c r="K27" s="5" t="s">
        <v>146</v>
      </c>
      <c r="L27" s="5" t="s">
        <v>130</v>
      </c>
      <c r="M27" s="5"/>
      <c r="N27" s="5"/>
      <c r="O27" s="5"/>
      <c r="P27" s="61" t="s">
        <v>6</v>
      </c>
      <c r="Q27" s="61" t="s">
        <v>147</v>
      </c>
      <c r="R27" s="61" t="s">
        <v>129</v>
      </c>
      <c r="S27" s="61" t="s">
        <v>148</v>
      </c>
      <c r="T27" s="61" t="s">
        <v>149</v>
      </c>
      <c r="U27" s="61" t="s">
        <v>131</v>
      </c>
      <c r="V27" s="61" t="s">
        <v>162</v>
      </c>
      <c r="W27" s="73" t="s">
        <v>154</v>
      </c>
      <c r="X27" s="73" t="s">
        <v>159</v>
      </c>
      <c r="Y27" s="77">
        <v>0.2</v>
      </c>
      <c r="Z27" s="61" t="s">
        <v>167</v>
      </c>
      <c r="AA27" s="77">
        <v>1961329.9999579999</v>
      </c>
      <c r="AB27" s="61" t="s">
        <v>171</v>
      </c>
    </row>
    <row r="28" spans="1:28" s="62" customFormat="1" x14ac:dyDescent="0.25">
      <c r="A28" s="99">
        <v>3</v>
      </c>
      <c r="B28" s="9" t="s">
        <v>134</v>
      </c>
      <c r="C28" s="9">
        <v>15</v>
      </c>
      <c r="D28" s="9">
        <f>+AA27/C32</f>
        <v>5.5825102449074677</v>
      </c>
      <c r="E28" s="9">
        <v>1.6</v>
      </c>
      <c r="F28" s="9">
        <v>0.7</v>
      </c>
      <c r="G28" s="9">
        <v>1</v>
      </c>
      <c r="H28" s="9">
        <v>1</v>
      </c>
      <c r="I28" s="9">
        <v>1</v>
      </c>
      <c r="J28" s="9">
        <v>1.1000000000000001</v>
      </c>
      <c r="K28" s="9">
        <v>1</v>
      </c>
      <c r="L28" s="9">
        <v>1</v>
      </c>
      <c r="M28" s="9">
        <f>+C28*E28*F28*G28*H28*I28*J28*K28*L28</f>
        <v>18.479999999999997</v>
      </c>
      <c r="N28" s="9">
        <f>+D28/M28</f>
        <v>0.30208388771144312</v>
      </c>
      <c r="O28" s="9" t="str">
        <f>+IF(D28&gt;M28," NO PASA","PASA")</f>
        <v>PASA</v>
      </c>
      <c r="P28" s="69">
        <v>7084.2914338449827</v>
      </c>
      <c r="Q28" s="62">
        <v>36.92</v>
      </c>
      <c r="R28" s="69">
        <f>+P28/Q28</f>
        <v>191.88221651801143</v>
      </c>
      <c r="S28" s="62">
        <v>24</v>
      </c>
      <c r="T28" s="62">
        <f>12.92+12+12</f>
        <v>36.92</v>
      </c>
      <c r="U28" s="69">
        <f>+S28/T28</f>
        <v>0.65005417118093167</v>
      </c>
      <c r="W28" s="74" t="s">
        <v>155</v>
      </c>
      <c r="X28" s="74" t="s">
        <v>168</v>
      </c>
      <c r="Y28" s="77">
        <v>0.16</v>
      </c>
      <c r="Z28" s="62" t="s">
        <v>169</v>
      </c>
      <c r="AA28" s="62">
        <v>1569</v>
      </c>
      <c r="AB28" s="62" t="s">
        <v>158</v>
      </c>
    </row>
    <row r="29" spans="1:28" s="62" customFormat="1" x14ac:dyDescent="0.25">
      <c r="A29" s="100"/>
      <c r="B29" s="63" t="s">
        <v>135</v>
      </c>
      <c r="C29" s="63">
        <v>19</v>
      </c>
      <c r="D29" s="63">
        <f>AA29/C34</f>
        <v>2.6675091893761169</v>
      </c>
      <c r="E29" s="63">
        <v>1.6</v>
      </c>
      <c r="F29" s="63">
        <v>0.8</v>
      </c>
      <c r="G29" s="63">
        <v>1</v>
      </c>
      <c r="H29" s="63">
        <v>1</v>
      </c>
      <c r="I29" s="63">
        <v>1</v>
      </c>
      <c r="J29" s="9">
        <v>1.1000000000000001</v>
      </c>
      <c r="K29" s="63">
        <v>1</v>
      </c>
      <c r="L29" s="63">
        <v>1</v>
      </c>
      <c r="M29" s="9">
        <f t="shared" ref="M29" si="8">+C29*E29*F29*G29*H29*I29*J29*K29*L29</f>
        <v>26.752000000000006</v>
      </c>
      <c r="N29" s="9">
        <f t="shared" ref="N29" si="9">+D29/M29</f>
        <v>9.9712514555028275E-2</v>
      </c>
      <c r="O29" s="9" t="str">
        <f t="shared" ref="O29" si="10">+IF(D29&gt;M29," NO PASA","PASA")</f>
        <v>PASA</v>
      </c>
      <c r="P29" s="69">
        <v>25959.82958326599</v>
      </c>
      <c r="Q29" s="62">
        <v>36.92</v>
      </c>
      <c r="R29" s="69">
        <f t="shared" ref="R29:R31" si="11">+P29/Q29</f>
        <v>703.13731265617525</v>
      </c>
      <c r="W29" s="74" t="s">
        <v>156</v>
      </c>
      <c r="X29" s="74" t="s">
        <v>170</v>
      </c>
      <c r="Y29" s="77">
        <v>3.76</v>
      </c>
      <c r="Z29" s="62" t="s">
        <v>169</v>
      </c>
      <c r="AA29" s="62">
        <v>36873</v>
      </c>
      <c r="AB29" s="62" t="s">
        <v>158</v>
      </c>
    </row>
    <row r="30" spans="1:28" s="62" customFormat="1" x14ac:dyDescent="0.25">
      <c r="A30" s="101"/>
      <c r="B30" s="9" t="s">
        <v>138</v>
      </c>
      <c r="C30" s="9">
        <v>1.2</v>
      </c>
      <c r="D30" s="9">
        <f>(2*AA28/(3*C34))*((3*120^2)-(6*120*10)+(4*10^2))/((120^2)+(2*120*10)+(2*10))</f>
        <v>0.16375875487131283</v>
      </c>
      <c r="E30" s="79">
        <v>1.6</v>
      </c>
      <c r="F30" s="9">
        <v>0.8</v>
      </c>
      <c r="G30" s="9">
        <v>1</v>
      </c>
      <c r="H30" s="9">
        <v>1</v>
      </c>
      <c r="I30" s="9">
        <v>1</v>
      </c>
      <c r="J30" s="9">
        <v>1.1000000000000001</v>
      </c>
      <c r="K30" s="9">
        <v>1</v>
      </c>
      <c r="L30" s="9">
        <v>1</v>
      </c>
      <c r="M30" s="9">
        <f>+C30*E30*F30*G30*H30*I30*J30*K30*L30</f>
        <v>1.6896000000000002</v>
      </c>
      <c r="N30" s="9">
        <f>+D30/M30</f>
        <v>9.6921611547888739E-2</v>
      </c>
      <c r="O30" s="9" t="str">
        <f>+IF(D30&gt;M30," NO PASA","PASA")</f>
        <v>PASA</v>
      </c>
      <c r="P30" s="69">
        <v>7084.2914338449827</v>
      </c>
      <c r="Q30" s="62">
        <v>24</v>
      </c>
      <c r="R30" s="69">
        <f t="shared" si="11"/>
        <v>295.17880974354097</v>
      </c>
      <c r="W30" s="74"/>
      <c r="X30" s="74"/>
      <c r="Y30" s="77"/>
    </row>
    <row r="31" spans="1:28" s="62" customFormat="1" x14ac:dyDescent="0.25">
      <c r="P31" s="69">
        <v>25959.82958326599</v>
      </c>
      <c r="Q31" s="62">
        <v>24</v>
      </c>
      <c r="R31" s="69">
        <f t="shared" si="11"/>
        <v>1081.6595659694162</v>
      </c>
    </row>
    <row r="32" spans="1:28" s="62" customFormat="1" x14ac:dyDescent="0.25">
      <c r="A32" s="44" t="s">
        <v>18</v>
      </c>
      <c r="B32" s="6">
        <v>351.33477842645851</v>
      </c>
      <c r="C32" s="76">
        <f>+B32*10^3</f>
        <v>351334.77842645854</v>
      </c>
      <c r="W32" s="72"/>
      <c r="X32" s="72"/>
    </row>
    <row r="33" spans="1:28" x14ac:dyDescent="0.25">
      <c r="A33" s="44" t="s">
        <v>19</v>
      </c>
      <c r="B33" s="6">
        <v>1914.2289729220795</v>
      </c>
      <c r="C33" s="76">
        <f>+B33*10^3</f>
        <v>1914228.9729220795</v>
      </c>
    </row>
    <row r="34" spans="1:28" x14ac:dyDescent="0.25">
      <c r="A34" s="44" t="s">
        <v>1</v>
      </c>
      <c r="B34" s="6">
        <v>138.23007675795088</v>
      </c>
      <c r="C34" s="76">
        <f>+B34*10^2</f>
        <v>13823.007675795088</v>
      </c>
      <c r="V34" s="75"/>
    </row>
    <row r="35" spans="1:28" x14ac:dyDescent="0.25">
      <c r="V35" s="75"/>
    </row>
    <row r="37" spans="1:28" ht="25.5" x14ac:dyDescent="0.25">
      <c r="A37" s="106" t="s">
        <v>69</v>
      </c>
      <c r="B37" s="102" t="s">
        <v>133</v>
      </c>
      <c r="C37" s="103"/>
      <c r="D37" s="71" t="s">
        <v>174</v>
      </c>
      <c r="E37" s="104" t="s">
        <v>140</v>
      </c>
      <c r="F37" s="105"/>
      <c r="G37" s="105"/>
      <c r="H37" s="105"/>
      <c r="I37" s="105"/>
      <c r="J37" s="105"/>
      <c r="K37" s="105"/>
      <c r="L37" s="105"/>
      <c r="M37" s="5" t="s">
        <v>150</v>
      </c>
      <c r="N37" s="5" t="s">
        <v>173</v>
      </c>
      <c r="O37" s="5" t="s">
        <v>166</v>
      </c>
    </row>
    <row r="38" spans="1:28" x14ac:dyDescent="0.25">
      <c r="A38" s="107"/>
      <c r="B38" s="65"/>
      <c r="C38" s="66"/>
      <c r="D38" s="5"/>
      <c r="E38" s="5" t="s">
        <v>141</v>
      </c>
      <c r="F38" s="5" t="s">
        <v>142</v>
      </c>
      <c r="G38" s="5" t="s">
        <v>125</v>
      </c>
      <c r="H38" s="5" t="s">
        <v>143</v>
      </c>
      <c r="I38" s="5" t="s">
        <v>144</v>
      </c>
      <c r="J38" s="5" t="s">
        <v>145</v>
      </c>
      <c r="K38" s="5" t="s">
        <v>146</v>
      </c>
      <c r="L38" s="5" t="s">
        <v>130</v>
      </c>
      <c r="M38" s="5"/>
      <c r="N38" s="5"/>
      <c r="O38" s="5"/>
      <c r="P38" s="61" t="s">
        <v>6</v>
      </c>
      <c r="Q38" s="61" t="s">
        <v>147</v>
      </c>
      <c r="R38" s="61" t="s">
        <v>129</v>
      </c>
      <c r="S38" s="61" t="s">
        <v>148</v>
      </c>
      <c r="T38" s="61" t="s">
        <v>149</v>
      </c>
      <c r="U38" s="61" t="s">
        <v>131</v>
      </c>
      <c r="V38" s="61" t="s">
        <v>162</v>
      </c>
      <c r="W38" s="73" t="s">
        <v>154</v>
      </c>
      <c r="X38" s="73" t="s">
        <v>159</v>
      </c>
      <c r="Y38" s="77">
        <v>0.47</v>
      </c>
      <c r="Z38" s="61" t="s">
        <v>167</v>
      </c>
      <c r="AA38" s="61">
        <v>4609125.4999000002</v>
      </c>
      <c r="AB38" s="61" t="s">
        <v>171</v>
      </c>
    </row>
    <row r="39" spans="1:28" s="62" customFormat="1" x14ac:dyDescent="0.25">
      <c r="A39" s="99">
        <v>4</v>
      </c>
      <c r="B39" s="9" t="s">
        <v>134</v>
      </c>
      <c r="C39" s="9">
        <v>15</v>
      </c>
      <c r="D39" s="9">
        <f>+AA38/C44</f>
        <v>13.172886314522799</v>
      </c>
      <c r="E39" s="9">
        <v>1.6</v>
      </c>
      <c r="F39" s="9">
        <v>0.7</v>
      </c>
      <c r="G39" s="9">
        <v>1</v>
      </c>
      <c r="H39" s="9">
        <v>1</v>
      </c>
      <c r="I39" s="9">
        <v>1</v>
      </c>
      <c r="J39" s="9">
        <v>1.1000000000000001</v>
      </c>
      <c r="K39" s="9">
        <v>1</v>
      </c>
      <c r="L39" s="9">
        <v>1</v>
      </c>
      <c r="M39" s="9">
        <f>+C39*E39*F39*G39*H39*I39*J39*K39*L39</f>
        <v>18.479999999999997</v>
      </c>
      <c r="N39" s="9">
        <f>+D39/M39</f>
        <v>0.71281852351313857</v>
      </c>
      <c r="O39" s="9" t="str">
        <f>+IF(D39&gt;M39," NO PASA","PASA")</f>
        <v>PASA</v>
      </c>
      <c r="P39" s="69">
        <v>7084.2914338449827</v>
      </c>
      <c r="Q39" s="62">
        <v>36.92</v>
      </c>
      <c r="R39" s="69">
        <f>+P39/Q39</f>
        <v>191.88221651801143</v>
      </c>
      <c r="S39" s="62">
        <v>24</v>
      </c>
      <c r="T39" s="62">
        <f>12.92+12+12</f>
        <v>36.92</v>
      </c>
      <c r="U39" s="69">
        <f>+S39/T39</f>
        <v>0.65005417118093167</v>
      </c>
      <c r="W39" s="74" t="s">
        <v>155</v>
      </c>
      <c r="X39" s="74" t="s">
        <v>168</v>
      </c>
      <c r="Y39" s="77">
        <v>0.7</v>
      </c>
      <c r="Z39" s="62" t="s">
        <v>169</v>
      </c>
      <c r="AA39" s="62">
        <v>6865</v>
      </c>
      <c r="AB39" s="62" t="s">
        <v>158</v>
      </c>
    </row>
    <row r="40" spans="1:28" s="62" customFormat="1" x14ac:dyDescent="0.25">
      <c r="A40" s="100"/>
      <c r="B40" s="63" t="s">
        <v>135</v>
      </c>
      <c r="C40" s="63">
        <v>19</v>
      </c>
      <c r="D40" s="63">
        <f>AA40/C46</f>
        <v>1.9675409267808979</v>
      </c>
      <c r="E40" s="63">
        <v>1.6</v>
      </c>
      <c r="F40" s="63">
        <v>0.8</v>
      </c>
      <c r="G40" s="63">
        <v>1</v>
      </c>
      <c r="H40" s="63">
        <v>1</v>
      </c>
      <c r="I40" s="63">
        <v>1</v>
      </c>
      <c r="J40" s="9">
        <v>1.1000000000000001</v>
      </c>
      <c r="K40" s="63">
        <v>1</v>
      </c>
      <c r="L40" s="63">
        <v>1</v>
      </c>
      <c r="M40" s="9">
        <f t="shared" ref="M40:M41" si="12">+C40*E40*F40*G40*H40*I40*J40*K40*L40</f>
        <v>26.752000000000006</v>
      </c>
      <c r="N40" s="9">
        <f t="shared" ref="N40" si="13">+D40/M40</f>
        <v>7.3547432968783549E-2</v>
      </c>
      <c r="O40" s="9" t="str">
        <f t="shared" ref="O40:O41" si="14">+IF(D40&gt;M40," NO PASA","PASA")</f>
        <v>PASA</v>
      </c>
      <c r="P40" s="69">
        <v>25959.82958326599</v>
      </c>
      <c r="Q40" s="62">
        <v>36.92</v>
      </c>
      <c r="R40" s="69">
        <f t="shared" ref="R40:R43" si="15">+P40/Q40</f>
        <v>703.13731265617525</v>
      </c>
      <c r="W40" s="74" t="s">
        <v>156</v>
      </c>
      <c r="X40" s="74" t="s">
        <v>170</v>
      </c>
      <c r="Y40" s="77">
        <v>2.08</v>
      </c>
      <c r="Z40" s="62" t="s">
        <v>169</v>
      </c>
      <c r="AA40" s="62">
        <v>20398</v>
      </c>
      <c r="AB40" s="62" t="s">
        <v>158</v>
      </c>
    </row>
    <row r="41" spans="1:28" s="62" customFormat="1" x14ac:dyDescent="0.25">
      <c r="A41" s="100"/>
      <c r="B41" s="9" t="s">
        <v>136</v>
      </c>
      <c r="C41" s="9">
        <v>14</v>
      </c>
      <c r="D41" s="9">
        <f>AA41/C46</f>
        <v>0.87969277636247611</v>
      </c>
      <c r="E41" s="63">
        <v>1.6</v>
      </c>
      <c r="F41" s="63">
        <v>0.7</v>
      </c>
      <c r="G41" s="63">
        <v>1</v>
      </c>
      <c r="H41" s="63">
        <v>1</v>
      </c>
      <c r="I41" s="63">
        <v>1</v>
      </c>
      <c r="J41" s="63">
        <v>1.1000000000000001</v>
      </c>
      <c r="K41" s="63">
        <v>1</v>
      </c>
      <c r="L41" s="63">
        <v>1</v>
      </c>
      <c r="M41" s="9">
        <f t="shared" si="12"/>
        <v>17.248000000000001</v>
      </c>
      <c r="N41" s="9">
        <f>+D41/M41</f>
        <v>5.1002596032147268E-2</v>
      </c>
      <c r="O41" s="9" t="str">
        <f t="shared" si="14"/>
        <v>PASA</v>
      </c>
      <c r="P41" s="69"/>
      <c r="R41" s="69"/>
      <c r="W41" s="74" t="s">
        <v>158</v>
      </c>
      <c r="X41" s="74" t="s">
        <v>160</v>
      </c>
      <c r="Y41" s="77">
        <v>0.93</v>
      </c>
      <c r="Z41" s="62" t="s">
        <v>169</v>
      </c>
      <c r="AA41" s="62">
        <v>9120</v>
      </c>
      <c r="AB41" s="62" t="s">
        <v>158</v>
      </c>
    </row>
    <row r="42" spans="1:28" s="62" customFormat="1" x14ac:dyDescent="0.25">
      <c r="A42" s="101"/>
      <c r="B42" s="79" t="s">
        <v>138</v>
      </c>
      <c r="C42" s="79">
        <v>1.2</v>
      </c>
      <c r="D42" s="79">
        <f>(2*AA39/(3*C46))*((3*120^2)-(6*120*10)+(4*10^2))/((120^2)+(2*120*10)+(2*10))</f>
        <v>0.95534637959767377</v>
      </c>
      <c r="E42" s="79">
        <v>1.6</v>
      </c>
      <c r="F42" s="79">
        <v>0.8</v>
      </c>
      <c r="G42" s="79">
        <v>1</v>
      </c>
      <c r="H42" s="79">
        <v>1</v>
      </c>
      <c r="I42" s="79">
        <v>1</v>
      </c>
      <c r="J42" s="79">
        <v>1.1000000000000001</v>
      </c>
      <c r="K42" s="79">
        <v>1</v>
      </c>
      <c r="L42" s="79">
        <v>1</v>
      </c>
      <c r="M42" s="79">
        <f>+C42*E42*F42*G42*H42*I42*J42*K42*L42</f>
        <v>1.6896000000000002</v>
      </c>
      <c r="N42" s="79">
        <f>+D42/M42</f>
        <v>0.56542754474294132</v>
      </c>
      <c r="O42" s="79" t="str">
        <f>+IF(D42&gt;M42," NO PASA","PASA")</f>
        <v>PASA</v>
      </c>
      <c r="P42" s="69">
        <v>7084.2914338449827</v>
      </c>
      <c r="Q42" s="62">
        <v>24</v>
      </c>
      <c r="R42" s="69">
        <f t="shared" si="15"/>
        <v>295.17880974354097</v>
      </c>
    </row>
    <row r="43" spans="1:28" s="62" customFormat="1" x14ac:dyDescent="0.25">
      <c r="P43" s="69">
        <v>25959.82958326599</v>
      </c>
      <c r="Q43" s="62">
        <v>24</v>
      </c>
      <c r="R43" s="69">
        <f t="shared" si="15"/>
        <v>1081.6595659694162</v>
      </c>
    </row>
    <row r="44" spans="1:28" s="62" customFormat="1" x14ac:dyDescent="0.25">
      <c r="A44" s="44" t="s">
        <v>18</v>
      </c>
      <c r="B44" s="6">
        <v>349.89488179356312</v>
      </c>
      <c r="C44" s="76">
        <f>+B44*10^3</f>
        <v>349894.88179356314</v>
      </c>
      <c r="M44" s="26" t="s">
        <v>175</v>
      </c>
      <c r="N44" s="60">
        <f>+N39+N41</f>
        <v>0.76382111954528586</v>
      </c>
      <c r="O44" s="26" t="str">
        <f>+IF(N44&lt;1,"PASA","NO PASA")</f>
        <v>PASA</v>
      </c>
      <c r="W44" s="72"/>
      <c r="X44" s="72"/>
    </row>
    <row r="45" spans="1:28" x14ac:dyDescent="0.25">
      <c r="A45" s="44" t="s">
        <v>19</v>
      </c>
      <c r="B45" s="6">
        <v>1142.3462766861564</v>
      </c>
      <c r="C45" s="76">
        <f>+B45*10^3</f>
        <v>1142346.2766861564</v>
      </c>
    </row>
    <row r="46" spans="1:28" x14ac:dyDescent="0.25">
      <c r="A46" s="44" t="s">
        <v>1</v>
      </c>
      <c r="B46" s="6">
        <v>103.67255756846316</v>
      </c>
      <c r="C46" s="76">
        <f>+B46*10^2</f>
        <v>10367.255756846316</v>
      </c>
      <c r="V46" s="75"/>
    </row>
    <row r="47" spans="1:28" x14ac:dyDescent="0.25">
      <c r="V47" s="75"/>
    </row>
    <row r="49" spans="1:28" ht="25.5" x14ac:dyDescent="0.25">
      <c r="A49" s="106" t="s">
        <v>69</v>
      </c>
      <c r="B49" s="102" t="s">
        <v>133</v>
      </c>
      <c r="C49" s="103"/>
      <c r="D49" s="71" t="s">
        <v>174</v>
      </c>
      <c r="E49" s="104" t="s">
        <v>140</v>
      </c>
      <c r="F49" s="105"/>
      <c r="G49" s="105"/>
      <c r="H49" s="105"/>
      <c r="I49" s="105"/>
      <c r="J49" s="105"/>
      <c r="K49" s="105"/>
      <c r="L49" s="105"/>
      <c r="M49" s="5" t="s">
        <v>150</v>
      </c>
      <c r="N49" s="5" t="s">
        <v>173</v>
      </c>
      <c r="O49" s="5" t="s">
        <v>166</v>
      </c>
    </row>
    <row r="50" spans="1:28" x14ac:dyDescent="0.25">
      <c r="A50" s="107"/>
      <c r="B50" s="65"/>
      <c r="C50" s="66"/>
      <c r="D50" s="5"/>
      <c r="E50" s="5" t="s">
        <v>141</v>
      </c>
      <c r="F50" s="5" t="s">
        <v>142</v>
      </c>
      <c r="G50" s="5" t="s">
        <v>125</v>
      </c>
      <c r="H50" s="5" t="s">
        <v>143</v>
      </c>
      <c r="I50" s="5" t="s">
        <v>144</v>
      </c>
      <c r="J50" s="5" t="s">
        <v>145</v>
      </c>
      <c r="K50" s="5" t="s">
        <v>146</v>
      </c>
      <c r="L50" s="5" t="s">
        <v>130</v>
      </c>
      <c r="M50" s="5"/>
      <c r="N50" s="5"/>
      <c r="O50" s="5"/>
      <c r="P50" s="61" t="s">
        <v>6</v>
      </c>
      <c r="Q50" s="61" t="s">
        <v>147</v>
      </c>
      <c r="R50" s="61" t="s">
        <v>129</v>
      </c>
      <c r="S50" s="61" t="s">
        <v>148</v>
      </c>
      <c r="T50" s="61" t="s">
        <v>149</v>
      </c>
      <c r="U50" s="61" t="s">
        <v>131</v>
      </c>
      <c r="V50" s="61" t="s">
        <v>162</v>
      </c>
      <c r="W50" s="73" t="s">
        <v>154</v>
      </c>
      <c r="X50" s="73" t="s">
        <v>159</v>
      </c>
      <c r="Y50" s="77">
        <v>0.06</v>
      </c>
      <c r="Z50" s="61" t="s">
        <v>167</v>
      </c>
      <c r="AA50" s="61">
        <v>588398.99998700002</v>
      </c>
      <c r="AB50" s="61" t="s">
        <v>171</v>
      </c>
    </row>
    <row r="51" spans="1:28" s="62" customFormat="1" x14ac:dyDescent="0.25">
      <c r="A51" s="99">
        <v>5</v>
      </c>
      <c r="B51" s="9" t="s">
        <v>134</v>
      </c>
      <c r="C51" s="9">
        <v>15</v>
      </c>
      <c r="D51" s="9">
        <f>+AA50/C56</f>
        <v>2.2330040979614694</v>
      </c>
      <c r="E51" s="27">
        <v>1.25</v>
      </c>
      <c r="F51" s="9">
        <v>0.7</v>
      </c>
      <c r="G51" s="9">
        <v>1</v>
      </c>
      <c r="H51" s="9">
        <v>1</v>
      </c>
      <c r="I51" s="9">
        <v>1</v>
      </c>
      <c r="J51" s="9">
        <v>1.1000000000000001</v>
      </c>
      <c r="K51" s="9">
        <v>1</v>
      </c>
      <c r="L51" s="9">
        <v>1</v>
      </c>
      <c r="M51" s="9">
        <f>+C51*E51*F51*G51*H51*I51*J51*K51*L51</f>
        <v>14.437500000000002</v>
      </c>
      <c r="N51" s="9">
        <f>+D51/M51</f>
        <v>0.15466695050815371</v>
      </c>
      <c r="O51" s="9" t="str">
        <f>+IF(D51&gt;M51," NO PASA","PASA")</f>
        <v>PASA</v>
      </c>
      <c r="P51" s="69">
        <v>7084.2914338449827</v>
      </c>
      <c r="Q51" s="62">
        <v>36.92</v>
      </c>
      <c r="R51" s="69">
        <f>+P51/Q51</f>
        <v>191.88221651801143</v>
      </c>
      <c r="S51" s="62">
        <v>24</v>
      </c>
      <c r="T51" s="62">
        <f>12.92+12+12</f>
        <v>36.92</v>
      </c>
      <c r="U51" s="69">
        <f>+S51/T51</f>
        <v>0.65005417118093167</v>
      </c>
      <c r="W51" s="74" t="s">
        <v>155</v>
      </c>
      <c r="X51" s="74" t="s">
        <v>168</v>
      </c>
      <c r="Y51" s="77">
        <v>0.05</v>
      </c>
      <c r="Z51" s="62" t="s">
        <v>169</v>
      </c>
      <c r="AA51" s="62">
        <v>490.3</v>
      </c>
      <c r="AB51" s="62" t="s">
        <v>158</v>
      </c>
    </row>
    <row r="52" spans="1:28" s="62" customFormat="1" x14ac:dyDescent="0.25">
      <c r="A52" s="100"/>
      <c r="B52" s="63" t="s">
        <v>135</v>
      </c>
      <c r="C52" s="63">
        <v>19</v>
      </c>
      <c r="D52" s="63">
        <f>AA52/C58</f>
        <v>8.5133425922973849E-2</v>
      </c>
      <c r="E52" s="64">
        <v>1.25</v>
      </c>
      <c r="F52" s="63">
        <v>0.8</v>
      </c>
      <c r="G52" s="63">
        <v>1</v>
      </c>
      <c r="H52" s="63">
        <v>1</v>
      </c>
      <c r="I52" s="63">
        <v>1</v>
      </c>
      <c r="J52" s="9">
        <v>1.1000000000000001</v>
      </c>
      <c r="K52" s="63">
        <v>1</v>
      </c>
      <c r="L52" s="63">
        <v>1</v>
      </c>
      <c r="M52" s="9">
        <f t="shared" ref="M52:M53" si="16">+C52*E52*F52*G52*H52*I52*J52*K52*L52</f>
        <v>20.900000000000002</v>
      </c>
      <c r="N52" s="9">
        <f t="shared" ref="N52:N53" si="17">+D52/M52</f>
        <v>4.073369661386308E-3</v>
      </c>
      <c r="O52" s="9" t="str">
        <f t="shared" ref="O52:O53" si="18">+IF(D52&gt;M52," NO PASA","PASA")</f>
        <v>PASA</v>
      </c>
      <c r="P52" s="69">
        <v>25959.82958326599</v>
      </c>
      <c r="Q52" s="62">
        <v>36.92</v>
      </c>
      <c r="R52" s="69">
        <f t="shared" ref="R52:R54" si="19">+P52/Q52</f>
        <v>703.13731265617525</v>
      </c>
      <c r="W52" s="74" t="s">
        <v>156</v>
      </c>
      <c r="X52" s="74" t="s">
        <v>170</v>
      </c>
      <c r="Y52" s="77">
        <v>0.09</v>
      </c>
      <c r="Z52" s="62" t="s">
        <v>169</v>
      </c>
      <c r="AA52" s="62">
        <v>882.6</v>
      </c>
      <c r="AB52" s="62" t="s">
        <v>158</v>
      </c>
    </row>
    <row r="53" spans="1:28" s="62" customFormat="1" x14ac:dyDescent="0.25">
      <c r="A53" s="100"/>
      <c r="B53" s="9" t="s">
        <v>136</v>
      </c>
      <c r="C53" s="9">
        <v>14</v>
      </c>
      <c r="D53" s="9">
        <f>+AA53/C58</f>
        <v>0.18915323842618595</v>
      </c>
      <c r="E53" s="63">
        <v>1.6</v>
      </c>
      <c r="F53" s="63">
        <v>0.7</v>
      </c>
      <c r="G53" s="63">
        <v>1</v>
      </c>
      <c r="H53" s="63">
        <v>1</v>
      </c>
      <c r="I53" s="63">
        <v>1</v>
      </c>
      <c r="J53" s="63">
        <v>1.1000000000000001</v>
      </c>
      <c r="K53" s="63">
        <v>1</v>
      </c>
      <c r="L53" s="63">
        <v>1</v>
      </c>
      <c r="M53" s="9">
        <f t="shared" si="16"/>
        <v>17.248000000000001</v>
      </c>
      <c r="N53" s="9">
        <f t="shared" si="17"/>
        <v>1.0966676624894825E-2</v>
      </c>
      <c r="O53" s="9" t="str">
        <f t="shared" si="18"/>
        <v>PASA</v>
      </c>
      <c r="P53" s="69">
        <v>7084.2914338449827</v>
      </c>
      <c r="Q53" s="62">
        <v>24</v>
      </c>
      <c r="R53" s="69">
        <f t="shared" si="19"/>
        <v>295.17880974354097</v>
      </c>
      <c r="W53" s="74" t="s">
        <v>158</v>
      </c>
      <c r="X53" s="74" t="s">
        <v>160</v>
      </c>
      <c r="Y53" s="77">
        <v>0.2</v>
      </c>
      <c r="Z53" s="62" t="s">
        <v>169</v>
      </c>
      <c r="AA53" s="62">
        <v>1961</v>
      </c>
      <c r="AB53" s="62" t="s">
        <v>158</v>
      </c>
    </row>
    <row r="54" spans="1:28" s="62" customFormat="1" x14ac:dyDescent="0.25">
      <c r="A54" s="101"/>
      <c r="B54" s="9" t="s">
        <v>138</v>
      </c>
      <c r="C54" s="9">
        <v>1.2</v>
      </c>
      <c r="D54" s="9">
        <f>(2*AA51/(3*C58))*((3*120^2)-(6*120*10)+(4*10^2))/((120^2)+(2*120*10)+(2*10))</f>
        <v>6.8231075006080055E-2</v>
      </c>
      <c r="E54" s="67">
        <v>1.25</v>
      </c>
      <c r="F54" s="9">
        <v>0.8</v>
      </c>
      <c r="G54" s="9">
        <v>1</v>
      </c>
      <c r="H54" s="9">
        <v>1</v>
      </c>
      <c r="I54" s="9">
        <v>1</v>
      </c>
      <c r="J54" s="9">
        <v>1.1000000000000001</v>
      </c>
      <c r="K54" s="9">
        <v>1</v>
      </c>
      <c r="L54" s="9">
        <v>1</v>
      </c>
      <c r="M54" s="9">
        <f>+C54*E54*F54*G54*H54*I54*J54*K54*L54</f>
        <v>1.3200000000000003</v>
      </c>
      <c r="N54" s="9">
        <f>+D54/M54</f>
        <v>5.1690208337939428E-2</v>
      </c>
      <c r="O54" s="9" t="str">
        <f>+IF(D54&gt;M54," NO PASA","PASA")</f>
        <v>PASA</v>
      </c>
      <c r="P54" s="69">
        <v>25959.82958326599</v>
      </c>
      <c r="Q54" s="62">
        <v>24</v>
      </c>
      <c r="R54" s="69">
        <f t="shared" si="19"/>
        <v>1081.6595659694162</v>
      </c>
    </row>
    <row r="55" spans="1:28" s="62" customFormat="1" x14ac:dyDescent="0.25">
      <c r="W55" s="72"/>
      <c r="X55" s="72"/>
    </row>
    <row r="56" spans="1:28" x14ac:dyDescent="0.25">
      <c r="A56" s="44" t="s">
        <v>18</v>
      </c>
      <c r="B56" s="6">
        <v>263.50108381984387</v>
      </c>
      <c r="C56" s="76">
        <f>+B56*10^3</f>
        <v>263501.08381984389</v>
      </c>
      <c r="M56" s="26" t="s">
        <v>175</v>
      </c>
      <c r="N56" s="60">
        <f>+N51+N53</f>
        <v>0.16563362713304852</v>
      </c>
      <c r="O56" s="26" t="str">
        <f>+IF(N56&lt;1,"PASA","NO PASA")</f>
        <v>PASA</v>
      </c>
    </row>
    <row r="57" spans="1:28" x14ac:dyDescent="0.25">
      <c r="A57" s="44" t="s">
        <v>19</v>
      </c>
      <c r="B57" s="6">
        <v>1169.8240777311394</v>
      </c>
      <c r="C57" s="76">
        <f>+B57*10^3</f>
        <v>1169824.0777311393</v>
      </c>
      <c r="V57" s="75"/>
    </row>
    <row r="58" spans="1:28" x14ac:dyDescent="0.25">
      <c r="A58" s="44" t="s">
        <v>1</v>
      </c>
      <c r="B58" s="6">
        <v>103.67255756846316</v>
      </c>
      <c r="C58" s="76">
        <f>+B58*10^2</f>
        <v>10367.255756846316</v>
      </c>
      <c r="V58" s="75"/>
    </row>
    <row r="61" spans="1:28" ht="25.5" x14ac:dyDescent="0.25">
      <c r="A61" s="106" t="s">
        <v>69</v>
      </c>
      <c r="B61" s="102" t="s">
        <v>133</v>
      </c>
      <c r="C61" s="103"/>
      <c r="D61" s="71" t="s">
        <v>174</v>
      </c>
      <c r="E61" s="104" t="s">
        <v>140</v>
      </c>
      <c r="F61" s="105"/>
      <c r="G61" s="105"/>
      <c r="H61" s="105"/>
      <c r="I61" s="105"/>
      <c r="J61" s="105"/>
      <c r="K61" s="105"/>
      <c r="L61" s="105"/>
      <c r="M61" s="5" t="s">
        <v>150</v>
      </c>
      <c r="N61" s="5" t="s">
        <v>173</v>
      </c>
      <c r="O61" s="5" t="s">
        <v>166</v>
      </c>
    </row>
    <row r="62" spans="1:28" x14ac:dyDescent="0.25">
      <c r="A62" s="107"/>
      <c r="B62" s="65"/>
      <c r="C62" s="66"/>
      <c r="D62" s="5"/>
      <c r="E62" s="5" t="s">
        <v>141</v>
      </c>
      <c r="F62" s="5" t="s">
        <v>142</v>
      </c>
      <c r="G62" s="5" t="s">
        <v>125</v>
      </c>
      <c r="H62" s="5" t="s">
        <v>143</v>
      </c>
      <c r="I62" s="5" t="s">
        <v>144</v>
      </c>
      <c r="J62" s="5" t="s">
        <v>145</v>
      </c>
      <c r="K62" s="5" t="s">
        <v>146</v>
      </c>
      <c r="L62" s="5" t="s">
        <v>130</v>
      </c>
      <c r="M62" s="5"/>
      <c r="N62" s="5"/>
      <c r="O62" s="5"/>
      <c r="P62" s="61" t="s">
        <v>6</v>
      </c>
      <c r="Q62" s="61" t="s">
        <v>147</v>
      </c>
      <c r="R62" s="61" t="s">
        <v>129</v>
      </c>
      <c r="S62" s="61" t="s">
        <v>148</v>
      </c>
      <c r="T62" s="61" t="s">
        <v>149</v>
      </c>
      <c r="U62" s="61" t="s">
        <v>131</v>
      </c>
      <c r="V62" s="61" t="s">
        <v>162</v>
      </c>
      <c r="W62" s="73" t="s">
        <v>154</v>
      </c>
      <c r="X62" s="73" t="s">
        <v>159</v>
      </c>
      <c r="Y62" s="77">
        <v>0.31</v>
      </c>
      <c r="Z62" s="61" t="s">
        <v>167</v>
      </c>
      <c r="AA62" s="61">
        <v>3040061.499934</v>
      </c>
      <c r="AB62" s="61" t="s">
        <v>171</v>
      </c>
    </row>
    <row r="63" spans="1:28" s="62" customFormat="1" x14ac:dyDescent="0.25">
      <c r="A63" s="99">
        <v>6</v>
      </c>
      <c r="B63" s="9" t="s">
        <v>134</v>
      </c>
      <c r="C63" s="9">
        <v>15</v>
      </c>
      <c r="D63" s="9">
        <f>+AA62/C68</f>
        <v>17.305781759208028</v>
      </c>
      <c r="E63" s="9">
        <v>1.6</v>
      </c>
      <c r="F63" s="9">
        <v>0.7</v>
      </c>
      <c r="G63" s="9">
        <v>1</v>
      </c>
      <c r="H63" s="9">
        <v>1</v>
      </c>
      <c r="I63" s="9">
        <v>1</v>
      </c>
      <c r="J63" s="9">
        <v>1.1000000000000001</v>
      </c>
      <c r="K63" s="9">
        <v>1</v>
      </c>
      <c r="L63" s="9">
        <v>1</v>
      </c>
      <c r="M63" s="9">
        <f>+C63*E63*F63*G63*H63*I63*J63*K63*L63</f>
        <v>18.479999999999997</v>
      </c>
      <c r="N63" s="9">
        <f>+D63/M63</f>
        <v>0.93646005190519643</v>
      </c>
      <c r="O63" s="9" t="str">
        <f>+IF(D63&gt;M63," NO PASA","PASA")</f>
        <v>PASA</v>
      </c>
      <c r="P63" s="69">
        <v>7084.2914338449827</v>
      </c>
      <c r="Q63" s="62">
        <v>36.92</v>
      </c>
      <c r="R63" s="69">
        <f>+P63/Q63</f>
        <v>191.88221651801143</v>
      </c>
      <c r="S63" s="62">
        <v>24</v>
      </c>
      <c r="T63" s="62">
        <f>12.92+12+12</f>
        <v>36.92</v>
      </c>
      <c r="U63" s="69">
        <f>+S63/T63</f>
        <v>0.65005417118093167</v>
      </c>
      <c r="W63" s="74" t="s">
        <v>155</v>
      </c>
      <c r="X63" s="74" t="s">
        <v>168</v>
      </c>
      <c r="Y63" s="77">
        <v>0.24</v>
      </c>
      <c r="Z63" s="62" t="s">
        <v>169</v>
      </c>
      <c r="AA63" s="62">
        <v>2354</v>
      </c>
      <c r="AB63" s="62" t="s">
        <v>158</v>
      </c>
    </row>
    <row r="64" spans="1:28" s="62" customFormat="1" x14ac:dyDescent="0.25">
      <c r="A64" s="100"/>
      <c r="B64" s="63" t="s">
        <v>135</v>
      </c>
      <c r="C64" s="63">
        <v>19</v>
      </c>
      <c r="D64" s="63">
        <f>AA64/C70</f>
        <v>0.21283356480743462</v>
      </c>
      <c r="E64" s="63">
        <v>1.6</v>
      </c>
      <c r="F64" s="63">
        <v>0.8</v>
      </c>
      <c r="G64" s="63">
        <v>1</v>
      </c>
      <c r="H64" s="63">
        <v>1</v>
      </c>
      <c r="I64" s="63">
        <v>1</v>
      </c>
      <c r="J64" s="9">
        <v>1.1000000000000001</v>
      </c>
      <c r="K64" s="63">
        <v>1</v>
      </c>
      <c r="L64" s="63">
        <v>1</v>
      </c>
      <c r="M64" s="9">
        <f t="shared" ref="M64:M65" si="20">+C64*E64*F64*G64*H64*I64*J64*K64*L64</f>
        <v>26.752000000000006</v>
      </c>
      <c r="N64" s="9">
        <f t="shared" ref="N64:N65" si="21">+D64/M64</f>
        <v>7.9558001198951327E-3</v>
      </c>
      <c r="O64" s="9" t="str">
        <f t="shared" ref="O64:O65" si="22">+IF(D64&gt;M64," NO PASA","PASA")</f>
        <v>PASA</v>
      </c>
      <c r="P64" s="69">
        <v>25959.82958326599</v>
      </c>
      <c r="Q64" s="62">
        <v>36.92</v>
      </c>
      <c r="R64" s="69">
        <f t="shared" ref="R64:R66" si="23">+P64/Q64</f>
        <v>703.13731265617525</v>
      </c>
      <c r="W64" s="74" t="s">
        <v>156</v>
      </c>
      <c r="X64" s="74" t="s">
        <v>170</v>
      </c>
      <c r="Y64" s="77">
        <v>0.15</v>
      </c>
      <c r="Z64" s="62" t="s">
        <v>169</v>
      </c>
      <c r="AA64" s="62">
        <v>1471</v>
      </c>
      <c r="AB64" s="62" t="s">
        <v>158</v>
      </c>
    </row>
    <row r="65" spans="1:28" s="62" customFormat="1" x14ac:dyDescent="0.25">
      <c r="A65" s="100"/>
      <c r="B65" s="9" t="s">
        <v>136</v>
      </c>
      <c r="C65" s="9">
        <v>14</v>
      </c>
      <c r="D65" s="9">
        <f>+AA65/C70</f>
        <v>0.28372985763927888</v>
      </c>
      <c r="E65" s="63">
        <v>1.6</v>
      </c>
      <c r="F65" s="63">
        <v>0.7</v>
      </c>
      <c r="G65" s="63">
        <v>1</v>
      </c>
      <c r="H65" s="63">
        <v>1</v>
      </c>
      <c r="I65" s="63">
        <v>1</v>
      </c>
      <c r="J65" s="63">
        <v>1.1000000000000001</v>
      </c>
      <c r="K65" s="63">
        <v>1</v>
      </c>
      <c r="L65" s="63">
        <v>1</v>
      </c>
      <c r="M65" s="9">
        <f t="shared" si="20"/>
        <v>17.248000000000001</v>
      </c>
      <c r="N65" s="9">
        <f t="shared" si="21"/>
        <v>1.6450014937342234E-2</v>
      </c>
      <c r="O65" s="9" t="str">
        <f t="shared" si="22"/>
        <v>PASA</v>
      </c>
      <c r="P65" s="69">
        <v>7084.2914338449827</v>
      </c>
      <c r="Q65" s="62">
        <v>24</v>
      </c>
      <c r="R65" s="69">
        <f t="shared" si="23"/>
        <v>295.17880974354097</v>
      </c>
      <c r="W65" s="74" t="s">
        <v>158</v>
      </c>
      <c r="X65" s="74" t="s">
        <v>160</v>
      </c>
      <c r="Y65" s="77">
        <v>0.2</v>
      </c>
      <c r="Z65" s="62" t="s">
        <v>169</v>
      </c>
      <c r="AA65" s="62">
        <v>1961</v>
      </c>
      <c r="AB65" s="62" t="s">
        <v>158</v>
      </c>
    </row>
    <row r="66" spans="1:28" s="62" customFormat="1" x14ac:dyDescent="0.25">
      <c r="A66" s="101"/>
      <c r="B66" s="9" t="s">
        <v>138</v>
      </c>
      <c r="C66" s="9">
        <v>1.2</v>
      </c>
      <c r="D66" s="9">
        <f>(2*AA63/(3*C70))*((3*120^2)-(6*120*10)+(4*10^2))/((120^2)+(2*120*10)+(2*10))</f>
        <v>0.4913806360319572</v>
      </c>
      <c r="E66" s="67">
        <v>1.6</v>
      </c>
      <c r="F66" s="9">
        <v>0.8</v>
      </c>
      <c r="G66" s="9">
        <v>1</v>
      </c>
      <c r="H66" s="9">
        <v>1</v>
      </c>
      <c r="I66" s="9">
        <v>1</v>
      </c>
      <c r="J66" s="9">
        <v>1.1000000000000001</v>
      </c>
      <c r="K66" s="9">
        <v>1</v>
      </c>
      <c r="L66" s="9">
        <v>1</v>
      </c>
      <c r="M66" s="9">
        <f>+C66*E66*F66*G66*H66*I66*J66*K66*L66</f>
        <v>1.6896000000000002</v>
      </c>
      <c r="N66" s="9">
        <f>+D66/M66</f>
        <v>0.29082660749997463</v>
      </c>
      <c r="O66" s="9" t="str">
        <f>+IF(D66&gt;M66," NO PASA","PASA")</f>
        <v>PASA</v>
      </c>
      <c r="P66" s="69">
        <v>25959.82958326599</v>
      </c>
      <c r="Q66" s="62">
        <v>24</v>
      </c>
      <c r="R66" s="69">
        <f t="shared" si="23"/>
        <v>1081.6595659694162</v>
      </c>
    </row>
    <row r="68" spans="1:28" x14ac:dyDescent="0.25">
      <c r="A68" s="44" t="s">
        <v>18</v>
      </c>
      <c r="B68" s="6">
        <v>175.66738921322926</v>
      </c>
      <c r="C68" s="76">
        <f>+B68*10^3</f>
        <v>175667.38921322927</v>
      </c>
      <c r="M68" s="26" t="s">
        <v>175</v>
      </c>
      <c r="N68" s="60">
        <f>+N63+N65</f>
        <v>0.95291006684253865</v>
      </c>
      <c r="O68" s="26" t="str">
        <f>+IF(N68&lt;1,"PASA","NO PASA")</f>
        <v>PASA</v>
      </c>
      <c r="V68" s="75"/>
    </row>
    <row r="69" spans="1:28" x14ac:dyDescent="0.25">
      <c r="A69" s="44" t="s">
        <v>19</v>
      </c>
      <c r="B69" s="6">
        <v>638.36536444619287</v>
      </c>
      <c r="C69" s="76">
        <f>+B69*10^3</f>
        <v>638365.36444619286</v>
      </c>
      <c r="V69" s="75"/>
    </row>
    <row r="70" spans="1:28" x14ac:dyDescent="0.25">
      <c r="A70" s="44" t="s">
        <v>1</v>
      </c>
      <c r="B70" s="6">
        <v>69.115038378975441</v>
      </c>
      <c r="C70" s="76">
        <f>+B70*10^2</f>
        <v>6911.5038378975441</v>
      </c>
    </row>
    <row r="73" spans="1:28" ht="25.5" x14ac:dyDescent="0.25">
      <c r="A73" s="106" t="s">
        <v>69</v>
      </c>
      <c r="B73" s="102" t="s">
        <v>133</v>
      </c>
      <c r="C73" s="103"/>
      <c r="D73" s="71" t="s">
        <v>174</v>
      </c>
      <c r="E73" s="104" t="s">
        <v>140</v>
      </c>
      <c r="F73" s="105"/>
      <c r="G73" s="105"/>
      <c r="H73" s="105"/>
      <c r="I73" s="105"/>
      <c r="J73" s="105"/>
      <c r="K73" s="105"/>
      <c r="L73" s="105"/>
      <c r="M73" s="5" t="s">
        <v>150</v>
      </c>
      <c r="N73" s="5" t="s">
        <v>173</v>
      </c>
      <c r="O73" s="5" t="s">
        <v>166</v>
      </c>
    </row>
    <row r="74" spans="1:28" x14ac:dyDescent="0.25">
      <c r="A74" s="107"/>
      <c r="B74" s="65"/>
      <c r="C74" s="66"/>
      <c r="D74" s="5"/>
      <c r="E74" s="5" t="s">
        <v>141</v>
      </c>
      <c r="F74" s="5" t="s">
        <v>142</v>
      </c>
      <c r="G74" s="5" t="s">
        <v>125</v>
      </c>
      <c r="H74" s="5" t="s">
        <v>143</v>
      </c>
      <c r="I74" s="5" t="s">
        <v>144</v>
      </c>
      <c r="J74" s="5" t="s">
        <v>145</v>
      </c>
      <c r="K74" s="5" t="s">
        <v>146</v>
      </c>
      <c r="L74" s="5" t="s">
        <v>130</v>
      </c>
      <c r="M74" s="5"/>
      <c r="N74" s="5"/>
      <c r="O74" s="5"/>
      <c r="P74" s="61" t="s">
        <v>6</v>
      </c>
      <c r="Q74" s="61" t="s">
        <v>147</v>
      </c>
      <c r="R74" s="61" t="s">
        <v>129</v>
      </c>
      <c r="S74" s="61" t="s">
        <v>148</v>
      </c>
      <c r="T74" s="61" t="s">
        <v>149</v>
      </c>
      <c r="U74" s="61" t="s">
        <v>131</v>
      </c>
      <c r="V74" s="61" t="s">
        <v>162</v>
      </c>
      <c r="W74" s="73" t="s">
        <v>154</v>
      </c>
      <c r="X74" s="73" t="s">
        <v>159</v>
      </c>
      <c r="Y74" s="77">
        <v>0.63</v>
      </c>
      <c r="Z74" s="61" t="s">
        <v>167</v>
      </c>
      <c r="AA74" s="61">
        <v>6178189.4998660004</v>
      </c>
      <c r="AB74" s="61" t="s">
        <v>171</v>
      </c>
    </row>
    <row r="75" spans="1:28" s="62" customFormat="1" x14ac:dyDescent="0.25">
      <c r="A75" s="99">
        <v>7</v>
      </c>
      <c r="B75" s="67" t="s">
        <v>134</v>
      </c>
      <c r="C75" s="67">
        <v>15</v>
      </c>
      <c r="D75" s="67">
        <f>+AA74/C81</f>
        <v>16.130516444491356</v>
      </c>
      <c r="E75" s="67">
        <v>1.6</v>
      </c>
      <c r="F75" s="67">
        <v>0.7</v>
      </c>
      <c r="G75" s="67">
        <v>1</v>
      </c>
      <c r="H75" s="67">
        <v>1</v>
      </c>
      <c r="I75" s="67">
        <v>1</v>
      </c>
      <c r="J75" s="67">
        <v>1.1000000000000001</v>
      </c>
      <c r="K75" s="67">
        <v>1</v>
      </c>
      <c r="L75" s="67">
        <v>1</v>
      </c>
      <c r="M75" s="67">
        <f>+C75*E75*F75*G75*H75*I75*J75*K75*L75</f>
        <v>18.479999999999997</v>
      </c>
      <c r="N75" s="67">
        <f>+D75/M75</f>
        <v>0.87286344396598259</v>
      </c>
      <c r="O75" s="67" t="str">
        <f>+IF(D75&gt;M75," NO PASA","PASA")</f>
        <v>PASA</v>
      </c>
      <c r="P75" s="69">
        <v>7084.2914338449827</v>
      </c>
      <c r="Q75" s="62">
        <v>36.92</v>
      </c>
      <c r="R75" s="69">
        <f>+P75/Q75</f>
        <v>191.88221651801143</v>
      </c>
      <c r="S75" s="62">
        <v>24</v>
      </c>
      <c r="T75" s="62">
        <f>12.92+12+12</f>
        <v>36.92</v>
      </c>
      <c r="U75" s="69">
        <f>+S75/T75</f>
        <v>0.65005417118093167</v>
      </c>
      <c r="W75" s="74" t="s">
        <v>155</v>
      </c>
      <c r="X75" s="74" t="s">
        <v>168</v>
      </c>
      <c r="Y75" s="77">
        <v>0.81</v>
      </c>
      <c r="Z75" s="62" t="s">
        <v>169</v>
      </c>
      <c r="AA75" s="62">
        <v>7943</v>
      </c>
      <c r="AB75" s="62" t="s">
        <v>158</v>
      </c>
    </row>
    <row r="76" spans="1:28" s="62" customFormat="1" x14ac:dyDescent="0.25">
      <c r="A76" s="100"/>
      <c r="B76" s="63" t="s">
        <v>135</v>
      </c>
      <c r="C76" s="63">
        <v>19</v>
      </c>
      <c r="D76" s="63">
        <f>AA76/C83</f>
        <v>0.84424462994655403</v>
      </c>
      <c r="E76" s="63">
        <v>1.6</v>
      </c>
      <c r="F76" s="63">
        <v>0.8</v>
      </c>
      <c r="G76" s="63">
        <v>1</v>
      </c>
      <c r="H76" s="63">
        <v>1</v>
      </c>
      <c r="I76" s="63">
        <v>1</v>
      </c>
      <c r="J76" s="9">
        <v>1.1000000000000001</v>
      </c>
      <c r="K76" s="63">
        <v>1</v>
      </c>
      <c r="L76" s="63">
        <v>1</v>
      </c>
      <c r="M76" s="9">
        <f t="shared" ref="M76:M77" si="24">+C76*E76*F76*G76*H76*I76*J76*K76*L76</f>
        <v>26.752000000000006</v>
      </c>
      <c r="N76" s="9">
        <f t="shared" ref="N76" si="25">+D76/M76</f>
        <v>3.1558187423241395E-2</v>
      </c>
      <c r="O76" s="9" t="str">
        <f t="shared" ref="O76:O77" si="26">+IF(D76&gt;M76," NO PASA","PASA")</f>
        <v>PASA</v>
      </c>
      <c r="P76" s="69">
        <v>25959.82958326599</v>
      </c>
      <c r="Q76" s="62">
        <v>36.92</v>
      </c>
      <c r="R76" s="69">
        <f t="shared" ref="R76:R78" si="27">+P76/Q76</f>
        <v>703.13731265617525</v>
      </c>
      <c r="W76" s="74" t="s">
        <v>156</v>
      </c>
      <c r="X76" s="74" t="s">
        <v>170</v>
      </c>
      <c r="Y76" s="77">
        <v>1.19</v>
      </c>
      <c r="Z76" s="62" t="s">
        <v>169</v>
      </c>
      <c r="AA76" s="62">
        <v>11670</v>
      </c>
      <c r="AB76" s="62" t="s">
        <v>158</v>
      </c>
    </row>
    <row r="77" spans="1:28" s="62" customFormat="1" x14ac:dyDescent="0.25">
      <c r="A77" s="100"/>
      <c r="B77" s="9" t="s">
        <v>136</v>
      </c>
      <c r="C77" s="9">
        <v>14</v>
      </c>
      <c r="D77" s="9">
        <f>+AA77/C82</f>
        <v>1.9221346570684167E-2</v>
      </c>
      <c r="E77" s="63">
        <v>1.6</v>
      </c>
      <c r="F77" s="63">
        <v>0.7</v>
      </c>
      <c r="G77" s="63">
        <v>1</v>
      </c>
      <c r="H77" s="63">
        <v>1</v>
      </c>
      <c r="I77" s="63">
        <v>1</v>
      </c>
      <c r="J77" s="63">
        <v>1.1000000000000001</v>
      </c>
      <c r="K77" s="63">
        <v>1</v>
      </c>
      <c r="L77" s="63">
        <v>1</v>
      </c>
      <c r="M77" s="9">
        <f t="shared" si="24"/>
        <v>17.248000000000001</v>
      </c>
      <c r="N77" s="9">
        <f>+D77/M77</f>
        <v>1.1144101675953249E-3</v>
      </c>
      <c r="O77" s="9" t="str">
        <f t="shared" si="26"/>
        <v>PASA</v>
      </c>
      <c r="P77" s="69">
        <v>7084.2914338449827</v>
      </c>
      <c r="Q77" s="62">
        <v>24</v>
      </c>
      <c r="R77" s="69">
        <f t="shared" si="27"/>
        <v>295.17880974354097</v>
      </c>
      <c r="W77" s="74" t="s">
        <v>158</v>
      </c>
      <c r="X77" s="74" t="s">
        <v>160</v>
      </c>
      <c r="Y77" s="77">
        <v>1.53</v>
      </c>
      <c r="Z77" s="62" t="s">
        <v>169</v>
      </c>
      <c r="AA77" s="62">
        <v>15004</v>
      </c>
      <c r="AB77" s="62" t="s">
        <v>158</v>
      </c>
    </row>
    <row r="78" spans="1:28" s="62" customFormat="1" x14ac:dyDescent="0.25">
      <c r="A78" s="101"/>
      <c r="B78" s="67" t="s">
        <v>138</v>
      </c>
      <c r="C78" s="67">
        <v>1.2</v>
      </c>
      <c r="D78" s="67">
        <f>(2*AA75/(3*C83))*((3*120^2)-(6*120*10)+(4*10^2))/((120^2)+(2*120*10)+(2*10))</f>
        <v>0.82902217332239503</v>
      </c>
      <c r="E78" s="67">
        <v>1.6</v>
      </c>
      <c r="F78" s="67">
        <v>0.8</v>
      </c>
      <c r="G78" s="67">
        <v>1</v>
      </c>
      <c r="H78" s="67">
        <v>1</v>
      </c>
      <c r="I78" s="67">
        <v>1</v>
      </c>
      <c r="J78" s="67">
        <v>1.1000000000000001</v>
      </c>
      <c r="K78" s="67">
        <v>1</v>
      </c>
      <c r="L78" s="67">
        <v>1</v>
      </c>
      <c r="M78" s="67">
        <f>+C78*E78*F78*G78*H78*I78*J78*K78*L78</f>
        <v>1.6896000000000002</v>
      </c>
      <c r="N78" s="67">
        <f>+D78/M78</f>
        <v>0.49066179765766743</v>
      </c>
      <c r="O78" s="67" t="str">
        <f>+IF(D78&gt;M78," NO PASA","PASA")</f>
        <v>PASA</v>
      </c>
      <c r="P78" s="69">
        <v>25959.82958326599</v>
      </c>
      <c r="Q78" s="62">
        <v>24</v>
      </c>
      <c r="R78" s="69">
        <f t="shared" si="27"/>
        <v>1081.6595659694162</v>
      </c>
    </row>
    <row r="79" spans="1:28" s="62" customFormat="1" x14ac:dyDescent="0.25">
      <c r="W79" s="72"/>
      <c r="X79" s="72"/>
    </row>
    <row r="80" spans="1:28" x14ac:dyDescent="0.25">
      <c r="M80" s="26" t="s">
        <v>175</v>
      </c>
      <c r="N80" s="60">
        <f>+N75+N77</f>
        <v>0.87397785413357787</v>
      </c>
      <c r="O80" s="26" t="str">
        <f>+IF(N80&lt;1,"PASA","NO PASA")</f>
        <v>PASA</v>
      </c>
    </row>
    <row r="81" spans="1:28" x14ac:dyDescent="0.25">
      <c r="A81" s="44" t="s">
        <v>18</v>
      </c>
      <c r="B81" s="6">
        <v>383.01250435015555</v>
      </c>
      <c r="C81" s="76">
        <f>+B81*10^3</f>
        <v>383012.50435015553</v>
      </c>
      <c r="V81" s="75"/>
    </row>
    <row r="82" spans="1:28" x14ac:dyDescent="0.25">
      <c r="A82" s="44" t="s">
        <v>19</v>
      </c>
      <c r="B82" s="6">
        <v>780.59047241173312</v>
      </c>
      <c r="C82" s="76">
        <f>+B82*10^3</f>
        <v>780590.47241173312</v>
      </c>
      <c r="V82" s="75"/>
    </row>
    <row r="83" spans="1:28" x14ac:dyDescent="0.25">
      <c r="A83" s="44" t="s">
        <v>1</v>
      </c>
      <c r="B83" s="6">
        <v>138.23007675795088</v>
      </c>
      <c r="C83" s="76">
        <f>+B83*10^2</f>
        <v>13823.007675795088</v>
      </c>
    </row>
    <row r="85" spans="1:28" ht="25.5" x14ac:dyDescent="0.25">
      <c r="A85" s="106" t="s">
        <v>69</v>
      </c>
      <c r="B85" s="102" t="s">
        <v>133</v>
      </c>
      <c r="C85" s="103"/>
      <c r="D85" s="71" t="s">
        <v>174</v>
      </c>
      <c r="E85" s="104" t="s">
        <v>140</v>
      </c>
      <c r="F85" s="105"/>
      <c r="G85" s="105"/>
      <c r="H85" s="105"/>
      <c r="I85" s="105"/>
      <c r="J85" s="105"/>
      <c r="K85" s="105"/>
      <c r="L85" s="105"/>
      <c r="M85" s="5" t="s">
        <v>150</v>
      </c>
      <c r="N85" s="5" t="s">
        <v>173</v>
      </c>
      <c r="O85" s="5" t="s">
        <v>166</v>
      </c>
    </row>
    <row r="86" spans="1:28" x14ac:dyDescent="0.25">
      <c r="A86" s="107"/>
      <c r="B86" s="65"/>
      <c r="C86" s="66"/>
      <c r="D86" s="5"/>
      <c r="E86" s="5" t="s">
        <v>141</v>
      </c>
      <c r="F86" s="5" t="s">
        <v>142</v>
      </c>
      <c r="G86" s="5" t="s">
        <v>125</v>
      </c>
      <c r="H86" s="5" t="s">
        <v>143</v>
      </c>
      <c r="I86" s="5" t="s">
        <v>144</v>
      </c>
      <c r="J86" s="5" t="s">
        <v>145</v>
      </c>
      <c r="K86" s="5" t="s">
        <v>146</v>
      </c>
      <c r="L86" s="5" t="s">
        <v>130</v>
      </c>
      <c r="M86" s="5"/>
      <c r="N86" s="5"/>
      <c r="O86" s="5"/>
      <c r="P86" s="61" t="s">
        <v>6</v>
      </c>
      <c r="Q86" s="61" t="s">
        <v>147</v>
      </c>
      <c r="R86" s="61" t="s">
        <v>129</v>
      </c>
      <c r="S86" s="61" t="s">
        <v>148</v>
      </c>
      <c r="T86" s="61" t="s">
        <v>149</v>
      </c>
      <c r="U86" s="61" t="s">
        <v>131</v>
      </c>
      <c r="V86" s="61" t="s">
        <v>162</v>
      </c>
      <c r="W86" s="73" t="s">
        <v>154</v>
      </c>
      <c r="X86" s="73" t="s">
        <v>159</v>
      </c>
      <c r="Y86" s="77">
        <v>6.4000000000000005E-4</v>
      </c>
      <c r="Z86" s="61" t="s">
        <v>167</v>
      </c>
      <c r="AA86" s="61">
        <v>6276.2560000000003</v>
      </c>
      <c r="AB86" s="61" t="s">
        <v>171</v>
      </c>
    </row>
    <row r="87" spans="1:28" s="62" customFormat="1" x14ac:dyDescent="0.25">
      <c r="A87" s="99" t="s">
        <v>189</v>
      </c>
      <c r="B87" s="9" t="s">
        <v>134</v>
      </c>
      <c r="C87" s="9">
        <v>15</v>
      </c>
      <c r="D87" s="9">
        <f>+AA86/C92</f>
        <v>7.145613113634576E-2</v>
      </c>
      <c r="E87" s="67">
        <v>1.6</v>
      </c>
      <c r="F87" s="9">
        <v>0.7</v>
      </c>
      <c r="G87" s="9">
        <v>1</v>
      </c>
      <c r="H87" s="9">
        <v>1</v>
      </c>
      <c r="I87" s="9">
        <v>1</v>
      </c>
      <c r="J87" s="9">
        <v>1.1000000000000001</v>
      </c>
      <c r="K87" s="9">
        <v>1</v>
      </c>
      <c r="L87" s="9">
        <v>1</v>
      </c>
      <c r="M87" s="9">
        <f>+C87*E87*F87*G87*H87*I87*J87*K87*L87</f>
        <v>18.479999999999997</v>
      </c>
      <c r="N87" s="9">
        <f>+D87/M87</f>
        <v>3.8666737627892733E-3</v>
      </c>
      <c r="O87" s="9" t="str">
        <f>+IF(D87&gt;M87," NO PASA","PASA")</f>
        <v>PASA</v>
      </c>
      <c r="P87" s="69">
        <v>7084.2914338449827</v>
      </c>
      <c r="Q87" s="62">
        <v>36.92</v>
      </c>
      <c r="R87" s="69">
        <f>+P87/Q87</f>
        <v>191.88221651801143</v>
      </c>
      <c r="S87" s="62">
        <v>24</v>
      </c>
      <c r="T87" s="62">
        <f>12.92+12+12</f>
        <v>36.92</v>
      </c>
      <c r="U87" s="69">
        <f>+S87/T87</f>
        <v>0.65005417118093167</v>
      </c>
      <c r="W87" s="74" t="s">
        <v>155</v>
      </c>
      <c r="X87" s="74" t="s">
        <v>168</v>
      </c>
      <c r="Y87" s="77">
        <v>1.1000000000000001E-3</v>
      </c>
      <c r="Z87" s="62" t="s">
        <v>169</v>
      </c>
      <c r="AA87" s="62">
        <v>10.79</v>
      </c>
      <c r="AB87" s="62" t="s">
        <v>158</v>
      </c>
    </row>
    <row r="88" spans="1:28" s="62" customFormat="1" x14ac:dyDescent="0.25">
      <c r="A88" s="100"/>
      <c r="B88" s="63" t="s">
        <v>135</v>
      </c>
      <c r="C88" s="63">
        <v>19</v>
      </c>
      <c r="D88" s="63">
        <f>AA88/C94</f>
        <v>11.578088050999682</v>
      </c>
      <c r="E88" s="79">
        <v>1.6</v>
      </c>
      <c r="F88" s="63">
        <v>0.8</v>
      </c>
      <c r="G88" s="63">
        <v>1</v>
      </c>
      <c r="H88" s="63">
        <v>1</v>
      </c>
      <c r="I88" s="63">
        <v>1</v>
      </c>
      <c r="J88" s="9">
        <v>1.1000000000000001</v>
      </c>
      <c r="K88" s="63">
        <v>1</v>
      </c>
      <c r="L88" s="63">
        <v>1</v>
      </c>
      <c r="M88" s="9">
        <f t="shared" ref="M88:M89" si="28">+C88*E88*F88*G88*H88*I88*J88*K88*L88</f>
        <v>26.752000000000006</v>
      </c>
      <c r="N88" s="9">
        <f t="shared" ref="N88:N89" si="29">+D88/M88</f>
        <v>0.43279336315040667</v>
      </c>
      <c r="O88" s="9" t="str">
        <f t="shared" ref="O88:O89" si="30">+IF(D88&gt;M88," NO PASA","PASA")</f>
        <v>PASA</v>
      </c>
      <c r="P88" s="69">
        <v>25959.82958326599</v>
      </c>
      <c r="Q88" s="62">
        <v>36.92</v>
      </c>
      <c r="R88" s="69">
        <f t="shared" ref="R88:R90" si="31">+P88/Q88</f>
        <v>703.13731265617525</v>
      </c>
      <c r="W88" s="74" t="s">
        <v>156</v>
      </c>
      <c r="X88" s="74" t="s">
        <v>170</v>
      </c>
      <c r="Y88" s="77">
        <v>4.08</v>
      </c>
      <c r="Z88" s="62" t="s">
        <v>169</v>
      </c>
      <c r="AA88" s="62">
        <v>40011</v>
      </c>
      <c r="AB88" s="62" t="s">
        <v>158</v>
      </c>
    </row>
    <row r="89" spans="1:28" s="62" customFormat="1" x14ac:dyDescent="0.25">
      <c r="A89" s="100"/>
      <c r="B89" s="9" t="s">
        <v>136</v>
      </c>
      <c r="C89" s="9">
        <v>14</v>
      </c>
      <c r="D89" s="9">
        <f>+AA89/C94</f>
        <v>14.557757958303768</v>
      </c>
      <c r="E89" s="63">
        <v>1.6</v>
      </c>
      <c r="F89" s="63">
        <v>0.7</v>
      </c>
      <c r="G89" s="63">
        <v>1</v>
      </c>
      <c r="H89" s="63">
        <v>1</v>
      </c>
      <c r="I89" s="63">
        <v>1</v>
      </c>
      <c r="J89" s="63">
        <v>1.1000000000000001</v>
      </c>
      <c r="K89" s="63">
        <v>1</v>
      </c>
      <c r="L89" s="63">
        <v>1</v>
      </c>
      <c r="M89" s="9">
        <f t="shared" si="28"/>
        <v>17.248000000000001</v>
      </c>
      <c r="N89" s="9">
        <f t="shared" si="29"/>
        <v>0.84402585565304766</v>
      </c>
      <c r="O89" s="9" t="str">
        <f t="shared" si="30"/>
        <v>PASA</v>
      </c>
      <c r="P89" s="69">
        <v>7084.2914338449827</v>
      </c>
      <c r="Q89" s="62">
        <v>24</v>
      </c>
      <c r="R89" s="69">
        <f t="shared" si="31"/>
        <v>295.17880974354097</v>
      </c>
      <c r="W89" s="74" t="s">
        <v>158</v>
      </c>
      <c r="X89" s="74" t="s">
        <v>160</v>
      </c>
      <c r="Y89" s="77">
        <v>5.13</v>
      </c>
      <c r="Z89" s="62" t="s">
        <v>169</v>
      </c>
      <c r="AA89" s="62">
        <v>50308</v>
      </c>
      <c r="AB89" s="62" t="s">
        <v>158</v>
      </c>
    </row>
    <row r="90" spans="1:28" s="62" customFormat="1" x14ac:dyDescent="0.25">
      <c r="A90" s="101"/>
      <c r="B90" s="9" t="s">
        <v>138</v>
      </c>
      <c r="C90" s="9">
        <v>1.2</v>
      </c>
      <c r="D90" s="9">
        <f>(2*AA87/(3*C94))*((3*120^2)-(6*120*10)+(4*10^2))/((120^2)+(2*120*10)+(2*10))</f>
        <v>4.5046704016863367E-3</v>
      </c>
      <c r="E90" s="67">
        <v>1.6</v>
      </c>
      <c r="F90" s="9">
        <v>0.8</v>
      </c>
      <c r="G90" s="9">
        <v>1</v>
      </c>
      <c r="H90" s="9">
        <v>1</v>
      </c>
      <c r="I90" s="9">
        <v>1</v>
      </c>
      <c r="J90" s="9">
        <v>1.1000000000000001</v>
      </c>
      <c r="K90" s="9">
        <v>1</v>
      </c>
      <c r="L90" s="9">
        <v>1</v>
      </c>
      <c r="M90" s="9">
        <f>+C90*E90*F90*G90*H90*I90*J90*K90*L90</f>
        <v>1.6896000000000002</v>
      </c>
      <c r="N90" s="9">
        <f>+D90/M90</f>
        <v>2.6661164782707954E-3</v>
      </c>
      <c r="O90" s="9" t="str">
        <f>+IF(D90&gt;M90," NO PASA","PASA")</f>
        <v>PASA</v>
      </c>
      <c r="P90" s="69">
        <v>25959.82958326599</v>
      </c>
      <c r="Q90" s="62">
        <v>24</v>
      </c>
      <c r="R90" s="69">
        <f t="shared" si="31"/>
        <v>1081.6595659694162</v>
      </c>
    </row>
    <row r="91" spans="1:28" s="62" customFormat="1" x14ac:dyDescent="0.25">
      <c r="W91" s="72"/>
      <c r="X91" s="72"/>
    </row>
    <row r="92" spans="1:28" x14ac:dyDescent="0.25">
      <c r="A92" s="44" t="s">
        <v>18</v>
      </c>
      <c r="B92" s="6">
        <v>87.833694606614628</v>
      </c>
      <c r="C92" s="76">
        <f>+B92*10^3</f>
        <v>87833.694606614634</v>
      </c>
      <c r="M92" s="26" t="s">
        <v>175</v>
      </c>
      <c r="N92" s="60">
        <f>+N87+N89</f>
        <v>0.84789252941583693</v>
      </c>
      <c r="O92" s="26" t="str">
        <f>+IF(N92&lt;1,"PASA","NO PASA")</f>
        <v>PASA</v>
      </c>
    </row>
    <row r="93" spans="1:28" x14ac:dyDescent="0.25">
      <c r="A93" s="44" t="s">
        <v>19</v>
      </c>
      <c r="B93" s="6">
        <v>87.833694606614628</v>
      </c>
      <c r="C93" s="76">
        <f>+B93*10^3</f>
        <v>87833.694606614634</v>
      </c>
      <c r="V93" s="75"/>
    </row>
    <row r="94" spans="1:28" x14ac:dyDescent="0.25">
      <c r="A94" s="44" t="s">
        <v>1</v>
      </c>
      <c r="B94" s="6">
        <v>34.557519189487721</v>
      </c>
      <c r="C94" s="76">
        <f>+B94*10^2</f>
        <v>3455.7519189487721</v>
      </c>
      <c r="V94" s="75"/>
    </row>
    <row r="96" spans="1:28" ht="25.5" x14ac:dyDescent="0.25">
      <c r="A96" s="106" t="s">
        <v>69</v>
      </c>
      <c r="B96" s="102" t="s">
        <v>133</v>
      </c>
      <c r="C96" s="103"/>
      <c r="D96" s="71" t="s">
        <v>174</v>
      </c>
      <c r="E96" s="104" t="s">
        <v>140</v>
      </c>
      <c r="F96" s="105"/>
      <c r="G96" s="105"/>
      <c r="H96" s="105"/>
      <c r="I96" s="105"/>
      <c r="J96" s="105"/>
      <c r="K96" s="105"/>
      <c r="L96" s="105"/>
      <c r="M96" s="5" t="s">
        <v>150</v>
      </c>
      <c r="N96" s="5" t="s">
        <v>173</v>
      </c>
      <c r="O96" s="5" t="s">
        <v>166</v>
      </c>
    </row>
    <row r="97" spans="1:28" x14ac:dyDescent="0.25">
      <c r="A97" s="107"/>
      <c r="B97" s="65"/>
      <c r="C97" s="66"/>
      <c r="D97" s="5"/>
      <c r="E97" s="5" t="s">
        <v>141</v>
      </c>
      <c r="F97" s="5" t="s">
        <v>142</v>
      </c>
      <c r="G97" s="5" t="s">
        <v>125</v>
      </c>
      <c r="H97" s="5" t="s">
        <v>143</v>
      </c>
      <c r="I97" s="5" t="s">
        <v>144</v>
      </c>
      <c r="J97" s="5" t="s">
        <v>145</v>
      </c>
      <c r="K97" s="5" t="s">
        <v>146</v>
      </c>
      <c r="L97" s="5" t="s">
        <v>130</v>
      </c>
      <c r="M97" s="5"/>
      <c r="N97" s="5"/>
      <c r="O97" s="5"/>
      <c r="P97" s="61" t="s">
        <v>6</v>
      </c>
      <c r="Q97" s="61" t="s">
        <v>147</v>
      </c>
      <c r="R97" s="61" t="s">
        <v>129</v>
      </c>
      <c r="S97" s="61" t="s">
        <v>148</v>
      </c>
      <c r="T97" s="61" t="s">
        <v>149</v>
      </c>
      <c r="U97" s="61" t="s">
        <v>131</v>
      </c>
      <c r="V97" s="61" t="s">
        <v>162</v>
      </c>
      <c r="W97" s="73" t="s">
        <v>154</v>
      </c>
      <c r="X97" s="73" t="s">
        <v>159</v>
      </c>
      <c r="Y97" s="77">
        <v>0.13</v>
      </c>
      <c r="Z97" s="61" t="s">
        <v>167</v>
      </c>
      <c r="AA97" s="61">
        <v>1274864.499972</v>
      </c>
      <c r="AB97" s="61" t="s">
        <v>171</v>
      </c>
    </row>
    <row r="98" spans="1:28" s="62" customFormat="1" x14ac:dyDescent="0.25">
      <c r="A98" s="99" t="s">
        <v>188</v>
      </c>
      <c r="B98" s="9" t="s">
        <v>134</v>
      </c>
      <c r="C98" s="9">
        <v>15</v>
      </c>
      <c r="D98" s="9">
        <f>+AA97/C103</f>
        <v>14.514526636751446</v>
      </c>
      <c r="E98" s="67">
        <v>1.6</v>
      </c>
      <c r="F98" s="9">
        <v>0.7</v>
      </c>
      <c r="G98" s="9">
        <v>1</v>
      </c>
      <c r="H98" s="9">
        <v>1</v>
      </c>
      <c r="I98" s="9">
        <v>1</v>
      </c>
      <c r="J98" s="9">
        <v>1.1000000000000001</v>
      </c>
      <c r="K98" s="9">
        <v>1</v>
      </c>
      <c r="L98" s="9">
        <v>1</v>
      </c>
      <c r="M98" s="9">
        <f>+C98*E98*F98*G98*H98*I98*J98*K98*L98</f>
        <v>18.479999999999997</v>
      </c>
      <c r="N98" s="9">
        <f>+D98/M98</f>
        <v>0.78541810804932077</v>
      </c>
      <c r="O98" s="9" t="str">
        <f>+IF(D98&gt;M98," NO PASA","PASA")</f>
        <v>PASA</v>
      </c>
      <c r="P98" s="69">
        <v>7084.2914338449827</v>
      </c>
      <c r="Q98" s="62">
        <v>36.92</v>
      </c>
      <c r="R98" s="69">
        <f>+P98/Q98</f>
        <v>191.88221651801143</v>
      </c>
      <c r="S98" s="62">
        <v>24</v>
      </c>
      <c r="T98" s="62">
        <f>12.92+12+12</f>
        <v>36.92</v>
      </c>
      <c r="U98" s="69">
        <f>+S98/T98</f>
        <v>0.65005417118093167</v>
      </c>
      <c r="W98" s="74" t="s">
        <v>155</v>
      </c>
      <c r="X98" s="74" t="s">
        <v>168</v>
      </c>
      <c r="Y98" s="77">
        <v>0.34</v>
      </c>
      <c r="Z98" s="62" t="s">
        <v>169</v>
      </c>
      <c r="AA98" s="62">
        <v>3334</v>
      </c>
      <c r="AB98" s="62" t="s">
        <v>158</v>
      </c>
    </row>
    <row r="99" spans="1:28" s="62" customFormat="1" x14ac:dyDescent="0.25">
      <c r="A99" s="100"/>
      <c r="B99" s="63" t="s">
        <v>135</v>
      </c>
      <c r="C99" s="63">
        <v>19</v>
      </c>
      <c r="D99" s="63">
        <f>AA99/C105</f>
        <v>4.0865201933522659</v>
      </c>
      <c r="E99" s="79">
        <v>1.6</v>
      </c>
      <c r="F99" s="63">
        <v>0.8</v>
      </c>
      <c r="G99" s="63">
        <v>1</v>
      </c>
      <c r="H99" s="63">
        <v>1</v>
      </c>
      <c r="I99" s="63">
        <v>1</v>
      </c>
      <c r="J99" s="9">
        <v>1.1000000000000001</v>
      </c>
      <c r="K99" s="63">
        <v>1</v>
      </c>
      <c r="L99" s="63">
        <v>1</v>
      </c>
      <c r="M99" s="9">
        <f t="shared" ref="M99:M100" si="32">+C99*E99*F99*G99*H99*I99*J99*K99*L99</f>
        <v>26.752000000000006</v>
      </c>
      <c r="N99" s="9">
        <f t="shared" ref="N99:N100" si="33">+D99/M99</f>
        <v>0.1527556890457635</v>
      </c>
      <c r="O99" s="9" t="str">
        <f t="shared" ref="O99:O100" si="34">+IF(D99&gt;M99," NO PASA","PASA")</f>
        <v>PASA</v>
      </c>
      <c r="P99" s="69">
        <v>25959.82958326599</v>
      </c>
      <c r="Q99" s="62">
        <v>36.92</v>
      </c>
      <c r="R99" s="69">
        <f t="shared" ref="R99:R101" si="35">+P99/Q99</f>
        <v>703.13731265617525</v>
      </c>
      <c r="W99" s="74" t="s">
        <v>156</v>
      </c>
      <c r="X99" s="74" t="s">
        <v>170</v>
      </c>
      <c r="Y99" s="77">
        <v>1.44</v>
      </c>
      <c r="Z99" s="62" t="s">
        <v>169</v>
      </c>
      <c r="AA99" s="62">
        <v>14122</v>
      </c>
      <c r="AB99" s="62" t="s">
        <v>158</v>
      </c>
    </row>
    <row r="100" spans="1:28" s="62" customFormat="1" x14ac:dyDescent="0.25">
      <c r="A100" s="100"/>
      <c r="B100" s="9" t="s">
        <v>136</v>
      </c>
      <c r="C100" s="9">
        <v>14</v>
      </c>
      <c r="D100" s="9">
        <f>+AA100/C105</f>
        <v>6.2999313928248251</v>
      </c>
      <c r="E100" s="63">
        <v>1.6</v>
      </c>
      <c r="F100" s="63">
        <v>0.7</v>
      </c>
      <c r="G100" s="63">
        <v>1</v>
      </c>
      <c r="H100" s="63">
        <v>1</v>
      </c>
      <c r="I100" s="63">
        <v>1</v>
      </c>
      <c r="J100" s="63">
        <v>1.1000000000000001</v>
      </c>
      <c r="K100" s="63">
        <v>1</v>
      </c>
      <c r="L100" s="63">
        <v>1</v>
      </c>
      <c r="M100" s="9">
        <f t="shared" si="32"/>
        <v>17.248000000000001</v>
      </c>
      <c r="N100" s="9">
        <f t="shared" si="33"/>
        <v>0.36525576257101255</v>
      </c>
      <c r="O100" s="9" t="str">
        <f t="shared" si="34"/>
        <v>PASA</v>
      </c>
      <c r="P100" s="69">
        <v>7084.2914338449827</v>
      </c>
      <c r="Q100" s="62">
        <v>24</v>
      </c>
      <c r="R100" s="69">
        <f t="shared" si="35"/>
        <v>295.17880974354097</v>
      </c>
      <c r="W100" s="74" t="s">
        <v>158</v>
      </c>
      <c r="X100" s="74" t="s">
        <v>160</v>
      </c>
      <c r="Y100" s="77">
        <v>2.2200000000000002</v>
      </c>
      <c r="Z100" s="62" t="s">
        <v>169</v>
      </c>
      <c r="AA100" s="62">
        <v>21771</v>
      </c>
      <c r="AB100" s="62" t="s">
        <v>158</v>
      </c>
    </row>
    <row r="101" spans="1:28" s="62" customFormat="1" x14ac:dyDescent="0.25">
      <c r="A101" s="101"/>
      <c r="B101" s="9" t="s">
        <v>138</v>
      </c>
      <c r="C101" s="9">
        <v>1.2</v>
      </c>
      <c r="D101" s="9">
        <f>(2*AA98/(3*C105))*((3*120^2)-(6*120*10)+(4*10^2))/((120^2)+(2*120*10)+(2*10))</f>
        <v>1.3918972306971498</v>
      </c>
      <c r="E101" s="67">
        <v>1.6</v>
      </c>
      <c r="F101" s="9">
        <v>0.8</v>
      </c>
      <c r="G101" s="9">
        <v>1</v>
      </c>
      <c r="H101" s="9">
        <v>1</v>
      </c>
      <c r="I101" s="9">
        <v>1</v>
      </c>
      <c r="J101" s="9">
        <v>1.1000000000000001</v>
      </c>
      <c r="K101" s="9">
        <v>1</v>
      </c>
      <c r="L101" s="9">
        <v>1</v>
      </c>
      <c r="M101" s="9">
        <f>+C101*E101*F101*G101*H101*I101*J101*K101*L101</f>
        <v>1.6896000000000002</v>
      </c>
      <c r="N101" s="9">
        <f>+D101/M101</f>
        <v>0.82380281172890013</v>
      </c>
      <c r="O101" s="9" t="str">
        <f>+IF(D101&gt;M101," NO PASA","PASA")</f>
        <v>PASA</v>
      </c>
      <c r="P101" s="69">
        <v>25959.82958326599</v>
      </c>
      <c r="Q101" s="62">
        <v>24</v>
      </c>
      <c r="R101" s="69">
        <f t="shared" si="35"/>
        <v>1081.6595659694162</v>
      </c>
    </row>
    <row r="102" spans="1:28" s="62" customFormat="1" x14ac:dyDescent="0.25">
      <c r="W102" s="72"/>
      <c r="X102" s="72"/>
    </row>
    <row r="103" spans="1:28" x14ac:dyDescent="0.25">
      <c r="A103" s="44" t="s">
        <v>18</v>
      </c>
      <c r="B103" s="6">
        <v>87.833694606614628</v>
      </c>
      <c r="C103" s="76">
        <f>+B103*10^3</f>
        <v>87833.694606614634</v>
      </c>
    </row>
    <row r="104" spans="1:28" x14ac:dyDescent="0.25">
      <c r="A104" s="44" t="s">
        <v>19</v>
      </c>
      <c r="B104" s="6">
        <v>87.833694606614628</v>
      </c>
      <c r="C104" s="76">
        <f>+B104*10^3</f>
        <v>87833.694606614634</v>
      </c>
      <c r="V104" s="75"/>
    </row>
    <row r="105" spans="1:28" x14ac:dyDescent="0.25">
      <c r="A105" s="44" t="s">
        <v>1</v>
      </c>
      <c r="B105" s="6">
        <v>34.557519189487721</v>
      </c>
      <c r="C105" s="76">
        <f>+B105*10^2</f>
        <v>3455.7519189487721</v>
      </c>
      <c r="V105" s="75"/>
    </row>
    <row r="107" spans="1:28" ht="25.5" x14ac:dyDescent="0.25">
      <c r="A107" s="106" t="s">
        <v>69</v>
      </c>
      <c r="B107" s="102" t="s">
        <v>133</v>
      </c>
      <c r="C107" s="103"/>
      <c r="D107" s="71" t="s">
        <v>174</v>
      </c>
      <c r="E107" s="104" t="s">
        <v>140</v>
      </c>
      <c r="F107" s="105"/>
      <c r="G107" s="105"/>
      <c r="H107" s="105"/>
      <c r="I107" s="105"/>
      <c r="J107" s="105"/>
      <c r="K107" s="105"/>
      <c r="L107" s="105"/>
      <c r="M107" s="5" t="s">
        <v>150</v>
      </c>
      <c r="N107" s="5" t="s">
        <v>173</v>
      </c>
      <c r="O107" s="5" t="s">
        <v>166</v>
      </c>
    </row>
    <row r="108" spans="1:28" x14ac:dyDescent="0.25">
      <c r="A108" s="107"/>
      <c r="B108" s="65"/>
      <c r="C108" s="66"/>
      <c r="D108" s="5"/>
      <c r="E108" s="5" t="s">
        <v>141</v>
      </c>
      <c r="F108" s="5" t="s">
        <v>142</v>
      </c>
      <c r="G108" s="5" t="s">
        <v>125</v>
      </c>
      <c r="H108" s="5" t="s">
        <v>143</v>
      </c>
      <c r="I108" s="5" t="s">
        <v>144</v>
      </c>
      <c r="J108" s="5" t="s">
        <v>145</v>
      </c>
      <c r="K108" s="5" t="s">
        <v>146</v>
      </c>
      <c r="L108" s="5" t="s">
        <v>130</v>
      </c>
      <c r="M108" s="5"/>
      <c r="N108" s="5"/>
      <c r="O108" s="5"/>
      <c r="P108" s="61" t="s">
        <v>6</v>
      </c>
      <c r="Q108" s="61" t="s">
        <v>147</v>
      </c>
      <c r="R108" s="61" t="s">
        <v>129</v>
      </c>
      <c r="S108" s="61" t="s">
        <v>148</v>
      </c>
      <c r="T108" s="61" t="s">
        <v>149</v>
      </c>
      <c r="U108" s="61" t="s">
        <v>131</v>
      </c>
      <c r="V108" s="61" t="s">
        <v>162</v>
      </c>
      <c r="W108" s="73" t="s">
        <v>154</v>
      </c>
      <c r="X108" s="73" t="s">
        <v>159</v>
      </c>
      <c r="Y108" s="77">
        <v>1.48</v>
      </c>
      <c r="Z108" s="61" t="s">
        <v>167</v>
      </c>
      <c r="AA108" s="61">
        <v>14513841.999686001</v>
      </c>
      <c r="AB108" s="61" t="s">
        <v>171</v>
      </c>
    </row>
    <row r="109" spans="1:28" s="62" customFormat="1" x14ac:dyDescent="0.25">
      <c r="A109" s="99" t="s">
        <v>190</v>
      </c>
      <c r="B109" s="67" t="s">
        <v>134</v>
      </c>
      <c r="C109" s="67">
        <v>15</v>
      </c>
      <c r="D109" s="67">
        <f>+AA108/C115</f>
        <v>37.893911647378587</v>
      </c>
      <c r="E109" s="67">
        <v>1.6</v>
      </c>
      <c r="F109" s="67">
        <v>0.7</v>
      </c>
      <c r="G109" s="67">
        <v>1</v>
      </c>
      <c r="H109" s="67">
        <v>1</v>
      </c>
      <c r="I109" s="67">
        <v>1</v>
      </c>
      <c r="J109" s="67">
        <v>1.1000000000000001</v>
      </c>
      <c r="K109" s="67">
        <v>1</v>
      </c>
      <c r="L109" s="67">
        <v>1</v>
      </c>
      <c r="M109" s="67">
        <f>+C109*E109*F109*G109*H109*I109*J109*K109*L109</f>
        <v>18.479999999999997</v>
      </c>
      <c r="N109" s="67">
        <f>+D109/M109</f>
        <v>2.0505363445551188</v>
      </c>
      <c r="O109" s="67" t="str">
        <f>+IF(D109&gt;M109," NO PASA","PASA")</f>
        <v xml:space="preserve"> NO PASA</v>
      </c>
      <c r="P109" s="69">
        <v>7084.2914338449827</v>
      </c>
      <c r="Q109" s="62">
        <v>36.92</v>
      </c>
      <c r="R109" s="69">
        <f>+P109/Q109</f>
        <v>191.88221651801143</v>
      </c>
      <c r="S109" s="62">
        <v>24</v>
      </c>
      <c r="T109" s="62">
        <f>12.92+12+12</f>
        <v>36.92</v>
      </c>
      <c r="U109" s="69">
        <f>+S109/T109</f>
        <v>0.65005417118093167</v>
      </c>
      <c r="W109" s="74" t="s">
        <v>155</v>
      </c>
      <c r="X109" s="74" t="s">
        <v>168</v>
      </c>
      <c r="Y109" s="77">
        <v>1.51</v>
      </c>
      <c r="Z109" s="62" t="s">
        <v>169</v>
      </c>
      <c r="AA109" s="62">
        <v>14808</v>
      </c>
      <c r="AB109" s="62" t="s">
        <v>158</v>
      </c>
    </row>
    <row r="110" spans="1:28" s="62" customFormat="1" x14ac:dyDescent="0.25">
      <c r="A110" s="100"/>
      <c r="B110" s="63" t="s">
        <v>135</v>
      </c>
      <c r="C110" s="63">
        <v>19</v>
      </c>
      <c r="D110" s="63">
        <f>AA110/C117</f>
        <v>0.67394884083822593</v>
      </c>
      <c r="E110" s="63">
        <v>1.6</v>
      </c>
      <c r="F110" s="63">
        <v>0.8</v>
      </c>
      <c r="G110" s="63">
        <v>1</v>
      </c>
      <c r="H110" s="63">
        <v>1</v>
      </c>
      <c r="I110" s="63">
        <v>1</v>
      </c>
      <c r="J110" s="9">
        <v>1.1000000000000001</v>
      </c>
      <c r="K110" s="63">
        <v>1</v>
      </c>
      <c r="L110" s="63">
        <v>1</v>
      </c>
      <c r="M110" s="9">
        <f t="shared" ref="M110:M111" si="36">+C110*E110*F110*G110*H110*I110*J110*K110*L110</f>
        <v>26.752000000000006</v>
      </c>
      <c r="N110" s="9">
        <f t="shared" ref="N110" si="37">+D110/M110</f>
        <v>2.5192465641381046E-2</v>
      </c>
      <c r="O110" s="9" t="str">
        <f t="shared" ref="O110:O111" si="38">+IF(D110&gt;M110," NO PASA","PASA")</f>
        <v>PASA</v>
      </c>
      <c r="P110" s="69">
        <v>25959.82958326599</v>
      </c>
      <c r="Q110" s="62">
        <v>36.92</v>
      </c>
      <c r="R110" s="69">
        <f t="shared" ref="R110:R112" si="39">+P110/Q110</f>
        <v>703.13731265617525</v>
      </c>
      <c r="W110" s="74" t="s">
        <v>156</v>
      </c>
      <c r="X110" s="74" t="s">
        <v>170</v>
      </c>
      <c r="Y110" s="77">
        <v>0.95</v>
      </c>
      <c r="Z110" s="62" t="s">
        <v>169</v>
      </c>
      <c r="AA110" s="62">
        <v>9316</v>
      </c>
      <c r="AB110" s="62" t="s">
        <v>158</v>
      </c>
    </row>
    <row r="111" spans="1:28" s="62" customFormat="1" x14ac:dyDescent="0.25">
      <c r="A111" s="100"/>
      <c r="B111" s="9" t="s">
        <v>136</v>
      </c>
      <c r="C111" s="9">
        <v>14</v>
      </c>
      <c r="D111" s="9">
        <f>+AA111/C116</f>
        <v>1.5577950833079144E-2</v>
      </c>
      <c r="E111" s="63">
        <v>1.6</v>
      </c>
      <c r="F111" s="63">
        <v>0.7</v>
      </c>
      <c r="G111" s="63">
        <v>1</v>
      </c>
      <c r="H111" s="63">
        <v>1</v>
      </c>
      <c r="I111" s="63">
        <v>1</v>
      </c>
      <c r="J111" s="63">
        <v>1.1000000000000001</v>
      </c>
      <c r="K111" s="63">
        <v>1</v>
      </c>
      <c r="L111" s="63">
        <v>1</v>
      </c>
      <c r="M111" s="9">
        <f t="shared" si="36"/>
        <v>17.248000000000001</v>
      </c>
      <c r="N111" s="9">
        <f>+D111/M111</f>
        <v>9.0317432937610991E-4</v>
      </c>
      <c r="O111" s="9" t="str">
        <f t="shared" si="38"/>
        <v>PASA</v>
      </c>
      <c r="P111" s="69">
        <v>7084.2914338449827</v>
      </c>
      <c r="Q111" s="62">
        <v>24</v>
      </c>
      <c r="R111" s="69">
        <f t="shared" si="39"/>
        <v>295.17880974354097</v>
      </c>
      <c r="W111" s="74" t="s">
        <v>158</v>
      </c>
      <c r="X111" s="74" t="s">
        <v>160</v>
      </c>
      <c r="Y111" s="77">
        <v>1.24</v>
      </c>
      <c r="Z111" s="62" t="s">
        <v>169</v>
      </c>
      <c r="AA111" s="62">
        <v>12160</v>
      </c>
      <c r="AB111" s="62" t="s">
        <v>158</v>
      </c>
    </row>
    <row r="112" spans="1:28" s="62" customFormat="1" x14ac:dyDescent="0.25">
      <c r="A112" s="101"/>
      <c r="B112" s="67" t="s">
        <v>138</v>
      </c>
      <c r="C112" s="67">
        <v>1.2</v>
      </c>
      <c r="D112" s="67">
        <f>(2*AA109/(3*C117))*((3*120^2)-(6*120*10)+(4*10^2))/((120^2)+(2*120*10)+(2*10))</f>
        <v>1.5455319580206506</v>
      </c>
      <c r="E112" s="67">
        <v>1.6</v>
      </c>
      <c r="F112" s="67">
        <v>0.8</v>
      </c>
      <c r="G112" s="67">
        <v>1</v>
      </c>
      <c r="H112" s="67">
        <v>1</v>
      </c>
      <c r="I112" s="67">
        <v>1</v>
      </c>
      <c r="J112" s="67">
        <v>1.1000000000000001</v>
      </c>
      <c r="K112" s="67">
        <v>1</v>
      </c>
      <c r="L112" s="67">
        <v>1</v>
      </c>
      <c r="M112" s="67">
        <f>+C112*E112*F112*G112*H112*I112*J112*K112*L112</f>
        <v>1.6896000000000002</v>
      </c>
      <c r="N112" s="67">
        <f>+D112/M112</f>
        <v>0.91473245621487353</v>
      </c>
      <c r="O112" s="67" t="str">
        <f>+IF(D112&gt;M112," NO PASA","PASA")</f>
        <v>PASA</v>
      </c>
      <c r="P112" s="69">
        <v>25959.82958326599</v>
      </c>
      <c r="Q112" s="62">
        <v>24</v>
      </c>
      <c r="R112" s="69">
        <f t="shared" si="39"/>
        <v>1081.6595659694162</v>
      </c>
    </row>
    <row r="113" spans="1:24" s="62" customFormat="1" x14ac:dyDescent="0.25">
      <c r="W113" s="72"/>
      <c r="X113" s="72"/>
    </row>
    <row r="114" spans="1:24" x14ac:dyDescent="0.25">
      <c r="M114" s="26" t="s">
        <v>175</v>
      </c>
      <c r="N114" s="60">
        <f>+N109+N111</f>
        <v>2.0514395188844947</v>
      </c>
      <c r="O114" s="26" t="str">
        <f>+IF(N114&lt;1,"PASA","NO PASA")</f>
        <v>NO PASA</v>
      </c>
    </row>
    <row r="115" spans="1:24" x14ac:dyDescent="0.25">
      <c r="A115" s="44" t="s">
        <v>18</v>
      </c>
      <c r="B115" s="6">
        <v>383.01250435015555</v>
      </c>
      <c r="C115" s="76">
        <f>+B115*10^3</f>
        <v>383012.50435015553</v>
      </c>
      <c r="V115" s="75"/>
    </row>
    <row r="116" spans="1:24" x14ac:dyDescent="0.25">
      <c r="A116" s="44" t="s">
        <v>19</v>
      </c>
      <c r="B116" s="6">
        <v>780.59047241173312</v>
      </c>
      <c r="C116" s="76">
        <f>+B116*10^3</f>
        <v>780590.47241173312</v>
      </c>
      <c r="V116" s="75"/>
    </row>
    <row r="117" spans="1:24" x14ac:dyDescent="0.25">
      <c r="A117" s="44" t="s">
        <v>1</v>
      </c>
      <c r="B117" s="6">
        <v>138.23007675795088</v>
      </c>
      <c r="C117" s="76">
        <f>+B117*10^2</f>
        <v>13823.007675795088</v>
      </c>
    </row>
    <row r="1048575" spans="28:28" x14ac:dyDescent="0.25">
      <c r="AB1048575" s="62" t="s">
        <v>158</v>
      </c>
    </row>
  </sheetData>
  <mergeCells count="40">
    <mergeCell ref="A87:A90"/>
    <mergeCell ref="A16:A19"/>
    <mergeCell ref="A28:A30"/>
    <mergeCell ref="A39:A42"/>
    <mergeCell ref="A51:A54"/>
    <mergeCell ref="A63:A66"/>
    <mergeCell ref="A49:A50"/>
    <mergeCell ref="A26:A27"/>
    <mergeCell ref="B73:C73"/>
    <mergeCell ref="E73:L73"/>
    <mergeCell ref="A85:A86"/>
    <mergeCell ref="B85:C85"/>
    <mergeCell ref="E85:L85"/>
    <mergeCell ref="A75:A78"/>
    <mergeCell ref="A73:A74"/>
    <mergeCell ref="B49:C49"/>
    <mergeCell ref="E49:L49"/>
    <mergeCell ref="A61:A62"/>
    <mergeCell ref="B61:C61"/>
    <mergeCell ref="E61:L61"/>
    <mergeCell ref="B26:C26"/>
    <mergeCell ref="E26:L26"/>
    <mergeCell ref="A37:A38"/>
    <mergeCell ref="B37:C37"/>
    <mergeCell ref="E37:L37"/>
    <mergeCell ref="A2:A3"/>
    <mergeCell ref="B2:C2"/>
    <mergeCell ref="E2:L2"/>
    <mergeCell ref="A14:A15"/>
    <mergeCell ref="B14:C14"/>
    <mergeCell ref="E14:L14"/>
    <mergeCell ref="A4:A7"/>
    <mergeCell ref="A109:A112"/>
    <mergeCell ref="A96:A97"/>
    <mergeCell ref="B96:C96"/>
    <mergeCell ref="E96:L96"/>
    <mergeCell ref="A98:A101"/>
    <mergeCell ref="A107:A108"/>
    <mergeCell ref="B107:C107"/>
    <mergeCell ref="E107:L10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PROPIEDADES</vt:lpstr>
      <vt:lpstr>TABLAS NEC</vt:lpstr>
      <vt:lpstr>FORMULAS</vt:lpstr>
      <vt:lpstr>CHEQUEO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Narváez</dc:creator>
  <cp:lastModifiedBy>Edwin Narváez</cp:lastModifiedBy>
  <dcterms:created xsi:type="dcterms:W3CDTF">2018-11-19T17:10:12Z</dcterms:created>
  <dcterms:modified xsi:type="dcterms:W3CDTF">2018-12-01T21:57:59Z</dcterms:modified>
</cp:coreProperties>
</file>