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ontwerptool\"/>
    </mc:Choice>
  </mc:AlternateContent>
  <xr:revisionPtr revIDLastSave="0" documentId="13_ncr:1_{D0373FD3-5DD0-441A-87B3-D06618B6A969}" xr6:coauthVersionLast="47" xr6:coauthVersionMax="47" xr10:uidLastSave="{00000000-0000-0000-0000-000000000000}"/>
  <bookViews>
    <workbookView xWindow="28680" yWindow="-120" windowWidth="29040" windowHeight="15720" activeTab="2" xr2:uid="{59E7CF95-6177-40DC-BE8B-AAA503879ED3}"/>
  </bookViews>
  <sheets>
    <sheet name="dwarsprofiel" sheetId="1" r:id="rId1"/>
    <sheet name="langsprofiel" sheetId="2" r:id="rId2"/>
    <sheet name="langsprofiel (grafiek)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1" i="1"/>
  <c r="N23" i="1"/>
  <c r="G2" i="2" s="1"/>
  <c r="N3" i="1"/>
  <c r="P3" i="1" s="1"/>
  <c r="N4" i="1"/>
  <c r="O4" i="1" s="1"/>
  <c r="N5" i="1"/>
  <c r="O5" i="1" s="1"/>
  <c r="N6" i="1"/>
  <c r="O6" i="1" s="1"/>
  <c r="P6" i="1"/>
  <c r="N7" i="1"/>
  <c r="O7" i="1" s="1"/>
  <c r="N8" i="1"/>
  <c r="P8" i="1" s="1"/>
  <c r="N9" i="1"/>
  <c r="O9" i="1" s="1"/>
  <c r="N10" i="1"/>
  <c r="Q10" i="1" s="1"/>
  <c r="N11" i="1"/>
  <c r="Q11" i="1" s="1"/>
  <c r="N12" i="1"/>
  <c r="Q12" i="1" s="1"/>
  <c r="N13" i="1"/>
  <c r="P13" i="1" s="1"/>
  <c r="N14" i="1"/>
  <c r="O14" i="1" s="1"/>
  <c r="N15" i="1"/>
  <c r="P15" i="1" s="1"/>
  <c r="N16" i="1"/>
  <c r="O16" i="1" s="1"/>
  <c r="N17" i="1"/>
  <c r="P17" i="1" s="1"/>
  <c r="N18" i="1"/>
  <c r="Q18" i="1" s="1"/>
  <c r="N19" i="1"/>
  <c r="P19" i="1" s="1"/>
  <c r="N20" i="1"/>
  <c r="Q20" i="1" s="1"/>
  <c r="O20" i="1"/>
  <c r="N21" i="1"/>
  <c r="P21" i="1" s="1"/>
  <c r="N22" i="1"/>
  <c r="O22" i="1" s="1"/>
  <c r="P22" i="1"/>
  <c r="D2" i="2"/>
  <c r="C3" i="2"/>
  <c r="D3" i="2" s="1"/>
  <c r="J4" i="1"/>
  <c r="J5" i="1" s="1"/>
  <c r="I4" i="1"/>
  <c r="I5" i="1" s="1"/>
  <c r="J3" i="1"/>
  <c r="J6" i="1" s="1"/>
  <c r="I3" i="1"/>
  <c r="I6" i="1" s="1"/>
  <c r="Q6" i="1" l="1"/>
  <c r="R6" i="1" s="1"/>
  <c r="S6" i="1" s="1"/>
  <c r="T6" i="1" s="1"/>
  <c r="P12" i="1"/>
  <c r="R12" i="1" s="1"/>
  <c r="S12" i="1" s="1"/>
  <c r="T12" i="1" s="1"/>
  <c r="O12" i="1"/>
  <c r="O15" i="1"/>
  <c r="P9" i="1"/>
  <c r="O11" i="1"/>
  <c r="Q15" i="1"/>
  <c r="R15" i="1" s="1"/>
  <c r="S15" i="1" s="1"/>
  <c r="T15" i="1" s="1"/>
  <c r="P11" i="1"/>
  <c r="R11" i="1" s="1"/>
  <c r="S11" i="1" s="1"/>
  <c r="T11" i="1" s="1"/>
  <c r="P20" i="1"/>
  <c r="R20" i="1" s="1"/>
  <c r="S20" i="1" s="1"/>
  <c r="T20" i="1" s="1"/>
  <c r="Q14" i="1"/>
  <c r="O8" i="1"/>
  <c r="O19" i="1"/>
  <c r="P18" i="1"/>
  <c r="R18" i="1" s="1"/>
  <c r="S18" i="1" s="1"/>
  <c r="T18" i="1" s="1"/>
  <c r="O18" i="1"/>
  <c r="Q4" i="1"/>
  <c r="P4" i="1"/>
  <c r="Q13" i="1"/>
  <c r="R13" i="1" s="1"/>
  <c r="S13" i="1" s="1"/>
  <c r="T13" i="1" s="1"/>
  <c r="O13" i="1"/>
  <c r="Q7" i="1"/>
  <c r="P7" i="1"/>
  <c r="Q17" i="1"/>
  <c r="R17" i="1" s="1"/>
  <c r="S17" i="1" s="1"/>
  <c r="T17" i="1" s="1"/>
  <c r="O17" i="1"/>
  <c r="P14" i="1"/>
  <c r="Q19" i="1"/>
  <c r="R19" i="1" s="1"/>
  <c r="S19" i="1" s="1"/>
  <c r="T19" i="1" s="1"/>
  <c r="P10" i="1"/>
  <c r="R10" i="1" s="1"/>
  <c r="S10" i="1" s="1"/>
  <c r="T10" i="1" s="1"/>
  <c r="O10" i="1"/>
  <c r="O3" i="1"/>
  <c r="Q21" i="1"/>
  <c r="R21" i="1" s="1"/>
  <c r="S21" i="1" s="1"/>
  <c r="T21" i="1" s="1"/>
  <c r="O21" i="1"/>
  <c r="I2" i="2"/>
  <c r="Q5" i="1"/>
  <c r="P5" i="1"/>
  <c r="P23" i="1"/>
  <c r="E3" i="2"/>
  <c r="F3" i="2" s="1"/>
  <c r="Q22" i="1"/>
  <c r="R22" i="1" s="1"/>
  <c r="S22" i="1" s="1"/>
  <c r="T22" i="1" s="1"/>
  <c r="Q9" i="1"/>
  <c r="Q16" i="1"/>
  <c r="P16" i="1"/>
  <c r="Q8" i="1"/>
  <c r="R8" i="1" s="1"/>
  <c r="S8" i="1" s="1"/>
  <c r="T8" i="1" s="1"/>
  <c r="O23" i="1"/>
  <c r="Q23" i="1"/>
  <c r="C4" i="2"/>
  <c r="J2" i="2"/>
  <c r="E2" i="2"/>
  <c r="Q3" i="1"/>
  <c r="R3" i="1" s="1"/>
  <c r="S3" i="1" s="1"/>
  <c r="T3" i="1" s="1"/>
  <c r="F2" i="2" l="1"/>
  <c r="B2" i="2"/>
  <c r="R9" i="1"/>
  <c r="S9" i="1" s="1"/>
  <c r="T9" i="1" s="1"/>
  <c r="R4" i="1"/>
  <c r="S4" i="1" s="1"/>
  <c r="T4" i="1" s="1"/>
  <c r="R14" i="1"/>
  <c r="S14" i="1" s="1"/>
  <c r="T14" i="1" s="1"/>
  <c r="R7" i="1"/>
  <c r="S7" i="1" s="1"/>
  <c r="T7" i="1" s="1"/>
  <c r="R16" i="1"/>
  <c r="S16" i="1" s="1"/>
  <c r="T16" i="1" s="1"/>
  <c r="R5" i="1"/>
  <c r="S5" i="1" s="1"/>
  <c r="T5" i="1" s="1"/>
  <c r="H2" i="2"/>
  <c r="N2" i="2"/>
  <c r="D4" i="2"/>
  <c r="E4" i="2" s="1"/>
  <c r="F4" i="2" s="1"/>
  <c r="C5" i="2"/>
  <c r="K2" i="2"/>
  <c r="R23" i="1"/>
  <c r="S23" i="1" s="1"/>
  <c r="L2" i="2" l="1"/>
  <c r="C6" i="2"/>
  <c r="D5" i="2"/>
  <c r="E5" i="2" s="1"/>
  <c r="F5" i="2" s="1"/>
  <c r="T23" i="1"/>
  <c r="M20" i="2" l="1"/>
  <c r="M4" i="2"/>
  <c r="M5" i="2"/>
  <c r="M19" i="2"/>
  <c r="M6" i="2"/>
  <c r="M7" i="2"/>
  <c r="M16" i="2"/>
  <c r="M17" i="2"/>
  <c r="M21" i="2"/>
  <c r="M18" i="2"/>
  <c r="M22" i="2"/>
  <c r="M15" i="2"/>
  <c r="M14" i="2"/>
  <c r="M13" i="2"/>
  <c r="M12" i="2"/>
  <c r="M10" i="2"/>
  <c r="M11" i="2"/>
  <c r="M9" i="2"/>
  <c r="M8" i="2"/>
  <c r="M2" i="2"/>
  <c r="O2" i="2" s="1"/>
  <c r="M3" i="2"/>
  <c r="D6" i="2"/>
  <c r="E6" i="2" s="1"/>
  <c r="F6" i="2" s="1"/>
  <c r="C7" i="2"/>
  <c r="P2" i="2" l="1"/>
  <c r="G3" i="2" s="1"/>
  <c r="H3" i="2" s="1"/>
  <c r="C8" i="2"/>
  <c r="D7" i="2"/>
  <c r="E7" i="2" s="1"/>
  <c r="F7" i="2" s="1"/>
  <c r="J3" i="2" l="1"/>
  <c r="I3" i="2"/>
  <c r="D8" i="2"/>
  <c r="E8" i="2" s="1"/>
  <c r="F8" i="2" s="1"/>
  <c r="C9" i="2"/>
  <c r="N3" i="2" l="1"/>
  <c r="O3" i="2" s="1"/>
  <c r="K3" i="2"/>
  <c r="D9" i="2"/>
  <c r="E9" i="2" s="1"/>
  <c r="F9" i="2" s="1"/>
  <c r="C10" i="2"/>
  <c r="L3" i="2" l="1"/>
  <c r="P3" i="2" s="1"/>
  <c r="G4" i="2" s="1"/>
  <c r="C11" i="2"/>
  <c r="D10" i="2"/>
  <c r="E10" i="2" s="1"/>
  <c r="F10" i="2" s="1"/>
  <c r="J4" i="2" l="1"/>
  <c r="H4" i="2"/>
  <c r="I4" i="2"/>
  <c r="C12" i="2"/>
  <c r="D11" i="2"/>
  <c r="E11" i="2" s="1"/>
  <c r="F11" i="2" s="1"/>
  <c r="N4" i="2" l="1"/>
  <c r="O4" i="2" s="1"/>
  <c r="K4" i="2"/>
  <c r="L4" i="2" s="1"/>
  <c r="D12" i="2"/>
  <c r="E12" i="2" s="1"/>
  <c r="F12" i="2" s="1"/>
  <c r="C13" i="2"/>
  <c r="P4" i="2" l="1"/>
  <c r="G5" i="2" s="1"/>
  <c r="D13" i="2"/>
  <c r="E13" i="2" s="1"/>
  <c r="F13" i="2" s="1"/>
  <c r="C14" i="2"/>
  <c r="H5" i="2" l="1"/>
  <c r="J5" i="2"/>
  <c r="I5" i="2"/>
  <c r="C15" i="2"/>
  <c r="D14" i="2"/>
  <c r="E14" i="2" s="1"/>
  <c r="F14" i="2" s="1"/>
  <c r="N5" i="2" l="1"/>
  <c r="O5" i="2" s="1"/>
  <c r="K5" i="2"/>
  <c r="C16" i="2"/>
  <c r="D15" i="2"/>
  <c r="E15" i="2" s="1"/>
  <c r="F15" i="2" s="1"/>
  <c r="L5" i="2" l="1"/>
  <c r="P5" i="2" s="1"/>
  <c r="G6" i="2" s="1"/>
  <c r="C17" i="2"/>
  <c r="D16" i="2"/>
  <c r="E16" i="2" s="1"/>
  <c r="F16" i="2" s="1"/>
  <c r="H6" i="2" l="1"/>
  <c r="I6" i="2"/>
  <c r="J6" i="2"/>
  <c r="D17" i="2"/>
  <c r="E17" i="2" s="1"/>
  <c r="F17" i="2" s="1"/>
  <c r="C18" i="2"/>
  <c r="K6" i="2" l="1"/>
  <c r="L6" i="2" s="1"/>
  <c r="N6" i="2"/>
  <c r="O6" i="2" s="1"/>
  <c r="C19" i="2"/>
  <c r="D18" i="2"/>
  <c r="E18" i="2" s="1"/>
  <c r="F18" i="2" s="1"/>
  <c r="P6" i="2" l="1"/>
  <c r="G7" i="2" s="1"/>
  <c r="H7" i="2" s="1"/>
  <c r="C20" i="2"/>
  <c r="D19" i="2"/>
  <c r="E19" i="2" s="1"/>
  <c r="F19" i="2" s="1"/>
  <c r="I7" i="2" l="1"/>
  <c r="N7" i="2" s="1"/>
  <c r="O7" i="2" s="1"/>
  <c r="J7" i="2"/>
  <c r="D20" i="2"/>
  <c r="E20" i="2" s="1"/>
  <c r="F20" i="2" s="1"/>
  <c r="C21" i="2"/>
  <c r="K7" i="2" l="1"/>
  <c r="L7" i="2" s="1"/>
  <c r="P7" i="2" s="1"/>
  <c r="G8" i="2" s="1"/>
  <c r="H8" i="2" s="1"/>
  <c r="D21" i="2"/>
  <c r="E21" i="2" s="1"/>
  <c r="F21" i="2" s="1"/>
  <c r="C22" i="2"/>
  <c r="D22" i="2" s="1"/>
  <c r="E22" i="2" s="1"/>
  <c r="F22" i="2" l="1"/>
  <c r="B22" i="2"/>
  <c r="I8" i="2"/>
  <c r="N8" i="2" s="1"/>
  <c r="O8" i="2" s="1"/>
  <c r="J8" i="2"/>
  <c r="K8" i="2" l="1"/>
  <c r="L8" i="2" s="1"/>
  <c r="P8" i="2" s="1"/>
  <c r="G9" i="2" s="1"/>
  <c r="I9" i="2" l="1"/>
  <c r="J9" i="2"/>
  <c r="H9" i="2"/>
  <c r="K9" i="2" l="1"/>
  <c r="L9" i="2" s="1"/>
  <c r="N9" i="2"/>
  <c r="O9" i="2" s="1"/>
  <c r="P9" i="2" l="1"/>
  <c r="G10" i="2" s="1"/>
  <c r="H10" i="2" s="1"/>
  <c r="I10" i="2"/>
  <c r="N10" i="2" s="1"/>
  <c r="O10" i="2" s="1"/>
  <c r="J10" i="2" l="1"/>
  <c r="K10" i="2" s="1"/>
  <c r="L10" i="2" s="1"/>
  <c r="P10" i="2" s="1"/>
  <c r="G11" i="2" s="1"/>
  <c r="I11" i="2" s="1"/>
  <c r="N11" i="2" s="1"/>
  <c r="O11" i="2" s="1"/>
  <c r="J11" i="2" l="1"/>
  <c r="K11" i="2" s="1"/>
  <c r="L11" i="2" s="1"/>
  <c r="P11" i="2" s="1"/>
  <c r="G12" i="2" s="1"/>
  <c r="H11" i="2"/>
  <c r="H12" i="2" l="1"/>
  <c r="J12" i="2"/>
  <c r="I12" i="2"/>
  <c r="N12" i="2" l="1"/>
  <c r="O12" i="2" s="1"/>
  <c r="K12" i="2"/>
  <c r="L12" i="2" s="1"/>
  <c r="P12" i="2" l="1"/>
  <c r="G13" i="2" s="1"/>
  <c r="H13" i="2" l="1"/>
  <c r="I13" i="2"/>
  <c r="J13" i="2"/>
  <c r="N13" i="2" l="1"/>
  <c r="O13" i="2" s="1"/>
  <c r="K13" i="2"/>
  <c r="L13" i="2" s="1"/>
  <c r="P13" i="2" l="1"/>
  <c r="G14" i="2" s="1"/>
  <c r="H14" i="2" l="1"/>
  <c r="I14" i="2"/>
  <c r="J14" i="2"/>
  <c r="N14" i="2" l="1"/>
  <c r="O14" i="2" s="1"/>
  <c r="K14" i="2"/>
  <c r="L14" i="2" s="1"/>
  <c r="P14" i="2" l="1"/>
  <c r="G15" i="2" s="1"/>
  <c r="H15" i="2" l="1"/>
  <c r="I15" i="2"/>
  <c r="J15" i="2"/>
  <c r="N15" i="2" l="1"/>
  <c r="O15" i="2" s="1"/>
  <c r="K15" i="2"/>
  <c r="L15" i="2" s="1"/>
  <c r="P15" i="2" l="1"/>
  <c r="G16" i="2" s="1"/>
  <c r="H16" i="2" l="1"/>
  <c r="J16" i="2"/>
  <c r="I16" i="2"/>
  <c r="N16" i="2" l="1"/>
  <c r="O16" i="2" s="1"/>
  <c r="K16" i="2"/>
  <c r="L16" i="2" s="1"/>
  <c r="P16" i="2" l="1"/>
  <c r="G17" i="2" s="1"/>
  <c r="H17" i="2" l="1"/>
  <c r="J17" i="2"/>
  <c r="I17" i="2"/>
  <c r="N17" i="2" l="1"/>
  <c r="O17" i="2" s="1"/>
  <c r="K17" i="2"/>
  <c r="L17" i="2" s="1"/>
  <c r="P17" i="2" l="1"/>
  <c r="G18" i="2" s="1"/>
  <c r="H18" i="2" l="1"/>
  <c r="I18" i="2"/>
  <c r="J18" i="2"/>
  <c r="N18" i="2" l="1"/>
  <c r="O18" i="2" s="1"/>
  <c r="K18" i="2"/>
  <c r="L18" i="2" s="1"/>
  <c r="P18" i="2" l="1"/>
  <c r="G19" i="2" s="1"/>
  <c r="H19" i="2" l="1"/>
  <c r="I19" i="2"/>
  <c r="J19" i="2"/>
  <c r="N19" i="2" l="1"/>
  <c r="O19" i="2" s="1"/>
  <c r="K19" i="2"/>
  <c r="L19" i="2" s="1"/>
  <c r="P19" i="2" l="1"/>
  <c r="G20" i="2" s="1"/>
  <c r="H20" i="2" l="1"/>
  <c r="I20" i="2"/>
  <c r="J20" i="2"/>
  <c r="N20" i="2" l="1"/>
  <c r="O20" i="2" s="1"/>
  <c r="K20" i="2"/>
  <c r="L20" i="2" s="1"/>
  <c r="P20" i="2" l="1"/>
  <c r="G21" i="2" s="1"/>
  <c r="H21" i="2" l="1"/>
  <c r="J21" i="2"/>
  <c r="I21" i="2"/>
  <c r="N21" i="2" l="1"/>
  <c r="O21" i="2" s="1"/>
  <c r="K21" i="2"/>
  <c r="L21" i="2" s="1"/>
  <c r="P21" i="2" l="1"/>
  <c r="G22" i="2" s="1"/>
  <c r="H22" i="2" s="1"/>
  <c r="J22" i="2" l="1"/>
  <c r="I22" i="2"/>
  <c r="N22" i="2" l="1"/>
  <c r="O22" i="2" s="1"/>
  <c r="K22" i="2"/>
  <c r="L22" i="2" l="1"/>
  <c r="P22" i="2" s="1"/>
</calcChain>
</file>

<file path=xl/sharedStrings.xml><?xml version="1.0" encoding="utf-8"?>
<sst xmlns="http://schemas.openxmlformats.org/spreadsheetml/2006/main" count="55" uniqueCount="47">
  <si>
    <t>m</t>
  </si>
  <si>
    <t>y [m]</t>
  </si>
  <si>
    <t>z [m + msl]</t>
  </si>
  <si>
    <t>depth [m]</t>
  </si>
  <si>
    <t>elevation [m +msl]</t>
  </si>
  <si>
    <t>A [m2]</t>
  </si>
  <si>
    <t>P [m]</t>
  </si>
  <si>
    <t>R</t>
  </si>
  <si>
    <t>Q [m3/s]</t>
  </si>
  <si>
    <t>dy/dz</t>
  </si>
  <si>
    <t>-</t>
  </si>
  <si>
    <t>waterloop</t>
  </si>
  <si>
    <t>m (x)</t>
  </si>
  <si>
    <t>dz/dx</t>
  </si>
  <si>
    <t>m (z)</t>
  </si>
  <si>
    <t>bodembreedte</t>
  </si>
  <si>
    <t>talud</t>
  </si>
  <si>
    <t>manning (n)</t>
  </si>
  <si>
    <t>m NAP</t>
  </si>
  <si>
    <t>profieldiepte</t>
  </si>
  <si>
    <t>profiel</t>
  </si>
  <si>
    <t>lengte</t>
  </si>
  <si>
    <t>hoogteverschil</t>
  </si>
  <si>
    <t>verhang</t>
  </si>
  <si>
    <t>m3/s</t>
  </si>
  <si>
    <t>V [m/s]</t>
  </si>
  <si>
    <t>ontwerp</t>
  </si>
  <si>
    <t>afvoer</t>
  </si>
  <si>
    <t>opstuwing</t>
  </si>
  <si>
    <t>dwarsprofiel</t>
  </si>
  <si>
    <t>Afvoer [m3/s]</t>
  </si>
  <si>
    <t>basishoogte</t>
  </si>
  <si>
    <t>hoogtefractie [-]</t>
  </si>
  <si>
    <t>bodemhoogte [m NAP]</t>
  </si>
  <si>
    <t>energie-waterhoogte [m NAP]</t>
  </si>
  <si>
    <t>afstand [m]</t>
  </si>
  <si>
    <t>lengtefractie [-]</t>
  </si>
  <si>
    <t>Sf</t>
  </si>
  <si>
    <t>Fr</t>
  </si>
  <si>
    <t>dy/dx</t>
  </si>
  <si>
    <t>D</t>
  </si>
  <si>
    <t>top_width</t>
  </si>
  <si>
    <t>label</t>
  </si>
  <si>
    <t>Stuw A</t>
  </si>
  <si>
    <t>Plaats B</t>
  </si>
  <si>
    <t>Waterhoogte [m NAP]</t>
  </si>
  <si>
    <t>label-positie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</si>
</sst>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Dwarsprofiel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dwarsprofiel!$I$3:$I$6</c:f>
              <c:numCache>
                <c:formatCode>General</c:formatCode>
                <c:ptCount val="4"/>
                <c:pt idx="0">
                  <c:v>-5.806869373328869</c:v>
                </c:pt>
                <c:pt idx="1">
                  <c:v>-5</c:v>
                </c:pt>
                <c:pt idx="2">
                  <c:v>5</c:v>
                </c:pt>
                <c:pt idx="3">
                  <c:v>5.806869373328869</c:v>
                </c:pt>
              </c:numCache>
            </c:numRef>
          </c:xVal>
          <c:yVal>
            <c:numRef>
              <c:f>dwarsprofiel!$J$3:$J$6</c:f>
              <c:numCache>
                <c:formatCode>General</c:formatCode>
                <c:ptCount val="4"/>
                <c:pt idx="0">
                  <c:v>24.813738746657737</c:v>
                </c:pt>
                <c:pt idx="1">
                  <c:v>23.2</c:v>
                </c:pt>
                <c:pt idx="2">
                  <c:v>23.2</c:v>
                </c:pt>
                <c:pt idx="3">
                  <c:v>24.813738746657737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75A-BB80-C8EA0520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81280"/>
        <c:axId val="1419382240"/>
      </c:scatterChart>
      <c:valAx>
        <c:axId val="14193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382240"/>
        <c:crosses val="autoZero"/>
        <c:crossBetween val="midCat"/>
      </c:valAx>
      <c:valAx>
        <c:axId val="1419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hoogte [m +NAP]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3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Afvoercapaciteit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Afvoercapaciteit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dwarsprofiel!$O$3:$O$23</c:f>
              <c:numCache>
                <c:formatCode>General</c:formatCode>
                <c:ptCount val="21"/>
                <c:pt idx="0">
                  <c:v>23.2</c:v>
                </c:pt>
                <c:pt idx="1">
                  <c:v>23.280686937332884</c:v>
                </c:pt>
                <c:pt idx="2">
                  <c:v>23.361373874665773</c:v>
                </c:pt>
                <c:pt idx="3">
                  <c:v>23.442060811998658</c:v>
                </c:pt>
                <c:pt idx="4">
                  <c:v>23.522747749331547</c:v>
                </c:pt>
                <c:pt idx="5">
                  <c:v>23.603434686664432</c:v>
                </c:pt>
                <c:pt idx="6">
                  <c:v>23.684121623997321</c:v>
                </c:pt>
                <c:pt idx="7">
                  <c:v>23.764808561330206</c:v>
                </c:pt>
                <c:pt idx="8">
                  <c:v>23.845495498663094</c:v>
                </c:pt>
                <c:pt idx="9">
                  <c:v>23.92618243599598</c:v>
                </c:pt>
                <c:pt idx="10">
                  <c:v>24.006869373328868</c:v>
                </c:pt>
                <c:pt idx="11">
                  <c:v>24.087556310661753</c:v>
                </c:pt>
                <c:pt idx="12">
                  <c:v>24.168243247994642</c:v>
                </c:pt>
                <c:pt idx="13">
                  <c:v>24.248930185327527</c:v>
                </c:pt>
                <c:pt idx="14">
                  <c:v>24.329617122660416</c:v>
                </c:pt>
                <c:pt idx="15">
                  <c:v>24.410304059993301</c:v>
                </c:pt>
                <c:pt idx="16">
                  <c:v>24.49099099732619</c:v>
                </c:pt>
                <c:pt idx="17">
                  <c:v>24.571677934659075</c:v>
                </c:pt>
                <c:pt idx="18">
                  <c:v>24.652364871991963</c:v>
                </c:pt>
                <c:pt idx="19">
                  <c:v>24.733051809324849</c:v>
                </c:pt>
                <c:pt idx="20">
                  <c:v>24.813738746657737</c:v>
                </c:pt>
              </c:numCache>
            </c:numRef>
          </c:xVal>
          <c:yVal>
            <c:numRef>
              <c:f>dwarsprofiel!$T$3:$T$23</c:f>
              <c:numCache>
                <c:formatCode>General</c:formatCode>
                <c:ptCount val="21"/>
                <c:pt idx="0">
                  <c:v>0</c:v>
                </c:pt>
                <c:pt idx="1">
                  <c:v>0.10198014384611456</c:v>
                </c:pt>
                <c:pt idx="2">
                  <c:v>0.32214296714901181</c:v>
                </c:pt>
                <c:pt idx="3">
                  <c:v>0.63012495317058514</c:v>
                </c:pt>
                <c:pt idx="4">
                  <c:v>1.0130335447694043</c:v>
                </c:pt>
                <c:pt idx="5">
                  <c:v>1.4627732979107226</c:v>
                </c:pt>
                <c:pt idx="6">
                  <c:v>1.9735596764247367</c:v>
                </c:pt>
                <c:pt idx="7">
                  <c:v>2.540962500101914</c:v>
                </c:pt>
                <c:pt idx="8">
                  <c:v>3.1614380301165506</c:v>
                </c:pt>
                <c:pt idx="9">
                  <c:v>3.8320659501129377</c:v>
                </c:pt>
                <c:pt idx="10">
                  <c:v>4.5503871630263415</c:v>
                </c:pt>
                <c:pt idx="11">
                  <c:v>5.3142968547532483</c:v>
                </c:pt>
                <c:pt idx="12">
                  <c:v>6.1219703392724041</c:v>
                </c:pt>
                <c:pt idx="13">
                  <c:v>6.9718095576146064</c:v>
                </c:pt>
                <c:pt idx="14">
                  <c:v>7.8624032273870856</c:v>
                </c:pt>
                <c:pt idx="15">
                  <c:v>8.7924963722558829</c:v>
                </c:pt>
                <c:pt idx="16">
                  <c:v>9.7609665084405588</c:v>
                </c:pt>
                <c:pt idx="17">
                  <c:v>10.766804686209314</c:v>
                </c:pt>
                <c:pt idx="18">
                  <c:v>11.809100155555631</c:v>
                </c:pt>
                <c:pt idx="19">
                  <c:v>12.887027792236408</c:v>
                </c:pt>
                <c:pt idx="20">
                  <c:v>13.999837663442911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4-460C-97C0-89D84C89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34064"/>
        <c:axId val="1203235984"/>
      </c:scatterChart>
      <c:valAx>
        <c:axId val="12032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hoogte [m + NAP]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235984"/>
        <c:crosses val="autoZero"/>
        <c:crossBetween val="midCat"/>
      </c:valAx>
      <c:valAx>
        <c:axId val="12032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Afvoercapaciteit [m3/s]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2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Langsprofiel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bodem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4CCFF9D-DBA2-4EB6-8456-70499D3C16C5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0D-4F0E-ABA1-9CEA1C6EC5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859F9C-5549-4595-988F-57E4068FE2E2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40D-4F0E-ABA1-9CEA1C6EC5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6F8032-CC95-4EC7-B188-FA47F701FD5C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40D-4F0E-ABA1-9CEA1C6EC5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B2CC94-A701-4DDC-B39D-C91FD9948D45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40D-4F0E-ABA1-9CEA1C6EC5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45EAEC-962C-415C-BD32-114833F6101C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40D-4F0E-ABA1-9CEA1C6EC5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A3C51D-9ECE-4CCC-8432-1A8BF117E46D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40D-4F0E-ABA1-9CEA1C6EC5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EDF516-27F8-422A-B66F-9796495587F5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40D-4F0E-ABA1-9CEA1C6EC5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15167F-3678-4AB9-B7E6-5D9AD03DC0A2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40D-4F0E-ABA1-9CEA1C6EC5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032641F-D59D-4DF4-9620-5C91D0F20198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40D-4F0E-ABA1-9CEA1C6EC5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653498-4910-4472-B821-0A20B0318F37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40D-4F0E-ABA1-9CEA1C6EC5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BB4D48B-9D86-497E-9631-F1BE32E00AEF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40D-4F0E-ABA1-9CEA1C6EC5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D8B370-1A23-4CC8-83CF-48CB6B6151AA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40D-4F0E-ABA1-9CEA1C6EC5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02B35E2-A577-4809-9E12-5E3D4485C8CE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40D-4F0E-ABA1-9CEA1C6EC5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4EC3AF-9F61-4270-BCD9-4FD520C1FE15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40D-4F0E-ABA1-9CEA1C6EC5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393FA1-6F58-4D2E-BA30-D58340A8A6B3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40D-4F0E-ABA1-9CEA1C6EC5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A5D2F6-9BDF-40A3-B4F4-44985D0C74DA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40D-4F0E-ABA1-9CEA1C6EC5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E34C7DD-44B7-4E32-9960-BFC9EF9115F6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40D-4F0E-ABA1-9CEA1C6EC5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65ADD60-AD05-4FAE-91D7-EBD4EB26AFF9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40D-4F0E-ABA1-9CEA1C6EC5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609C6AC-E664-4031-B1D4-28A88AEA5B49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40D-4F0E-ABA1-9CEA1C6EC5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6C711CC-CD63-407A-869F-41C4AF1B031D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40D-4F0E-ABA1-9CEA1C6EC5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C63653C-E30F-47D6-BA10-1428EDAC08B3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40D-4F0E-ABA1-9CEA1C6EC5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langsprofiel!$C$2:$C$22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langsprofiel!$E$2:$E$22</c:f>
              <c:numCache>
                <c:formatCode>General</c:formatCode>
                <c:ptCount val="21"/>
                <c:pt idx="0">
                  <c:v>23.2</c:v>
                </c:pt>
                <c:pt idx="1">
                  <c:v>23.25</c:v>
                </c:pt>
                <c:pt idx="2">
                  <c:v>23.3</c:v>
                </c:pt>
                <c:pt idx="3">
                  <c:v>23.349999999999998</c:v>
                </c:pt>
                <c:pt idx="4">
                  <c:v>23.4</c:v>
                </c:pt>
                <c:pt idx="5">
                  <c:v>23.45</c:v>
                </c:pt>
                <c:pt idx="6">
                  <c:v>23.5</c:v>
                </c:pt>
                <c:pt idx="7">
                  <c:v>23.55</c:v>
                </c:pt>
                <c:pt idx="8">
                  <c:v>23.599999999999998</c:v>
                </c:pt>
                <c:pt idx="9">
                  <c:v>23.65</c:v>
                </c:pt>
                <c:pt idx="10">
                  <c:v>23.7</c:v>
                </c:pt>
                <c:pt idx="11">
                  <c:v>23.75</c:v>
                </c:pt>
                <c:pt idx="12">
                  <c:v>23.8</c:v>
                </c:pt>
                <c:pt idx="13">
                  <c:v>23.849999999999998</c:v>
                </c:pt>
                <c:pt idx="14">
                  <c:v>23.9</c:v>
                </c:pt>
                <c:pt idx="15">
                  <c:v>23.95</c:v>
                </c:pt>
                <c:pt idx="16">
                  <c:v>24</c:v>
                </c:pt>
                <c:pt idx="17">
                  <c:v>24.05</c:v>
                </c:pt>
                <c:pt idx="18">
                  <c:v>24.099999999999998</c:v>
                </c:pt>
                <c:pt idx="19">
                  <c:v>24.15</c:v>
                </c:pt>
                <c:pt idx="20">
                  <c:v>24.2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langsprofiel!$A$2:$A$22</c15:f>
                <c15:dlblRangeCache>
                  <c:ptCount val="21"/>
                  <c:pt idx="0">
                    <c:v>Stuw A</c:v>
                  </c:pt>
                  <c:pt idx="20">
                    <c:v>Plaats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40D-4F0E-ABA1-9CEA1C6EC53D}"/>
            </c:ext>
          </c:extLst>
        </c:ser>
        <c:ser>
          <c:idx val="1"/>
          <c:order val="1"/>
          <c:tx>
            <c:v>manning (energie) waterhoogte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langsprofiel!$C$2:$C$22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langsprofiel!$F$2:$F$22</c:f>
              <c:numCache>
                <c:formatCode>0.00</c:formatCode>
                <c:ptCount val="21"/>
                <c:pt idx="0">
                  <c:v>24.813738746657737</c:v>
                </c:pt>
                <c:pt idx="1">
                  <c:v>24.863738746657738</c:v>
                </c:pt>
                <c:pt idx="2">
                  <c:v>24.913738746657739</c:v>
                </c:pt>
                <c:pt idx="3">
                  <c:v>24.963738746657736</c:v>
                </c:pt>
                <c:pt idx="4">
                  <c:v>25.013738746657737</c:v>
                </c:pt>
                <c:pt idx="5">
                  <c:v>25.063738746657737</c:v>
                </c:pt>
                <c:pt idx="6">
                  <c:v>25.113738746657738</c:v>
                </c:pt>
                <c:pt idx="7">
                  <c:v>25.163738746657739</c:v>
                </c:pt>
                <c:pt idx="8">
                  <c:v>25.213738746657736</c:v>
                </c:pt>
                <c:pt idx="9">
                  <c:v>25.263738746657737</c:v>
                </c:pt>
                <c:pt idx="10">
                  <c:v>25.313738746657737</c:v>
                </c:pt>
                <c:pt idx="11">
                  <c:v>25.363738746657738</c:v>
                </c:pt>
                <c:pt idx="12">
                  <c:v>25.413738746657739</c:v>
                </c:pt>
                <c:pt idx="13">
                  <c:v>25.463738746657736</c:v>
                </c:pt>
                <c:pt idx="14">
                  <c:v>25.513738746657737</c:v>
                </c:pt>
                <c:pt idx="15">
                  <c:v>25.563738746657737</c:v>
                </c:pt>
                <c:pt idx="16">
                  <c:v>25.613738746657738</c:v>
                </c:pt>
                <c:pt idx="17">
                  <c:v>25.663738746657739</c:v>
                </c:pt>
                <c:pt idx="18">
                  <c:v>25.713738746657736</c:v>
                </c:pt>
                <c:pt idx="19">
                  <c:v>25.763738746657737</c:v>
                </c:pt>
                <c:pt idx="20">
                  <c:v>25.813738746657737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D-4F0E-ABA1-9CEA1C6EC53D}"/>
            </c:ext>
          </c:extLst>
        </c:ser>
        <c:ser>
          <c:idx val="2"/>
          <c:order val="2"/>
          <c:tx>
            <c:v>waterhoogte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langsprofiel!$C$2:$C$22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langsprofiel!$H$2:$H$22</c:f>
              <c:numCache>
                <c:formatCode>0.000</c:formatCode>
                <c:ptCount val="21"/>
                <c:pt idx="0">
                  <c:v>24.963738746657736</c:v>
                </c:pt>
                <c:pt idx="1">
                  <c:v>25.000847254434003</c:v>
                </c:pt>
                <c:pt idx="2">
                  <c:v>25.038881974174139</c:v>
                </c:pt>
                <c:pt idx="3">
                  <c:v>25.077803091753058</c:v>
                </c:pt>
                <c:pt idx="4">
                  <c:v>25.117568741428332</c:v>
                </c:pt>
                <c:pt idx="5">
                  <c:v>25.158135583236195</c:v>
                </c:pt>
                <c:pt idx="6">
                  <c:v>25.199459365191924</c:v>
                </c:pt>
                <c:pt idx="7">
                  <c:v>25.241495455621855</c:v>
                </c:pt>
                <c:pt idx="8">
                  <c:v>25.284199333746315</c:v>
                </c:pt>
                <c:pt idx="9">
                  <c:v>25.327527029689247</c:v>
                </c:pt>
                <c:pt idx="10">
                  <c:v>25.371435508168034</c:v>
                </c:pt>
                <c:pt idx="11">
                  <c:v>25.415882993013788</c:v>
                </c:pt>
                <c:pt idx="12">
                  <c:v>25.460829232235948</c:v>
                </c:pt>
                <c:pt idx="13">
                  <c:v>25.506235705480712</c:v>
                </c:pt>
                <c:pt idx="14">
                  <c:v>25.552065777396379</c:v>
                </c:pt>
                <c:pt idx="15">
                  <c:v>25.598284801610376</c:v>
                </c:pt>
                <c:pt idx="16">
                  <c:v>25.64486018077698</c:v>
                </c:pt>
                <c:pt idx="17">
                  <c:v>25.691761388526036</c:v>
                </c:pt>
                <c:pt idx="18">
                  <c:v>25.7389599591998</c:v>
                </c:pt>
                <c:pt idx="19">
                  <c:v>25.786429451077368</c:v>
                </c:pt>
                <c:pt idx="20">
                  <c:v>25.834145388421707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0D-4F0E-ABA1-9CEA1C6EC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85322208"/>
        <c:axId val="1985305888"/>
      </c:scatterChart>
      <c:valAx>
        <c:axId val="1985322208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305888"/>
        <c:crosses val="autoZero"/>
        <c:crossBetween val="midCat"/>
      </c:valAx>
      <c:valAx>
        <c:axId val="1985305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Hoogte [m NAP]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322208"/>
        <c:crossesAt val="-5.000000000000001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E9C4E2-1D22-4E16-86F7-3D42C56796AD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9</xdr:row>
      <xdr:rowOff>14287</xdr:rowOff>
    </xdr:from>
    <xdr:to>
      <xdr:col>11</xdr:col>
      <xdr:colOff>114299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1B3FC-2DD3-42A4-95F3-82483ECF6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457199</xdr:colOff>
      <xdr:row>24</xdr:row>
      <xdr:rowOff>14287</xdr:rowOff>
    </xdr:from>
    <xdr:to>
      <xdr:col>20</xdr:col>
      <xdr:colOff>600075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3ED0F-A7A1-4CB0-8C17-462FFC60F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104775</xdr:colOff>
      <xdr:row>4</xdr:row>
      <xdr:rowOff>152400</xdr:rowOff>
    </xdr:from>
    <xdr:to>
      <xdr:col>6</xdr:col>
      <xdr:colOff>114471</xdr:colOff>
      <xdr:row>7</xdr:row>
      <xdr:rowOff>38164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28E824-02A4-C100-1606-8AEFF2151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914400"/>
          <a:ext cx="1228896" cy="457264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</xdr:row>
      <xdr:rowOff>57150</xdr:rowOff>
    </xdr:from>
    <xdr:to>
      <xdr:col>6</xdr:col>
      <xdr:colOff>219265</xdr:colOff>
      <xdr:row>3</xdr:row>
      <xdr:rowOff>181045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996AAD-4F08-945F-ACCC-163D04282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9925" y="247650"/>
          <a:ext cx="1362265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8D057-A514-A8B3-CD03-5442E2AE53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preadsheets\manning_profiel.xlsx" TargetMode="External"/><Relationship Id="rId1" Type="http://schemas.openxmlformats.org/officeDocument/2006/relationships/externalLinkPath" Target="/spreadsheets/manning_prof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ning"/>
    </sheetNames>
    <sheetDataSet>
      <sheetData sheetId="0">
        <row r="2">
          <cell r="P2" t="str">
            <v>Q [m3/s]</v>
          </cell>
        </row>
        <row r="3">
          <cell r="K3">
            <v>0</v>
          </cell>
          <cell r="P3">
            <v>0</v>
          </cell>
        </row>
        <row r="4">
          <cell r="K4">
            <v>0.1</v>
          </cell>
          <cell r="P4">
            <v>0.1692312982856328</v>
          </cell>
        </row>
        <row r="5">
          <cell r="K5">
            <v>0.2</v>
          </cell>
          <cell r="P5">
            <v>0.5339803902263458</v>
          </cell>
        </row>
        <row r="6">
          <cell r="K6">
            <v>0.3</v>
          </cell>
          <cell r="P6">
            <v>1.0434067218572614</v>
          </cell>
        </row>
        <row r="7">
          <cell r="K7">
            <v>0.4</v>
          </cell>
          <cell r="P7">
            <v>1.6758585006266355</v>
          </cell>
        </row>
        <row r="8">
          <cell r="K8">
            <v>0.5</v>
          </cell>
          <cell r="P8">
            <v>2.4177485228934583</v>
          </cell>
        </row>
        <row r="9">
          <cell r="K9">
            <v>0.6</v>
          </cell>
          <cell r="P9">
            <v>3.2593940998384587</v>
          </cell>
        </row>
        <row r="10">
          <cell r="K10">
            <v>0.7</v>
          </cell>
          <cell r="P10">
            <v>4.1934104077142704</v>
          </cell>
        </row>
        <row r="11">
          <cell r="K11">
            <v>0.8</v>
          </cell>
          <cell r="P11">
            <v>5.2139214453238436</v>
          </cell>
        </row>
        <row r="12">
          <cell r="K12">
            <v>0.9</v>
          </cell>
          <cell r="P12">
            <v>6.3161147321144773</v>
          </cell>
        </row>
        <row r="13">
          <cell r="K13">
            <v>1</v>
          </cell>
          <cell r="P13">
            <v>7.4959656272415156</v>
          </cell>
        </row>
        <row r="14">
          <cell r="K14">
            <v>1.1000000000000001</v>
          </cell>
          <cell r="P14">
            <v>8.7500549228349893</v>
          </cell>
        </row>
        <row r="15">
          <cell r="K15">
            <v>1.2</v>
          </cell>
          <cell r="P15">
            <v>10.075441942432459</v>
          </cell>
        </row>
        <row r="16">
          <cell r="K16">
            <v>1.3</v>
          </cell>
          <cell r="P16">
            <v>11.46957272623829</v>
          </cell>
        </row>
        <row r="17">
          <cell r="K17">
            <v>1.4</v>
          </cell>
          <cell r="P17">
            <v>12.930211482672702</v>
          </cell>
        </row>
        <row r="18">
          <cell r="K18">
            <v>1.5</v>
          </cell>
          <cell r="P18">
            <v>14.455388078862299</v>
          </cell>
        </row>
        <row r="19">
          <cell r="K19">
            <v>1.6</v>
          </cell>
          <cell r="P19">
            <v>16.043356949079275</v>
          </cell>
        </row>
        <row r="20">
          <cell r="K20">
            <v>1.7</v>
          </cell>
          <cell r="P20">
            <v>17.692564354280265</v>
          </cell>
        </row>
        <row r="21">
          <cell r="K21">
            <v>1.8</v>
          </cell>
          <cell r="P21">
            <v>19.401621891962229</v>
          </cell>
        </row>
        <row r="22">
          <cell r="K22">
            <v>1.9</v>
          </cell>
          <cell r="P22">
            <v>21.169284777711518</v>
          </cell>
        </row>
        <row r="23">
          <cell r="K23">
            <v>2</v>
          </cell>
          <cell r="P23">
            <v>22.994433832927143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7E9B-4A7D-43DD-9868-E37B39E5C9C3}">
  <dimension ref="A1:T34"/>
  <sheetViews>
    <sheetView topLeftCell="A13" workbookViewId="0">
      <selection activeCell="K32" sqref="K32"/>
    </sheetView>
  </sheetViews>
  <sheetFormatPr defaultRowHeight="15" x14ac:dyDescent="0.25"/>
  <cols>
    <col min="1" max="1" width="16.85546875" bestFit="1" customWidth="1"/>
    <col min="2" max="2" width="11.85546875" customWidth="1"/>
    <col min="9" max="9" width="16.140625" bestFit="1" customWidth="1"/>
    <col min="10" max="10" width="10.140625" bestFit="1" customWidth="1"/>
    <col min="11" max="11" width="17.85546875" bestFit="1" customWidth="1"/>
    <col min="12" max="12" width="7" bestFit="1" customWidth="1"/>
  </cols>
  <sheetData>
    <row r="1" spans="1:20" x14ac:dyDescent="0.25">
      <c r="A1" s="1" t="s">
        <v>20</v>
      </c>
      <c r="I1" s="1" t="s">
        <v>29</v>
      </c>
      <c r="M1" s="1" t="s">
        <v>30</v>
      </c>
    </row>
    <row r="2" spans="1:20" x14ac:dyDescent="0.25">
      <c r="A2" t="s">
        <v>15</v>
      </c>
      <c r="B2">
        <v>10</v>
      </c>
      <c r="C2" t="s">
        <v>0</v>
      </c>
      <c r="I2" s="2" t="s">
        <v>1</v>
      </c>
      <c r="J2" s="2" t="s">
        <v>2</v>
      </c>
      <c r="M2" s="2" t="s">
        <v>32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25</v>
      </c>
      <c r="T2" s="2" t="s">
        <v>8</v>
      </c>
    </row>
    <row r="3" spans="1:20" x14ac:dyDescent="0.25">
      <c r="A3" t="s">
        <v>16</v>
      </c>
      <c r="B3">
        <v>0.5</v>
      </c>
      <c r="C3" t="s">
        <v>9</v>
      </c>
      <c r="I3">
        <f>-(B2/2 + ($B$6*$B$3))</f>
        <v>-5.806869373328869</v>
      </c>
      <c r="J3">
        <f>$B$6+$B$5</f>
        <v>24.813738746657737</v>
      </c>
      <c r="M3">
        <v>0</v>
      </c>
      <c r="N3">
        <f>dwarsprofiel!$B$6*M3</f>
        <v>0</v>
      </c>
      <c r="O3">
        <f>N3+dwarsprofiel!$B$5</f>
        <v>23.2</v>
      </c>
      <c r="P3">
        <f>(N3*dwarsprofiel!$B$2)+(N3*dwarsprofiel!$B$3)*N3</f>
        <v>0</v>
      </c>
      <c r="Q3">
        <f>dwarsprofiel!$B$2+SQRT((N3*dwarsprofiel!$B$3)^2 + N3^2)*2</f>
        <v>10</v>
      </c>
      <c r="R3">
        <f t="shared" ref="R3:R22" si="0">P3/Q3</f>
        <v>0</v>
      </c>
      <c r="S3">
        <f>1/dwarsprofiel!$B$4*R3^(2/3)*dwarsprofiel!$B$11^(1/2)</f>
        <v>0</v>
      </c>
      <c r="T3">
        <f t="shared" ref="T3:T22" si="1">S3*P3</f>
        <v>0</v>
      </c>
    </row>
    <row r="4" spans="1:20" x14ac:dyDescent="0.25">
      <c r="A4" t="s">
        <v>17</v>
      </c>
      <c r="B4">
        <v>0.04</v>
      </c>
      <c r="C4" t="s">
        <v>10</v>
      </c>
      <c r="I4">
        <f>-$B$2/2</f>
        <v>-5</v>
      </c>
      <c r="J4">
        <f>$B$5</f>
        <v>23.2</v>
      </c>
      <c r="M4">
        <v>0.05</v>
      </c>
      <c r="N4">
        <f>dwarsprofiel!$B$6*M4</f>
        <v>8.0686937332886885E-2</v>
      </c>
      <c r="O4">
        <f>N4+dwarsprofiel!$B$5</f>
        <v>23.280686937332884</v>
      </c>
      <c r="P4">
        <f>(N4*dwarsprofiel!$B$2)+(N4*dwarsprofiel!$B$3)*N4</f>
        <v>0.81012456425694945</v>
      </c>
      <c r="Q4">
        <f>dwarsprofiel!$B$2+SQRT((N4*dwarsprofiel!$B$3)^2 + N4^2)*2</f>
        <v>10.180421476772601</v>
      </c>
      <c r="R4">
        <f t="shared" si="0"/>
        <v>7.9576721465345002E-2</v>
      </c>
      <c r="S4">
        <f>1/dwarsprofiel!$B$4*R4^(2/3)*dwarsprofiel!$B$11^(1/2)</f>
        <v>0.12588205363165514</v>
      </c>
      <c r="T4">
        <f t="shared" si="1"/>
        <v>0.10198014384611456</v>
      </c>
    </row>
    <row r="5" spans="1:20" x14ac:dyDescent="0.25">
      <c r="A5" t="s">
        <v>31</v>
      </c>
      <c r="B5">
        <v>23.2</v>
      </c>
      <c r="C5" t="s">
        <v>18</v>
      </c>
      <c r="I5">
        <f>-I4</f>
        <v>5</v>
      </c>
      <c r="J5">
        <f>J4</f>
        <v>23.2</v>
      </c>
      <c r="M5">
        <v>0.1</v>
      </c>
      <c r="N5">
        <f>dwarsprofiel!$B$6*M5</f>
        <v>0.16137387466577377</v>
      </c>
      <c r="O5">
        <f>N5+dwarsprofiel!$B$5</f>
        <v>23.361373874665773</v>
      </c>
      <c r="P5">
        <f>(N5*dwarsprofiel!$B$2)+(N5*dwarsprofiel!$B$3)*N5</f>
        <v>1.6267595103700603</v>
      </c>
      <c r="Q5">
        <f>dwarsprofiel!$B$2+SQRT((N5*dwarsprofiel!$B$3)^2 + N5^2)*2</f>
        <v>10.360842953545202</v>
      </c>
      <c r="R5">
        <f t="shared" si="0"/>
        <v>0.15701034343092971</v>
      </c>
      <c r="S5">
        <f>1/dwarsprofiel!$B$4*R5^(2/3)*dwarsprofiel!$B$11^(1/2)</f>
        <v>0.19802740669131219</v>
      </c>
      <c r="T5">
        <f t="shared" si="1"/>
        <v>0.32214296714901181</v>
      </c>
    </row>
    <row r="6" spans="1:20" x14ac:dyDescent="0.25">
      <c r="A6" t="s">
        <v>19</v>
      </c>
      <c r="B6" s="9">
        <v>1.6137387466577375</v>
      </c>
      <c r="C6" t="s">
        <v>0</v>
      </c>
      <c r="I6">
        <f>-I3</f>
        <v>5.806869373328869</v>
      </c>
      <c r="J6">
        <f>J3</f>
        <v>24.813738746657737</v>
      </c>
      <c r="M6">
        <v>0.15</v>
      </c>
      <c r="N6">
        <f>dwarsprofiel!$B$6*M6</f>
        <v>0.24206081199866061</v>
      </c>
      <c r="O6">
        <f>N6+dwarsprofiel!$B$5</f>
        <v>23.442060811998658</v>
      </c>
      <c r="P6">
        <f>(N6*dwarsprofiel!$B$2)+(N6*dwarsprofiel!$B$3)*N6</f>
        <v>2.4499048383393314</v>
      </c>
      <c r="Q6">
        <f>dwarsprofiel!$B$2+SQRT((N6*dwarsprofiel!$B$3)^2 + N6^2)*2</f>
        <v>10.541264430317803</v>
      </c>
      <c r="R6">
        <f t="shared" si="0"/>
        <v>0.23241090805891781</v>
      </c>
      <c r="S6">
        <f>1/dwarsprofiel!$B$4*R6^(2/3)*dwarsprofiel!$B$11^(1/2)</f>
        <v>0.25720384861875512</v>
      </c>
      <c r="T6">
        <f t="shared" si="1"/>
        <v>0.63012495317058514</v>
      </c>
    </row>
    <row r="7" spans="1:20" x14ac:dyDescent="0.25">
      <c r="M7">
        <v>0.2</v>
      </c>
      <c r="N7">
        <f>dwarsprofiel!$B$6*M7</f>
        <v>0.32274774933154754</v>
      </c>
      <c r="O7">
        <f>N7+dwarsprofiel!$B$5</f>
        <v>23.522747749331547</v>
      </c>
      <c r="P7">
        <f>(N7*dwarsprofiel!$B$2)+(N7*dwarsprofiel!$B$3)*N7</f>
        <v>3.2795605481647652</v>
      </c>
      <c r="Q7">
        <f>dwarsprofiel!$B$2+SQRT((N7*dwarsprofiel!$B$3)^2 + N7^2)*2</f>
        <v>10.721685907090402</v>
      </c>
      <c r="R7">
        <f t="shared" si="0"/>
        <v>0.30588105047881936</v>
      </c>
      <c r="S7">
        <f>1/dwarsprofiel!$B$4*R7^(2/3)*dwarsprofiel!$B$11^(1/2)</f>
        <v>0.30889307573122737</v>
      </c>
      <c r="T7">
        <f t="shared" si="1"/>
        <v>1.0130335447694043</v>
      </c>
    </row>
    <row r="8" spans="1:20" x14ac:dyDescent="0.25">
      <c r="A8" s="1" t="s">
        <v>11</v>
      </c>
      <c r="M8">
        <v>0.25</v>
      </c>
      <c r="N8">
        <f>dwarsprofiel!$B$6*M8</f>
        <v>0.40343468666443438</v>
      </c>
      <c r="O8">
        <f>N8+dwarsprofiel!$B$5</f>
        <v>23.603434686664432</v>
      </c>
      <c r="P8">
        <f>(N8*dwarsprofiel!$B$2)+(N8*dwarsprofiel!$B$3)*N8</f>
        <v>4.1157266398463594</v>
      </c>
      <c r="Q8">
        <f>dwarsprofiel!$B$2+SQRT((N8*dwarsprofiel!$B$3)^2 + N8^2)*2</f>
        <v>10.902107383863003</v>
      </c>
      <c r="R8">
        <f t="shared" si="0"/>
        <v>0.37751661169090517</v>
      </c>
      <c r="S8">
        <f>1/dwarsprofiel!$B$4*R8^(2/3)*dwarsprofiel!$B$11^(1/2)</f>
        <v>0.35541070287538051</v>
      </c>
      <c r="T8">
        <f t="shared" si="1"/>
        <v>1.4627732979107226</v>
      </c>
    </row>
    <row r="9" spans="1:20" x14ac:dyDescent="0.25">
      <c r="A9" t="s">
        <v>21</v>
      </c>
      <c r="B9" s="9">
        <v>1350</v>
      </c>
      <c r="C9" t="s">
        <v>12</v>
      </c>
      <c r="M9">
        <v>0.3</v>
      </c>
      <c r="N9">
        <f>dwarsprofiel!$B$6*M9</f>
        <v>0.48412162399732123</v>
      </c>
      <c r="O9">
        <f>N9+dwarsprofiel!$B$5</f>
        <v>23.684121623997321</v>
      </c>
      <c r="P9">
        <f>(N9*dwarsprofiel!$B$2)+(N9*dwarsprofiel!$B$3)*N9</f>
        <v>4.9584031133841142</v>
      </c>
      <c r="Q9">
        <f>dwarsprofiel!$B$2+SQRT((N9*dwarsprofiel!$B$3)^2 + N9^2)*2</f>
        <v>11.082528860635604</v>
      </c>
      <c r="R9">
        <f t="shared" si="0"/>
        <v>0.44740719160191211</v>
      </c>
      <c r="S9">
        <f>1/dwarsprofiel!$B$4*R9^(2/3)*dwarsprofiel!$B$11^(1/2)</f>
        <v>0.39802324080862811</v>
      </c>
      <c r="T9">
        <f t="shared" si="1"/>
        <v>1.9735596764247367</v>
      </c>
    </row>
    <row r="10" spans="1:20" x14ac:dyDescent="0.25">
      <c r="A10" t="s">
        <v>22</v>
      </c>
      <c r="B10">
        <v>1</v>
      </c>
      <c r="C10" t="s">
        <v>14</v>
      </c>
      <c r="M10">
        <v>0.35</v>
      </c>
      <c r="N10">
        <f>dwarsprofiel!$B$6*M10</f>
        <v>0.56480856133020807</v>
      </c>
      <c r="O10">
        <f>N10+dwarsprofiel!$B$5</f>
        <v>23.764808561330206</v>
      </c>
      <c r="P10">
        <f>(N10*dwarsprofiel!$B$2)+(N10*dwarsprofiel!$B$3)*N10</f>
        <v>5.8075899687780312</v>
      </c>
      <c r="Q10">
        <f>dwarsprofiel!$B$2+SQRT((N10*dwarsprofiel!$B$3)^2 + N10^2)*2</f>
        <v>11.262950337408205</v>
      </c>
      <c r="R10">
        <f t="shared" si="0"/>
        <v>0.51563664890619199</v>
      </c>
      <c r="S10">
        <f>1/dwarsprofiel!$B$4*R10^(2/3)*dwarsprofiel!$B$11^(1/2)</f>
        <v>0.43752443160799714</v>
      </c>
      <c r="T10">
        <f t="shared" si="1"/>
        <v>2.540962500101914</v>
      </c>
    </row>
    <row r="11" spans="1:20" x14ac:dyDescent="0.25">
      <c r="A11" t="s">
        <v>23</v>
      </c>
      <c r="B11">
        <f>B10/B9</f>
        <v>7.407407407407407E-4</v>
      </c>
      <c r="C11" t="s">
        <v>13</v>
      </c>
      <c r="M11">
        <v>0.4</v>
      </c>
      <c r="N11">
        <f>dwarsprofiel!$B$6*M11</f>
        <v>0.64549549866309508</v>
      </c>
      <c r="O11">
        <f>N11+dwarsprofiel!$B$5</f>
        <v>23.845495498663094</v>
      </c>
      <c r="P11">
        <f>(N11*dwarsprofiel!$B$2)+(N11*dwarsprofiel!$B$3)*N11</f>
        <v>6.6632872060281096</v>
      </c>
      <c r="Q11">
        <f>dwarsprofiel!$B$2+SQRT((N11*dwarsprofiel!$B$3)^2 + N11^2)*2</f>
        <v>11.443371814180805</v>
      </c>
      <c r="R11">
        <f t="shared" si="0"/>
        <v>0.58228355367872076</v>
      </c>
      <c r="S11">
        <f>1/dwarsprofiel!$B$4*R11^(2/3)*dwarsprofiel!$B$11^(1/2)</f>
        <v>0.47445621543319888</v>
      </c>
      <c r="T11">
        <f t="shared" si="1"/>
        <v>3.1614380301165506</v>
      </c>
    </row>
    <row r="12" spans="1:20" x14ac:dyDescent="0.25">
      <c r="M12">
        <v>0.45</v>
      </c>
      <c r="N12">
        <f>dwarsprofiel!$B$6*M12</f>
        <v>0.72618243599598187</v>
      </c>
      <c r="O12">
        <f>N12+dwarsprofiel!$B$5</f>
        <v>23.92618243599598</v>
      </c>
      <c r="P12">
        <f>(N12*dwarsprofiel!$B$2)+(N12*dwarsprofiel!$B$3)*N12</f>
        <v>7.5254948251343485</v>
      </c>
      <c r="Q12">
        <f>dwarsprofiel!$B$2+SQRT((N12*dwarsprofiel!$B$3)^2 + N12^2)*2</f>
        <v>11.623793290953406</v>
      </c>
      <c r="R12">
        <f t="shared" si="0"/>
        <v>0.64742159781792652</v>
      </c>
      <c r="S12">
        <f>1/dwarsprofiel!$B$4*R12^(2/3)*dwarsprofiel!$B$11^(1/2)</f>
        <v>0.50921116008401823</v>
      </c>
      <c r="T12">
        <f t="shared" si="1"/>
        <v>3.8320659501129377</v>
      </c>
    </row>
    <row r="13" spans="1:20" x14ac:dyDescent="0.25">
      <c r="A13" s="1" t="s">
        <v>26</v>
      </c>
      <c r="M13">
        <v>0.5</v>
      </c>
      <c r="N13">
        <f>dwarsprofiel!$B$6*M13</f>
        <v>0.80686937332886877</v>
      </c>
      <c r="O13">
        <f>N13+dwarsprofiel!$B$5</f>
        <v>24.006869373328868</v>
      </c>
      <c r="P13">
        <f>(N13*dwarsprofiel!$B$2)+(N13*dwarsprofiel!$B$3)*N13</f>
        <v>8.3942128260967479</v>
      </c>
      <c r="Q13">
        <f>dwarsprofiel!$B$2+SQRT((N13*dwarsprofiel!$B$3)^2 + N13^2)*2</f>
        <v>11.804214767726005</v>
      </c>
      <c r="R13">
        <f t="shared" si="0"/>
        <v>0.7111199678480461</v>
      </c>
      <c r="S13">
        <f>1/dwarsprofiel!$B$4*R13^(2/3)*dwarsprofiel!$B$11^(1/2)</f>
        <v>0.54208622741606616</v>
      </c>
      <c r="T13">
        <f t="shared" si="1"/>
        <v>4.5503871630263415</v>
      </c>
    </row>
    <row r="14" spans="1:20" x14ac:dyDescent="0.25">
      <c r="A14" s="1"/>
      <c r="M14">
        <v>0.55000000000000004</v>
      </c>
      <c r="N14">
        <f>dwarsprofiel!$B$6*M14</f>
        <v>0.88755631066175567</v>
      </c>
      <c r="O14">
        <f>N14+dwarsprofiel!$B$5</f>
        <v>24.087556310661753</v>
      </c>
      <c r="P14">
        <f>(N14*dwarsprofiel!$B$2)+(N14*dwarsprofiel!$B$3)*N14</f>
        <v>9.2694412089153104</v>
      </c>
      <c r="Q14">
        <f>dwarsprofiel!$B$2+SQRT((N14*dwarsprofiel!$B$3)^2 + N14^2)*2</f>
        <v>11.984636244498606</v>
      </c>
      <c r="R14">
        <f t="shared" si="0"/>
        <v>0.77344368404759289</v>
      </c>
      <c r="S14">
        <f>1/dwarsprofiel!$B$4*R14^(2/3)*dwarsprofiel!$B$11^(1/2)</f>
        <v>0.57331361567318417</v>
      </c>
      <c r="T14">
        <f t="shared" si="1"/>
        <v>5.3142968547532483</v>
      </c>
    </row>
    <row r="15" spans="1:20" x14ac:dyDescent="0.25">
      <c r="A15" t="s">
        <v>27</v>
      </c>
      <c r="B15">
        <v>14</v>
      </c>
      <c r="C15" t="s">
        <v>24</v>
      </c>
      <c r="M15">
        <v>0.6</v>
      </c>
      <c r="N15">
        <f>dwarsprofiel!$B$6*M15</f>
        <v>0.96824324799464245</v>
      </c>
      <c r="O15">
        <f>N15+dwarsprofiel!$B$5</f>
        <v>24.168243247994642</v>
      </c>
      <c r="P15">
        <f>(N15*dwarsprofiel!$B$2)+(N15*dwarsprofiel!$B$3)*N15</f>
        <v>10.151179973590033</v>
      </c>
      <c r="Q15">
        <f>dwarsprofiel!$B$2+SQRT((N15*dwarsprofiel!$B$3)^2 + N15^2)*2</f>
        <v>12.165057721271207</v>
      </c>
      <c r="R15">
        <f t="shared" si="0"/>
        <v>0.8344539093998864</v>
      </c>
      <c r="S15">
        <f>1/dwarsprofiel!$B$4*R15^(2/3)*dwarsprofiel!$B$11^(1/2)</f>
        <v>0.60307967696363562</v>
      </c>
      <c r="T15">
        <f t="shared" si="1"/>
        <v>6.1219703392724041</v>
      </c>
    </row>
    <row r="16" spans="1:20" x14ac:dyDescent="0.25">
      <c r="A16" t="s">
        <v>28</v>
      </c>
      <c r="B16">
        <v>0.15</v>
      </c>
      <c r="C16" t="s">
        <v>0</v>
      </c>
      <c r="M16">
        <v>0.65</v>
      </c>
      <c r="N16">
        <f>dwarsprofiel!$B$6*M16</f>
        <v>1.0489301853275295</v>
      </c>
      <c r="O16">
        <f>N16+dwarsprofiel!$B$5</f>
        <v>24.248930185327527</v>
      </c>
      <c r="P16">
        <f>(N16*dwarsprofiel!$B$2)+(N16*dwarsprofiel!$B$3)*N16</f>
        <v>11.039429120120918</v>
      </c>
      <c r="Q16">
        <f>dwarsprofiel!$B$2+SQRT((N16*dwarsprofiel!$B$3)^2 + N16^2)*2</f>
        <v>12.345479198043808</v>
      </c>
      <c r="R16">
        <f t="shared" si="0"/>
        <v>0.89420823145286743</v>
      </c>
      <c r="S16">
        <f>1/dwarsprofiel!$B$4*R16^(2/3)*dwarsprofiel!$B$11^(1/2)</f>
        <v>0.63153714578478515</v>
      </c>
      <c r="T16">
        <f t="shared" si="1"/>
        <v>6.9718095576146064</v>
      </c>
    </row>
    <row r="17" spans="1:20" x14ac:dyDescent="0.25">
      <c r="M17">
        <v>0.7</v>
      </c>
      <c r="N17">
        <f>dwarsprofiel!$B$6*M17</f>
        <v>1.1296171226604161</v>
      </c>
      <c r="O17">
        <f>N17+dwarsprofiel!$B$5</f>
        <v>24.329617122660416</v>
      </c>
      <c r="P17">
        <f>(N17*dwarsprofiel!$B$2)+(N17*dwarsprofiel!$B$3)*N17</f>
        <v>11.934188648507961</v>
      </c>
      <c r="Q17">
        <f>dwarsprofiel!$B$2+SQRT((N17*dwarsprofiel!$B$3)^2 + N17^2)*2</f>
        <v>12.525900674816409</v>
      </c>
      <c r="R17">
        <f t="shared" si="0"/>
        <v>0.95276091981967426</v>
      </c>
      <c r="S17">
        <f>1/dwarsprofiel!$B$4*R17^(2/3)*dwarsprofiel!$B$11^(1/2)</f>
        <v>0.65881338555596414</v>
      </c>
      <c r="T17">
        <f t="shared" si="1"/>
        <v>7.8624032273870856</v>
      </c>
    </row>
    <row r="18" spans="1:20" x14ac:dyDescent="0.25">
      <c r="M18">
        <v>0.75</v>
      </c>
      <c r="N18">
        <f>dwarsprofiel!$B$6*M18</f>
        <v>1.210304059993303</v>
      </c>
      <c r="O18">
        <f>N18+dwarsprofiel!$B$5</f>
        <v>24.410304059993301</v>
      </c>
      <c r="P18">
        <f>(N18*dwarsprofiel!$B$2)+(N18*dwarsprofiel!$B$3)*N18</f>
        <v>12.835458558751167</v>
      </c>
      <c r="Q18">
        <f>dwarsprofiel!$B$2+SQRT((N18*dwarsprofiel!$B$3)^2 + N18^2)*2</f>
        <v>12.70632215158901</v>
      </c>
      <c r="R18">
        <f t="shared" si="0"/>
        <v>1.0101631617411815</v>
      </c>
      <c r="S18">
        <f>1/dwarsprofiel!$B$4*R18^(2/3)*dwarsprofiel!$B$11^(1/2)</f>
        <v>0.68501614741774786</v>
      </c>
      <c r="T18">
        <f t="shared" si="1"/>
        <v>8.7924963722558829</v>
      </c>
    </row>
    <row r="19" spans="1:20" x14ac:dyDescent="0.25">
      <c r="A19" t="s">
        <v>41</v>
      </c>
      <c r="B19">
        <f>dwarsprofiel!I6-dwarsprofiel!I3</f>
        <v>11.613738746657738</v>
      </c>
      <c r="C19" t="s">
        <v>0</v>
      </c>
      <c r="M19">
        <v>0.8</v>
      </c>
      <c r="N19">
        <f>dwarsprofiel!$B$6*M19</f>
        <v>1.2909909973261902</v>
      </c>
      <c r="O19">
        <f>N19+dwarsprofiel!$B$5</f>
        <v>24.49099099732619</v>
      </c>
      <c r="P19">
        <f>(N19*dwarsprofiel!$B$2)+(N19*dwarsprofiel!$B$3)*N19</f>
        <v>13.743238850850538</v>
      </c>
      <c r="Q19">
        <f>dwarsprofiel!$B$2+SQRT((N19*dwarsprofiel!$B$3)^2 + N19^2)*2</f>
        <v>12.886743628361611</v>
      </c>
      <c r="R19">
        <f t="shared" si="0"/>
        <v>1.0664632778605079</v>
      </c>
      <c r="S19">
        <f>1/dwarsprofiel!$B$4*R19^(2/3)*dwarsprofiel!$B$11^(1/2)</f>
        <v>0.7102377113846402</v>
      </c>
      <c r="T19">
        <f t="shared" si="1"/>
        <v>9.7609665084405588</v>
      </c>
    </row>
    <row r="20" spans="1:20" x14ac:dyDescent="0.25">
      <c r="M20">
        <v>0.85</v>
      </c>
      <c r="N20">
        <f>dwarsprofiel!$B$6*M20</f>
        <v>1.3716779346590768</v>
      </c>
      <c r="O20">
        <f>N20+dwarsprofiel!$B$5</f>
        <v>24.571677934659075</v>
      </c>
      <c r="P20">
        <f>(N20*dwarsprofiel!$B$2)+(N20*dwarsprofiel!$B$3)*N20</f>
        <v>14.657529524806066</v>
      </c>
      <c r="Q20">
        <f>dwarsprofiel!$B$2+SQRT((N20*dwarsprofiel!$B$3)^2 + N20^2)*2</f>
        <v>13.067165105134212</v>
      </c>
      <c r="R20">
        <f t="shared" si="0"/>
        <v>1.1217069201220229</v>
      </c>
      <c r="S20">
        <f>1/dwarsprofiel!$B$4*R20^(2/3)*dwarsprofiel!$B$11^(1/2)</f>
        <v>0.73455793952096915</v>
      </c>
      <c r="T20">
        <f t="shared" si="1"/>
        <v>10.766804686209314</v>
      </c>
    </row>
    <row r="21" spans="1:20" x14ac:dyDescent="0.25">
      <c r="M21">
        <v>0.9</v>
      </c>
      <c r="N21">
        <f>dwarsprofiel!$B$6*M21</f>
        <v>1.4523648719919637</v>
      </c>
      <c r="O21">
        <f>N21+dwarsprofiel!$B$5</f>
        <v>24.652364871991963</v>
      </c>
      <c r="P21">
        <f>(N21*dwarsprofiel!$B$2)+(N21*dwarsprofiel!$B$3)*N21</f>
        <v>15.578330580617754</v>
      </c>
      <c r="Q21">
        <f>dwarsprofiel!$B$2+SQRT((N21*dwarsprofiel!$B$3)^2 + N21^2)*2</f>
        <v>13.247586581906811</v>
      </c>
      <c r="R21">
        <f t="shared" si="0"/>
        <v>1.175937253499004</v>
      </c>
      <c r="S21">
        <f>1/dwarsprofiel!$B$4*R21^(2/3)*dwarsprofiel!$B$11^(1/2)</f>
        <v>0.75804657594365576</v>
      </c>
      <c r="T21">
        <f t="shared" si="1"/>
        <v>11.809100155555631</v>
      </c>
    </row>
    <row r="22" spans="1:20" x14ac:dyDescent="0.25">
      <c r="M22">
        <v>0.95</v>
      </c>
      <c r="N22">
        <f>dwarsprofiel!$B$6*M22</f>
        <v>1.5330518093248506</v>
      </c>
      <c r="O22">
        <f>N22+dwarsprofiel!$B$5</f>
        <v>24.733051809324849</v>
      </c>
      <c r="P22">
        <f>(N22*dwarsprofiel!$B$2)+(N22*dwarsprofiel!$B$3)*N22</f>
        <v>16.505642018285606</v>
      </c>
      <c r="Q22">
        <f>dwarsprofiel!$B$2+SQRT((N22*dwarsprofiel!$B$3)^2 + N22^2)*2</f>
        <v>13.428008058679412</v>
      </c>
      <c r="R22">
        <f t="shared" si="0"/>
        <v>1.2291951230709097</v>
      </c>
      <c r="S22">
        <f>1/dwarsprofiel!$B$4*R22^(2/3)*dwarsprofiel!$B$11^(1/2)</f>
        <v>0.78076501222791861</v>
      </c>
      <c r="T22">
        <f t="shared" si="1"/>
        <v>12.887027792236408</v>
      </c>
    </row>
    <row r="23" spans="1:20" x14ac:dyDescent="0.25">
      <c r="M23">
        <v>1</v>
      </c>
      <c r="N23">
        <f>dwarsprofiel!$B$6*M23</f>
        <v>1.6137387466577375</v>
      </c>
      <c r="O23">
        <f>N23+dwarsprofiel!$B$5</f>
        <v>24.813738746657737</v>
      </c>
      <c r="P23">
        <f>(N23*dwarsprofiel!$B$2)+(N23*dwarsprofiel!$B$3)*N23</f>
        <v>17.439463837809619</v>
      </c>
      <c r="Q23">
        <f>dwarsprofiel!$B$2+SQRT((N23*dwarsprofiel!$B$3)^2 + N23^2)*2</f>
        <v>13.608429535452013</v>
      </c>
      <c r="R23">
        <f>P23/Q23</f>
        <v>1.2815192078099229</v>
      </c>
      <c r="S23">
        <f>1/dwarsprofiel!$B$4*R23^(2/3)*dwarsprofiel!$B$11^(1/2)</f>
        <v>0.80276766497204866</v>
      </c>
      <c r="T23">
        <f>S23*P23</f>
        <v>13.999837663442911</v>
      </c>
    </row>
    <row r="32" spans="1:20" x14ac:dyDescent="0.25">
      <c r="J32" s="4"/>
    </row>
    <row r="34" spans="10:10" x14ac:dyDescent="0.25">
      <c r="J3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4B79-0437-4623-AC39-D8C4596FA1BA}">
  <dimension ref="A1:P29"/>
  <sheetViews>
    <sheetView workbookViewId="0">
      <selection activeCell="E29" sqref="E29"/>
    </sheetView>
  </sheetViews>
  <sheetFormatPr defaultRowHeight="15" x14ac:dyDescent="0.25"/>
  <cols>
    <col min="2" max="2" width="12.28515625" bestFit="1" customWidth="1"/>
    <col min="3" max="3" width="14.7109375" bestFit="1" customWidth="1"/>
    <col min="4" max="4" width="12" bestFit="1" customWidth="1"/>
    <col min="5" max="5" width="22.28515625" bestFit="1" customWidth="1"/>
    <col min="6" max="6" width="28.5703125" bestFit="1" customWidth="1"/>
    <col min="7" max="7" width="21.140625" bestFit="1" customWidth="1"/>
    <col min="8" max="8" width="17.85546875" bestFit="1" customWidth="1"/>
    <col min="14" max="14" width="11.85546875" customWidth="1"/>
    <col min="16" max="16" width="10.28515625" bestFit="1" customWidth="1"/>
    <col min="23" max="23" width="9.5703125" bestFit="1" customWidth="1"/>
    <col min="24" max="24" width="15.28515625" customWidth="1"/>
  </cols>
  <sheetData>
    <row r="1" spans="1:16" x14ac:dyDescent="0.25">
      <c r="A1" t="s">
        <v>42</v>
      </c>
      <c r="B1" t="s">
        <v>46</v>
      </c>
      <c r="C1" s="2" t="s">
        <v>36</v>
      </c>
      <c r="D1" s="2" t="s">
        <v>35</v>
      </c>
      <c r="E1" s="2" t="s">
        <v>33</v>
      </c>
      <c r="F1" s="2" t="s">
        <v>34</v>
      </c>
      <c r="G1" s="2" t="s">
        <v>3</v>
      </c>
      <c r="H1" s="2" t="s">
        <v>45</v>
      </c>
      <c r="I1" s="2" t="s">
        <v>5</v>
      </c>
      <c r="J1" s="2" t="s">
        <v>6</v>
      </c>
      <c r="K1" s="2" t="s">
        <v>7</v>
      </c>
      <c r="L1" s="2" t="s">
        <v>37</v>
      </c>
      <c r="M1" s="2" t="s">
        <v>25</v>
      </c>
      <c r="N1" s="2" t="s">
        <v>40</v>
      </c>
      <c r="O1" s="2" t="s">
        <v>38</v>
      </c>
      <c r="P1" s="2" t="s">
        <v>39</v>
      </c>
    </row>
    <row r="2" spans="1:16" x14ac:dyDescent="0.25">
      <c r="A2" t="s">
        <v>43</v>
      </c>
      <c r="B2">
        <f>MIN(E2)</f>
        <v>23.2</v>
      </c>
      <c r="C2">
        <v>0</v>
      </c>
      <c r="D2">
        <f>dwarsprofiel!$B$9*C2</f>
        <v>0</v>
      </c>
      <c r="E2">
        <f>D2*dwarsprofiel!$B$11+dwarsprofiel!$B$5</f>
        <v>23.2</v>
      </c>
      <c r="F2" s="3">
        <f>E2+dwarsprofiel!$B$6</f>
        <v>24.813738746657737</v>
      </c>
      <c r="G2" s="6">
        <f>dwarsprofiel!$N$23+dwarsprofiel!$B$16</f>
        <v>1.7637387466577374</v>
      </c>
      <c r="H2" s="6">
        <f t="shared" ref="H2:H22" si="0">G2+E2</f>
        <v>24.963738746657736</v>
      </c>
      <c r="I2" s="6">
        <f>(G2*dwarsprofiel!$B$2)+(G2*dwarsprofiel!$B$3)*G2</f>
        <v>19.192774649808275</v>
      </c>
      <c r="J2" s="6">
        <f>dwarsprofiel!$B$2+SQRT((G2*dwarsprofiel!$B$3)^2 + G2^2)*2</f>
        <v>13.943839732076981</v>
      </c>
      <c r="K2" s="6">
        <f t="shared" ref="K2" si="1">I2/J2</f>
        <v>1.3764339678730262</v>
      </c>
      <c r="L2" s="8">
        <f>((dwarsprofiel!$B$15*dwarsprofiel!$B$4)/(langsprofiel!I2*langsprofiel!K2^(2/3)))^2</f>
        <v>5.5602375999007792E-4</v>
      </c>
      <c r="M2" s="6">
        <f>dwarsprofiel!$T$23/langsprofiel!$I$2</f>
        <v>0.72943271199105963</v>
      </c>
      <c r="N2" s="6">
        <f>I2/dwarsprofiel!$B$19</f>
        <v>1.6525922503062738</v>
      </c>
      <c r="O2" s="6">
        <f>M2/SQRT(9.81*N2)</f>
        <v>0.18116232099341009</v>
      </c>
      <c r="P2" s="7">
        <f>(dwarsprofiel!$B$11-langsprofiel!L2)/(1-langsprofiel!O2^2)</f>
        <v>1.9098506998124859E-4</v>
      </c>
    </row>
    <row r="3" spans="1:16" x14ac:dyDescent="0.25">
      <c r="C3">
        <f>C2+0.05</f>
        <v>0.05</v>
      </c>
      <c r="D3">
        <f>dwarsprofiel!$B$9*C3</f>
        <v>67.5</v>
      </c>
      <c r="E3">
        <f>D3*dwarsprofiel!$B$11+dwarsprofiel!$B$5</f>
        <v>23.25</v>
      </c>
      <c r="F3" s="3">
        <f>E3+dwarsprofiel!$B$6</f>
        <v>24.863738746657738</v>
      </c>
      <c r="G3" s="6">
        <f>G2-P2*(D3-D2)</f>
        <v>1.7508472544340032</v>
      </c>
      <c r="H3" s="6">
        <f t="shared" si="0"/>
        <v>25.000847254434003</v>
      </c>
      <c r="I3" s="6">
        <f>(G3*dwarsprofiel!$B$2)+(G3*dwarsprofiel!$B$3)*G3</f>
        <v>19.041205598519579</v>
      </c>
      <c r="J3" s="6">
        <f>dwarsprofiel!$B$2+SQRT((G3*dwarsprofiel!$B$3)^2 + G3^2)*2</f>
        <v>13.915013479133302</v>
      </c>
      <c r="K3" s="6">
        <f t="shared" ref="K3" si="2">I3/J3</f>
        <v>1.3683928964261098</v>
      </c>
      <c r="L3" s="8">
        <f>((dwarsprofiel!$B$15*dwarsprofiel!$B$4)/(langsprofiel!I3*langsprofiel!K3^(2/3)))^2</f>
        <v>5.6934138639455839E-4</v>
      </c>
      <c r="M3" s="6">
        <f>dwarsprofiel!$T$23/langsprofiel!$I$2</f>
        <v>0.72943271199105963</v>
      </c>
      <c r="N3" s="6">
        <f>I3/dwarsprofiel!$B$19</f>
        <v>1.6395414098667713</v>
      </c>
      <c r="O3" s="6">
        <f t="shared" ref="O3:O22" si="3">M3/SQRT(9.81*N3)</f>
        <v>0.18188192286915844</v>
      </c>
      <c r="P3" s="7">
        <f>(dwarsprofiel!$B$11-langsprofiel!L3)/(1-langsprofiel!O3^2)</f>
        <v>1.7726341125729069E-4</v>
      </c>
    </row>
    <row r="4" spans="1:16" x14ac:dyDescent="0.25">
      <c r="C4">
        <f t="shared" ref="C4:C22" si="4">C3+0.05</f>
        <v>0.1</v>
      </c>
      <c r="D4">
        <f>dwarsprofiel!$B$9*C4</f>
        <v>135</v>
      </c>
      <c r="E4">
        <f>D4*dwarsprofiel!$B$11+dwarsprofiel!$B$5</f>
        <v>23.3</v>
      </c>
      <c r="F4" s="3">
        <f>E4+dwarsprofiel!$B$6</f>
        <v>24.913738746657739</v>
      </c>
      <c r="G4" s="6">
        <f t="shared" ref="G4:G21" si="5">G3-P3*(D4-D3)</f>
        <v>1.7388819741741361</v>
      </c>
      <c r="H4" s="6">
        <f t="shared" si="0"/>
        <v>25.038881974174139</v>
      </c>
      <c r="I4" s="6">
        <f>(G4*dwarsprofiel!$B$2)+(G4*dwarsprofiel!$B$3)*G4</f>
        <v>18.900675001795232</v>
      </c>
      <c r="J4" s="6">
        <f>dwarsprofiel!$B$2+SQRT((G4*dwarsprofiel!$B$3)^2 + G4^2)*2</f>
        <v>13.888258299102402</v>
      </c>
      <c r="K4" s="6">
        <f t="shared" ref="K4:K11" si="6">I4/J4</f>
        <v>1.3609103888150456</v>
      </c>
      <c r="L4" s="8">
        <f>((dwarsprofiel!$B$15*dwarsprofiel!$B$4)/(langsprofiel!I4*langsprofiel!K4^(2/3)))^2</f>
        <v>5.8207916261707204E-4</v>
      </c>
      <c r="M4" s="6">
        <f>dwarsprofiel!$T$23/langsprofiel!$I$2</f>
        <v>0.72943271199105963</v>
      </c>
      <c r="N4" s="6">
        <f>I4/dwarsprofiel!$B$19</f>
        <v>1.6274410346310371</v>
      </c>
      <c r="O4" s="6">
        <f t="shared" si="3"/>
        <v>0.18255683633071115</v>
      </c>
      <c r="P4" s="7">
        <f>(dwarsprofiel!$B$11-langsprofiel!L4)/(1-langsprofiel!O4^2)</f>
        <v>1.6413159142337369E-4</v>
      </c>
    </row>
    <row r="5" spans="1:16" x14ac:dyDescent="0.25">
      <c r="C5">
        <f t="shared" si="4"/>
        <v>0.15000000000000002</v>
      </c>
      <c r="D5">
        <f>dwarsprofiel!$B$9*C5</f>
        <v>202.50000000000003</v>
      </c>
      <c r="E5">
        <f>D5*dwarsprofiel!$B$11+dwarsprofiel!$B$5</f>
        <v>23.349999999999998</v>
      </c>
      <c r="F5" s="3">
        <f>E5+dwarsprofiel!$B$6</f>
        <v>24.963738746657736</v>
      </c>
      <c r="G5" s="6">
        <f t="shared" si="5"/>
        <v>1.7278030917530585</v>
      </c>
      <c r="H5" s="6">
        <f t="shared" si="0"/>
        <v>25.077803091753058</v>
      </c>
      <c r="I5" s="6">
        <f>(G5*dwarsprofiel!$B$2)+(G5*dwarsprofiel!$B$3)*G5</f>
        <v>18.770682679466301</v>
      </c>
      <c r="J5" s="6">
        <f>dwarsprofiel!$B$2+SQRT((G5*dwarsprofiel!$B$3)^2 + G5^2)*2</f>
        <v>13.863485164894145</v>
      </c>
      <c r="K5" s="6">
        <f t="shared" si="6"/>
        <v>1.3539656483348375</v>
      </c>
      <c r="L5" s="8">
        <f>((dwarsprofiel!$B$15*dwarsprofiel!$B$4)/(langsprofiel!I5*langsprofiel!K5^(2/3)))^2</f>
        <v>5.9420876934009384E-4</v>
      </c>
      <c r="M5" s="6">
        <f>dwarsprofiel!$T$23/langsprofiel!$I$2</f>
        <v>0.72943271199105963</v>
      </c>
      <c r="N5" s="6">
        <f>I5/dwarsprofiel!$B$19</f>
        <v>1.6162480566276063</v>
      </c>
      <c r="O5" s="6">
        <f t="shared" si="3"/>
        <v>0.18318787472203255</v>
      </c>
      <c r="P5" s="7">
        <f>(dwarsprofiel!$B$11-langsprofiel!L5)/(1-langsprofiel!O5^2)</f>
        <v>1.5162000481072153E-4</v>
      </c>
    </row>
    <row r="6" spans="1:16" x14ac:dyDescent="0.25">
      <c r="C6">
        <f t="shared" si="4"/>
        <v>0.2</v>
      </c>
      <c r="D6">
        <f>dwarsprofiel!$B$9*C6</f>
        <v>270</v>
      </c>
      <c r="E6">
        <f>D6*dwarsprofiel!$B$11+dwarsprofiel!$B$5</f>
        <v>23.4</v>
      </c>
      <c r="F6" s="3">
        <f>E6+dwarsprofiel!$B$6</f>
        <v>25.013738746657737</v>
      </c>
      <c r="G6" s="6">
        <f t="shared" si="5"/>
        <v>1.7175687414283347</v>
      </c>
      <c r="H6" s="6">
        <f t="shared" si="0"/>
        <v>25.117568741428332</v>
      </c>
      <c r="I6" s="6">
        <f>(G6*dwarsprofiel!$B$2)+(G6*dwarsprofiel!$B$3)*G6</f>
        <v>18.650708605049203</v>
      </c>
      <c r="J6" s="6">
        <f>dwarsprofiel!$B$2+SQRT((G6*dwarsprofiel!$B$3)^2 + G6^2)*2</f>
        <v>13.840600461862515</v>
      </c>
      <c r="K6" s="6">
        <f t="shared" si="6"/>
        <v>1.3475360882239784</v>
      </c>
      <c r="L6" s="8">
        <f>((dwarsprofiel!$B$15*dwarsprofiel!$B$4)/(langsprofiel!I6*langsprofiel!K6^(2/3)))^2</f>
        <v>6.0571013516809793E-4</v>
      </c>
      <c r="M6" s="6">
        <f>dwarsprofiel!$T$23/langsprofiel!$I$2</f>
        <v>0.72943271199105963</v>
      </c>
      <c r="N6" s="6">
        <f>I6/dwarsprofiel!$B$19</f>
        <v>1.6059176990197581</v>
      </c>
      <c r="O6" s="6">
        <f t="shared" si="3"/>
        <v>0.1837761248888376</v>
      </c>
      <c r="P6" s="7">
        <f>(dwarsprofiel!$B$11-langsprofiel!L6)/(1-langsprofiel!O6^2)</f>
        <v>1.3975049173541165E-4</v>
      </c>
    </row>
    <row r="7" spans="1:16" x14ac:dyDescent="0.25">
      <c r="C7">
        <f t="shared" si="4"/>
        <v>0.25</v>
      </c>
      <c r="D7">
        <f>dwarsprofiel!$B$9*C7</f>
        <v>337.5</v>
      </c>
      <c r="E7">
        <f>D7*dwarsprofiel!$B$11+dwarsprofiel!$B$5</f>
        <v>23.45</v>
      </c>
      <c r="F7" s="3">
        <f>E7+dwarsprofiel!$B$6</f>
        <v>25.063738746657737</v>
      </c>
      <c r="G7" s="6">
        <f t="shared" si="5"/>
        <v>1.7081355832361944</v>
      </c>
      <c r="H7" s="6">
        <f t="shared" si="0"/>
        <v>25.158135583236195</v>
      </c>
      <c r="I7" s="6">
        <f>(G7*dwarsprofiel!$B$2)+(G7*dwarsprofiel!$B$3)*G7</f>
        <v>18.54021941772077</v>
      </c>
      <c r="J7" s="6">
        <f>dwarsprofiel!$B$2+SQRT((G7*dwarsprofiel!$B$3)^2 + G7^2)*2</f>
        <v>13.819507278902382</v>
      </c>
      <c r="K7" s="6">
        <f t="shared" si="6"/>
        <v>1.3415977171650169</v>
      </c>
      <c r="L7" s="8">
        <f>((dwarsprofiel!$B$15*dwarsprofiel!$B$4)/(langsprofiel!I7*langsprofiel!K7^(2/3)))^2</f>
        <v>6.1657119863842895E-4</v>
      </c>
      <c r="M7" s="6">
        <f>dwarsprofiel!$T$23/langsprofiel!$I$2</f>
        <v>0.72943271199105963</v>
      </c>
      <c r="N7" s="6">
        <f>I7/dwarsprofiel!$B$19</f>
        <v>1.5964040368185801</v>
      </c>
      <c r="O7" s="6">
        <f t="shared" si="3"/>
        <v>0.1843229121749449</v>
      </c>
      <c r="P7" s="7">
        <f>(dwarsprofiel!$B$11-langsprofiel!L7)/(1-langsprofiel!O7^2)</f>
        <v>1.2853656361883574E-4</v>
      </c>
    </row>
    <row r="8" spans="1:16" x14ac:dyDescent="0.25">
      <c r="C8">
        <f t="shared" si="4"/>
        <v>0.3</v>
      </c>
      <c r="D8">
        <f>dwarsprofiel!$B$9*C8</f>
        <v>405</v>
      </c>
      <c r="E8">
        <f>D8*dwarsprofiel!$B$11+dwarsprofiel!$B$5</f>
        <v>23.5</v>
      </c>
      <c r="F8" s="3">
        <f>E8+dwarsprofiel!$B$6</f>
        <v>25.113738746657738</v>
      </c>
      <c r="G8" s="6">
        <f t="shared" si="5"/>
        <v>1.699459365191923</v>
      </c>
      <c r="H8" s="6">
        <f t="shared" si="0"/>
        <v>25.199459365191924</v>
      </c>
      <c r="I8" s="6">
        <f>(G8*dwarsprofiel!$B$2)+(G8*dwarsprofiel!$B$3)*G8</f>
        <v>18.4386747188885</v>
      </c>
      <c r="J8" s="6">
        <f>dwarsprofiel!$B$2+SQRT((G8*dwarsprofiel!$B$3)^2 + G8^2)*2</f>
        <v>13.80010666556778</v>
      </c>
      <c r="K8" s="6">
        <f t="shared" si="6"/>
        <v>1.3361255217609489</v>
      </c>
      <c r="L8" s="8">
        <f>((dwarsprofiel!$B$15*dwarsprofiel!$B$4)/(langsprofiel!I8*langsprofiel!K8^(2/3)))^2</f>
        <v>6.2678746426034974E-4</v>
      </c>
      <c r="M8" s="6">
        <f>dwarsprofiel!$T$23/langsprofiel!$I$2</f>
        <v>0.72943271199105963</v>
      </c>
      <c r="N8" s="6">
        <f>I8/dwarsprofiel!$B$19</f>
        <v>1.5876605390486227</v>
      </c>
      <c r="O8" s="6">
        <f t="shared" si="3"/>
        <v>0.1848297630255146</v>
      </c>
      <c r="P8" s="7">
        <f>(dwarsprofiel!$B$11-langsprofiel!L8)/(1-langsprofiel!O8^2)</f>
        <v>1.1798384548250512E-4</v>
      </c>
    </row>
    <row r="9" spans="1:16" x14ac:dyDescent="0.25">
      <c r="C9">
        <f t="shared" si="4"/>
        <v>0.35</v>
      </c>
      <c r="D9">
        <f>dwarsprofiel!$B$9*C9</f>
        <v>472.49999999999994</v>
      </c>
      <c r="E9">
        <f>D9*dwarsprofiel!$B$11+dwarsprofiel!$B$5</f>
        <v>23.55</v>
      </c>
      <c r="F9" s="3">
        <f>E9+dwarsprofiel!$B$6</f>
        <v>25.163738746657739</v>
      </c>
      <c r="G9" s="6">
        <f t="shared" si="5"/>
        <v>1.691495455621854</v>
      </c>
      <c r="H9" s="6">
        <f t="shared" si="0"/>
        <v>25.241495455621855</v>
      </c>
      <c r="I9" s="6">
        <f>(G9*dwarsprofiel!$B$2)+(G9*dwarsprofiel!$B$3)*G9</f>
        <v>18.345532994413233</v>
      </c>
      <c r="J9" s="6">
        <f>dwarsprofiel!$B$2+SQRT((G9*dwarsprofiel!$B$3)^2 + G9^2)*2</f>
        <v>13.782298822402444</v>
      </c>
      <c r="K9" s="6">
        <f t="shared" si="6"/>
        <v>1.3310938349844423</v>
      </c>
      <c r="L9" s="8">
        <f>((dwarsprofiel!$B$15*dwarsprofiel!$B$4)/(langsprofiel!I9*langsprofiel!K9^(2/3)))^2</f>
        <v>6.3636139267290147E-4</v>
      </c>
      <c r="M9" s="6">
        <f>dwarsprofiel!$T$23/langsprofiel!$I$2</f>
        <v>0.72943271199105963</v>
      </c>
      <c r="N9" s="6">
        <f>I9/dwarsprofiel!$B$19</f>
        <v>1.5796405786803844</v>
      </c>
      <c r="O9" s="6">
        <f t="shared" si="3"/>
        <v>0.18529836666928937</v>
      </c>
      <c r="P9" s="7">
        <f>(dwarsprofiel!$B$11-langsprofiel!L9)/(1-langsprofiel!O9^2)</f>
        <v>1.080906944523733E-4</v>
      </c>
    </row>
    <row r="10" spans="1:16" x14ac:dyDescent="0.25">
      <c r="C10">
        <f t="shared" si="4"/>
        <v>0.39999999999999997</v>
      </c>
      <c r="D10">
        <f>dwarsprofiel!$B$9*C10</f>
        <v>540</v>
      </c>
      <c r="E10">
        <f>D10*dwarsprofiel!$B$11+dwarsprofiel!$B$5</f>
        <v>23.599999999999998</v>
      </c>
      <c r="F10" s="3">
        <f>E10+dwarsprofiel!$B$6</f>
        <v>25.213738746657736</v>
      </c>
      <c r="G10" s="6">
        <f t="shared" si="5"/>
        <v>1.6841993337463188</v>
      </c>
      <c r="H10" s="6">
        <f t="shared" si="0"/>
        <v>25.284199333746315</v>
      </c>
      <c r="I10" s="6">
        <f>(G10*dwarsprofiel!$B$2)+(G10*dwarsprofiel!$B$3)*G10</f>
        <v>18.260257035358958</v>
      </c>
      <c r="J10" s="6">
        <f>dwarsprofiel!$B$2+SQRT((G10*dwarsprofiel!$B$3)^2 + G10^2)*2</f>
        <v>13.765984197916625</v>
      </c>
      <c r="K10" s="6">
        <f t="shared" si="6"/>
        <v>1.3264766814219144</v>
      </c>
      <c r="L10" s="8">
        <f>((dwarsprofiel!$B$15*dwarsprofiel!$B$4)/(langsprofiel!I10*langsprofiel!K10^(2/3)))^2</f>
        <v>6.4530166852986247E-4</v>
      </c>
      <c r="M10" s="6">
        <f>dwarsprofiel!$T$23/langsprofiel!$I$2</f>
        <v>0.72943271199105963</v>
      </c>
      <c r="N10" s="6">
        <f>I10/dwarsprofiel!$B$19</f>
        <v>1.5722978993835202</v>
      </c>
      <c r="O10" s="6">
        <f t="shared" si="3"/>
        <v>0.18573053721548935</v>
      </c>
      <c r="P10" s="7">
        <f>(dwarsprofiel!$B$11-langsprofiel!L10)/(1-langsprofiel!O10^2)</f>
        <v>9.884894899365227E-5</v>
      </c>
    </row>
    <row r="11" spans="1:16" x14ac:dyDescent="0.25">
      <c r="C11">
        <f t="shared" si="4"/>
        <v>0.44999999999999996</v>
      </c>
      <c r="D11">
        <f>dwarsprofiel!$B$9*C11</f>
        <v>607.49999999999989</v>
      </c>
      <c r="E11">
        <f>D11*dwarsprofiel!$B$11+dwarsprofiel!$B$5</f>
        <v>23.65</v>
      </c>
      <c r="F11" s="3">
        <f>E11+dwarsprofiel!$B$6</f>
        <v>25.263738746657737</v>
      </c>
      <c r="G11" s="6">
        <f t="shared" si="5"/>
        <v>1.6775270296892473</v>
      </c>
      <c r="H11" s="6">
        <f t="shared" si="0"/>
        <v>25.327527029689247</v>
      </c>
      <c r="I11" s="6">
        <f>(G11*dwarsprofiel!$B$2)+(G11*dwarsprofiel!$B$3)*G11</f>
        <v>18.182318764561487</v>
      </c>
      <c r="J11" s="6">
        <f>dwarsprofiel!$B$2+SQRT((G11*dwarsprofiel!$B$3)^2 + G11^2)*2</f>
        <v>13.751064472478465</v>
      </c>
      <c r="K11" s="6">
        <f t="shared" si="6"/>
        <v>1.3222480922078275</v>
      </c>
      <c r="L11" s="8">
        <f>((dwarsprofiel!$B$15*dwarsprofiel!$B$4)/(langsprofiel!I11*langsprofiel!K11^(2/3)))^2</f>
        <v>6.5362238982354321E-4</v>
      </c>
      <c r="M11" s="6">
        <f>dwarsprofiel!$T$23/langsprofiel!$I$2</f>
        <v>0.72943271199105963</v>
      </c>
      <c r="N11" s="6">
        <f>I11/dwarsprofiel!$B$19</f>
        <v>1.5655870311181306</v>
      </c>
      <c r="O11" s="6">
        <f t="shared" si="3"/>
        <v>0.18612817730671119</v>
      </c>
      <c r="P11" s="7">
        <f>(dwarsprofiel!$B$11-langsprofiel!L11)/(1-langsprofiel!O11^2)</f>
        <v>9.0244763277226741E-5</v>
      </c>
    </row>
    <row r="12" spans="1:16" x14ac:dyDescent="0.25">
      <c r="C12">
        <f t="shared" si="4"/>
        <v>0.49999999999999994</v>
      </c>
      <c r="D12">
        <f>dwarsprofiel!$B$9*C12</f>
        <v>674.99999999999989</v>
      </c>
      <c r="E12">
        <f>D12*dwarsprofiel!$B$11+dwarsprofiel!$B$5</f>
        <v>23.7</v>
      </c>
      <c r="F12" s="3">
        <f>E12+dwarsprofiel!$B$6</f>
        <v>25.313738746657737</v>
      </c>
      <c r="G12" s="6">
        <f t="shared" si="5"/>
        <v>1.6714355081680345</v>
      </c>
      <c r="H12" s="6">
        <f t="shared" si="0"/>
        <v>25.371435508168034</v>
      </c>
      <c r="I12" s="6">
        <f>(G12*dwarsprofiel!$B$2)+(G12*dwarsprofiel!$B$3)*G12</f>
        <v>18.111203410662814</v>
      </c>
      <c r="J12" s="6">
        <f>dwarsprofiel!$B$2+SQRT((G12*dwarsprofiel!$B$3)^2 + G12^2)*2</f>
        <v>13.737443416270629</v>
      </c>
      <c r="K12" s="6">
        <f t="shared" ref="K12:K22" si="7">I12/J12</f>
        <v>1.318382384688253</v>
      </c>
      <c r="L12" s="8">
        <f>((dwarsprofiel!$B$15*dwarsprofiel!$B$4)/(langsprofiel!I12*langsprofiel!K12^(2/3)))^2</f>
        <v>6.6134221962160485E-4</v>
      </c>
      <c r="M12" s="6">
        <f>dwarsprofiel!$T$23/langsprofiel!$I$2</f>
        <v>0.72943271199105963</v>
      </c>
      <c r="N12" s="6">
        <f>I12/dwarsprofiel!$B$19</f>
        <v>1.5594636495396412</v>
      </c>
      <c r="O12" s="6">
        <f t="shared" si="3"/>
        <v>0.18649324424029676</v>
      </c>
      <c r="P12" s="7">
        <f>(dwarsprofiel!$B$11-langsprofiel!L12)/(1-langsprofiel!O12^2)</f>
        <v>8.2259483766591727E-5</v>
      </c>
    </row>
    <row r="13" spans="1:16" x14ac:dyDescent="0.25">
      <c r="C13">
        <f t="shared" si="4"/>
        <v>0.54999999999999993</v>
      </c>
      <c r="D13">
        <f>dwarsprofiel!$B$9*C13</f>
        <v>742.49999999999989</v>
      </c>
      <c r="E13">
        <f>D13*dwarsprofiel!$B$11+dwarsprofiel!$B$5</f>
        <v>23.75</v>
      </c>
      <c r="F13" s="3">
        <f>E13+dwarsprofiel!$B$6</f>
        <v>25.363738746657738</v>
      </c>
      <c r="G13" s="6">
        <f t="shared" si="5"/>
        <v>1.6658829930137895</v>
      </c>
      <c r="H13" s="6">
        <f t="shared" si="0"/>
        <v>25.415882993013788</v>
      </c>
      <c r="I13" s="6">
        <f>(G13*dwarsprofiel!$B$2)+(G13*dwarsprofiel!$B$3)*G13</f>
        <v>18.046413003344185</v>
      </c>
      <c r="J13" s="6">
        <f>dwarsprofiel!$B$2+SQRT((G13*dwarsprofiel!$B$3)^2 + G13^2)*2</f>
        <v>13.725027614939641</v>
      </c>
      <c r="K13" s="6">
        <f t="shared" si="7"/>
        <v>1.314854403913966</v>
      </c>
      <c r="L13" s="8">
        <f>((dwarsprofiel!$B$15*dwarsprofiel!$B$4)/(langsprofiel!I13*langsprofiel!K13^(2/3)))^2</f>
        <v>6.6848353635238621E-4</v>
      </c>
      <c r="M13" s="6">
        <f>dwarsprofiel!$T$23/langsprofiel!$I$2</f>
        <v>0.72943271199105963</v>
      </c>
      <c r="N13" s="6">
        <f>I13/dwarsprofiel!$B$19</f>
        <v>1.553884876955552</v>
      </c>
      <c r="O13" s="6">
        <f t="shared" si="3"/>
        <v>0.18682771922922631</v>
      </c>
      <c r="P13" s="7">
        <f>(dwarsprofiel!$B$11-langsprofiel!L13)/(1-langsprofiel!O13^2)</f>
        <v>7.4870530042123209E-5</v>
      </c>
    </row>
    <row r="14" spans="1:16" x14ac:dyDescent="0.25">
      <c r="C14">
        <f t="shared" si="4"/>
        <v>0.6</v>
      </c>
      <c r="D14">
        <f>dwarsprofiel!$B$9*C14</f>
        <v>810</v>
      </c>
      <c r="E14">
        <f>D14*dwarsprofiel!$B$11+dwarsprofiel!$B$5</f>
        <v>23.8</v>
      </c>
      <c r="F14" s="3">
        <f>E14+dwarsprofiel!$B$6</f>
        <v>25.413738746657739</v>
      </c>
      <c r="G14" s="6">
        <f t="shared" si="5"/>
        <v>1.6608292322359461</v>
      </c>
      <c r="H14" s="6">
        <f t="shared" si="0"/>
        <v>25.460829232235948</v>
      </c>
      <c r="I14" s="6">
        <f>(G14*dwarsprofiel!$B$2)+(G14*dwarsprofiel!$B$3)*G14</f>
        <v>17.98746919168418</v>
      </c>
      <c r="J14" s="6">
        <f>dwarsprofiel!$B$2+SQRT((G14*dwarsprofiel!$B$3)^2 + G14^2)*2</f>
        <v>13.713727062298361</v>
      </c>
      <c r="K14" s="6">
        <f t="shared" si="7"/>
        <v>1.3116397249246083</v>
      </c>
      <c r="L14" s="8">
        <f>((dwarsprofiel!$B$15*dwarsprofiel!$B$4)/(langsprofiel!I14*langsprofiel!K14^(2/3)))^2</f>
        <v>6.7507161262047861E-4</v>
      </c>
      <c r="M14" s="6">
        <f>dwarsprofiel!$T$23/langsprofiel!$I$2</f>
        <v>0.72943271199105963</v>
      </c>
      <c r="N14" s="6">
        <f>I14/dwarsprofiel!$B$19</f>
        <v>1.5488095249999236</v>
      </c>
      <c r="O14" s="6">
        <f t="shared" si="3"/>
        <v>0.18713358023845869</v>
      </c>
      <c r="P14" s="7">
        <f>(dwarsprofiel!$B$11-langsprofiel!L14)/(1-langsprofiel!O14^2)</f>
        <v>6.8052248225661886E-5</v>
      </c>
    </row>
    <row r="15" spans="1:16" x14ac:dyDescent="0.25">
      <c r="C15">
        <f t="shared" si="4"/>
        <v>0.65</v>
      </c>
      <c r="D15">
        <f>dwarsprofiel!$B$9*C15</f>
        <v>877.5</v>
      </c>
      <c r="E15">
        <f>D15*dwarsprofiel!$B$11+dwarsprofiel!$B$5</f>
        <v>23.849999999999998</v>
      </c>
      <c r="F15" s="3">
        <f>E15+dwarsprofiel!$B$6</f>
        <v>25.463738746657736</v>
      </c>
      <c r="G15" s="6">
        <f t="shared" si="5"/>
        <v>1.656235705480714</v>
      </c>
      <c r="H15" s="6">
        <f t="shared" si="0"/>
        <v>25.506235705480712</v>
      </c>
      <c r="I15" s="6">
        <f>(G15*dwarsprofiel!$B$2)+(G15*dwarsprofiel!$B$3)*G15</f>
        <v>17.93391541086174</v>
      </c>
      <c r="J15" s="6">
        <f>dwarsprofiel!$B$2+SQRT((G15*dwarsprofiel!$B$3)^2 + G15^2)*2</f>
        <v>13.703455624217197</v>
      </c>
      <c r="K15" s="6">
        <f t="shared" si="7"/>
        <v>1.3087148163685323</v>
      </c>
      <c r="L15" s="8">
        <f>((dwarsprofiel!$B$15*dwarsprofiel!$B$4)/(langsprofiel!I15*langsprofiel!K15^(2/3)))^2</f>
        <v>6.8113384580028788E-4</v>
      </c>
      <c r="M15" s="6">
        <f>dwarsprofiel!$T$23/langsprofiel!$I$2</f>
        <v>0.72943271199105963</v>
      </c>
      <c r="N15" s="6">
        <f>I15/dwarsprofiel!$B$19</f>
        <v>1.5441982811971602</v>
      </c>
      <c r="O15" s="6">
        <f t="shared" si="3"/>
        <v>0.18741277861816713</v>
      </c>
      <c r="P15" s="7">
        <f>(dwarsprofiel!$B$11-langsprofiel!L15)/(1-langsprofiel!O15^2)</f>
        <v>6.1776712360516413E-5</v>
      </c>
    </row>
    <row r="16" spans="1:16" x14ac:dyDescent="0.25">
      <c r="C16">
        <f t="shared" si="4"/>
        <v>0.70000000000000007</v>
      </c>
      <c r="D16">
        <f>dwarsprofiel!$B$9*C16</f>
        <v>945.00000000000011</v>
      </c>
      <c r="E16">
        <f>D16*dwarsprofiel!$B$11+dwarsprofiel!$B$5</f>
        <v>23.9</v>
      </c>
      <c r="F16" s="3">
        <f>E16+dwarsprofiel!$B$6</f>
        <v>25.513738746657737</v>
      </c>
      <c r="G16" s="6">
        <f t="shared" si="5"/>
        <v>1.6520657773963792</v>
      </c>
      <c r="H16" s="6">
        <f t="shared" si="0"/>
        <v>25.552065777396379</v>
      </c>
      <c r="I16" s="6">
        <f>(G16*dwarsprofiel!$B$2)+(G16*dwarsprofiel!$B$3)*G16</f>
        <v>17.885318440385941</v>
      </c>
      <c r="J16" s="6">
        <f>dwarsprofiel!$B$2+SQRT((G16*dwarsprofiel!$B$3)^2 + G16^2)*2</f>
        <v>13.694131381559339</v>
      </c>
      <c r="K16" s="6">
        <f t="shared" si="7"/>
        <v>1.3060571672673229</v>
      </c>
      <c r="L16" s="8">
        <f>((dwarsprofiel!$B$15*dwarsprofiel!$B$4)/(langsprofiel!I16*langsprofiel!K16^(2/3)))^2</f>
        <v>6.8669905695749485E-4</v>
      </c>
      <c r="M16" s="6">
        <f>dwarsprofiel!$T$23/langsprofiel!$I$2</f>
        <v>0.72943271199105963</v>
      </c>
      <c r="N16" s="6">
        <f>I16/dwarsprofiel!$B$19</f>
        <v>1.540013843133252</v>
      </c>
      <c r="O16" s="6">
        <f t="shared" si="3"/>
        <v>0.18766721957106103</v>
      </c>
      <c r="P16" s="7">
        <f>(dwarsprofiel!$B$11-langsprofiel!L16)/(1-langsprofiel!O16^2)</f>
        <v>5.6014456088914692E-5</v>
      </c>
    </row>
    <row r="17" spans="1:16" x14ac:dyDescent="0.25">
      <c r="C17">
        <f t="shared" si="4"/>
        <v>0.75000000000000011</v>
      </c>
      <c r="D17">
        <f>dwarsprofiel!$B$9*C17</f>
        <v>1012.5000000000001</v>
      </c>
      <c r="E17">
        <f>D17*dwarsprofiel!$B$11+dwarsprofiel!$B$5</f>
        <v>23.95</v>
      </c>
      <c r="F17" s="3">
        <f>E17+dwarsprofiel!$B$6</f>
        <v>25.563738746657737</v>
      </c>
      <c r="G17" s="6">
        <f t="shared" si="5"/>
        <v>1.6482848016103775</v>
      </c>
      <c r="H17" s="6">
        <f t="shared" si="0"/>
        <v>25.598284801610376</v>
      </c>
      <c r="I17" s="6">
        <f>(G17*dwarsprofiel!$B$2)+(G17*dwarsprofiel!$B$3)*G17</f>
        <v>17.841269409713654</v>
      </c>
      <c r="J17" s="6">
        <f>dwarsprofiel!$B$2+SQRT((G17*dwarsprofiel!$B$3)^2 + G17^2)*2</f>
        <v>13.685676862680559</v>
      </c>
      <c r="K17" s="6">
        <f t="shared" si="7"/>
        <v>1.3036453796717187</v>
      </c>
      <c r="L17" s="8">
        <f>((dwarsprofiel!$B$15*dwarsprofiel!$B$4)/(langsprofiel!I17*langsprofiel!K17^(2/3)))^2</f>
        <v>6.9179686845073814E-4</v>
      </c>
      <c r="M17" s="6">
        <f>dwarsprofiel!$T$23/langsprofiel!$I$2</f>
        <v>0.72943271199105963</v>
      </c>
      <c r="N17" s="6">
        <f>I17/dwarsprofiel!$B$19</f>
        <v>1.5362210050444012</v>
      </c>
      <c r="O17" s="6">
        <f t="shared" si="3"/>
        <v>0.18789874634194259</v>
      </c>
      <c r="P17" s="7">
        <f>(dwarsprofiel!$B$11-langsprofiel!L17)/(1-langsprofiel!O17^2)</f>
        <v>5.0735123457711158E-5</v>
      </c>
    </row>
    <row r="18" spans="1:16" x14ac:dyDescent="0.25">
      <c r="C18">
        <f t="shared" si="4"/>
        <v>0.80000000000000016</v>
      </c>
      <c r="D18">
        <f>dwarsprofiel!$B$9*C18</f>
        <v>1080.0000000000002</v>
      </c>
      <c r="E18">
        <f>D18*dwarsprofiel!$B$11+dwarsprofiel!$B$5</f>
        <v>24</v>
      </c>
      <c r="F18" s="3">
        <f>E18+dwarsprofiel!$B$6</f>
        <v>25.613738746657738</v>
      </c>
      <c r="G18" s="6">
        <f t="shared" si="5"/>
        <v>1.644860180776982</v>
      </c>
      <c r="H18" s="6">
        <f t="shared" si="0"/>
        <v>25.64486018077698</v>
      </c>
      <c r="I18" s="6">
        <f>(G18*dwarsprofiel!$B$2)+(G18*dwarsprofiel!$B$3)*G18</f>
        <v>17.801384314922661</v>
      </c>
      <c r="J18" s="6">
        <f>dwarsprofiel!$B$2+SQRT((G18*dwarsprofiel!$B$3)^2 + G18^2)*2</f>
        <v>13.678019177699925</v>
      </c>
      <c r="K18" s="6">
        <f t="shared" si="7"/>
        <v>1.3014592305840087</v>
      </c>
      <c r="L18" s="8">
        <f>((dwarsprofiel!$B$15*dwarsprofiel!$B$4)/(langsprofiel!I18*langsprofiel!K18^(2/3)))^2</f>
        <v>6.9645716517338337E-4</v>
      </c>
      <c r="M18" s="6">
        <f>dwarsprofiel!$T$23/langsprofiel!$I$2</f>
        <v>0.72943271199105963</v>
      </c>
      <c r="N18" s="6">
        <f>I18/dwarsprofiel!$B$19</f>
        <v>1.5327867023051156</v>
      </c>
      <c r="O18" s="6">
        <f t="shared" si="3"/>
        <v>0.18810912790496101</v>
      </c>
      <c r="P18" s="7">
        <f>(dwarsprofiel!$B$11-langsprofiel!L18)/(1-langsprofiel!O18^2)</f>
        <v>4.5908033347360634E-5</v>
      </c>
    </row>
    <row r="19" spans="1:16" x14ac:dyDescent="0.25">
      <c r="C19">
        <f t="shared" si="4"/>
        <v>0.8500000000000002</v>
      </c>
      <c r="D19">
        <f>dwarsprofiel!$B$9*C19</f>
        <v>1147.5000000000002</v>
      </c>
      <c r="E19">
        <f>D19*dwarsprofiel!$B$11+dwarsprofiel!$B$5</f>
        <v>24.05</v>
      </c>
      <c r="F19" s="3">
        <f>E19+dwarsprofiel!$B$6</f>
        <v>25.663738746657739</v>
      </c>
      <c r="G19" s="6">
        <f t="shared" si="5"/>
        <v>1.6417613885260351</v>
      </c>
      <c r="H19" s="6">
        <f t="shared" si="0"/>
        <v>25.691761388526036</v>
      </c>
      <c r="I19" s="6">
        <f>(G19*dwarsprofiel!$B$2)+(G19*dwarsprofiel!$B$3)*G19</f>
        <v>17.765304113687819</v>
      </c>
      <c r="J19" s="6">
        <f>dwarsprofiel!$B$2+SQRT((G19*dwarsprofiel!$B$3)^2 + G19^2)*2</f>
        <v>13.671090067578657</v>
      </c>
      <c r="K19" s="6">
        <f t="shared" si="7"/>
        <v>1.2994797068756569</v>
      </c>
      <c r="L19" s="8">
        <f>((dwarsprofiel!$B$15*dwarsprofiel!$B$4)/(langsprofiel!I19*langsprofiel!K19^(2/3)))^2</f>
        <v>7.0070963996766099E-4</v>
      </c>
      <c r="M19" s="6">
        <f>dwarsprofiel!$T$23/langsprofiel!$I$2</f>
        <v>0.72943271199105963</v>
      </c>
      <c r="N19" s="6">
        <f>I19/dwarsprofiel!$B$19</f>
        <v>1.5296800196061247</v>
      </c>
      <c r="O19" s="6">
        <f t="shared" si="3"/>
        <v>0.18830004984588239</v>
      </c>
      <c r="P19" s="7">
        <f>(dwarsprofiel!$B$11-langsprofiel!L19)/(1-langsprofiel!O19^2)</f>
        <v>4.1502656684952106E-5</v>
      </c>
    </row>
    <row r="20" spans="1:16" x14ac:dyDescent="0.25">
      <c r="C20">
        <f t="shared" si="4"/>
        <v>0.90000000000000024</v>
      </c>
      <c r="D20">
        <f>dwarsprofiel!$B$9*C20</f>
        <v>1215.0000000000002</v>
      </c>
      <c r="E20">
        <f>D20*dwarsprofiel!$B$11+dwarsprofiel!$B$5</f>
        <v>24.099999999999998</v>
      </c>
      <c r="F20" s="3">
        <f>E20+dwarsprofiel!$B$6</f>
        <v>25.713738746657736</v>
      </c>
      <c r="G20" s="6">
        <f t="shared" si="5"/>
        <v>1.638959959199801</v>
      </c>
      <c r="H20" s="6">
        <f t="shared" si="0"/>
        <v>25.7389599591998</v>
      </c>
      <c r="I20" s="6">
        <f>(G20*dwarsprofiel!$B$2)+(G20*dwarsprofiel!$B$3)*G20</f>
        <v>17.732694465928116</v>
      </c>
      <c r="J20" s="6">
        <f>dwarsprofiel!$B$2+SQRT((G20*dwarsprofiel!$B$3)^2 + G20^2)*2</f>
        <v>13.664825881171037</v>
      </c>
      <c r="K20" s="6">
        <f t="shared" si="7"/>
        <v>1.2976890170523325</v>
      </c>
      <c r="L20" s="8">
        <f>((dwarsprofiel!$B$15*dwarsprofiel!$B$4)/(langsprofiel!I20*langsprofiel!K20^(2/3)))^2</f>
        <v>7.0458342032157274E-4</v>
      </c>
      <c r="M20" s="6">
        <f>dwarsprofiel!$T$23/langsprofiel!$I$2</f>
        <v>0.72943271199105963</v>
      </c>
      <c r="N20" s="6">
        <f>I20/dwarsprofiel!$B$19</f>
        <v>1.5268721686228153</v>
      </c>
      <c r="O20" s="6">
        <f t="shared" si="3"/>
        <v>0.18847310808929452</v>
      </c>
      <c r="P20" s="7">
        <f>(dwarsprofiel!$B$11-langsprofiel!L20)/(1-langsprofiel!O20^2)</f>
        <v>3.7489009221219416E-5</v>
      </c>
    </row>
    <row r="21" spans="1:16" x14ac:dyDescent="0.25">
      <c r="C21">
        <f t="shared" si="4"/>
        <v>0.95000000000000029</v>
      </c>
      <c r="D21">
        <f>dwarsprofiel!$B$9*C21</f>
        <v>1282.5000000000005</v>
      </c>
      <c r="E21">
        <f>D21*dwarsprofiel!$B$11+dwarsprofiel!$B$5</f>
        <v>24.15</v>
      </c>
      <c r="F21" s="3">
        <f>E21+dwarsprofiel!$B$6</f>
        <v>25.763738746657737</v>
      </c>
      <c r="G21" s="6">
        <f t="shared" si="5"/>
        <v>1.6364294510773687</v>
      </c>
      <c r="H21" s="6">
        <f t="shared" si="0"/>
        <v>25.786429451077368</v>
      </c>
      <c r="I21" s="6">
        <f>(G21*dwarsprofiel!$B$2)+(G21*dwarsprofiel!$B$3)*G21</f>
        <v>17.703245184950376</v>
      </c>
      <c r="J21" s="6">
        <f>dwarsprofiel!$B$2+SQRT((G21*dwarsprofiel!$B$3)^2 + G21^2)*2</f>
        <v>13.659167492991664</v>
      </c>
      <c r="K21" s="6">
        <f t="shared" si="7"/>
        <v>1.2960705836599247</v>
      </c>
      <c r="L21" s="8">
        <f>((dwarsprofiel!$B$15*dwarsprofiel!$B$4)/(langsprofiel!I21*langsprofiel!K21^(2/3)))^2</f>
        <v>7.0810677099558683E-4</v>
      </c>
      <c r="M21" s="6">
        <f>dwarsprofiel!$T$23/langsprofiel!$I$2</f>
        <v>0.72943271199105963</v>
      </c>
      <c r="N21" s="6">
        <f>I21/dwarsprofiel!$B$19</f>
        <v>1.5243364407560061</v>
      </c>
      <c r="O21" s="6">
        <f t="shared" si="3"/>
        <v>0.18862980509909485</v>
      </c>
      <c r="P21" s="7">
        <f>(dwarsprofiel!$B$11-langsprofiel!L21)/(1-langsprofiel!O21^2)</f>
        <v>3.3837965269078231E-5</v>
      </c>
    </row>
    <row r="22" spans="1:16" x14ac:dyDescent="0.25">
      <c r="A22" t="s">
        <v>44</v>
      </c>
      <c r="B22">
        <f>MIN(E22)</f>
        <v>24.2</v>
      </c>
      <c r="C22">
        <f t="shared" si="4"/>
        <v>1.0000000000000002</v>
      </c>
      <c r="D22">
        <f>dwarsprofiel!$B$9*C22</f>
        <v>1350.0000000000002</v>
      </c>
      <c r="E22">
        <f>D22*dwarsprofiel!$B$11+dwarsprofiel!$B$5</f>
        <v>24.2</v>
      </c>
      <c r="F22" s="3">
        <f>E22+dwarsprofiel!$B$6</f>
        <v>25.813738746657737</v>
      </c>
      <c r="G22" s="6">
        <f>G21-P21*(D22-D21)</f>
        <v>1.6341453884217059</v>
      </c>
      <c r="H22" s="6">
        <f t="shared" si="0"/>
        <v>25.834145388421707</v>
      </c>
      <c r="I22" s="6">
        <f>(G22*dwarsprofiel!$B$2)+(G22*dwarsprofiel!$B$3)*G22</f>
        <v>17.676669459467025</v>
      </c>
      <c r="J22" s="6">
        <f>dwarsprofiel!$B$2+SQRT((G22*dwarsprofiel!$B$3)^2 + G22^2)*2</f>
        <v>13.654060173628732</v>
      </c>
      <c r="K22" s="6">
        <f t="shared" si="7"/>
        <v>1.2946090199314857</v>
      </c>
      <c r="L22" s="8">
        <f>((dwarsprofiel!$B$15*dwarsprofiel!$B$4)/(langsprofiel!I22*langsprofiel!K22^(2/3)))^2</f>
        <v>7.1130686561669126E-4</v>
      </c>
      <c r="M22" s="6">
        <f>dwarsprofiel!$T$23/langsprofiel!$I$2</f>
        <v>0.72943271199105963</v>
      </c>
      <c r="N22" s="6">
        <f>I22/dwarsprofiel!$B$19</f>
        <v>1.5220481401438541</v>
      </c>
      <c r="O22" s="6">
        <f t="shared" si="3"/>
        <v>0.18877154817955943</v>
      </c>
      <c r="P22" s="7">
        <f>(dwarsprofiel!$B$11-langsprofiel!L22)/(1-langsprofiel!O22^2)</f>
        <v>3.0521499523840058E-5</v>
      </c>
    </row>
    <row r="28" spans="1:16" x14ac:dyDescent="0.25">
      <c r="N28" s="1"/>
    </row>
    <row r="29" spans="1:16" x14ac:dyDescent="0.25">
      <c r="M29" s="2"/>
      <c r="N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dwarsprofiel</vt:lpstr>
      <vt:lpstr>langsprofiel</vt:lpstr>
      <vt:lpstr>langsprofiel (grafiek)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Tollenaar</dc:creator>
  <cp:lastModifiedBy>Daniel Tollenaar</cp:lastModifiedBy>
  <dcterms:created xsi:type="dcterms:W3CDTF">2025-03-31T07:35:52Z</dcterms:created>
  <dcterms:modified xsi:type="dcterms:W3CDTF">2025-03-31T13:09:31Z</dcterms:modified>
</cp:coreProperties>
</file>