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7ca443dd14d70/Desktop/UCSD Expts/Computational Studies/CRC and TGF-Beta Model/"/>
    </mc:Choice>
  </mc:AlternateContent>
  <xr:revisionPtr revIDLastSave="402" documentId="8_{2567F6F0-A4C1-4D8B-948A-D3EDC405369B}" xr6:coauthVersionLast="44" xr6:coauthVersionMax="44" xr10:uidLastSave="{3C4E0749-D41C-4E1C-80E3-91139A4DD06B}"/>
  <bookViews>
    <workbookView xWindow="3270" yWindow="2720" windowWidth="19200" windowHeight="10200" activeTab="2" xr2:uid="{1FB5BA0B-314C-4855-9711-5BEE4819DD4E}"/>
  </bookViews>
  <sheets>
    <sheet name="Mouse Parameter Calculations" sheetId="1" r:id="rId1"/>
    <sheet name="Sheet2" sheetId="2" r:id="rId2"/>
    <sheet name="Human Parameter Calcul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2" i="3"/>
  <c r="K3" i="3"/>
  <c r="K4" i="3"/>
  <c r="K5" i="3"/>
  <c r="K2" i="3"/>
  <c r="J3" i="3"/>
  <c r="J4" i="3"/>
  <c r="J5" i="3"/>
  <c r="J2" i="3"/>
  <c r="I3" i="3"/>
  <c r="I2" i="3"/>
  <c r="I18" i="3"/>
  <c r="I12" i="3"/>
  <c r="O13" i="3"/>
  <c r="O12" i="3"/>
  <c r="O11" i="3"/>
  <c r="O10" i="3"/>
  <c r="O8" i="3"/>
  <c r="O7" i="3"/>
  <c r="O6" i="3"/>
  <c r="Q3" i="3"/>
  <c r="R3" i="3"/>
  <c r="P3" i="3"/>
  <c r="O3" i="3" s="1"/>
  <c r="Q2" i="3"/>
  <c r="R2" i="3"/>
  <c r="P2" i="3"/>
  <c r="O2" i="3"/>
  <c r="L35" i="3"/>
  <c r="K35" i="3"/>
  <c r="J35" i="3"/>
  <c r="I35" i="3"/>
  <c r="L34" i="3"/>
  <c r="K34" i="3"/>
  <c r="J34" i="3"/>
  <c r="I34" i="3"/>
  <c r="L33" i="3"/>
  <c r="K33" i="3"/>
  <c r="J33" i="3"/>
  <c r="I33" i="3"/>
  <c r="L32" i="3"/>
  <c r="K32" i="3"/>
  <c r="J32" i="3"/>
  <c r="G30" i="3"/>
  <c r="F30" i="3"/>
  <c r="E30" i="3"/>
  <c r="G29" i="3"/>
  <c r="F29" i="3"/>
  <c r="E29" i="3"/>
  <c r="G28" i="3"/>
  <c r="F28" i="3"/>
  <c r="E28" i="3"/>
  <c r="D28" i="3"/>
  <c r="G27" i="3"/>
  <c r="F27" i="3"/>
  <c r="F31" i="3" s="1"/>
  <c r="E27" i="3"/>
  <c r="O25" i="3"/>
  <c r="G25" i="3"/>
  <c r="F25" i="3"/>
  <c r="E25" i="3"/>
  <c r="G24" i="3"/>
  <c r="F24" i="3"/>
  <c r="E24" i="3"/>
  <c r="O23" i="3"/>
  <c r="G23" i="3"/>
  <c r="F23" i="3"/>
  <c r="E23" i="3"/>
  <c r="D23" i="3"/>
  <c r="J22" i="3"/>
  <c r="J23" i="3" s="1"/>
  <c r="L23" i="3" s="1"/>
  <c r="G22" i="3"/>
  <c r="F22" i="3"/>
  <c r="E22" i="3"/>
  <c r="K21" i="3"/>
  <c r="O20" i="3"/>
  <c r="K20" i="3"/>
  <c r="G20" i="3"/>
  <c r="F20" i="3"/>
  <c r="E20" i="3"/>
  <c r="K19" i="3"/>
  <c r="G19" i="3"/>
  <c r="F19" i="3"/>
  <c r="E19" i="3"/>
  <c r="O18" i="3"/>
  <c r="K18" i="3"/>
  <c r="G18" i="3"/>
  <c r="F18" i="3"/>
  <c r="E18" i="3"/>
  <c r="D18" i="3"/>
  <c r="G17" i="3"/>
  <c r="F17" i="3"/>
  <c r="E17" i="3"/>
  <c r="G16" i="3"/>
  <c r="F16" i="3"/>
  <c r="E16" i="3"/>
  <c r="O15" i="3"/>
  <c r="D27" i="3"/>
  <c r="D31" i="3" s="1"/>
  <c r="G11" i="3"/>
  <c r="F11" i="3"/>
  <c r="E11" i="3"/>
  <c r="D11" i="3"/>
  <c r="G6" i="3"/>
  <c r="F6" i="3"/>
  <c r="E6" i="3"/>
  <c r="D6" i="3"/>
  <c r="I33" i="2"/>
  <c r="I34" i="2"/>
  <c r="I35" i="2"/>
  <c r="I32" i="2"/>
  <c r="E29" i="2"/>
  <c r="F29" i="2"/>
  <c r="G29" i="2"/>
  <c r="D29" i="2"/>
  <c r="F36" i="2"/>
  <c r="F35" i="2"/>
  <c r="C28" i="2"/>
  <c r="C29" i="2"/>
  <c r="C30" i="2"/>
  <c r="C31" i="2"/>
  <c r="C32" i="2"/>
  <c r="C33" i="2"/>
  <c r="C34" i="2"/>
  <c r="C27" i="2"/>
  <c r="B28" i="2"/>
  <c r="B29" i="2"/>
  <c r="B30" i="2"/>
  <c r="B31" i="2"/>
  <c r="B32" i="2"/>
  <c r="B33" i="2"/>
  <c r="B34" i="2"/>
  <c r="B27" i="2"/>
  <c r="C21" i="2"/>
  <c r="C22" i="2"/>
  <c r="C23" i="2"/>
  <c r="C24" i="2"/>
  <c r="C25" i="2"/>
  <c r="C20" i="2"/>
  <c r="C19" i="2"/>
  <c r="B21" i="2"/>
  <c r="B22" i="2"/>
  <c r="B23" i="2"/>
  <c r="B24" i="2"/>
  <c r="B25" i="2"/>
  <c r="B20" i="2"/>
  <c r="B19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G11" i="2"/>
  <c r="H11" i="2"/>
  <c r="I11" i="2"/>
  <c r="F11" i="2"/>
  <c r="C11" i="2"/>
  <c r="D11" i="2"/>
  <c r="E11" i="2"/>
  <c r="B11" i="2"/>
  <c r="O26" i="1"/>
  <c r="O25" i="1"/>
  <c r="O24" i="1"/>
  <c r="O23" i="1"/>
  <c r="O22" i="1"/>
  <c r="O21" i="1"/>
  <c r="O20" i="1"/>
  <c r="O19" i="1"/>
  <c r="O18" i="1"/>
  <c r="E21" i="3" l="1"/>
  <c r="E26" i="3"/>
  <c r="E31" i="3"/>
  <c r="G31" i="3"/>
  <c r="G26" i="3"/>
  <c r="G21" i="3"/>
  <c r="F21" i="3"/>
  <c r="F26" i="3"/>
  <c r="O4" i="3"/>
  <c r="U3" i="3"/>
  <c r="T2" i="3"/>
  <c r="T3" i="3"/>
  <c r="D17" i="3"/>
  <c r="D21" i="3" s="1"/>
  <c r="D22" i="3"/>
  <c r="D26" i="3" s="1"/>
  <c r="I32" i="3"/>
  <c r="U2" i="3"/>
  <c r="S3" i="3"/>
  <c r="O19" i="3"/>
  <c r="O26" i="3" s="1"/>
  <c r="P4" i="3"/>
  <c r="D16" i="3"/>
  <c r="T4" i="3" l="1"/>
  <c r="Q4" i="3"/>
  <c r="U4" i="3"/>
  <c r="L6" i="3" l="1"/>
  <c r="O22" i="3"/>
  <c r="I6" i="3"/>
  <c r="J6" i="3"/>
  <c r="S2" i="3"/>
  <c r="S4" i="3" s="1"/>
  <c r="R4" i="3"/>
  <c r="K6" i="3"/>
  <c r="O24" i="3"/>
  <c r="L30" i="3" l="1"/>
  <c r="K13" i="3"/>
  <c r="K14" i="3"/>
  <c r="I13" i="3"/>
  <c r="K15" i="3"/>
  <c r="K12" i="3"/>
  <c r="J30" i="3"/>
  <c r="J29" i="3"/>
  <c r="J27" i="1"/>
  <c r="K27" i="1"/>
  <c r="L27" i="1"/>
  <c r="J28" i="1"/>
  <c r="K28" i="1"/>
  <c r="L28" i="1"/>
  <c r="J29" i="1"/>
  <c r="K29" i="1"/>
  <c r="L29" i="1"/>
  <c r="J30" i="1"/>
  <c r="K30" i="1"/>
  <c r="L30" i="1"/>
  <c r="I28" i="1"/>
  <c r="I29" i="1"/>
  <c r="I30" i="1"/>
  <c r="I27" i="1"/>
  <c r="L23" i="1"/>
  <c r="J23" i="1"/>
  <c r="I18" i="1"/>
  <c r="J22" i="1"/>
  <c r="K16" i="1"/>
  <c r="K13" i="1"/>
  <c r="K14" i="1"/>
  <c r="K15" i="1"/>
  <c r="K12" i="1"/>
  <c r="I16" i="1"/>
  <c r="I19" i="1" s="1"/>
  <c r="I13" i="1"/>
  <c r="I14" i="1"/>
  <c r="I15" i="1"/>
  <c r="I12" i="1"/>
  <c r="J6" i="1"/>
  <c r="K6" i="1"/>
  <c r="L6" i="1"/>
  <c r="I6" i="1"/>
  <c r="J2" i="1"/>
  <c r="K2" i="1"/>
  <c r="L2" i="1"/>
  <c r="J3" i="1"/>
  <c r="K3" i="1"/>
  <c r="L3" i="1"/>
  <c r="J4" i="1"/>
  <c r="K4" i="1"/>
  <c r="L4" i="1"/>
  <c r="J5" i="1"/>
  <c r="K5" i="1"/>
  <c r="L5" i="1"/>
  <c r="I3" i="1"/>
  <c r="I4" i="1"/>
  <c r="I5" i="1"/>
  <c r="I2" i="1"/>
  <c r="K21" i="1"/>
  <c r="K20" i="1"/>
  <c r="K19" i="1"/>
  <c r="K18" i="1"/>
  <c r="J32" i="1"/>
  <c r="K32" i="1"/>
  <c r="L32" i="1"/>
  <c r="J33" i="1"/>
  <c r="K33" i="1"/>
  <c r="L33" i="1"/>
  <c r="J34" i="1"/>
  <c r="K34" i="1"/>
  <c r="L34" i="1"/>
  <c r="J35" i="1"/>
  <c r="K35" i="1"/>
  <c r="L35" i="1"/>
  <c r="I33" i="1"/>
  <c r="I34" i="1"/>
  <c r="I35" i="1"/>
  <c r="I32" i="1"/>
  <c r="O15" i="1"/>
  <c r="O10" i="1"/>
  <c r="O13" i="1"/>
  <c r="O12" i="1"/>
  <c r="O11" i="1"/>
  <c r="O8" i="1"/>
  <c r="O7" i="1"/>
  <c r="O6" i="1"/>
  <c r="U4" i="1"/>
  <c r="R3" i="1"/>
  <c r="R2" i="1"/>
  <c r="S2" i="1" s="1"/>
  <c r="S4" i="1" s="1"/>
  <c r="U3" i="1"/>
  <c r="U2" i="1"/>
  <c r="P4" i="1"/>
  <c r="Q4" i="1"/>
  <c r="T4" i="1"/>
  <c r="O4" i="1"/>
  <c r="S3" i="1"/>
  <c r="T3" i="1"/>
  <c r="P3" i="1"/>
  <c r="T2" i="1"/>
  <c r="Q3" i="1"/>
  <c r="Q2" i="1"/>
  <c r="O3" i="1"/>
  <c r="O2" i="1"/>
  <c r="P2" i="1"/>
  <c r="E27" i="1"/>
  <c r="F27" i="1"/>
  <c r="G27" i="1"/>
  <c r="E28" i="1"/>
  <c r="F28" i="1"/>
  <c r="G28" i="1"/>
  <c r="E29" i="1"/>
  <c r="E31" i="1" s="1"/>
  <c r="F29" i="1"/>
  <c r="G29" i="1"/>
  <c r="E30" i="1"/>
  <c r="F30" i="1"/>
  <c r="G30" i="1"/>
  <c r="F31" i="1"/>
  <c r="G31" i="1"/>
  <c r="D31" i="1"/>
  <c r="D28" i="1"/>
  <c r="D29" i="1"/>
  <c r="D30" i="1"/>
  <c r="D27" i="1"/>
  <c r="E22" i="1"/>
  <c r="E26" i="1" s="1"/>
  <c r="F22" i="1"/>
  <c r="G22" i="1"/>
  <c r="E23" i="1"/>
  <c r="F23" i="1"/>
  <c r="G23" i="1"/>
  <c r="E24" i="1"/>
  <c r="F24" i="1"/>
  <c r="G24" i="1"/>
  <c r="E25" i="1"/>
  <c r="F25" i="1"/>
  <c r="G25" i="1"/>
  <c r="F26" i="1"/>
  <c r="G26" i="1"/>
  <c r="D26" i="1"/>
  <c r="D23" i="1"/>
  <c r="D24" i="1"/>
  <c r="D25" i="1"/>
  <c r="D22" i="1"/>
  <c r="E21" i="1"/>
  <c r="F21" i="1"/>
  <c r="G21" i="1"/>
  <c r="E17" i="1"/>
  <c r="F17" i="1"/>
  <c r="G17" i="1"/>
  <c r="E18" i="1"/>
  <c r="F18" i="1"/>
  <c r="G18" i="1"/>
  <c r="E19" i="1"/>
  <c r="F19" i="1"/>
  <c r="G19" i="1"/>
  <c r="E20" i="1"/>
  <c r="F20" i="1"/>
  <c r="G20" i="1"/>
  <c r="D21" i="1"/>
  <c r="D18" i="1"/>
  <c r="D19" i="1"/>
  <c r="D20" i="1"/>
  <c r="D17" i="1"/>
  <c r="E16" i="1"/>
  <c r="F16" i="1"/>
  <c r="G16" i="1"/>
  <c r="D16" i="1"/>
  <c r="F6" i="1"/>
  <c r="E6" i="1"/>
  <c r="G6" i="1"/>
  <c r="D6" i="1"/>
  <c r="E11" i="1"/>
  <c r="F11" i="1"/>
  <c r="G11" i="1"/>
  <c r="D11" i="1"/>
  <c r="D12" i="1"/>
  <c r="D7" i="1"/>
  <c r="D2" i="1"/>
  <c r="I27" i="3" l="1"/>
  <c r="K27" i="3"/>
  <c r="I29" i="3"/>
  <c r="I30" i="3"/>
  <c r="J27" i="3"/>
  <c r="I28" i="3"/>
  <c r="J28" i="3"/>
  <c r="L28" i="3"/>
  <c r="K28" i="3"/>
  <c r="K29" i="3"/>
  <c r="K30" i="3"/>
  <c r="L27" i="3"/>
  <c r="L29" i="3"/>
  <c r="O21" i="3"/>
  <c r="I16" i="3"/>
  <c r="K16" i="3"/>
  <c r="I21" i="1"/>
  <c r="I20" i="1"/>
  <c r="R4" i="1"/>
  <c r="I19" i="3" l="1"/>
  <c r="I20" i="3"/>
  <c r="I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tc={8F58BEF4-8297-4CC0-8A4F-C95F6FE733D5}</author>
  </authors>
  <commentList>
    <comment ref="H18" authorId="0" shapeId="0" xr:uid="{8F58BEF4-8297-4CC0-8A4F-C95F6FE733D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an FYI, what I did here was to use goal seek to find the values for k_reg based on the analytical solution of the thing.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tc={85599900-5BD8-4AE0-A737-B8D30E79EA5A}</author>
  </authors>
  <commentList>
    <comment ref="H18" authorId="0" shapeId="0" xr:uid="{85599900-5BD8-4AE0-A737-B8D30E79EA5A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an FYI, what I did here was to use goal seek to find the values for k_reg based on the analytical solution of the thing.</t>
      </text>
    </comment>
  </commentList>
</comments>
</file>

<file path=xl/sharedStrings.xml><?xml version="1.0" encoding="utf-8"?>
<sst xmlns="http://schemas.openxmlformats.org/spreadsheetml/2006/main" count="241" uniqueCount="76">
  <si>
    <t>Condiditon</t>
  </si>
  <si>
    <t>Trial 1</t>
  </si>
  <si>
    <t>Trial 2</t>
  </si>
  <si>
    <t>Trial 3</t>
  </si>
  <si>
    <t>Trial 4</t>
  </si>
  <si>
    <t>Control</t>
  </si>
  <si>
    <t>TGF</t>
  </si>
  <si>
    <t>TGF +CRC</t>
  </si>
  <si>
    <t>CRC</t>
  </si>
  <si>
    <t>Average</t>
  </si>
  <si>
    <t>Final CD8 Count</t>
  </si>
  <si>
    <t>Final CD4 Count</t>
  </si>
  <si>
    <t>Final Treg Count</t>
  </si>
  <si>
    <t>Final CD4/CD8 Ratio</t>
  </si>
  <si>
    <t>Final Treg fraction of Total</t>
  </si>
  <si>
    <t>Final Treg fraction of CD4</t>
  </si>
  <si>
    <t>Important Note: Cell counts to the right are</t>
  </si>
  <si>
    <t>based on flow. The actual counts are ~ 3x as high</t>
  </si>
  <si>
    <t xml:space="preserve">due to the cells lost during staining. </t>
  </si>
  <si>
    <t>As a result I used an "adjusted" starting population</t>
  </si>
  <si>
    <t>of 33,000 cells to calculate the model parameters.</t>
  </si>
  <si>
    <t>Spleen 1</t>
  </si>
  <si>
    <t>Spleen 2</t>
  </si>
  <si>
    <t>Population</t>
  </si>
  <si>
    <t>Naïve CD4</t>
  </si>
  <si>
    <t>Effector CD4</t>
  </si>
  <si>
    <t>Effector CD8</t>
  </si>
  <si>
    <t>Initial conditions (Fractions)</t>
  </si>
  <si>
    <t>Regulatory CD4</t>
  </si>
  <si>
    <t>Total CD4</t>
  </si>
  <si>
    <t>Total CD8</t>
  </si>
  <si>
    <t>Naïve CD8</t>
  </si>
  <si>
    <t>Model Initial Conditions:</t>
  </si>
  <si>
    <t>f_R0</t>
  </si>
  <si>
    <t>f_E80</t>
  </si>
  <si>
    <t>f_E40</t>
  </si>
  <si>
    <t>NOTE: The model currently doesn't distinguish between Naïve and effector Cd8 T cells.</t>
  </si>
  <si>
    <t>N_0</t>
  </si>
  <si>
    <t>R_0</t>
  </si>
  <si>
    <t>E4_0</t>
  </si>
  <si>
    <t>E8_0</t>
  </si>
  <si>
    <t>t_eff,8</t>
  </si>
  <si>
    <t>TGF + CRC</t>
  </si>
  <si>
    <t>t_reg</t>
  </si>
  <si>
    <t>k_eff</t>
  </si>
  <si>
    <t>k_eff calculated assuming 3 days for 99% of cells to differentiate</t>
  </si>
  <si>
    <t>k_reg</t>
  </si>
  <si>
    <t>t_eff,4</t>
  </si>
  <si>
    <t>Values to compare E4 to</t>
  </si>
  <si>
    <t>Model R value</t>
  </si>
  <si>
    <t>Trial R value</t>
  </si>
  <si>
    <t>k_reg value using goalseek</t>
  </si>
  <si>
    <t>Average:</t>
  </si>
  <si>
    <t>Equation E4 values</t>
  </si>
  <si>
    <t>k_regs</t>
  </si>
  <si>
    <t>Tabulated parameters</t>
  </si>
  <si>
    <t>t_eff,4_R</t>
  </si>
  <si>
    <t>t_eff,8_R</t>
  </si>
  <si>
    <t>p_eff</t>
  </si>
  <si>
    <t>p_reg</t>
  </si>
  <si>
    <t>Group</t>
  </si>
  <si>
    <t>1671.*</t>
  </si>
  <si>
    <t>213257.*</t>
  </si>
  <si>
    <t>10 nM CRC</t>
  </si>
  <si>
    <t>100 nM CRC</t>
  </si>
  <si>
    <t>1000 nM CRC</t>
  </si>
  <si>
    <t>100 nM Rapamycin</t>
  </si>
  <si>
    <t>TGF-b</t>
  </si>
  <si>
    <r>
      <t>TGF-</t>
    </r>
    <r>
      <rPr>
        <sz val="8"/>
        <rFont val="Symbol"/>
      </rPr>
      <t></t>
    </r>
    <r>
      <rPr>
        <sz val="8"/>
        <rFont val="Arial"/>
      </rPr>
      <t xml:space="preserve"> + 1000 nM CRC</t>
    </r>
  </si>
  <si>
    <t>Treg Counts</t>
  </si>
  <si>
    <t>Teff Counts</t>
  </si>
  <si>
    <t>Treg Fractions</t>
  </si>
  <si>
    <t>Teff Fractions</t>
  </si>
  <si>
    <t>Averages</t>
  </si>
  <si>
    <t>Donor 2</t>
  </si>
  <si>
    <t>Donor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</si>
</sst>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8"/>
      <name val="Arial"/>
    </font>
    <font>
      <sz val="8"/>
      <name val="Symbo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McBride" id="{5AFA806E-96BD-42A8-A0C5-C21E8CA0641F}" userId="6d87ca443dd14d7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8" dT="2020-03-27T18:15:57.53" personId="{5AFA806E-96BD-42A8-A0C5-C21E8CA0641F}" id="{8F58BEF4-8297-4CC0-8A4F-C95F6FE733D5}">
    <text>Just an FYI, what I did here was to use goal seek to find the values for k_reg based on the analytical solution of the thing.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8" dT="2020-03-27T18:15:57.53" personId="{5AFA806E-96BD-42A8-A0C5-C21E8CA0641F}" id="{85599900-5BD8-4AE0-A737-B8D30E79EA5A}">
    <text>Just an FYI, what I did here was to use goal seek to find the values for k_reg based on the analytical solution of the thing.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5A33-FAE5-4ECD-8734-627BFF5DEDF3}">
  <dimension ref="A1:U35"/>
  <sheetViews>
    <sheetView topLeftCell="K23" workbookViewId="0">
      <selection activeCell="N27" sqref="N27"/>
    </sheetView>
  </sheetViews>
  <sheetFormatPr defaultRowHeight="14.5" x14ac:dyDescent="0.35"/>
  <cols>
    <col min="1" max="1" width="43.453125" customWidth="1"/>
    <col min="3" max="3" width="12.08984375" customWidth="1"/>
    <col min="9" max="9" width="12.453125" customWidth="1"/>
    <col min="10" max="10" width="13.54296875" customWidth="1"/>
    <col min="13" max="13" width="28.7265625" customWidth="1"/>
    <col min="14" max="14" width="11" customWidth="1"/>
    <col min="15" max="15" width="13.90625" customWidth="1"/>
    <col min="16" max="16" width="13" customWidth="1"/>
    <col min="17" max="17" width="13.1796875" customWidth="1"/>
    <col min="18" max="18" width="14.36328125" customWidth="1"/>
    <col min="19" max="19" width="12.08984375" customWidth="1"/>
    <col min="20" max="20" width="11.08984375" customWidth="1"/>
    <col min="21" max="21" width="14" customWidth="1"/>
  </cols>
  <sheetData>
    <row r="1" spans="1:21" x14ac:dyDescent="0.35">
      <c r="C1" t="s">
        <v>0</v>
      </c>
      <c r="D1" t="s">
        <v>5</v>
      </c>
      <c r="E1" t="s">
        <v>6</v>
      </c>
      <c r="F1" t="s">
        <v>8</v>
      </c>
      <c r="G1" t="s">
        <v>7</v>
      </c>
      <c r="I1" t="s">
        <v>5</v>
      </c>
      <c r="J1" t="s">
        <v>6</v>
      </c>
      <c r="K1" t="s">
        <v>8</v>
      </c>
      <c r="L1" t="s">
        <v>42</v>
      </c>
      <c r="N1" t="s">
        <v>23</v>
      </c>
      <c r="O1" t="s">
        <v>29</v>
      </c>
      <c r="P1" t="s">
        <v>30</v>
      </c>
      <c r="Q1" t="s">
        <v>31</v>
      </c>
      <c r="R1" t="s">
        <v>24</v>
      </c>
      <c r="S1" t="s">
        <v>25</v>
      </c>
      <c r="T1" t="s">
        <v>26</v>
      </c>
      <c r="U1" t="s">
        <v>28</v>
      </c>
    </row>
    <row r="2" spans="1:21" x14ac:dyDescent="0.35">
      <c r="A2" t="s">
        <v>16</v>
      </c>
      <c r="B2" t="s">
        <v>10</v>
      </c>
      <c r="C2" t="s">
        <v>1</v>
      </c>
      <c r="D2">
        <f>304535</f>
        <v>304535</v>
      </c>
      <c r="E2">
        <v>278940</v>
      </c>
      <c r="F2">
        <v>73086</v>
      </c>
      <c r="G2">
        <v>87420</v>
      </c>
      <c r="H2" t="s">
        <v>41</v>
      </c>
      <c r="I2">
        <f>144/LN(D2*10/$O$13)</f>
        <v>34.204586549450646</v>
      </c>
      <c r="J2">
        <f t="shared" ref="J2:L5" si="0">144/LN(E2*10/$O$13)</f>
        <v>34.933036754405315</v>
      </c>
      <c r="K2">
        <f t="shared" si="0"/>
        <v>51.746209506441723</v>
      </c>
      <c r="L2">
        <f t="shared" si="0"/>
        <v>48.617445024228331</v>
      </c>
      <c r="M2" t="s">
        <v>27</v>
      </c>
      <c r="N2" t="s">
        <v>21</v>
      </c>
      <c r="O2">
        <f>50.3/(41.4+50.3)</f>
        <v>0.54852780806979284</v>
      </c>
      <c r="P2">
        <f>41.4/(41.4+50.3)</f>
        <v>0.45147219193020721</v>
      </c>
      <c r="Q2">
        <f>P2*0.849</f>
        <v>0.38329989094874589</v>
      </c>
      <c r="R2">
        <f>(O2-U2)*0.714</f>
        <v>0.38381587786259541</v>
      </c>
      <c r="S2">
        <f>O2-R2</f>
        <v>0.16471193020719743</v>
      </c>
      <c r="T2">
        <f>P2-Q2</f>
        <v>6.817230098146132E-2</v>
      </c>
      <c r="U2">
        <f>0.02*O2</f>
        <v>1.0970556161395858E-2</v>
      </c>
    </row>
    <row r="3" spans="1:21" x14ac:dyDescent="0.35">
      <c r="A3" t="s">
        <v>17</v>
      </c>
      <c r="C3" t="s">
        <v>2</v>
      </c>
      <c r="D3">
        <v>253634</v>
      </c>
      <c r="E3">
        <v>261267</v>
      </c>
      <c r="F3">
        <v>78357</v>
      </c>
      <c r="G3">
        <v>92430</v>
      </c>
      <c r="H3" t="s">
        <v>41</v>
      </c>
      <c r="I3">
        <f t="shared" ref="I3:I6" si="1">144/LN(D3*10/$O$13)</f>
        <v>35.758025625887754</v>
      </c>
      <c r="J3">
        <f t="shared" si="0"/>
        <v>35.496669917488603</v>
      </c>
      <c r="K3">
        <f t="shared" si="0"/>
        <v>50.482900427812147</v>
      </c>
      <c r="L3">
        <f t="shared" si="0"/>
        <v>47.719610740494076</v>
      </c>
      <c r="N3" t="s">
        <v>22</v>
      </c>
      <c r="O3">
        <f>1-P3</f>
        <v>0.54718981972428415</v>
      </c>
      <c r="P3">
        <f>42.7/(42.7+51.6)</f>
        <v>0.45281018027571579</v>
      </c>
      <c r="Q3">
        <f>P3*0.813</f>
        <v>0.36813467656415694</v>
      </c>
      <c r="R3">
        <f>(O3-U3)*0.719</f>
        <v>0.38556089077412503</v>
      </c>
      <c r="S3">
        <f>O3-R3</f>
        <v>0.16162892895015912</v>
      </c>
      <c r="T3">
        <f>P3-Q3</f>
        <v>8.4675503711558853E-2</v>
      </c>
      <c r="U3">
        <f>0.02*O3</f>
        <v>1.0943796394485684E-2</v>
      </c>
    </row>
    <row r="4" spans="1:21" x14ac:dyDescent="0.35">
      <c r="A4" t="s">
        <v>18</v>
      </c>
      <c r="C4" t="s">
        <v>3</v>
      </c>
      <c r="D4">
        <v>330443</v>
      </c>
      <c r="E4">
        <v>273548</v>
      </c>
      <c r="F4">
        <v>58494</v>
      </c>
      <c r="G4">
        <v>107750</v>
      </c>
      <c r="H4" t="s">
        <v>41</v>
      </c>
      <c r="I4">
        <f t="shared" si="1"/>
        <v>33.553842078510129</v>
      </c>
      <c r="J4">
        <f t="shared" si="0"/>
        <v>35.099241107350174</v>
      </c>
      <c r="K4">
        <f t="shared" si="0"/>
        <v>56.247805431009638</v>
      </c>
      <c r="L4">
        <f t="shared" si="0"/>
        <v>45.411693540209797</v>
      </c>
      <c r="N4" t="s">
        <v>9</v>
      </c>
      <c r="O4">
        <f>AVERAGE(O2:O3)</f>
        <v>0.5478588138970385</v>
      </c>
      <c r="P4">
        <f t="shared" ref="P4:U4" si="2">AVERAGE(P2:P3)</f>
        <v>0.4521411861029615</v>
      </c>
      <c r="Q4">
        <f t="shared" si="2"/>
        <v>0.37571728375645141</v>
      </c>
      <c r="R4">
        <f t="shared" si="2"/>
        <v>0.38468838431836022</v>
      </c>
      <c r="S4">
        <f t="shared" si="2"/>
        <v>0.16317042957867828</v>
      </c>
      <c r="T4">
        <f t="shared" si="2"/>
        <v>7.6423902346510086E-2</v>
      </c>
      <c r="U4">
        <f t="shared" si="2"/>
        <v>1.095717627794077E-2</v>
      </c>
    </row>
    <row r="5" spans="1:21" x14ac:dyDescent="0.35">
      <c r="A5" t="s">
        <v>19</v>
      </c>
      <c r="C5" t="s">
        <v>4</v>
      </c>
      <c r="D5">
        <v>289340</v>
      </c>
      <c r="E5">
        <v>241821</v>
      </c>
      <c r="F5">
        <v>92430</v>
      </c>
      <c r="G5">
        <v>94042</v>
      </c>
      <c r="H5" t="s">
        <v>41</v>
      </c>
      <c r="I5">
        <f t="shared" si="1"/>
        <v>34.625554511169426</v>
      </c>
      <c r="J5">
        <f t="shared" si="0"/>
        <v>36.18660091786554</v>
      </c>
      <c r="K5">
        <f t="shared" si="0"/>
        <v>47.719610740494076</v>
      </c>
      <c r="L5">
        <f t="shared" si="0"/>
        <v>47.447752644862796</v>
      </c>
    </row>
    <row r="6" spans="1:21" x14ac:dyDescent="0.35">
      <c r="A6" t="s">
        <v>20</v>
      </c>
      <c r="C6" t="s">
        <v>9</v>
      </c>
      <c r="D6">
        <f>AVERAGE(D2:D5)</f>
        <v>294488</v>
      </c>
      <c r="E6">
        <f t="shared" ref="E6:G6" si="3">AVERAGE(E2:E5)</f>
        <v>263894</v>
      </c>
      <c r="F6">
        <f t="shared" si="3"/>
        <v>75591.75</v>
      </c>
      <c r="G6">
        <f t="shared" si="3"/>
        <v>95410.5</v>
      </c>
      <c r="I6">
        <f>AVERAGE(I2:I5)</f>
        <v>34.535502191254487</v>
      </c>
      <c r="J6">
        <f t="shared" ref="J6:L6" si="4">AVERAGE(J2:J5)</f>
        <v>35.428887174277406</v>
      </c>
      <c r="K6">
        <f t="shared" si="4"/>
        <v>51.549131526439396</v>
      </c>
      <c r="L6">
        <f t="shared" si="4"/>
        <v>47.299125487448748</v>
      </c>
      <c r="M6" t="s">
        <v>32</v>
      </c>
      <c r="N6" t="s">
        <v>33</v>
      </c>
      <c r="O6">
        <f>U4</f>
        <v>1.095717627794077E-2</v>
      </c>
    </row>
    <row r="7" spans="1:21" x14ac:dyDescent="0.35">
      <c r="B7" t="s">
        <v>11</v>
      </c>
      <c r="C7" t="s">
        <v>1</v>
      </c>
      <c r="D7">
        <f>81104</f>
        <v>81104</v>
      </c>
      <c r="E7">
        <v>105555</v>
      </c>
      <c r="F7">
        <v>57017</v>
      </c>
      <c r="G7">
        <v>30665</v>
      </c>
      <c r="H7" t="s">
        <v>47</v>
      </c>
      <c r="I7">
        <v>50.121651777437862</v>
      </c>
      <c r="J7">
        <v>47.658673493256416</v>
      </c>
      <c r="K7">
        <v>59.751650001879625</v>
      </c>
      <c r="L7">
        <v>65</v>
      </c>
      <c r="N7" t="s">
        <v>34</v>
      </c>
      <c r="O7">
        <f>P4</f>
        <v>0.4521411861029615</v>
      </c>
    </row>
    <row r="8" spans="1:21" x14ac:dyDescent="0.35">
      <c r="C8" t="s">
        <v>2</v>
      </c>
      <c r="D8">
        <v>77164</v>
      </c>
      <c r="E8">
        <v>99615</v>
      </c>
      <c r="F8">
        <v>55932</v>
      </c>
      <c r="G8">
        <v>28321</v>
      </c>
      <c r="H8" t="s">
        <v>47</v>
      </c>
      <c r="I8">
        <v>51.363011264280942</v>
      </c>
      <c r="J8">
        <v>47.658673493256416</v>
      </c>
      <c r="K8">
        <v>60.64643202388234</v>
      </c>
      <c r="L8">
        <v>65</v>
      </c>
      <c r="N8" t="s">
        <v>35</v>
      </c>
      <c r="O8">
        <f>S4</f>
        <v>0.16317042957867828</v>
      </c>
    </row>
    <row r="9" spans="1:21" x14ac:dyDescent="0.35">
      <c r="C9" t="s">
        <v>3</v>
      </c>
      <c r="D9">
        <v>94535</v>
      </c>
      <c r="E9">
        <v>104373</v>
      </c>
      <c r="F9">
        <v>53996</v>
      </c>
      <c r="G9">
        <v>25914</v>
      </c>
      <c r="H9" t="s">
        <v>47</v>
      </c>
      <c r="I9">
        <v>47.658673493256416</v>
      </c>
      <c r="J9">
        <v>47.658673493256416</v>
      </c>
      <c r="K9">
        <v>63.886577454504348</v>
      </c>
      <c r="L9">
        <v>65</v>
      </c>
      <c r="O9" t="s">
        <v>36</v>
      </c>
    </row>
    <row r="10" spans="1:21" x14ac:dyDescent="0.35">
      <c r="C10" t="s">
        <v>4</v>
      </c>
      <c r="D10">
        <v>86703</v>
      </c>
      <c r="E10">
        <v>91103</v>
      </c>
      <c r="F10">
        <v>57426</v>
      </c>
      <c r="G10">
        <v>27198</v>
      </c>
      <c r="H10" t="s">
        <v>47</v>
      </c>
      <c r="I10">
        <v>49.217825762136776</v>
      </c>
      <c r="J10">
        <v>51.363011264280942</v>
      </c>
      <c r="K10">
        <v>60.635498217707081</v>
      </c>
      <c r="L10">
        <v>65</v>
      </c>
      <c r="N10" t="s">
        <v>37</v>
      </c>
      <c r="O10">
        <f>100000*(1-O6-O7-O8)</f>
        <v>37373.120804041944</v>
      </c>
    </row>
    <row r="11" spans="1:21" x14ac:dyDescent="0.35">
      <c r="C11" t="s">
        <v>9</v>
      </c>
      <c r="D11">
        <f>AVERAGE(D7:D10)</f>
        <v>84876.5</v>
      </c>
      <c r="E11">
        <f t="shared" ref="E11:G11" si="5">AVERAGE(E7:E10)</f>
        <v>100161.5</v>
      </c>
      <c r="F11">
        <f t="shared" si="5"/>
        <v>56092.75</v>
      </c>
      <c r="G11">
        <f t="shared" si="5"/>
        <v>28024.5</v>
      </c>
      <c r="N11" t="s">
        <v>38</v>
      </c>
      <c r="O11">
        <f>100000*O6</f>
        <v>1095.7176277940771</v>
      </c>
    </row>
    <row r="12" spans="1:21" x14ac:dyDescent="0.35">
      <c r="B12" t="s">
        <v>12</v>
      </c>
      <c r="C12" t="s">
        <v>1</v>
      </c>
      <c r="D12">
        <f>1845</f>
        <v>1845</v>
      </c>
      <c r="E12">
        <v>39578</v>
      </c>
      <c r="F12">
        <v>5870</v>
      </c>
      <c r="G12">
        <v>19453</v>
      </c>
      <c r="H12" t="s">
        <v>43</v>
      </c>
      <c r="I12">
        <f>144/LN(D12*10/$O$11)</f>
        <v>50.997734299754626</v>
      </c>
      <c r="K12">
        <f>144/LN(F12*10/$O$11)</f>
        <v>36.171541633784564</v>
      </c>
      <c r="N12" t="s">
        <v>39</v>
      </c>
      <c r="O12">
        <f>100000*O8</f>
        <v>16317.042957867829</v>
      </c>
    </row>
    <row r="13" spans="1:21" x14ac:dyDescent="0.35">
      <c r="C13" t="s">
        <v>2</v>
      </c>
      <c r="D13">
        <v>2950</v>
      </c>
      <c r="E13">
        <v>38548</v>
      </c>
      <c r="F13">
        <v>6474</v>
      </c>
      <c r="G13">
        <v>17863</v>
      </c>
      <c r="H13" t="s">
        <v>43</v>
      </c>
      <c r="I13">
        <f t="shared" ref="I13:I15" si="6">144/LN(D13*10/$O$11)</f>
        <v>43.729378052410773</v>
      </c>
      <c r="K13">
        <f t="shared" ref="K13:K15" si="7">144/LN(F13*10/$O$11)</f>
        <v>35.303032250732208</v>
      </c>
      <c r="M13">
        <v>-8388.5830000000005</v>
      </c>
      <c r="N13" t="s">
        <v>40</v>
      </c>
      <c r="O13">
        <f>100000*O7</f>
        <v>45214.118610296151</v>
      </c>
    </row>
    <row r="14" spans="1:21" x14ac:dyDescent="0.35">
      <c r="C14" t="s">
        <v>3</v>
      </c>
      <c r="D14">
        <v>3299</v>
      </c>
      <c r="E14">
        <v>41356</v>
      </c>
      <c r="F14">
        <v>9852</v>
      </c>
      <c r="G14">
        <v>14177</v>
      </c>
      <c r="H14" t="s">
        <v>43</v>
      </c>
      <c r="I14">
        <f t="shared" si="6"/>
        <v>42.293295578811055</v>
      </c>
      <c r="K14">
        <f t="shared" si="7"/>
        <v>32.008179464105581</v>
      </c>
    </row>
    <row r="15" spans="1:21" x14ac:dyDescent="0.35">
      <c r="C15" t="s">
        <v>4</v>
      </c>
      <c r="D15">
        <v>3381</v>
      </c>
      <c r="E15">
        <v>38874</v>
      </c>
      <c r="F15">
        <v>7948</v>
      </c>
      <c r="G15">
        <v>16330</v>
      </c>
      <c r="H15" t="s">
        <v>43</v>
      </c>
      <c r="I15">
        <f t="shared" si="6"/>
        <v>41.990500171001635</v>
      </c>
      <c r="K15">
        <f t="shared" si="7"/>
        <v>33.612692927526943</v>
      </c>
      <c r="M15" t="s">
        <v>45</v>
      </c>
      <c r="N15" t="s">
        <v>44</v>
      </c>
      <c r="O15">
        <f>-LN(0.01)/72</f>
        <v>6.3960697027612368E-2</v>
      </c>
    </row>
    <row r="16" spans="1:21" x14ac:dyDescent="0.35">
      <c r="C16" t="s">
        <v>9</v>
      </c>
      <c r="D16">
        <f>AVERAGE(D12:D15)</f>
        <v>2868.75</v>
      </c>
      <c r="E16">
        <f t="shared" ref="E16:G16" si="8">AVERAGE(E12:E15)</f>
        <v>39589</v>
      </c>
      <c r="F16">
        <f t="shared" si="8"/>
        <v>7536</v>
      </c>
      <c r="G16">
        <f t="shared" si="8"/>
        <v>16955.75</v>
      </c>
      <c r="I16">
        <f>AVERAGE(I12:I15)</f>
        <v>44.752727025494515</v>
      </c>
      <c r="K16">
        <f>AVERAGE(K12:K15)</f>
        <v>34.273861569037322</v>
      </c>
    </row>
    <row r="17" spans="2:15" x14ac:dyDescent="0.35">
      <c r="B17" t="s">
        <v>13</v>
      </c>
      <c r="C17" t="s">
        <v>1</v>
      </c>
      <c r="D17">
        <f>D7/D2</f>
        <v>0.26632078414632143</v>
      </c>
      <c r="E17">
        <f t="shared" ref="E17:G17" si="9">E7/E2</f>
        <v>0.37841471284147127</v>
      </c>
      <c r="F17">
        <f t="shared" si="9"/>
        <v>0.7801357305092631</v>
      </c>
      <c r="G17">
        <f t="shared" si="9"/>
        <v>0.35077785403797757</v>
      </c>
      <c r="I17" t="s">
        <v>49</v>
      </c>
      <c r="J17" t="s">
        <v>51</v>
      </c>
      <c r="K17" t="s">
        <v>50</v>
      </c>
    </row>
    <row r="18" spans="2:15" x14ac:dyDescent="0.35">
      <c r="C18" t="s">
        <v>2</v>
      </c>
      <c r="D18">
        <f t="shared" ref="D18:G20" si="10">D8/D3</f>
        <v>0.30423365952514253</v>
      </c>
      <c r="E18">
        <f t="shared" si="10"/>
        <v>0.3812766250617185</v>
      </c>
      <c r="F18">
        <f t="shared" si="10"/>
        <v>0.7138098702094261</v>
      </c>
      <c r="G18">
        <f t="shared" si="10"/>
        <v>0.30640484691117603</v>
      </c>
      <c r="H18" t="s">
        <v>46</v>
      </c>
      <c r="I18">
        <f>($O$11+$J18*$O$10/($O$15+$J18+1/$I$16))*EXP(144/$I$16)-$J18*$O$10/($O$15+$J18+1/$I$16)*EXP((-$O$15-$J18)*144)</f>
        <v>395779.99995653855</v>
      </c>
      <c r="J18">
        <v>5.6298062817849895E-2</v>
      </c>
      <c r="K18">
        <f>E12*10</f>
        <v>395780</v>
      </c>
      <c r="M18" t="s">
        <v>55</v>
      </c>
      <c r="N18" t="s">
        <v>44</v>
      </c>
      <c r="O18">
        <f>O15</f>
        <v>6.3960697027612368E-2</v>
      </c>
    </row>
    <row r="19" spans="2:15" x14ac:dyDescent="0.35">
      <c r="C19" t="s">
        <v>3</v>
      </c>
      <c r="D19">
        <f t="shared" si="10"/>
        <v>0.28608564865952674</v>
      </c>
      <c r="E19">
        <f t="shared" si="10"/>
        <v>0.3815527804992177</v>
      </c>
      <c r="F19">
        <f t="shared" si="10"/>
        <v>0.9231032242623175</v>
      </c>
      <c r="G19">
        <f t="shared" si="10"/>
        <v>0.24050116009280742</v>
      </c>
      <c r="H19" t="s">
        <v>46</v>
      </c>
      <c r="I19">
        <f>($O$11+$J19*$O$10/($O$15+$J19+1/$I$16))*EXP(144/$I$16)-$J19*$O$10/($O$15+$J19+1/$I$16)*EXP((-$O$15-$J19)*144)</f>
        <v>385480.00054960558</v>
      </c>
      <c r="J19">
        <v>5.3744006712147782E-2</v>
      </c>
      <c r="K19">
        <f>E13*10</f>
        <v>385480</v>
      </c>
      <c r="N19" t="s">
        <v>46</v>
      </c>
      <c r="O19">
        <f>J22</f>
        <v>5.6379431414497541E-2</v>
      </c>
    </row>
    <row r="20" spans="2:15" x14ac:dyDescent="0.35">
      <c r="C20" t="s">
        <v>4</v>
      </c>
      <c r="D20">
        <f t="shared" si="10"/>
        <v>0.29965784198520773</v>
      </c>
      <c r="E20">
        <f t="shared" si="10"/>
        <v>0.37673733877537519</v>
      </c>
      <c r="F20">
        <f t="shared" si="10"/>
        <v>0.621291788380396</v>
      </c>
      <c r="G20">
        <f t="shared" si="10"/>
        <v>0.28921120350481699</v>
      </c>
      <c r="H20" t="s">
        <v>46</v>
      </c>
      <c r="I20">
        <f>($O$11+$J20*$O$10/($O$15+$J20+1/$I$16))*EXP(144/$I$16)-$J20*$O$10/($O$15+$J20+1/$I$16)*EXP((-$O$15-$J20)*144)</f>
        <v>413559.99999972392</v>
      </c>
      <c r="J20">
        <v>6.0933230433145982E-2</v>
      </c>
      <c r="K20">
        <f>E14*10</f>
        <v>413560</v>
      </c>
      <c r="N20" t="s">
        <v>47</v>
      </c>
      <c r="O20">
        <f>AVERAGE(I7:I10)</f>
        <v>49.590290574278001</v>
      </c>
    </row>
    <row r="21" spans="2:15" x14ac:dyDescent="0.35">
      <c r="C21" t="s">
        <v>9</v>
      </c>
      <c r="D21">
        <f>AVERAGE(D17:D20)</f>
        <v>0.28907448357904963</v>
      </c>
      <c r="E21">
        <f t="shared" ref="E21:G21" si="11">AVERAGE(E17:E20)</f>
        <v>0.37949536429444564</v>
      </c>
      <c r="F21">
        <f t="shared" si="11"/>
        <v>0.75958515334035059</v>
      </c>
      <c r="G21">
        <f t="shared" si="11"/>
        <v>0.29672376613669449</v>
      </c>
      <c r="H21" t="s">
        <v>46</v>
      </c>
      <c r="I21">
        <f>($O$11+$J21*$O$10/($O$15+$J21+1/$I$16))*EXP(144/$I$16)-$J21*$O$10/($O$15+$J21+1/$I$16)*EXP((-$O$15-$J21)*144)</f>
        <v>388740.00005394232</v>
      </c>
      <c r="J21">
        <v>5.4542425694846505E-2</v>
      </c>
      <c r="K21">
        <f>E15*10</f>
        <v>388740</v>
      </c>
      <c r="N21" t="s">
        <v>43</v>
      </c>
      <c r="O21">
        <f>AVERAGE(I12:I15)</f>
        <v>44.752727025494515</v>
      </c>
    </row>
    <row r="22" spans="2:15" x14ac:dyDescent="0.35">
      <c r="B22" t="s">
        <v>14</v>
      </c>
      <c r="C22" t="s">
        <v>1</v>
      </c>
      <c r="D22">
        <f>D12/(D7+D2)*100</f>
        <v>0.47842671514032553</v>
      </c>
      <c r="E22">
        <f t="shared" ref="E22:G22" si="12">E12/(E7+E2)*100</f>
        <v>10.293501866084084</v>
      </c>
      <c r="F22">
        <f t="shared" si="12"/>
        <v>4.5118098737154408</v>
      </c>
      <c r="G22">
        <f t="shared" si="12"/>
        <v>16.473726552906804</v>
      </c>
      <c r="I22" t="s">
        <v>52</v>
      </c>
      <c r="J22">
        <f>AVERAGE(J18:J21)</f>
        <v>5.6379431414497541E-2</v>
      </c>
      <c r="N22" t="s">
        <v>41</v>
      </c>
      <c r="O22">
        <f>AVERAGE(I2:I5)</f>
        <v>34.535502191254487</v>
      </c>
    </row>
    <row r="23" spans="2:15" x14ac:dyDescent="0.35">
      <c r="C23" t="s">
        <v>2</v>
      </c>
      <c r="D23">
        <f t="shared" ref="D23:G25" si="13">D13/(D8+D3)*100</f>
        <v>0.89178290074305167</v>
      </c>
      <c r="E23">
        <f t="shared" si="13"/>
        <v>10.681607838573273</v>
      </c>
      <c r="F23">
        <f t="shared" si="13"/>
        <v>4.8209458704733823</v>
      </c>
      <c r="G23">
        <f t="shared" si="13"/>
        <v>14.793252229795199</v>
      </c>
      <c r="H23" t="s">
        <v>54</v>
      </c>
      <c r="I23">
        <v>0</v>
      </c>
      <c r="J23">
        <f>J22</f>
        <v>5.6379431414497541E-2</v>
      </c>
      <c r="K23">
        <v>0</v>
      </c>
      <c r="L23">
        <f>J23</f>
        <v>5.6379431414497541E-2</v>
      </c>
      <c r="N23" t="s">
        <v>56</v>
      </c>
      <c r="O23">
        <f>AVERAGE(K7:K10)</f>
        <v>61.230039424493356</v>
      </c>
    </row>
    <row r="24" spans="2:15" x14ac:dyDescent="0.35">
      <c r="C24" t="s">
        <v>3</v>
      </c>
      <c r="D24">
        <f t="shared" si="13"/>
        <v>0.77627547778943851</v>
      </c>
      <c r="E24">
        <f t="shared" si="13"/>
        <v>10.943027775646232</v>
      </c>
      <c r="F24">
        <f t="shared" si="13"/>
        <v>8.758111832162859</v>
      </c>
      <c r="G24">
        <f t="shared" si="13"/>
        <v>10.606446013885563</v>
      </c>
      <c r="N24" t="s">
        <v>57</v>
      </c>
      <c r="O24">
        <f>AVERAGE(K2:K5)</f>
        <v>51.549131526439396</v>
      </c>
    </row>
    <row r="25" spans="2:15" x14ac:dyDescent="0.35">
      <c r="C25" t="s">
        <v>4</v>
      </c>
      <c r="D25">
        <f t="shared" si="13"/>
        <v>0.89909930513265779</v>
      </c>
      <c r="E25">
        <f t="shared" si="13"/>
        <v>11.676538789633669</v>
      </c>
      <c r="F25">
        <f t="shared" si="13"/>
        <v>5.303758274610292</v>
      </c>
      <c r="G25">
        <f t="shared" si="13"/>
        <v>13.469152095018147</v>
      </c>
      <c r="N25" t="s">
        <v>58</v>
      </c>
      <c r="O25">
        <f>1/O18</f>
        <v>15.634601348517069</v>
      </c>
    </row>
    <row r="26" spans="2:15" x14ac:dyDescent="0.35">
      <c r="C26" t="s">
        <v>9</v>
      </c>
      <c r="D26">
        <f>AVERAGE(D22:D25)</f>
        <v>0.76139609970136835</v>
      </c>
      <c r="E26">
        <f t="shared" ref="E26:G26" si="14">AVERAGE(E22:E25)</f>
        <v>10.898669067484315</v>
      </c>
      <c r="F26">
        <f t="shared" si="14"/>
        <v>5.848656462740494</v>
      </c>
      <c r="G26">
        <f t="shared" si="14"/>
        <v>13.835644222901429</v>
      </c>
      <c r="N26" t="s">
        <v>59</v>
      </c>
      <c r="O26">
        <f>1/O19</f>
        <v>17.736964969512936</v>
      </c>
    </row>
    <row r="27" spans="2:15" x14ac:dyDescent="0.35">
      <c r="B27" t="s">
        <v>15</v>
      </c>
      <c r="C27" t="s">
        <v>1</v>
      </c>
      <c r="D27">
        <f>D12/D7*100</f>
        <v>2.2748569737620832</v>
      </c>
      <c r="E27">
        <f t="shared" ref="E27:G27" si="15">E12/E7*100</f>
        <v>37.495144711287956</v>
      </c>
      <c r="F27">
        <f t="shared" si="15"/>
        <v>10.295175123208868</v>
      </c>
      <c r="G27">
        <f t="shared" si="15"/>
        <v>63.437143323006687</v>
      </c>
      <c r="H27" t="s">
        <v>53</v>
      </c>
      <c r="I27">
        <f>($O$12+$O$15*$O$10/($O$15+I$23+1/I7))*EXP(144/I7)-$O$15*$O$10/($O$15+I$23+1/I7)*EXP((-$O$15-I$23)*144)</f>
        <v>792590.0000275207</v>
      </c>
      <c r="J27">
        <f t="shared" ref="J27:L27" si="16">($O$12+$O$15*$O$10/($O$15+J$23+1/J7))*EXP(144/J7)-$O$15*$O$10/($O$15+J$23+1/J7)*EXP((-$O$15-J$23)*144)</f>
        <v>681970.93043510313</v>
      </c>
      <c r="K27">
        <f t="shared" si="16"/>
        <v>511470.00001702673</v>
      </c>
      <c r="L27">
        <f t="shared" si="16"/>
        <v>310959.21959872206</v>
      </c>
    </row>
    <row r="28" spans="2:15" x14ac:dyDescent="0.35">
      <c r="C28" t="s">
        <v>2</v>
      </c>
      <c r="D28">
        <f t="shared" ref="D28:G30" si="17">D13/D8*100</f>
        <v>3.8230262816857605</v>
      </c>
      <c r="E28">
        <f t="shared" si="17"/>
        <v>38.696983386036237</v>
      </c>
      <c r="F28">
        <f t="shared" si="17"/>
        <v>11.574769362797683</v>
      </c>
      <c r="G28">
        <f t="shared" si="17"/>
        <v>63.073337805868434</v>
      </c>
      <c r="I28">
        <f t="shared" ref="I28:L30" si="18">($O$12+$O$15*$O$10/($O$15+I$23+1/I8))*EXP(144/I8)-$O$15*$O$10/($O$15+I$23+1/I8)*EXP((-$O$15-I$23)*144)</f>
        <v>742140.00000632484</v>
      </c>
      <c r="J28">
        <f t="shared" si="18"/>
        <v>681970.93043510313</v>
      </c>
      <c r="K28">
        <f t="shared" si="18"/>
        <v>494580.00057914882</v>
      </c>
      <c r="L28">
        <f t="shared" si="18"/>
        <v>310959.21959872206</v>
      </c>
    </row>
    <row r="29" spans="2:15" x14ac:dyDescent="0.35">
      <c r="C29" t="s">
        <v>3</v>
      </c>
      <c r="D29">
        <f t="shared" si="17"/>
        <v>3.4897128047812984</v>
      </c>
      <c r="E29">
        <f t="shared" si="17"/>
        <v>39.623274218428136</v>
      </c>
      <c r="F29">
        <f t="shared" si="17"/>
        <v>18.245795984887771</v>
      </c>
      <c r="G29">
        <f t="shared" si="17"/>
        <v>54.707879910473103</v>
      </c>
      <c r="I29">
        <f t="shared" si="18"/>
        <v>912359.99999958463</v>
      </c>
      <c r="J29">
        <f t="shared" si="18"/>
        <v>681970.93043510313</v>
      </c>
      <c r="K29">
        <f t="shared" si="18"/>
        <v>441440.0000005039</v>
      </c>
      <c r="L29">
        <f t="shared" si="18"/>
        <v>310959.21959872206</v>
      </c>
    </row>
    <row r="30" spans="2:15" x14ac:dyDescent="0.35">
      <c r="C30" t="s">
        <v>4</v>
      </c>
      <c r="D30">
        <f t="shared" si="17"/>
        <v>3.8995190477838135</v>
      </c>
      <c r="E30">
        <f t="shared" si="17"/>
        <v>42.670384070777033</v>
      </c>
      <c r="F30">
        <f t="shared" si="17"/>
        <v>13.840420715355414</v>
      </c>
      <c r="G30">
        <f t="shared" si="17"/>
        <v>60.041179498492539</v>
      </c>
      <c r="I30">
        <f t="shared" si="18"/>
        <v>833220.00000024342</v>
      </c>
      <c r="J30">
        <f t="shared" si="18"/>
        <v>551460.0507010927</v>
      </c>
      <c r="K30">
        <f t="shared" si="18"/>
        <v>494780.00050603272</v>
      </c>
      <c r="L30">
        <f t="shared" si="18"/>
        <v>310959.21959872206</v>
      </c>
    </row>
    <row r="31" spans="2:15" x14ac:dyDescent="0.35">
      <c r="C31" t="s">
        <v>9</v>
      </c>
      <c r="D31">
        <f>AVERAGE(D27:D30)</f>
        <v>3.371778777003239</v>
      </c>
      <c r="E31">
        <f t="shared" ref="E31:G31" si="19">AVERAGE(E27:E30)</f>
        <v>39.621446596632339</v>
      </c>
      <c r="F31">
        <f t="shared" si="19"/>
        <v>13.489040296562434</v>
      </c>
      <c r="G31">
        <f t="shared" si="19"/>
        <v>60.314885134460191</v>
      </c>
    </row>
    <row r="32" spans="2:15" x14ac:dyDescent="0.35">
      <c r="H32" t="s">
        <v>48</v>
      </c>
      <c r="I32">
        <f>(D7-D12)*10</f>
        <v>792590</v>
      </c>
      <c r="J32">
        <f t="shared" ref="J32:L35" si="20">(E7-E12)*10</f>
        <v>659770</v>
      </c>
      <c r="K32">
        <f t="shared" si="20"/>
        <v>511470</v>
      </c>
      <c r="L32">
        <f t="shared" si="20"/>
        <v>112120</v>
      </c>
    </row>
    <row r="33" spans="9:12" x14ac:dyDescent="0.35">
      <c r="I33">
        <f t="shared" ref="I33:I35" si="21">(D8-D13)*10</f>
        <v>742140</v>
      </c>
      <c r="J33">
        <f t="shared" si="20"/>
        <v>610670</v>
      </c>
      <c r="K33">
        <f t="shared" si="20"/>
        <v>494580</v>
      </c>
      <c r="L33">
        <f t="shared" si="20"/>
        <v>104580</v>
      </c>
    </row>
    <row r="34" spans="9:12" x14ac:dyDescent="0.35">
      <c r="I34">
        <f t="shared" si="21"/>
        <v>912360</v>
      </c>
      <c r="J34">
        <f t="shared" si="20"/>
        <v>630170</v>
      </c>
      <c r="K34">
        <f t="shared" si="20"/>
        <v>441440</v>
      </c>
      <c r="L34">
        <f t="shared" si="20"/>
        <v>117370</v>
      </c>
    </row>
    <row r="35" spans="9:12" x14ac:dyDescent="0.35">
      <c r="I35">
        <f t="shared" si="21"/>
        <v>833220</v>
      </c>
      <c r="J35">
        <f t="shared" si="20"/>
        <v>522290</v>
      </c>
      <c r="K35">
        <f t="shared" si="20"/>
        <v>494780</v>
      </c>
      <c r="L35">
        <f t="shared" si="20"/>
        <v>108680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49BF-8FC4-4FE1-A15E-82C77E26A663}">
  <dimension ref="A1:I36"/>
  <sheetViews>
    <sheetView topLeftCell="A21" workbookViewId="0">
      <selection activeCell="G29" sqref="G29"/>
    </sheetView>
  </sheetViews>
  <sheetFormatPr defaultRowHeight="14.5" x14ac:dyDescent="0.35"/>
  <sheetData>
    <row r="1" spans="1:9" x14ac:dyDescent="0.35">
      <c r="A1" t="s">
        <v>60</v>
      </c>
      <c r="B1" t="s">
        <v>69</v>
      </c>
      <c r="F1" t="s">
        <v>70</v>
      </c>
    </row>
    <row r="2" spans="1:9" x14ac:dyDescent="0.35">
      <c r="A2" s="2" t="s">
        <v>5</v>
      </c>
      <c r="B2" s="1">
        <v>1994</v>
      </c>
      <c r="C2" s="1">
        <v>1430</v>
      </c>
      <c r="D2" s="1">
        <v>1132</v>
      </c>
      <c r="E2" s="1" t="s">
        <v>61</v>
      </c>
      <c r="F2" s="1">
        <v>454006</v>
      </c>
      <c r="G2" s="1">
        <v>421570</v>
      </c>
      <c r="H2" s="1">
        <v>461868</v>
      </c>
      <c r="I2" s="1" t="s">
        <v>62</v>
      </c>
    </row>
    <row r="3" spans="1:9" x14ac:dyDescent="0.35">
      <c r="A3" s="2" t="s">
        <v>63</v>
      </c>
      <c r="B3" s="1">
        <v>1443</v>
      </c>
      <c r="C3" s="1">
        <v>1582</v>
      </c>
      <c r="D3" s="1">
        <v>3356</v>
      </c>
      <c r="E3" s="1">
        <v>1807</v>
      </c>
      <c r="F3" s="1">
        <v>408557</v>
      </c>
      <c r="G3" s="1">
        <v>341873</v>
      </c>
      <c r="H3" s="1">
        <v>388828</v>
      </c>
      <c r="I3" s="1">
        <v>433193</v>
      </c>
    </row>
    <row r="4" spans="1:9" x14ac:dyDescent="0.35">
      <c r="A4" s="2" t="s">
        <v>64</v>
      </c>
      <c r="B4" s="1">
        <v>4817</v>
      </c>
      <c r="C4" s="1">
        <v>2844</v>
      </c>
      <c r="D4" s="1">
        <v>1705</v>
      </c>
      <c r="E4" s="1">
        <v>3265</v>
      </c>
      <c r="F4" s="1">
        <v>283821</v>
      </c>
      <c r="G4" s="1">
        <v>258876</v>
      </c>
      <c r="H4" s="1">
        <v>220489</v>
      </c>
      <c r="I4" s="1">
        <v>286643</v>
      </c>
    </row>
    <row r="5" spans="1:9" x14ac:dyDescent="0.35">
      <c r="A5" s="2" t="s">
        <v>65</v>
      </c>
      <c r="B5" s="1">
        <v>2606</v>
      </c>
      <c r="C5" s="1">
        <v>1901</v>
      </c>
      <c r="D5" s="1">
        <v>1865</v>
      </c>
      <c r="E5" s="1">
        <v>1699</v>
      </c>
      <c r="F5" s="1">
        <v>139720</v>
      </c>
      <c r="G5" s="1">
        <v>113940</v>
      </c>
      <c r="H5" s="1">
        <v>109404</v>
      </c>
      <c r="I5" s="1">
        <v>141265</v>
      </c>
    </row>
    <row r="6" spans="1:9" x14ac:dyDescent="0.35">
      <c r="A6" s="2" t="s">
        <v>66</v>
      </c>
      <c r="B6" s="1">
        <v>2504</v>
      </c>
      <c r="C6" s="1">
        <v>2003</v>
      </c>
      <c r="D6" s="1">
        <v>2494</v>
      </c>
      <c r="E6" s="1">
        <v>2427</v>
      </c>
      <c r="F6" s="1">
        <v>163446</v>
      </c>
      <c r="G6" s="1">
        <v>96670</v>
      </c>
      <c r="H6" s="1">
        <v>165670</v>
      </c>
      <c r="I6" s="1">
        <v>142277</v>
      </c>
    </row>
    <row r="7" spans="1:9" x14ac:dyDescent="0.35">
      <c r="A7" s="2" t="s">
        <v>67</v>
      </c>
      <c r="B7" s="1">
        <v>10219</v>
      </c>
      <c r="C7" s="1">
        <v>16101</v>
      </c>
      <c r="D7" s="1">
        <v>10763</v>
      </c>
      <c r="E7" s="1">
        <v>10693</v>
      </c>
      <c r="F7" s="1">
        <v>467781</v>
      </c>
      <c r="G7" s="1">
        <v>563899</v>
      </c>
      <c r="H7" s="1">
        <v>470237</v>
      </c>
      <c r="I7" s="1">
        <v>432307</v>
      </c>
    </row>
    <row r="8" spans="1:9" x14ac:dyDescent="0.35">
      <c r="A8" s="2" t="s">
        <v>68</v>
      </c>
      <c r="B8" s="1">
        <v>10766</v>
      </c>
      <c r="C8" s="1">
        <v>5218</v>
      </c>
      <c r="D8" s="1">
        <v>7776</v>
      </c>
      <c r="E8" s="1">
        <v>6696</v>
      </c>
      <c r="F8" s="1">
        <v>110763</v>
      </c>
      <c r="G8" s="1">
        <v>100363</v>
      </c>
      <c r="H8" s="1">
        <v>134240</v>
      </c>
      <c r="I8" s="1">
        <v>121415</v>
      </c>
    </row>
    <row r="10" spans="1:9" x14ac:dyDescent="0.35">
      <c r="A10" s="2"/>
      <c r="B10" t="s">
        <v>71</v>
      </c>
      <c r="F10" t="s">
        <v>72</v>
      </c>
    </row>
    <row r="11" spans="1:9" x14ac:dyDescent="0.35">
      <c r="A11" s="2" t="s">
        <v>5</v>
      </c>
      <c r="B11">
        <f>B2/(B2+F2)</f>
        <v>4.3728070175438599E-3</v>
      </c>
      <c r="C11">
        <f t="shared" ref="C11:E11" si="0">C2/(C2+G2)</f>
        <v>3.3806146572104021E-3</v>
      </c>
      <c r="D11">
        <f t="shared" si="0"/>
        <v>2.4449244060475162E-3</v>
      </c>
      <c r="E11" t="e">
        <f t="shared" si="0"/>
        <v>#VALUE!</v>
      </c>
      <c r="F11">
        <f>F2/(F2+B2)</f>
        <v>0.99562719298245617</v>
      </c>
      <c r="G11">
        <f t="shared" ref="G11:I11" si="1">G2/(G2+C2)</f>
        <v>0.9966193853427896</v>
      </c>
      <c r="H11">
        <f t="shared" si="1"/>
        <v>0.99755507559395251</v>
      </c>
      <c r="I11" t="e">
        <f t="shared" si="1"/>
        <v>#VALUE!</v>
      </c>
    </row>
    <row r="12" spans="1:9" x14ac:dyDescent="0.35">
      <c r="A12" s="2" t="s">
        <v>63</v>
      </c>
      <c r="B12">
        <f t="shared" ref="B12:B17" si="2">B3/(B3+F3)</f>
        <v>3.5195121951219514E-3</v>
      </c>
      <c r="C12">
        <f t="shared" ref="C12:C17" si="3">C3/(C3+G3)</f>
        <v>4.6061347192499743E-3</v>
      </c>
      <c r="D12">
        <f t="shared" ref="D12:D17" si="4">D3/(D3+H3)</f>
        <v>8.5572078412173881E-3</v>
      </c>
      <c r="E12">
        <f t="shared" ref="E12:E17" si="5">E3/(E3+I3)</f>
        <v>4.1540229885057471E-3</v>
      </c>
      <c r="F12">
        <f t="shared" ref="F12:F17" si="6">F3/(F3+B3)</f>
        <v>0.99648048780487808</v>
      </c>
      <c r="G12">
        <f t="shared" ref="G12:G17" si="7">G3/(G3+C3)</f>
        <v>0.99539386528075002</v>
      </c>
      <c r="H12">
        <f t="shared" ref="H12:H17" si="8">H3/(H3+D3)</f>
        <v>0.99144279215878262</v>
      </c>
      <c r="I12">
        <f t="shared" ref="I12:I17" si="9">I3/(I3+E3)</f>
        <v>0.99584597701149424</v>
      </c>
    </row>
    <row r="13" spans="1:9" x14ac:dyDescent="0.35">
      <c r="A13" s="2" t="s">
        <v>64</v>
      </c>
      <c r="B13">
        <f t="shared" si="2"/>
        <v>1.6688724284397757E-2</v>
      </c>
      <c r="C13">
        <f t="shared" si="3"/>
        <v>1.0866574965612105E-2</v>
      </c>
      <c r="D13">
        <f t="shared" si="4"/>
        <v>7.6734745312654704E-3</v>
      </c>
      <c r="E13">
        <f t="shared" si="5"/>
        <v>1.1262193523462615E-2</v>
      </c>
      <c r="F13">
        <f t="shared" si="6"/>
        <v>0.98331127571560228</v>
      </c>
      <c r="G13">
        <f t="shared" si="7"/>
        <v>0.98913342503438795</v>
      </c>
      <c r="H13">
        <f t="shared" si="8"/>
        <v>0.99232652546873457</v>
      </c>
      <c r="I13">
        <f t="shared" si="9"/>
        <v>0.98873780647653742</v>
      </c>
    </row>
    <row r="14" spans="1:9" x14ac:dyDescent="0.35">
      <c r="A14" s="2" t="s">
        <v>65</v>
      </c>
      <c r="B14">
        <f t="shared" si="2"/>
        <v>1.8310076865786996E-2</v>
      </c>
      <c r="C14">
        <f t="shared" si="3"/>
        <v>1.6410424633765248E-2</v>
      </c>
      <c r="D14">
        <f t="shared" si="4"/>
        <v>1.6761182359866629E-2</v>
      </c>
      <c r="E14">
        <f t="shared" si="5"/>
        <v>1.1884110685207465E-2</v>
      </c>
      <c r="F14">
        <f t="shared" si="6"/>
        <v>0.98168992313421299</v>
      </c>
      <c r="G14">
        <f t="shared" si="7"/>
        <v>0.9835895753662347</v>
      </c>
      <c r="H14">
        <f t="shared" si="8"/>
        <v>0.98323881764013332</v>
      </c>
      <c r="I14">
        <f t="shared" si="9"/>
        <v>0.98811588931479255</v>
      </c>
    </row>
    <row r="15" spans="1:9" x14ac:dyDescent="0.35">
      <c r="A15" s="2" t="s">
        <v>66</v>
      </c>
      <c r="B15">
        <f t="shared" si="2"/>
        <v>1.5088882193431756E-2</v>
      </c>
      <c r="C15">
        <f t="shared" si="3"/>
        <v>2.0299372675402591E-2</v>
      </c>
      <c r="D15">
        <f t="shared" si="4"/>
        <v>1.4830760448133964E-2</v>
      </c>
      <c r="E15">
        <f t="shared" si="5"/>
        <v>1.677216939407342E-2</v>
      </c>
      <c r="F15">
        <f t="shared" si="6"/>
        <v>0.98491111780656826</v>
      </c>
      <c r="G15">
        <f t="shared" si="7"/>
        <v>0.9797006273245974</v>
      </c>
      <c r="H15">
        <f t="shared" si="8"/>
        <v>0.98516923955186608</v>
      </c>
      <c r="I15">
        <f t="shared" si="9"/>
        <v>0.98322783060592656</v>
      </c>
    </row>
    <row r="16" spans="1:9" x14ac:dyDescent="0.35">
      <c r="A16" s="2" t="s">
        <v>67</v>
      </c>
      <c r="B16">
        <f t="shared" si="2"/>
        <v>2.137866108786611E-2</v>
      </c>
      <c r="C16">
        <f t="shared" si="3"/>
        <v>2.7760344827586207E-2</v>
      </c>
      <c r="D16">
        <f t="shared" si="4"/>
        <v>2.2376299376299376E-2</v>
      </c>
      <c r="E16">
        <f t="shared" si="5"/>
        <v>2.4137697516930023E-2</v>
      </c>
      <c r="F16">
        <f t="shared" si="6"/>
        <v>0.97862133891213388</v>
      </c>
      <c r="G16">
        <f t="shared" si="7"/>
        <v>0.97223965517241384</v>
      </c>
      <c r="H16">
        <f t="shared" si="8"/>
        <v>0.97762370062370063</v>
      </c>
      <c r="I16">
        <f t="shared" si="9"/>
        <v>0.97586230248306993</v>
      </c>
    </row>
    <row r="17" spans="1:9" x14ac:dyDescent="0.35">
      <c r="A17" s="2" t="s">
        <v>68</v>
      </c>
      <c r="B17">
        <f t="shared" si="2"/>
        <v>8.8587909058743183E-2</v>
      </c>
      <c r="C17">
        <f t="shared" si="3"/>
        <v>4.9421770962578493E-2</v>
      </c>
      <c r="D17">
        <f t="shared" si="4"/>
        <v>5.4754393871113111E-2</v>
      </c>
      <c r="E17">
        <f t="shared" si="5"/>
        <v>5.2267174559561633E-2</v>
      </c>
      <c r="F17">
        <f t="shared" si="6"/>
        <v>0.91141209094125686</v>
      </c>
      <c r="G17">
        <f t="shared" si="7"/>
        <v>0.95057822903742151</v>
      </c>
      <c r="H17">
        <f t="shared" si="8"/>
        <v>0.94524560612888686</v>
      </c>
      <c r="I17">
        <f t="shared" si="9"/>
        <v>0.94773282544043835</v>
      </c>
    </row>
    <row r="18" spans="1:9" x14ac:dyDescent="0.35">
      <c r="B18" t="s">
        <v>73</v>
      </c>
    </row>
    <row r="19" spans="1:9" x14ac:dyDescent="0.35">
      <c r="A19" s="2" t="s">
        <v>5</v>
      </c>
      <c r="B19">
        <f>AVERAGE(B2:D2)</f>
        <v>1518.6666666666667</v>
      </c>
      <c r="C19">
        <f>AVERAGE(F2:H2)</f>
        <v>445814.66666666669</v>
      </c>
    </row>
    <row r="20" spans="1:9" x14ac:dyDescent="0.35">
      <c r="A20" s="2" t="s">
        <v>63</v>
      </c>
      <c r="B20">
        <f>AVERAGE(B3:E3)</f>
        <v>2047</v>
      </c>
      <c r="C20">
        <f>AVERAGE(F3:I3)</f>
        <v>393112.75</v>
      </c>
    </row>
    <row r="21" spans="1:9" x14ac:dyDescent="0.35">
      <c r="A21" s="2" t="s">
        <v>64</v>
      </c>
      <c r="B21">
        <f t="shared" ref="B21:B25" si="10">AVERAGE(B4:E4)</f>
        <v>3157.75</v>
      </c>
      <c r="C21">
        <f t="shared" ref="C21:C25" si="11">AVERAGE(F4:I4)</f>
        <v>262457.25</v>
      </c>
    </row>
    <row r="22" spans="1:9" x14ac:dyDescent="0.35">
      <c r="A22" s="2" t="s">
        <v>65</v>
      </c>
      <c r="B22">
        <f t="shared" si="10"/>
        <v>2017.75</v>
      </c>
      <c r="C22">
        <f t="shared" si="11"/>
        <v>126082.25</v>
      </c>
    </row>
    <row r="23" spans="1:9" x14ac:dyDescent="0.35">
      <c r="A23" s="2" t="s">
        <v>66</v>
      </c>
      <c r="B23">
        <f t="shared" si="10"/>
        <v>2357</v>
      </c>
      <c r="C23">
        <f t="shared" si="11"/>
        <v>142015.75</v>
      </c>
    </row>
    <row r="24" spans="1:9" x14ac:dyDescent="0.35">
      <c r="A24" s="2" t="s">
        <v>67</v>
      </c>
      <c r="B24">
        <f t="shared" si="10"/>
        <v>11944</v>
      </c>
      <c r="C24">
        <f t="shared" si="11"/>
        <v>483556</v>
      </c>
    </row>
    <row r="25" spans="1:9" x14ac:dyDescent="0.35">
      <c r="A25" s="2" t="s">
        <v>68</v>
      </c>
      <c r="B25">
        <f t="shared" si="10"/>
        <v>7614</v>
      </c>
      <c r="C25">
        <f t="shared" si="11"/>
        <v>116695.25</v>
      </c>
      <c r="E25" s="1">
        <v>1.29</v>
      </c>
      <c r="F25" s="1">
        <v>14.3</v>
      </c>
      <c r="G25" s="1">
        <v>38.1</v>
      </c>
      <c r="H25" s="1">
        <v>63.4</v>
      </c>
    </row>
    <row r="26" spans="1:9" x14ac:dyDescent="0.35">
      <c r="E26" s="1">
        <v>1.77</v>
      </c>
      <c r="F26" s="1">
        <v>15.6</v>
      </c>
      <c r="G26" s="1">
        <v>38.700000000000003</v>
      </c>
      <c r="H26" s="1">
        <v>63.1</v>
      </c>
    </row>
    <row r="27" spans="1:9" x14ac:dyDescent="0.35">
      <c r="B27">
        <f>B19*10</f>
        <v>15186.666666666668</v>
      </c>
      <c r="C27">
        <f>C19</f>
        <v>445814.66666666669</v>
      </c>
      <c r="E27" s="1">
        <v>1.66</v>
      </c>
      <c r="F27" s="1">
        <v>18.2</v>
      </c>
      <c r="G27" s="1">
        <v>39.6</v>
      </c>
      <c r="H27" s="1">
        <v>54.7</v>
      </c>
    </row>
    <row r="28" spans="1:9" x14ac:dyDescent="0.35">
      <c r="B28">
        <f t="shared" ref="B28:C28" si="12">B20*10</f>
        <v>20470</v>
      </c>
      <c r="C28">
        <f t="shared" ref="C28:C34" si="13">C20</f>
        <v>393112.75</v>
      </c>
      <c r="F28" s="1">
        <v>13.8</v>
      </c>
      <c r="G28" s="1">
        <v>42.7</v>
      </c>
      <c r="H28" s="1">
        <v>60</v>
      </c>
    </row>
    <row r="29" spans="1:9" x14ac:dyDescent="0.35">
      <c r="B29">
        <f t="shared" ref="B29:C29" si="14">B21*10</f>
        <v>31577.5</v>
      </c>
      <c r="C29">
        <f t="shared" si="13"/>
        <v>262457.25</v>
      </c>
      <c r="D29">
        <f>AVERAGE(E25:E28)</f>
        <v>1.5733333333333333</v>
      </c>
      <c r="E29">
        <f t="shared" ref="E29:G29" si="15">AVERAGE(F25:F28)</f>
        <v>15.474999999999998</v>
      </c>
      <c r="F29">
        <f t="shared" si="15"/>
        <v>39.775000000000006</v>
      </c>
      <c r="G29">
        <f t="shared" si="15"/>
        <v>60.3</v>
      </c>
    </row>
    <row r="30" spans="1:9" x14ac:dyDescent="0.35">
      <c r="B30">
        <f t="shared" ref="B30:C30" si="16">B22*10</f>
        <v>20177.5</v>
      </c>
      <c r="C30">
        <f t="shared" si="13"/>
        <v>126082.25</v>
      </c>
    </row>
    <row r="31" spans="1:9" x14ac:dyDescent="0.35">
      <c r="B31">
        <f t="shared" ref="B31:C31" si="17">B23*10</f>
        <v>23570</v>
      </c>
      <c r="C31">
        <f t="shared" si="13"/>
        <v>142015.75</v>
      </c>
    </row>
    <row r="32" spans="1:9" x14ac:dyDescent="0.35">
      <c r="B32">
        <f t="shared" ref="B32:C32" si="18">B24*10</f>
        <v>119440</v>
      </c>
      <c r="C32">
        <f t="shared" si="13"/>
        <v>483556</v>
      </c>
      <c r="H32" s="1">
        <v>3.2586629999999998E-2</v>
      </c>
      <c r="I32">
        <f>H32*100</f>
        <v>3.2586629999999999</v>
      </c>
    </row>
    <row r="33" spans="2:9" x14ac:dyDescent="0.35">
      <c r="B33">
        <f t="shared" ref="B33:C33" si="19">B25*10</f>
        <v>76140</v>
      </c>
      <c r="C33">
        <f t="shared" si="13"/>
        <v>116695.25</v>
      </c>
      <c r="H33" s="1">
        <v>5.3729909999999999E-2</v>
      </c>
      <c r="I33">
        <f t="shared" ref="I33:I35" si="20">H33*100</f>
        <v>5.3729909999999999</v>
      </c>
    </row>
    <row r="34" spans="2:9" x14ac:dyDescent="0.35">
      <c r="B34">
        <f t="shared" ref="B34:C34" si="21">B26*10</f>
        <v>0</v>
      </c>
      <c r="C34">
        <f t="shared" si="13"/>
        <v>0</v>
      </c>
      <c r="H34" s="1">
        <v>0.39849089999999998</v>
      </c>
      <c r="I34">
        <f t="shared" si="20"/>
        <v>39.849089999999997</v>
      </c>
    </row>
    <row r="35" spans="2:9" x14ac:dyDescent="0.35">
      <c r="E35" s="3">
        <v>362226.22840485402</v>
      </c>
      <c r="F35" s="3">
        <f>E35/2</f>
        <v>181113.11420242701</v>
      </c>
      <c r="H35" s="1">
        <v>0.53182609999999997</v>
      </c>
      <c r="I35">
        <f t="shared" si="20"/>
        <v>53.182609999999997</v>
      </c>
    </row>
    <row r="36" spans="2:9" x14ac:dyDescent="0.35">
      <c r="E36" s="3">
        <v>618445.52655771398</v>
      </c>
      <c r="F36" s="3">
        <f>E36/2</f>
        <v>309222.76327885699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770E-C449-4976-8BB1-301FAFD45354}">
  <dimension ref="A1:U35"/>
  <sheetViews>
    <sheetView tabSelected="1" topLeftCell="E5" workbookViewId="0">
      <selection activeCell="I18" sqref="I18"/>
    </sheetView>
  </sheetViews>
  <sheetFormatPr defaultRowHeight="14.5" x14ac:dyDescent="0.35"/>
  <cols>
    <col min="1" max="1" width="43.453125" customWidth="1"/>
    <col min="3" max="3" width="12.08984375" customWidth="1"/>
    <col min="9" max="9" width="12.453125" customWidth="1"/>
    <col min="10" max="10" width="13.54296875" customWidth="1"/>
    <col min="13" max="13" width="28.7265625" customWidth="1"/>
    <col min="14" max="14" width="11" customWidth="1"/>
    <col min="15" max="15" width="13.90625" customWidth="1"/>
    <col min="16" max="16" width="13" customWidth="1"/>
    <col min="17" max="17" width="13.1796875" customWidth="1"/>
    <col min="18" max="18" width="14.36328125" customWidth="1"/>
    <col min="19" max="19" width="12.08984375" customWidth="1"/>
    <col min="20" max="20" width="11.08984375" customWidth="1"/>
    <col min="21" max="21" width="14" customWidth="1"/>
  </cols>
  <sheetData>
    <row r="1" spans="1:21" x14ac:dyDescent="0.35">
      <c r="C1" t="s">
        <v>0</v>
      </c>
      <c r="D1" t="s">
        <v>5</v>
      </c>
      <c r="E1" t="s">
        <v>6</v>
      </c>
      <c r="F1" t="s">
        <v>8</v>
      </c>
      <c r="G1" t="s">
        <v>7</v>
      </c>
      <c r="I1" t="s">
        <v>5</v>
      </c>
      <c r="J1" t="s">
        <v>6</v>
      </c>
      <c r="K1" t="s">
        <v>8</v>
      </c>
      <c r="L1" t="s">
        <v>42</v>
      </c>
      <c r="N1" t="s">
        <v>23</v>
      </c>
      <c r="O1" t="s">
        <v>29</v>
      </c>
      <c r="P1" t="s">
        <v>30</v>
      </c>
      <c r="Q1" t="s">
        <v>31</v>
      </c>
      <c r="R1" t="s">
        <v>24</v>
      </c>
      <c r="S1" t="s">
        <v>25</v>
      </c>
      <c r="T1" t="s">
        <v>26</v>
      </c>
      <c r="U1" t="s">
        <v>28</v>
      </c>
    </row>
    <row r="2" spans="1:21" x14ac:dyDescent="0.35">
      <c r="A2" t="s">
        <v>16</v>
      </c>
      <c r="B2" t="s">
        <v>10</v>
      </c>
      <c r="C2" t="s">
        <v>1</v>
      </c>
      <c r="D2">
        <v>33741</v>
      </c>
      <c r="E2">
        <v>14320</v>
      </c>
      <c r="F2">
        <v>8832</v>
      </c>
      <c r="G2">
        <v>3141</v>
      </c>
      <c r="H2" t="s">
        <v>41</v>
      </c>
      <c r="I2">
        <f>144/LN(D2*10/$O$13)</f>
        <v>57.885456682773714</v>
      </c>
      <c r="J2">
        <f>144/LN(E2*10/$O$13)</f>
        <v>88.310242474696537</v>
      </c>
      <c r="K2">
        <f>144/LN(F2*10/$O$13)</f>
        <v>125.50777704512731</v>
      </c>
      <c r="L2">
        <f>144/LN(G2*10/$O$13)</f>
        <v>1268.7337490837992</v>
      </c>
      <c r="M2" t="s">
        <v>27</v>
      </c>
      <c r="N2" t="s">
        <v>74</v>
      </c>
      <c r="O2">
        <f>39.1/(39.1+21.1)</f>
        <v>0.64950166112956809</v>
      </c>
      <c r="P2">
        <f>21.1/(39.1+21.1)</f>
        <v>0.35049833887043191</v>
      </c>
      <c r="Q2">
        <f>P2*0.295</f>
        <v>0.10339700996677741</v>
      </c>
      <c r="R2">
        <f>(O2-U2)*0.55</f>
        <v>0.3500813953488372</v>
      </c>
      <c r="S2">
        <f>O2-R2</f>
        <v>0.29942026578073089</v>
      </c>
      <c r="T2">
        <f>P2-Q2</f>
        <v>0.24710132890365449</v>
      </c>
      <c r="U2">
        <f>0.02*O2</f>
        <v>1.2990033222591362E-2</v>
      </c>
    </row>
    <row r="3" spans="1:21" x14ac:dyDescent="0.35">
      <c r="A3" t="s">
        <v>17</v>
      </c>
      <c r="C3" t="s">
        <v>2</v>
      </c>
      <c r="D3">
        <v>27981</v>
      </c>
      <c r="E3">
        <v>13790</v>
      </c>
      <c r="F3">
        <v>5203</v>
      </c>
      <c r="G3">
        <v>2035</v>
      </c>
      <c r="H3" t="s">
        <v>41</v>
      </c>
      <c r="I3">
        <f>144/LN(D3*10/$O$13)</f>
        <v>62.595537564902386</v>
      </c>
      <c r="J3">
        <f t="shared" ref="J3:J5" si="0">144/LN(E3*10/$O$13)</f>
        <v>90.401072156078655</v>
      </c>
      <c r="K3">
        <f t="shared" ref="K3:K5" si="1">144/LN(F3*10/$O$13)</f>
        <v>232.93690560421527</v>
      </c>
      <c r="L3">
        <f t="shared" ref="L3:L5" si="2">144/LN(G3*10/$O$13)</f>
        <v>-449.23291941436889</v>
      </c>
      <c r="N3" t="s">
        <v>75</v>
      </c>
      <c r="O3">
        <f>1-P3</f>
        <v>0.76502732240437155</v>
      </c>
      <c r="P3">
        <f>17.2/(56+17.2)</f>
        <v>0.2349726775956284</v>
      </c>
      <c r="Q3">
        <f>P3*0.623</f>
        <v>0.14638797814207649</v>
      </c>
      <c r="R3">
        <f>(O3-U3)*0.709</f>
        <v>0.53155628415300538</v>
      </c>
      <c r="S3">
        <f>O3-R3</f>
        <v>0.23347103825136617</v>
      </c>
      <c r="T3">
        <f>P3-Q3</f>
        <v>8.8584699453551907E-2</v>
      </c>
      <c r="U3">
        <f>0.02*O3</f>
        <v>1.5300546448087432E-2</v>
      </c>
    </row>
    <row r="4" spans="1:21" x14ac:dyDescent="0.35">
      <c r="A4" t="s">
        <v>18</v>
      </c>
      <c r="C4" t="s">
        <v>3</v>
      </c>
      <c r="E4">
        <v>18915</v>
      </c>
      <c r="F4">
        <v>7691</v>
      </c>
      <c r="G4">
        <v>3297</v>
      </c>
      <c r="H4" t="s">
        <v>41</v>
      </c>
      <c r="J4">
        <f t="shared" si="0"/>
        <v>75.435600192285477</v>
      </c>
      <c r="K4">
        <f t="shared" si="1"/>
        <v>142.71434579538189</v>
      </c>
      <c r="L4">
        <f t="shared" si="2"/>
        <v>889.04949819141007</v>
      </c>
      <c r="N4" t="s">
        <v>9</v>
      </c>
      <c r="O4">
        <f>AVERAGE(O2:O3)</f>
        <v>0.70726449176696982</v>
      </c>
      <c r="P4">
        <f t="shared" ref="P4:U4" si="3">AVERAGE(P2:P3)</f>
        <v>0.29273550823303018</v>
      </c>
      <c r="Q4">
        <f t="shared" si="3"/>
        <v>0.12489249405442696</v>
      </c>
      <c r="R4">
        <f t="shared" si="3"/>
        <v>0.44081883975092129</v>
      </c>
      <c r="S4">
        <f t="shared" si="3"/>
        <v>0.26644565201604853</v>
      </c>
      <c r="T4">
        <f t="shared" si="3"/>
        <v>0.1678430141786032</v>
      </c>
      <c r="U4">
        <f t="shared" si="3"/>
        <v>1.4145289835339397E-2</v>
      </c>
    </row>
    <row r="5" spans="1:21" x14ac:dyDescent="0.35">
      <c r="A5" t="s">
        <v>19</v>
      </c>
      <c r="C5" t="s">
        <v>4</v>
      </c>
      <c r="E5">
        <v>22040</v>
      </c>
      <c r="F5">
        <v>4604</v>
      </c>
      <c r="G5">
        <v>2743</v>
      </c>
      <c r="H5" t="s">
        <v>41</v>
      </c>
      <c r="J5">
        <f t="shared" si="0"/>
        <v>69.841318191866435</v>
      </c>
      <c r="K5">
        <f t="shared" si="1"/>
        <v>290.39092730406605</v>
      </c>
      <c r="L5">
        <f t="shared" si="2"/>
        <v>-6548.4257770843778</v>
      </c>
    </row>
    <row r="6" spans="1:21" x14ac:dyDescent="0.35">
      <c r="A6" t="s">
        <v>20</v>
      </c>
      <c r="C6" t="s">
        <v>9</v>
      </c>
      <c r="D6">
        <f>AVERAGE(D2:D5)</f>
        <v>30861</v>
      </c>
      <c r="E6">
        <f t="shared" ref="E6:G6" si="4">AVERAGE(E2:E5)</f>
        <v>17266.25</v>
      </c>
      <c r="F6">
        <f t="shared" si="4"/>
        <v>6582.5</v>
      </c>
      <c r="G6">
        <f t="shared" si="4"/>
        <v>2804</v>
      </c>
      <c r="I6">
        <f>AVERAGE(I2:I5)</f>
        <v>60.240497123838054</v>
      </c>
      <c r="J6">
        <f t="shared" ref="J6:L6" si="5">AVERAGE(J2:J5)</f>
        <v>80.99705825373178</v>
      </c>
      <c r="K6">
        <f t="shared" si="5"/>
        <v>197.88748893719762</v>
      </c>
      <c r="L6">
        <f t="shared" si="5"/>
        <v>-1209.9688623058844</v>
      </c>
      <c r="M6" t="s">
        <v>32</v>
      </c>
      <c r="N6" t="s">
        <v>33</v>
      </c>
      <c r="O6">
        <f>U2</f>
        <v>1.2990033222591362E-2</v>
      </c>
    </row>
    <row r="7" spans="1:21" x14ac:dyDescent="0.35">
      <c r="B7" t="s">
        <v>11</v>
      </c>
      <c r="C7" t="s">
        <v>1</v>
      </c>
      <c r="D7">
        <v>62612</v>
      </c>
      <c r="E7">
        <v>36402</v>
      </c>
      <c r="F7">
        <v>29761</v>
      </c>
      <c r="G7">
        <v>14628</v>
      </c>
      <c r="H7" t="s">
        <v>47</v>
      </c>
      <c r="I7">
        <v>50.121651777437862</v>
      </c>
      <c r="J7">
        <v>47.658673493256416</v>
      </c>
      <c r="K7">
        <v>59.751650001879625</v>
      </c>
      <c r="L7">
        <v>65</v>
      </c>
      <c r="N7" t="s">
        <v>34</v>
      </c>
      <c r="O7">
        <f>P2</f>
        <v>0.35049833887043191</v>
      </c>
    </row>
    <row r="8" spans="1:21" x14ac:dyDescent="0.35">
      <c r="C8" t="s">
        <v>2</v>
      </c>
      <c r="D8">
        <v>101774</v>
      </c>
      <c r="E8">
        <v>40897</v>
      </c>
      <c r="F8">
        <v>21256</v>
      </c>
      <c r="G8">
        <v>10810</v>
      </c>
      <c r="H8" t="s">
        <v>47</v>
      </c>
      <c r="I8">
        <v>51.363011264280942</v>
      </c>
      <c r="J8">
        <v>47.658673493256416</v>
      </c>
      <c r="K8">
        <v>60.64643202388234</v>
      </c>
      <c r="L8">
        <v>65</v>
      </c>
      <c r="N8" t="s">
        <v>35</v>
      </c>
      <c r="O8">
        <f>S2</f>
        <v>0.29942026578073089</v>
      </c>
    </row>
    <row r="9" spans="1:21" x14ac:dyDescent="0.35">
      <c r="C9" t="s">
        <v>3</v>
      </c>
      <c r="E9">
        <v>52829</v>
      </c>
      <c r="F9">
        <v>27971</v>
      </c>
      <c r="G9">
        <v>15481</v>
      </c>
      <c r="H9" t="s">
        <v>47</v>
      </c>
      <c r="I9">
        <v>47.658673493256416</v>
      </c>
      <c r="J9">
        <v>47.658673493256416</v>
      </c>
      <c r="K9">
        <v>63.886577454504348</v>
      </c>
      <c r="L9">
        <v>65</v>
      </c>
      <c r="O9" t="s">
        <v>36</v>
      </c>
    </row>
    <row r="10" spans="1:21" x14ac:dyDescent="0.35">
      <c r="C10" t="s">
        <v>4</v>
      </c>
      <c r="E10">
        <v>50408</v>
      </c>
      <c r="F10">
        <v>20214</v>
      </c>
      <c r="G10">
        <v>14426</v>
      </c>
      <c r="H10" t="s">
        <v>47</v>
      </c>
      <c r="I10">
        <v>49.217825762136776</v>
      </c>
      <c r="J10">
        <v>51.363011264280942</v>
      </c>
      <c r="K10">
        <v>60.635498217707081</v>
      </c>
      <c r="L10">
        <v>65</v>
      </c>
      <c r="N10" t="s">
        <v>37</v>
      </c>
      <c r="O10">
        <f>80000*(1-O6-O7-O8)</f>
        <v>26967.308970099664</v>
      </c>
    </row>
    <row r="11" spans="1:21" x14ac:dyDescent="0.35">
      <c r="C11" t="s">
        <v>9</v>
      </c>
      <c r="D11">
        <f>AVERAGE(D7:D10)</f>
        <v>82193</v>
      </c>
      <c r="E11">
        <f t="shared" ref="E11:G11" si="6">AVERAGE(E7:E10)</f>
        <v>45134</v>
      </c>
      <c r="F11">
        <f t="shared" si="6"/>
        <v>24800.5</v>
      </c>
      <c r="G11">
        <f t="shared" si="6"/>
        <v>13836.25</v>
      </c>
      <c r="N11" t="s">
        <v>38</v>
      </c>
      <c r="O11">
        <f>80000*O6</f>
        <v>1039.2026578073089</v>
      </c>
    </row>
    <row r="12" spans="1:21" x14ac:dyDescent="0.35">
      <c r="B12" t="s">
        <v>12</v>
      </c>
      <c r="C12" t="s">
        <v>1</v>
      </c>
      <c r="D12">
        <v>10675</v>
      </c>
      <c r="E12">
        <v>19653</v>
      </c>
      <c r="F12">
        <v>16315</v>
      </c>
      <c r="G12">
        <v>9948</v>
      </c>
      <c r="H12" t="s">
        <v>43</v>
      </c>
      <c r="I12">
        <f>144/LN(D12*10/$O$11)</f>
        <v>31.087841902412897</v>
      </c>
      <c r="K12">
        <f>144/LN(F12*10/$O$11)</f>
        <v>28.479794385920979</v>
      </c>
      <c r="N12" t="s">
        <v>39</v>
      </c>
      <c r="O12">
        <f>80000*O8</f>
        <v>23953.62126245847</v>
      </c>
    </row>
    <row r="13" spans="1:21" x14ac:dyDescent="0.35">
      <c r="C13" t="s">
        <v>2</v>
      </c>
      <c r="D13">
        <v>11240</v>
      </c>
      <c r="E13">
        <v>24474</v>
      </c>
      <c r="F13">
        <v>12422</v>
      </c>
      <c r="G13">
        <v>5677</v>
      </c>
      <c r="H13" t="s">
        <v>43</v>
      </c>
      <c r="I13">
        <f t="shared" ref="I13:I15" si="7">144/LN(D13*10/$O$11)</f>
        <v>30.745513407306763</v>
      </c>
      <c r="K13">
        <f t="shared" ref="K13:K15" si="8">144/LN(F13*10/$O$11)</f>
        <v>30.102848619899298</v>
      </c>
      <c r="M13">
        <v>-8388.5830000000005</v>
      </c>
      <c r="N13" t="s">
        <v>40</v>
      </c>
      <c r="O13">
        <f>80000*O7</f>
        <v>28039.867109634553</v>
      </c>
    </row>
    <row r="14" spans="1:21" x14ac:dyDescent="0.35">
      <c r="C14" t="s">
        <v>3</v>
      </c>
      <c r="E14">
        <v>28882</v>
      </c>
      <c r="F14">
        <v>16137</v>
      </c>
      <c r="G14">
        <v>10466</v>
      </c>
      <c r="H14" t="s">
        <v>43</v>
      </c>
      <c r="K14">
        <f t="shared" si="8"/>
        <v>28.541719580287602</v>
      </c>
    </row>
    <row r="15" spans="1:21" x14ac:dyDescent="0.35">
      <c r="C15" t="s">
        <v>4</v>
      </c>
      <c r="E15">
        <v>25637</v>
      </c>
      <c r="F15">
        <v>12386</v>
      </c>
      <c r="G15">
        <v>9509</v>
      </c>
      <c r="H15" t="s">
        <v>43</v>
      </c>
      <c r="K15">
        <f t="shared" si="8"/>
        <v>30.121123617097357</v>
      </c>
      <c r="M15" t="s">
        <v>45</v>
      </c>
      <c r="N15" t="s">
        <v>44</v>
      </c>
      <c r="O15">
        <f>-LN(0.01)/72</f>
        <v>6.3960697027612368E-2</v>
      </c>
    </row>
    <row r="16" spans="1:21" x14ac:dyDescent="0.35">
      <c r="C16" t="s">
        <v>9</v>
      </c>
      <c r="D16">
        <f>AVERAGE(D12:D15)</f>
        <v>10957.5</v>
      </c>
      <c r="E16">
        <f t="shared" ref="E16:G16" si="9">AVERAGE(E12:E15)</f>
        <v>24661.5</v>
      </c>
      <c r="F16">
        <f t="shared" si="9"/>
        <v>14315</v>
      </c>
      <c r="G16">
        <f t="shared" si="9"/>
        <v>8900</v>
      </c>
      <c r="I16">
        <f>AVERAGE(I12:I15)</f>
        <v>30.916677654859832</v>
      </c>
      <c r="K16">
        <f>AVERAGE(K12:K15)</f>
        <v>29.311371550801308</v>
      </c>
    </row>
    <row r="17" spans="2:15" x14ac:dyDescent="0.35">
      <c r="B17" t="s">
        <v>13</v>
      </c>
      <c r="C17" t="s">
        <v>1</v>
      </c>
      <c r="D17">
        <f>D7/D2</f>
        <v>1.8556652144275509</v>
      </c>
      <c r="E17">
        <f t="shared" ref="E17:G17" si="10">E7/E2</f>
        <v>2.5420391061452512</v>
      </c>
      <c r="F17">
        <f t="shared" si="10"/>
        <v>3.3696784420289854</v>
      </c>
      <c r="G17">
        <f t="shared" si="10"/>
        <v>4.6571155682903536</v>
      </c>
      <c r="I17" t="s">
        <v>49</v>
      </c>
      <c r="J17" t="s">
        <v>51</v>
      </c>
      <c r="K17" t="s">
        <v>50</v>
      </c>
    </row>
    <row r="18" spans="2:15" x14ac:dyDescent="0.35">
      <c r="C18" t="s">
        <v>2</v>
      </c>
      <c r="D18">
        <f t="shared" ref="D18:G20" si="11">D8/D3</f>
        <v>3.6372538508273471</v>
      </c>
      <c r="E18">
        <f t="shared" si="11"/>
        <v>2.9656997824510514</v>
      </c>
      <c r="F18">
        <f t="shared" si="11"/>
        <v>4.0853353834326347</v>
      </c>
      <c r="G18">
        <f t="shared" si="11"/>
        <v>5.3120393120393121</v>
      </c>
      <c r="H18" t="s">
        <v>46</v>
      </c>
      <c r="I18">
        <f>($O$11+$J18*$O$10/($O$15+$J18+1/$I$16))*EXP(144/$I$16)-$J18*$O$10/($O$15+$J18+1/$I$16)*EXP((-$O$15-$J18)*144)</f>
        <v>147321.15354917059</v>
      </c>
      <c r="J18">
        <v>1.2980628178499E-3</v>
      </c>
      <c r="K18">
        <f>E12*10</f>
        <v>196530</v>
      </c>
      <c r="M18" t="s">
        <v>55</v>
      </c>
      <c r="N18" t="s">
        <v>44</v>
      </c>
      <c r="O18">
        <f>O15</f>
        <v>6.3960697027612368E-2</v>
      </c>
    </row>
    <row r="19" spans="2:15" x14ac:dyDescent="0.35">
      <c r="C19" t="s">
        <v>3</v>
      </c>
      <c r="E19">
        <f t="shared" si="11"/>
        <v>2.7929685434840072</v>
      </c>
      <c r="F19">
        <f t="shared" si="11"/>
        <v>3.6368482642049149</v>
      </c>
      <c r="G19">
        <f t="shared" si="11"/>
        <v>4.6954807400667269</v>
      </c>
      <c r="H19" t="s">
        <v>46</v>
      </c>
      <c r="I19">
        <f>($O$11+$J19*$O$10/($O$15+$J19+1/$I$16))*EXP(144/$I$16)-$J19*$O$10/($O$15+$J19+1/$I$16)*EXP((-$O$15-$J19)*144)</f>
        <v>1127498.4969362635</v>
      </c>
      <c r="J19">
        <v>5.3744006712147782E-2</v>
      </c>
      <c r="K19">
        <f>E13*10</f>
        <v>244740</v>
      </c>
      <c r="N19" t="s">
        <v>46</v>
      </c>
      <c r="O19">
        <f>J22</f>
        <v>4.2629431414497543E-2</v>
      </c>
    </row>
    <row r="20" spans="2:15" x14ac:dyDescent="0.35">
      <c r="C20" t="s">
        <v>4</v>
      </c>
      <c r="E20">
        <f t="shared" si="11"/>
        <v>2.2871143375680583</v>
      </c>
      <c r="F20">
        <f t="shared" si="11"/>
        <v>4.390529973935708</v>
      </c>
      <c r="G20">
        <f t="shared" si="11"/>
        <v>5.2592052497265769</v>
      </c>
      <c r="H20" t="s">
        <v>46</v>
      </c>
      <c r="I20">
        <f>($O$11+$J20*$O$10/($O$15+$J20+1/$I$16))*EXP(144/$I$16)-$J20*$O$10/($O$15+$J20+1/$I$16)*EXP((-$O$15-$J20)*144)</f>
        <v>1210901.4098166248</v>
      </c>
      <c r="J20">
        <v>6.0933230433145982E-2</v>
      </c>
      <c r="K20">
        <f>E14*10</f>
        <v>288820</v>
      </c>
      <c r="N20" t="s">
        <v>47</v>
      </c>
      <c r="O20">
        <f>AVERAGE(I7:I10)</f>
        <v>49.590290574278001</v>
      </c>
    </row>
    <row r="21" spans="2:15" x14ac:dyDescent="0.35">
      <c r="C21" t="s">
        <v>9</v>
      </c>
      <c r="D21">
        <f>AVERAGE(D17:D20)</f>
        <v>2.746459532627449</v>
      </c>
      <c r="E21">
        <f t="shared" ref="E21:G21" si="12">AVERAGE(E17:E20)</f>
        <v>2.6469554424120916</v>
      </c>
      <c r="F21">
        <f t="shared" si="12"/>
        <v>3.8705980159005606</v>
      </c>
      <c r="G21">
        <f t="shared" si="12"/>
        <v>4.9809602175307424</v>
      </c>
      <c r="H21" t="s">
        <v>46</v>
      </c>
      <c r="I21">
        <f>($O$11+$J21*$O$10/($O$15+$J21+1/$I$16))*EXP(144/$I$16)-$J21*$O$10/($O$15+$J21+1/$I$16)*EXP((-$O$15-$J21)*144)</f>
        <v>1137153.4515683926</v>
      </c>
      <c r="J21">
        <v>5.4542425694846505E-2</v>
      </c>
      <c r="K21">
        <f>E15*10</f>
        <v>256370</v>
      </c>
      <c r="N21" t="s">
        <v>43</v>
      </c>
      <c r="O21">
        <f>AVERAGE(I12:I15)</f>
        <v>30.916677654859832</v>
      </c>
    </row>
    <row r="22" spans="2:15" x14ac:dyDescent="0.35">
      <c r="B22" t="s">
        <v>14</v>
      </c>
      <c r="C22" t="s">
        <v>1</v>
      </c>
      <c r="D22">
        <f>D12/(D7+D2)*100</f>
        <v>11.07905306529117</v>
      </c>
      <c r="E22">
        <f t="shared" ref="E22:G22" si="13">E12/(E7+E2)*100</f>
        <v>38.746500532313391</v>
      </c>
      <c r="F22">
        <f t="shared" si="13"/>
        <v>42.274505739382789</v>
      </c>
      <c r="G22">
        <f t="shared" si="13"/>
        <v>55.985142664190448</v>
      </c>
      <c r="I22" t="s">
        <v>52</v>
      </c>
      <c r="J22">
        <f>AVERAGE(J18:J21)</f>
        <v>4.2629431414497543E-2</v>
      </c>
      <c r="N22" t="s">
        <v>41</v>
      </c>
      <c r="O22">
        <f>AVERAGE(I2:I5)</f>
        <v>60.240497123838054</v>
      </c>
    </row>
    <row r="23" spans="2:15" x14ac:dyDescent="0.35">
      <c r="C23" t="s">
        <v>2</v>
      </c>
      <c r="D23">
        <f t="shared" ref="D23:G25" si="14">D13/(D8+D3)*100</f>
        <v>8.6624792878887131</v>
      </c>
      <c r="E23">
        <f t="shared" si="14"/>
        <v>44.752866311920563</v>
      </c>
      <c r="F23">
        <f t="shared" si="14"/>
        <v>46.948108394119203</v>
      </c>
      <c r="G23">
        <f t="shared" si="14"/>
        <v>44.196185286103542</v>
      </c>
      <c r="H23" t="s">
        <v>54</v>
      </c>
      <c r="I23">
        <v>0</v>
      </c>
      <c r="J23">
        <f>J22</f>
        <v>4.2629431414497543E-2</v>
      </c>
      <c r="K23">
        <v>0</v>
      </c>
      <c r="L23">
        <f>J23</f>
        <v>4.2629431414497543E-2</v>
      </c>
      <c r="N23" t="s">
        <v>56</v>
      </c>
      <c r="O23">
        <f>AVERAGE(K7:K10)</f>
        <v>61.230039424493356</v>
      </c>
    </row>
    <row r="24" spans="2:15" x14ac:dyDescent="0.35">
      <c r="C24" t="s">
        <v>3</v>
      </c>
      <c r="E24">
        <f t="shared" si="14"/>
        <v>40.257024977698485</v>
      </c>
      <c r="F24">
        <f t="shared" si="14"/>
        <v>45.249845774213448</v>
      </c>
      <c r="G24">
        <f t="shared" si="14"/>
        <v>55.735435083608479</v>
      </c>
      <c r="N24" t="s">
        <v>57</v>
      </c>
      <c r="O24">
        <f>AVERAGE(K2:K5)</f>
        <v>197.88748893719762</v>
      </c>
    </row>
    <row r="25" spans="2:15" x14ac:dyDescent="0.35">
      <c r="C25" t="s">
        <v>4</v>
      </c>
      <c r="E25">
        <f t="shared" si="14"/>
        <v>35.386760159010599</v>
      </c>
      <c r="F25">
        <f t="shared" si="14"/>
        <v>49.907325328390684</v>
      </c>
      <c r="G25">
        <f t="shared" si="14"/>
        <v>55.384704991554543</v>
      </c>
      <c r="N25" t="s">
        <v>58</v>
      </c>
      <c r="O25">
        <f>1/O18</f>
        <v>15.634601348517069</v>
      </c>
    </row>
    <row r="26" spans="2:15" x14ac:dyDescent="0.35">
      <c r="C26" t="s">
        <v>9</v>
      </c>
      <c r="D26">
        <f>AVERAGE(D22:D25)</f>
        <v>9.8707661765899424</v>
      </c>
      <c r="E26">
        <f t="shared" ref="E26:G26" si="15">AVERAGE(E22:E25)</f>
        <v>39.785787995235758</v>
      </c>
      <c r="F26">
        <f t="shared" si="15"/>
        <v>46.094946309026525</v>
      </c>
      <c r="G26">
        <f t="shared" si="15"/>
        <v>52.825367006364253</v>
      </c>
      <c r="N26" t="s">
        <v>59</v>
      </c>
      <c r="O26">
        <f>1/O19</f>
        <v>23.457971800672833</v>
      </c>
    </row>
    <row r="27" spans="2:15" x14ac:dyDescent="0.35">
      <c r="B27" t="s">
        <v>15</v>
      </c>
      <c r="C27" t="s">
        <v>1</v>
      </c>
      <c r="D27">
        <f>D12/D7*100</f>
        <v>17.049447390276622</v>
      </c>
      <c r="E27">
        <f t="shared" ref="E27:G27" si="16">E12/E7*100</f>
        <v>53.988791824625018</v>
      </c>
      <c r="F27">
        <f t="shared" si="16"/>
        <v>54.820066530022515</v>
      </c>
      <c r="G27">
        <f t="shared" si="16"/>
        <v>68.006562756357667</v>
      </c>
      <c r="H27" t="s">
        <v>53</v>
      </c>
      <c r="I27">
        <f>($O$12+$O$15*$O$10/($O$15+I$23+1/I7))*EXP(144/I7)-$O$15*$O$10/($O$15+I$23+1/I7)*EXP((-$O$15-I$23)*144)</f>
        <v>787370.68084418064</v>
      </c>
      <c r="J27">
        <f t="shared" ref="J27:L27" si="17">($O$12+$O$15*$O$10/($O$15+J$23+1/J7))*EXP(144/J7)-$O$15*$O$10/($O$15+J$23+1/J7)*EXP((-$O$15-J$23)*144)</f>
        <v>769035.10696820752</v>
      </c>
      <c r="K27">
        <f t="shared" si="17"/>
        <v>504666.60436743335</v>
      </c>
      <c r="L27">
        <f t="shared" si="17"/>
        <v>349134.89141470165</v>
      </c>
    </row>
    <row r="28" spans="2:15" x14ac:dyDescent="0.35">
      <c r="C28" t="s">
        <v>2</v>
      </c>
      <c r="D28">
        <f t="shared" ref="D28:G30" si="18">D13/D8*100</f>
        <v>11.044078055298996</v>
      </c>
      <c r="E28">
        <f t="shared" si="18"/>
        <v>59.843020270435488</v>
      </c>
      <c r="F28">
        <f t="shared" si="18"/>
        <v>58.43996989085435</v>
      </c>
      <c r="G28">
        <f t="shared" si="18"/>
        <v>52.516188714153564</v>
      </c>
      <c r="I28">
        <f t="shared" ref="I28:L30" si="19">($O$12+$O$15*$O$10/($O$15+I$23+1/I8))*EXP(144/I8)-$O$15*$O$10/($O$15+I$23+1/I8)*EXP((-$O$15-I$23)*144)</f>
        <v>736514.29574845848</v>
      </c>
      <c r="J28">
        <f t="shared" si="19"/>
        <v>769035.10696820752</v>
      </c>
      <c r="K28">
        <f t="shared" si="19"/>
        <v>487742.29459178337</v>
      </c>
      <c r="L28">
        <f t="shared" si="19"/>
        <v>349134.89141470165</v>
      </c>
    </row>
    <row r="29" spans="2:15" x14ac:dyDescent="0.35">
      <c r="C29" t="s">
        <v>3</v>
      </c>
      <c r="E29">
        <f t="shared" si="18"/>
        <v>54.670730091427053</v>
      </c>
      <c r="F29">
        <f t="shared" si="18"/>
        <v>57.691895177147757</v>
      </c>
      <c r="G29">
        <f t="shared" si="18"/>
        <v>67.605451844196111</v>
      </c>
      <c r="I29">
        <f t="shared" si="19"/>
        <v>908280.9166418016</v>
      </c>
      <c r="J29">
        <f t="shared" si="19"/>
        <v>769035.10696820752</v>
      </c>
      <c r="K29">
        <f t="shared" si="19"/>
        <v>434550.3708054786</v>
      </c>
      <c r="L29">
        <f t="shared" si="19"/>
        <v>349134.89141470165</v>
      </c>
    </row>
    <row r="30" spans="2:15" x14ac:dyDescent="0.35">
      <c r="C30" t="s">
        <v>4</v>
      </c>
      <c r="E30">
        <f t="shared" si="18"/>
        <v>50.858990636406922</v>
      </c>
      <c r="F30">
        <f t="shared" si="18"/>
        <v>61.27436430196893</v>
      </c>
      <c r="G30">
        <f t="shared" si="18"/>
        <v>65.915707749896029</v>
      </c>
      <c r="I30">
        <f t="shared" si="19"/>
        <v>828360.90068901237</v>
      </c>
      <c r="J30">
        <f t="shared" si="19"/>
        <v>621133.9023572302</v>
      </c>
      <c r="K30">
        <f t="shared" si="19"/>
        <v>487942.65249820141</v>
      </c>
      <c r="L30">
        <f t="shared" si="19"/>
        <v>349134.89141470165</v>
      </c>
    </row>
    <row r="31" spans="2:15" x14ac:dyDescent="0.35">
      <c r="C31" t="s">
        <v>9</v>
      </c>
      <c r="D31">
        <f>AVERAGE(D27:D30)</f>
        <v>14.046762722787809</v>
      </c>
      <c r="E31">
        <f t="shared" ref="E31:G31" si="20">AVERAGE(E27:E30)</f>
        <v>54.840383205723626</v>
      </c>
      <c r="F31">
        <f t="shared" si="20"/>
        <v>58.056573974998386</v>
      </c>
      <c r="G31">
        <f t="shared" si="20"/>
        <v>63.510977766150837</v>
      </c>
    </row>
    <row r="32" spans="2:15" x14ac:dyDescent="0.35">
      <c r="H32" t="s">
        <v>48</v>
      </c>
      <c r="I32">
        <f>(D7-D12)*10</f>
        <v>519370</v>
      </c>
      <c r="J32">
        <f t="shared" ref="J32:L35" si="21">(E7-E12)*10</f>
        <v>167490</v>
      </c>
      <c r="K32">
        <f t="shared" si="21"/>
        <v>134460</v>
      </c>
      <c r="L32">
        <f t="shared" si="21"/>
        <v>46800</v>
      </c>
    </row>
    <row r="33" spans="9:12" x14ac:dyDescent="0.35">
      <c r="I33">
        <f t="shared" ref="I33:I35" si="22">(D8-D13)*10</f>
        <v>905340</v>
      </c>
      <c r="J33">
        <f t="shared" si="21"/>
        <v>164230</v>
      </c>
      <c r="K33">
        <f t="shared" si="21"/>
        <v>88340</v>
      </c>
      <c r="L33">
        <f t="shared" si="21"/>
        <v>51330</v>
      </c>
    </row>
    <row r="34" spans="9:12" x14ac:dyDescent="0.35">
      <c r="I34">
        <f t="shared" si="22"/>
        <v>0</v>
      </c>
      <c r="J34">
        <f t="shared" si="21"/>
        <v>239470</v>
      </c>
      <c r="K34">
        <f t="shared" si="21"/>
        <v>118340</v>
      </c>
      <c r="L34">
        <f t="shared" si="21"/>
        <v>50150</v>
      </c>
    </row>
    <row r="35" spans="9:12" x14ac:dyDescent="0.35">
      <c r="I35">
        <f t="shared" si="22"/>
        <v>0</v>
      </c>
      <c r="J35">
        <f t="shared" si="21"/>
        <v>247710</v>
      </c>
      <c r="K35">
        <f t="shared" si="21"/>
        <v>78280</v>
      </c>
      <c r="L35">
        <f t="shared" si="21"/>
        <v>49170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 Parameter Calculations</vt:lpstr>
      <vt:lpstr>Sheet2</vt:lpstr>
      <vt:lpstr>Human Parameter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McBride</dc:creator>
  <cp:lastModifiedBy>David McBride</cp:lastModifiedBy>
  <dcterms:created xsi:type="dcterms:W3CDTF">2020-03-25T21:03:51Z</dcterms:created>
  <dcterms:modified xsi:type="dcterms:W3CDTF">2020-03-30T18:18:56Z</dcterms:modified>
</cp:coreProperties>
</file>