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Otros ordenadores\Mi portátil\FILES\UNIVERSITY\2022-2\TECNICAS DE ANALISIS ESTADISTICO\TRABAJOS\TRABAJO 2\Riesgo-Credito\"/>
    </mc:Choice>
  </mc:AlternateContent>
  <xr:revisionPtr revIDLastSave="0" documentId="13_ncr:1_{F99C48B9-ACC2-4B49-84FC-0DBCDC8EA14D}" xr6:coauthVersionLast="47" xr6:coauthVersionMax="47" xr10:uidLastSave="{00000000-0000-0000-0000-000000000000}"/>
  <bookViews>
    <workbookView xWindow="-120" yWindow="-120" windowWidth="20730" windowHeight="11160" xr2:uid="{00000000-000D-0000-FFFF-FFFF00000000}"/>
  </bookViews>
  <sheets>
    <sheet name="LoanStats" sheetId="1" r:id="rId1"/>
    <sheet name="browseNotes" sheetId="2" r:id="rId2"/>
    <sheet name="RejectStats" sheetId="3" r:id="rId3"/>
  </sheets>
  <definedNames>
    <definedName name="_xlnm._FilterDatabase" localSheetId="1" hidden="1">browseNotes!$A$1:$B$89</definedName>
    <definedName name="_xlnm._FilterDatabase" localSheetId="0" hidden="1">LoanStats!$A$1:$B$57</definedName>
    <definedName name="_xlnm._FilterDatabase" localSheetId="2" hidden="1">RejectStats!$A$1:$B$10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8QV5h2/BGrsFk1CLxto1oG4hvWw=="/>
    </ext>
  </extLst>
</workbook>
</file>

<file path=xl/calcChain.xml><?xml version="1.0" encoding="utf-8"?>
<calcChain xmlns="http://schemas.openxmlformats.org/spreadsheetml/2006/main">
  <c r="C3" i="1" l="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2" i="1"/>
</calcChain>
</file>

<file path=xl/sharedStrings.xml><?xml version="1.0" encoding="utf-8"?>
<sst xmlns="http://schemas.openxmlformats.org/spreadsheetml/2006/main" count="394" uniqueCount="296">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</sst>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2"/>
      <color theme="0"/>
      <name val="Calibri"/>
    </font>
    <font>
      <sz val="11"/>
      <color theme="1"/>
      <name val="Calibri"/>
    </font>
    <font>
      <sz val="11"/>
      <color theme="1"/>
      <name val="Calibri"/>
      <scheme val="minor"/>
    </font>
    <font>
      <sz val="11"/>
      <color rgb="FF222222"/>
      <name val="Calibri"/>
    </font>
    <font>
      <sz val="11"/>
      <color rgb="FF000000"/>
      <name val="Calibri"/>
    </font>
    <font>
      <b/>
      <sz val="11"/>
      <color theme="0"/>
      <name val="Calibri"/>
    </font>
  </fonts>
  <fills count="3">
    <fill>
      <patternFill patternType="none"/>
    </fill>
    <fill>
      <patternFill patternType="gray125"/>
    </fill>
    <fill>
      <patternFill patternType="solid">
        <fgColor rgb="FF244061"/>
        <bgColor rgb="FF244061"/>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2" borderId="1" xfId="0" applyFont="1" applyFill="1" applyBorder="1"/>
    <xf numFmtId="0" fontId="2" fillId="0" borderId="2" xfId="0" applyFont="1" applyBorder="1"/>
    <xf numFmtId="0" fontId="2" fillId="0" borderId="2" xfId="0" applyFont="1" applyBorder="1" applyAlignment="1">
      <alignment wrapText="1"/>
    </xf>
    <xf numFmtId="0" fontId="3" fillId="0" borderId="0" xfId="0" applyFont="1"/>
    <xf numFmtId="0" fontId="2" fillId="0" borderId="0" xfId="0" applyFont="1" applyAlignment="1">
      <alignment wrapText="1"/>
    </xf>
    <xf numFmtId="0" fontId="1" fillId="2" borderId="2" xfId="0" applyFont="1" applyFill="1" applyBorder="1"/>
    <xf numFmtId="0" fontId="2" fillId="0" borderId="3" xfId="0" applyFont="1" applyBorder="1"/>
    <xf numFmtId="0" fontId="4" fillId="0" borderId="2" xfId="0" applyFont="1" applyBorder="1"/>
    <xf numFmtId="0" fontId="5" fillId="0" borderId="2" xfId="0" applyFont="1" applyBorder="1"/>
    <xf numFmtId="0" fontId="6"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000"/>
  <sheetViews>
    <sheetView tabSelected="1" topLeftCell="B1" workbookViewId="0">
      <pane ySplit="1" topLeftCell="A2" activePane="bottomLeft" state="frozen"/>
      <selection pane="bottomLeft" activeCell="D8" sqref="D8"/>
    </sheetView>
  </sheetViews>
  <sheetFormatPr baseColWidth="10" defaultColWidth="14.42578125" defaultRowHeight="15" customHeight="1" x14ac:dyDescent="0.25"/>
  <cols>
    <col min="1" max="1" width="30.7109375" customWidth="1"/>
    <col min="2" max="2" width="118.140625" customWidth="1"/>
    <col min="3" max="3" width="41.140625" customWidth="1"/>
    <col min="4" max="26" width="8.7109375" customWidth="1"/>
  </cols>
  <sheetData>
    <row r="1" spans="1:3" ht="14.25" customHeight="1" x14ac:dyDescent="0.25">
      <c r="A1" s="1" t="s">
        <v>0</v>
      </c>
      <c r="B1" s="1" t="s">
        <v>1</v>
      </c>
    </row>
    <row r="2" spans="1:3" ht="14.25" customHeight="1" x14ac:dyDescent="0.25">
      <c r="A2" s="2" t="s">
        <v>2</v>
      </c>
      <c r="B2" s="3" t="s">
        <v>3</v>
      </c>
      <c r="C2" s="4" t="str">
        <f ca="1">IFERROR(__xludf.DUMMYFUNCTION("GOOGLETRANSLATE(B2,""en"",""es"")"),"El estado proporcionado por el prestatario en la solicitud de préstamo")</f>
        <v>El estado proporcionado por el prestatario en la solicitud de préstamo</v>
      </c>
    </row>
    <row r="3" spans="1:3" ht="14.25" customHeight="1" x14ac:dyDescent="0.25">
      <c r="A3" s="2" t="s">
        <v>4</v>
      </c>
      <c r="B3" s="3" t="s">
        <v>5</v>
      </c>
      <c r="C3" s="4" t="str">
        <f ca="1">IFERROR(__xludf.DUMMYFUNCTION("GOOGLETRANSLATE(B3,""en"",""es"")"),"El ingreso anual autoinformado proporcionado por el prestatario durante el registro.")</f>
        <v>El ingreso anual autoinformado proporcionado por el prestatario durante el registro.</v>
      </c>
    </row>
    <row r="4" spans="1:3" ht="14.25" customHeight="1" x14ac:dyDescent="0.25">
      <c r="A4" s="2" t="s">
        <v>6</v>
      </c>
      <c r="B4" s="2" t="s">
        <v>7</v>
      </c>
      <c r="C4" s="4" t="str">
        <f ca="1">IFERROR(__xludf.DUMMYFUNCTION("GOOGLETRANSLATE(B4,""en"",""es"")"),"El ingreso anual autoinformado combinado proporcionado por los co-prestatarios durante el registro")</f>
        <v>El ingreso anual autoinformado combinado proporcionado por los co-prestatarios durante el registro</v>
      </c>
    </row>
    <row r="5" spans="1:3" ht="14.25" customHeight="1" x14ac:dyDescent="0.25">
      <c r="A5" s="2" t="s">
        <v>8</v>
      </c>
      <c r="B5" s="2" t="s">
        <v>9</v>
      </c>
      <c r="C5" s="4" t="str">
        <f ca="1">IFERROR(__xludf.DUMMYFUNCTION("GOOGLETRANSLATE(B5,""en"",""es"")"),"Indica si el préstamo es una solicitud individual o una solicitud conjunta con dos co-prestatarios")</f>
        <v>Indica si el préstamo es una solicitud individual o una solicitud conjunta con dos co-prestatarios</v>
      </c>
    </row>
    <row r="6" spans="1:3" ht="14.25" customHeight="1" x14ac:dyDescent="0.25">
      <c r="A6" s="2" t="s">
        <v>10</v>
      </c>
      <c r="B6" s="3" t="s">
        <v>11</v>
      </c>
      <c r="C6" s="4" t="str">
        <f ca="1">IFERROR(__xludf.DUMMYFUNCTION("GOOGLETRANSLATE(B6,""en"",""es"")"),"Tarifa de recolección posterior al cargo por cobro")</f>
        <v>Tarifa de recolección posterior al cargo por cobro</v>
      </c>
    </row>
    <row r="7" spans="1:3" ht="14.25" customHeight="1" x14ac:dyDescent="0.25">
      <c r="A7" s="2" t="s">
        <v>12</v>
      </c>
      <c r="B7" s="3" t="s">
        <v>13</v>
      </c>
      <c r="C7" s="4" t="str">
        <f ca="1">IFERROR(__xludf.DUMMYFUNCTION("GOOGLETRANSLATE(B7,""en"",""es"")"),"Número de colecciones en 12 meses excluyendo colecciones médicas")</f>
        <v>Número de colecciones en 12 meses excluyendo colecciones médicas</v>
      </c>
    </row>
    <row r="8" spans="1:3" ht="14.25" customHeight="1" x14ac:dyDescent="0.25">
      <c r="A8" s="2" t="s">
        <v>14</v>
      </c>
      <c r="B8" s="3" t="s">
        <v>15</v>
      </c>
      <c r="C8" s="4" t="str">
        <f ca="1">IFERROR(__xludf.DUMMYFUNCTION("GOOGLETRANSLATE(B8,""en"",""es"")"),"El número de más de 30 días de entrega de la delincuencia en el archivo de crédito del prestatario durante los últimos 2 años")</f>
        <v>El número de más de 30 días de entrega de la delincuencia en el archivo de crédito del prestatario durante los últimos 2 años</v>
      </c>
    </row>
    <row r="9" spans="1:3" ht="18" customHeight="1" x14ac:dyDescent="0.25">
      <c r="A9" s="2" t="s">
        <v>16</v>
      </c>
      <c r="B9" s="3" t="s">
        <v>17</v>
      </c>
      <c r="C9" s="4" t="str">
        <f ca="1">IFERROR(__xludf.DUMMYFUNCTION("GOOGLETRANSLATE(B9,""en"",""es"")"),"Descripción del préstamo proporcionado por el prestatario")</f>
        <v>Descripción del préstamo proporcionado por el prestatario</v>
      </c>
    </row>
    <row r="10" spans="1:3" ht="14.25" customHeight="1" x14ac:dyDescent="0.25">
      <c r="A10" s="2" t="s">
        <v>18</v>
      </c>
      <c r="B10" s="3" t="s">
        <v>19</v>
      </c>
      <c r="C10" s="4" t="str">
        <f ca="1">IFERROR(__xludf.DUMMYFUNCTION("GOOGLETRANSLATE(B10,""en"",""es"")"),"Una relación calculada utilizando los pagos de deuda mensuales totales del prestatario sobre las obligaciones de deuda total, excluyendo la hipoteca y el préstamo LC solicitado, dividido por los ingresos mensuales autoinformados del prestatario.")</f>
        <v>Una relación calculada utilizando los pagos de deuda mensuales totales del prestatario sobre las obligaciones de deuda total, excluyendo la hipoteca y el préstamo LC solicitado, dividido por los ingresos mensuales autoinformados del prestatario.</v>
      </c>
    </row>
    <row r="11" spans="1:3" ht="13.5" customHeight="1" x14ac:dyDescent="0.25">
      <c r="A11" s="2" t="s">
        <v>20</v>
      </c>
      <c r="B11" s="2" t="s">
        <v>21</v>
      </c>
      <c r="C11" s="4" t="str">
        <f ca="1">IFERROR(__xludf.DUMMYFUNCTION("GOOGLETRANSLATE(B11,""en"",""es"")"),"Una relación calculada utilizando los pagos mensuales totales de los Co-Breatorios sobre las obligaciones de la deuda total, excluyendo las hipotecas y el préstamo LC solicitado, dividido por los ingresos mensuales combinados de los co-prestatarios.")</f>
        <v>Una relación calculada utilizando los pagos mensuales totales de los Co-Breatorios sobre las obligaciones de la deuda total, excluyendo las hipotecas y el préstamo LC solicitado, dividido por los ingresos mensuales combinados de los co-prestatarios.</v>
      </c>
    </row>
    <row r="12" spans="1:3" ht="14.25" customHeight="1" x14ac:dyDescent="0.25">
      <c r="A12" s="2" t="s">
        <v>22</v>
      </c>
      <c r="B12" s="3" t="s">
        <v>23</v>
      </c>
      <c r="C12" s="4" t="str">
        <f ca="1">IFERROR(__xludf.DUMMYFUNCTION("GOOGLETRANSLATE(B12,""en"",""es"")"),"El mes se abrió la línea de crédito más temprana del prestatario")</f>
        <v>El mes se abrió la línea de crédito más temprana del prestatario</v>
      </c>
    </row>
    <row r="13" spans="1:3" ht="14.25" customHeight="1" x14ac:dyDescent="0.25">
      <c r="A13" s="2" t="s">
        <v>24</v>
      </c>
      <c r="B13" s="3" t="s">
        <v>25</v>
      </c>
      <c r="C13" s="4" t="str">
        <f ca="1">IFERROR(__xludf.DUMMYFUNCTION("GOOGLETRANSLATE(B13,""en"",""es"")"),"Longitud del empleo en años. Los valores posibles son entre 0 y 10 donde 0 significa menos de un año y 10 significa diez o más años.")</f>
        <v>Longitud del empleo en años. Los valores posibles son entre 0 y 10 donde 0 significa menos de un año y 10 significa diez o más años.</v>
      </c>
    </row>
    <row r="14" spans="1:3" ht="14.25" customHeight="1" x14ac:dyDescent="0.25">
      <c r="A14" s="2" t="s">
        <v>26</v>
      </c>
      <c r="B14" s="3" t="s">
        <v>27</v>
      </c>
      <c r="C14" s="4" t="str">
        <f ca="1">IFERROR(__xludf.DUMMYFUNCTION("GOOGLETRANSLATE(B14,""en"",""es"")"),"El título de trabajo suministrado por el prestatario al solicitar el préstamo.*")</f>
        <v>El título de trabajo suministrado por el prestatario al solicitar el préstamo.*</v>
      </c>
    </row>
    <row r="15" spans="1:3" ht="14.25" customHeight="1" x14ac:dyDescent="0.25">
      <c r="A15" s="2" t="s">
        <v>28</v>
      </c>
      <c r="B15" s="3" t="s">
        <v>29</v>
      </c>
      <c r="C15" s="4" t="str">
        <f ca="1">IFERROR(__xludf.DUMMYFUNCTION("GOOGLETRANSLATE(B15,""en"",""es"")"),"El rango de límite superior al que pertenece el FICO del prestatario en el origen del préstamo.")</f>
        <v>El rango de límite superior al que pertenece el FICO del prestatario en el origen del préstamo.</v>
      </c>
    </row>
    <row r="16" spans="1:3" ht="14.25" customHeight="1" x14ac:dyDescent="0.25">
      <c r="A16" s="2" t="s">
        <v>30</v>
      </c>
      <c r="B16" s="3" t="s">
        <v>31</v>
      </c>
      <c r="C16" s="4" t="str">
        <f ca="1">IFERROR(__xludf.DUMMYFUNCTION("GOOGLETRANSLATE(B16,""en"",""es"")"),"El rango de límite inferior pertenece al FICO del prestatario en el origen del préstamo.")</f>
        <v>El rango de límite inferior pertenece al FICO del prestatario en el origen del préstamo.</v>
      </c>
    </row>
    <row r="17" spans="1:3" ht="14.25" customHeight="1" x14ac:dyDescent="0.25">
      <c r="A17" s="2" t="s">
        <v>32</v>
      </c>
      <c r="B17" s="3" t="s">
        <v>33</v>
      </c>
      <c r="C17" s="4" t="str">
        <f ca="1">IFERROR(__xludf.DUMMYFUNCTION("GOOGLETRANSLATE(B17,""en"",""es"")"),"El monto total comprometido con ese préstamo en ese momento.")</f>
        <v>El monto total comprometido con ese préstamo en ese momento.</v>
      </c>
    </row>
    <row r="18" spans="1:3" ht="13.5" customHeight="1" x14ac:dyDescent="0.25">
      <c r="A18" s="2" t="s">
        <v>34</v>
      </c>
      <c r="B18" s="3" t="s">
        <v>35</v>
      </c>
      <c r="C18" s="4" t="str">
        <f ca="1">IFERROR(__xludf.DUMMYFUNCTION("GOOGLETRANSLATE(B18,""en"",""es"")"),"El monto total cometido por los inversores para ese préstamo en ese momento.")</f>
        <v>El monto total cometido por los inversores para ese préstamo en ese momento.</v>
      </c>
    </row>
    <row r="19" spans="1:3" ht="14.25" customHeight="1" x14ac:dyDescent="0.25">
      <c r="A19" s="2" t="s">
        <v>36</v>
      </c>
      <c r="B19" s="3" t="s">
        <v>37</v>
      </c>
      <c r="C19" s="4" t="str">
        <f ca="1">IFERROR(__xludf.DUMMYFUNCTION("GOOGLETRANSLATE(B19,""en"",""es"")"),"Grado de préstamo asignado por LC")</f>
        <v>Grado de préstamo asignado por LC</v>
      </c>
    </row>
    <row r="20" spans="1:3" ht="14.25" customHeight="1" x14ac:dyDescent="0.25">
      <c r="A20" s="2" t="s">
        <v>38</v>
      </c>
      <c r="B20" s="3" t="s">
        <v>39</v>
      </c>
      <c r="C20" s="4" t="str">
        <f ca="1">IFERROR(__xludf.DUMMYFUNCTION("GOOGLETRANSLATE(B20,""en"",""es"")"),"El estado de propiedad de la vivienda proporcionado por el prestatario durante el registro. Nuestros valores son: alquiler, propio, hipoteca, otros.")</f>
        <v>El estado de propiedad de la vivienda proporcionado por el prestatario durante el registro. Nuestros valores son: alquiler, propio, hipoteca, otros.</v>
      </c>
    </row>
    <row r="21" spans="1:3" ht="14.25" customHeight="1" x14ac:dyDescent="0.25">
      <c r="A21" s="2" t="s">
        <v>40</v>
      </c>
      <c r="B21" s="3" t="s">
        <v>41</v>
      </c>
      <c r="C21" s="4" t="str">
        <f ca="1">IFERROR(__xludf.DUMMYFUNCTION("GOOGLETRANSLATE(B21,""en"",""es"")"),"Una identificación única de LC asignada para la lista de préstamos.")</f>
        <v>Una identificación única de LC asignada para la lista de préstamos.</v>
      </c>
    </row>
    <row r="22" spans="1:3" ht="14.25" customHeight="1" x14ac:dyDescent="0.25">
      <c r="A22" s="2" t="s">
        <v>42</v>
      </c>
      <c r="B22" s="3" t="s">
        <v>43</v>
      </c>
      <c r="C22" s="4" t="str">
        <f ca="1">IFERROR(__xludf.DUMMYFUNCTION("GOOGLETRANSLATE(B22,""en"",""es"")"),"El estado de listado inicial del préstamo. Los valores posibles son - W, F")</f>
        <v>El estado de listado inicial del préstamo. Los valores posibles son - W, F</v>
      </c>
    </row>
    <row r="23" spans="1:3" ht="14.25" customHeight="1" x14ac:dyDescent="0.25">
      <c r="A23" s="2" t="s">
        <v>44</v>
      </c>
      <c r="B23" s="3" t="s">
        <v>45</v>
      </c>
      <c r="C23" s="4" t="str">
        <f ca="1">IFERROR(__xludf.DUMMYFUNCTION("GOOGLETRANSLATE(B23,""en"",""es"")"),"El número de consultas en los últimos 6 meses (excluyendo consultas de automóviles e hipotecas)")</f>
        <v>El número de consultas en los últimos 6 meses (excluyendo consultas de automóviles e hipotecas)</v>
      </c>
    </row>
    <row r="24" spans="1:3" ht="14.25" customHeight="1" x14ac:dyDescent="0.25">
      <c r="A24" s="2" t="s">
        <v>46</v>
      </c>
      <c r="B24" s="3" t="s">
        <v>47</v>
      </c>
      <c r="C24" s="4" t="str">
        <f ca="1">IFERROR(__xludf.DUMMYFUNCTION("GOOGLETRANSLATE(B24,""en"",""es"")"),"El pago mensual del prestatario si el préstamo se origina.")</f>
        <v>El pago mensual del prestatario si el préstamo se origina.</v>
      </c>
    </row>
    <row r="25" spans="1:3" ht="14.25" customHeight="1" x14ac:dyDescent="0.25">
      <c r="A25" s="2" t="s">
        <v>48</v>
      </c>
      <c r="B25" s="3" t="s">
        <v>49</v>
      </c>
      <c r="C25" s="4" t="str">
        <f ca="1">IFERROR(__xludf.DUMMYFUNCTION("GOOGLETRANSLATE(B25,""en"",""es"")"),"Tasa de interés en el préstamo")</f>
        <v>Tasa de interés en el préstamo</v>
      </c>
    </row>
    <row r="26" spans="1:3" ht="14.25" customHeight="1" x14ac:dyDescent="0.25">
      <c r="A26" s="2" t="s">
        <v>50</v>
      </c>
      <c r="B26" s="3" t="s">
        <v>51</v>
      </c>
      <c r="C26" s="4" t="str">
        <f ca="1">IFERROR(__xludf.DUMMYFUNCTION("GOOGLETRANSLATE(B26,""en"",""es"")"),"Indica si el ingreso fue verificado por LC, no verificado o si se verificó la fuente de ingresos")</f>
        <v>Indica si el ingreso fue verificado por LC, no verificado o si se verificó la fuente de ingresos</v>
      </c>
    </row>
    <row r="27" spans="1:3" ht="14.25" customHeight="1" x14ac:dyDescent="0.25">
      <c r="A27" s="2" t="s">
        <v>52</v>
      </c>
      <c r="B27" s="3" t="s">
        <v>53</v>
      </c>
      <c r="C27" s="4" t="str">
        <f ca="1">IFERROR(__xludf.DUMMYFUNCTION("GOOGLETRANSLATE(B27,""en"",""es"")"),"El mes que el préstamo fue financiado")</f>
        <v>El mes que el préstamo fue financiado</v>
      </c>
    </row>
    <row r="28" spans="1:3" ht="14.25" customHeight="1" x14ac:dyDescent="0.25">
      <c r="A28" s="2" t="s">
        <v>54</v>
      </c>
      <c r="B28" s="3" t="s">
        <v>55</v>
      </c>
      <c r="C28" s="4" t="str">
        <f ca="1">IFERROR(__xludf.DUMMYFUNCTION("GOOGLETRANSLATE(B28,""en"",""es"")"),"El mes más reciente LC obtuvo crédito por este préstamo")</f>
        <v>El mes más reciente LC obtuvo crédito por este préstamo</v>
      </c>
    </row>
    <row r="29" spans="1:3" ht="14.25" customHeight="1" x14ac:dyDescent="0.25">
      <c r="A29" s="2" t="s">
        <v>56</v>
      </c>
      <c r="B29" s="3" t="s">
        <v>57</v>
      </c>
      <c r="C29" s="4" t="str">
        <f ca="1">IFERROR(__xludf.DUMMYFUNCTION("GOOGLETRANSLATE(B29,""en"",""es"")"),"El rango de límite superior al último FICO del prestatario pertenece.")</f>
        <v>El rango de límite superior al último FICO del prestatario pertenece.</v>
      </c>
    </row>
    <row r="30" spans="1:3" ht="14.25" customHeight="1" x14ac:dyDescent="0.25">
      <c r="A30" s="2" t="s">
        <v>58</v>
      </c>
      <c r="B30" s="3" t="s">
        <v>59</v>
      </c>
      <c r="C30" s="4" t="str">
        <f ca="1">IFERROR(__xludf.DUMMYFUNCTION("GOOGLETRANSLATE(B30,""en"",""es"")"),"El rango de límite inferior al último FICO del prestatario pertenece.")</f>
        <v>El rango de límite inferior al último FICO del prestatario pertenece.</v>
      </c>
    </row>
    <row r="31" spans="1:3" ht="18" customHeight="1" x14ac:dyDescent="0.25">
      <c r="A31" s="2" t="s">
        <v>60</v>
      </c>
      <c r="B31" s="3" t="s">
        <v>61</v>
      </c>
      <c r="C31" s="4" t="str">
        <f ca="1">IFERROR(__xludf.DUMMYFUNCTION("GOOGLETRANSLATE(B31,""en"",""es"")"),"Último monto total de pago recibido")</f>
        <v>Último monto total de pago recibido</v>
      </c>
    </row>
    <row r="32" spans="1:3" ht="14.25" customHeight="1" x14ac:dyDescent="0.25">
      <c r="A32" s="2" t="s">
        <v>62</v>
      </c>
      <c r="B32" s="3" t="s">
        <v>63</v>
      </c>
      <c r="C32" s="4" t="str">
        <f ca="1">IFERROR(__xludf.DUMMYFUNCTION("GOOGLETRANSLATE(B32,""en"",""es"")"),"Se recibió el pago del mes pasado")</f>
        <v>Se recibió el pago del mes pasado</v>
      </c>
    </row>
    <row r="33" spans="1:3" ht="14.25" customHeight="1" x14ac:dyDescent="0.25">
      <c r="A33" s="2" t="s">
        <v>64</v>
      </c>
      <c r="B33" s="3" t="s">
        <v>65</v>
      </c>
      <c r="C33" s="4" t="str">
        <f ca="1">IFERROR(__xludf.DUMMYFUNCTION("GOOGLETRANSLATE(B33,""en"",""es"")"),"El monto listado del préstamo solicitado por el prestatario. Si en algún momento, el departamento de crédito reduce el monto del préstamo, entonces se reflejará en este valor.")</f>
        <v>El monto listado del préstamo solicitado por el prestatario. Si en algún momento, el departamento de crédito reduce el monto del préstamo, entonces se reflejará en este valor.</v>
      </c>
    </row>
    <row r="34" spans="1:3" ht="14.25" customHeight="1" x14ac:dyDescent="0.25">
      <c r="A34" s="2" t="s">
        <v>66</v>
      </c>
      <c r="B34" s="3" t="s">
        <v>67</v>
      </c>
      <c r="C34" s="4" t="str">
        <f ca="1">IFERROR(__xludf.DUMMYFUNCTION("GOOGLETRANSLATE(B34,""en"",""es"")"),"Estado actual del préstamo")</f>
        <v>Estado actual del préstamo</v>
      </c>
    </row>
    <row r="35" spans="1:3" ht="14.25" customHeight="1" x14ac:dyDescent="0.25">
      <c r="A35" s="2" t="s">
        <v>68</v>
      </c>
      <c r="B35" s="3" t="s">
        <v>69</v>
      </c>
      <c r="C35" s="4" t="str">
        <f ca="1">IFERROR(__xludf.DUMMYFUNCTION("GOOGLETRANSLATE(B35,""en"",""es"")"),"Una identificación única de LC asignada para el miembro del prestatario.")</f>
        <v>Una identificación única de LC asignada para el miembro del prestatario.</v>
      </c>
    </row>
    <row r="36" spans="1:3" ht="14.25" customHeight="1" x14ac:dyDescent="0.25">
      <c r="A36" s="2" t="s">
        <v>70</v>
      </c>
      <c r="B36" s="3" t="s">
        <v>71</v>
      </c>
      <c r="C36" s="4" t="str">
        <f ca="1">IFERROR(__xludf.DUMMYFUNCTION("GOOGLETRANSLATE(B36,""en"",""es"")"),"El número de meses desde la última delincuencia del prestatario.")</f>
        <v>El número de meses desde la última delincuencia del prestatario.</v>
      </c>
    </row>
    <row r="37" spans="1:3" ht="14.25" customHeight="1" x14ac:dyDescent="0.25">
      <c r="A37" s="2" t="s">
        <v>72</v>
      </c>
      <c r="B37" s="2" t="s">
        <v>73</v>
      </c>
      <c r="C37" s="4" t="str">
        <f ca="1">IFERROR(__xludf.DUMMYFUNCTION("GOOGLETRANSLATE(B37,""en"",""es"")"),"Meses desde la más reciente calificación de 90 días o peor")</f>
        <v>Meses desde la más reciente calificación de 90 días o peor</v>
      </c>
    </row>
    <row r="38" spans="1:3" ht="14.25" customHeight="1" x14ac:dyDescent="0.25">
      <c r="A38" s="2" t="s">
        <v>74</v>
      </c>
      <c r="B38" s="3" t="s">
        <v>75</v>
      </c>
      <c r="C38" s="4" t="str">
        <f ca="1">IFERROR(__xludf.DUMMYFUNCTION("GOOGLETRANSLATE(B38,""en"",""es"")"),"El número de meses desde el último registro público.")</f>
        <v>El número de meses desde el último registro público.</v>
      </c>
    </row>
    <row r="39" spans="1:3" ht="14.25" customHeight="1" x14ac:dyDescent="0.25">
      <c r="A39" s="2" t="s">
        <v>76</v>
      </c>
      <c r="B39" s="3" t="s">
        <v>77</v>
      </c>
      <c r="C39" s="4" t="str">
        <f ca="1">IFERROR(__xludf.DUMMYFUNCTION("GOOGLETRANSLATE(B39,""en"",""es"")"),"Siguiente fecha de pago programada")</f>
        <v>Siguiente fecha de pago programada</v>
      </c>
    </row>
    <row r="40" spans="1:3" ht="14.25" customHeight="1" x14ac:dyDescent="0.25">
      <c r="A40" s="2" t="s">
        <v>78</v>
      </c>
      <c r="B40" s="3" t="s">
        <v>79</v>
      </c>
      <c r="C40" s="4" t="str">
        <f ca="1">IFERROR(__xludf.DUMMYFUNCTION("GOOGLETRANSLATE(B40,""en"",""es"")"),"El número de líneas de crédito abiertas en el archivo de crédito del prestatario.")</f>
        <v>El número de líneas de crédito abiertas en el archivo de crédito del prestatario.</v>
      </c>
    </row>
    <row r="41" spans="1:3" ht="15.75" customHeight="1" x14ac:dyDescent="0.25">
      <c r="A41" s="2" t="s">
        <v>80</v>
      </c>
      <c r="B41" s="3" t="s">
        <v>81</v>
      </c>
      <c r="C41" s="4" t="str">
        <f ca="1">IFERROR(__xludf.DUMMYFUNCTION("GOOGLETRANSLATE(B41,""en"",""es"")"),"PRINCIPAL PRINCIPAL PARA LA CONTRACIÓN PARA LA CONTENCIÓN TOTAL FINANTENCIA")</f>
        <v>PRINCIPAL PRINCIPAL PARA LA CONTRACIÓN PARA LA CONTENCIÓN TOTAL FINANTENCIA</v>
      </c>
    </row>
    <row r="42" spans="1:3" ht="14.25" customHeight="1" x14ac:dyDescent="0.25">
      <c r="A42" s="2" t="s">
        <v>82</v>
      </c>
      <c r="B42" s="3" t="s">
        <v>83</v>
      </c>
      <c r="C42" s="4" t="str">
        <f ca="1">IFERROR(__xludf.DUMMYFUNCTION("GOOGLETRANSLATE(B42,""en"",""es"")"),"PRINCIPAL PRINCIPIO PRINCIPIO PARA POR LA PORción del monto total financiado por los inversores")</f>
        <v>PRINCIPAL PRINCIPIO PRINCIPIO PARA POR LA PORción del monto total financiado por los inversores</v>
      </c>
    </row>
    <row r="43" spans="1:3" ht="14.25" customHeight="1" x14ac:dyDescent="0.25">
      <c r="A43" s="2" t="s">
        <v>84</v>
      </c>
      <c r="B43" s="3" t="s">
        <v>85</v>
      </c>
      <c r="C43" s="4" t="str">
        <f ca="1">IFERROR(__xludf.DUMMYFUNCTION("GOOGLETRANSLATE(B43,""en"",""es"")"),"Policy_code disponible públicamente = 1
Nuevos productos que no están disponibles públicamente Policy_code = 2")</f>
        <v>Policy_code disponible públicamente = 1
Nuevos productos que no están disponibles públicamente Policy_code = 2</v>
      </c>
    </row>
    <row r="44" spans="1:3" ht="14.25" customHeight="1" x14ac:dyDescent="0.25">
      <c r="A44" s="2" t="s">
        <v>86</v>
      </c>
      <c r="B44" s="3" t="s">
        <v>87</v>
      </c>
      <c r="C44" s="4" t="str">
        <f ca="1">IFERROR(__xludf.DUMMYFUNCTION("GOOGLETRANSLATE(B44,""en"",""es"")"),"Número de registros públicos despectivos")</f>
        <v>Número de registros públicos despectivos</v>
      </c>
    </row>
    <row r="45" spans="1:3" ht="14.25" customHeight="1" x14ac:dyDescent="0.25">
      <c r="A45" s="2" t="s">
        <v>88</v>
      </c>
      <c r="B45" s="3" t="s">
        <v>89</v>
      </c>
      <c r="C45" s="4" t="str">
        <f ca="1">IFERROR(__xludf.DUMMYFUNCTION("GOOGLETRANSLATE(B45,""en"",""es"")"),"Una categoría proporcionada por el prestatario para la solicitud de préstamo.")</f>
        <v>Una categoría proporcionada por el prestatario para la solicitud de préstamo.</v>
      </c>
    </row>
    <row r="46" spans="1:3" ht="14.25" customHeight="1" x14ac:dyDescent="0.25">
      <c r="A46" s="2" t="s">
        <v>90</v>
      </c>
      <c r="B46" s="3" t="s">
        <v>91</v>
      </c>
      <c r="C46" s="4" t="str">
        <f ca="1">IFERROR(__xludf.DUMMYFUNCTION("GOOGLETRANSLATE(B46,""en"",""es"")"),"Indica si se ha establecido un plan de pago para el préstamo")</f>
        <v>Indica si se ha establecido un plan de pago para el préstamo</v>
      </c>
    </row>
    <row r="47" spans="1:3" ht="14.25" customHeight="1" x14ac:dyDescent="0.25">
      <c r="A47" s="2" t="s">
        <v>92</v>
      </c>
      <c r="B47" s="3" t="s">
        <v>93</v>
      </c>
      <c r="C47" s="4" t="str">
        <f ca="1">IFERROR(__xludf.DUMMYFUNCTION("GOOGLETRANSLATE(B47,""en"",""es"")"),"CARGA POSTER OFF RECUPERACIÓN GROSS")</f>
        <v>CARGA POSTER OFF RECUPERACIÓN GROSS</v>
      </c>
    </row>
    <row r="48" spans="1:3" ht="14.25" customHeight="1" x14ac:dyDescent="0.25">
      <c r="A48" s="2" t="s">
        <v>94</v>
      </c>
      <c r="B48" s="3" t="s">
        <v>95</v>
      </c>
      <c r="C48" s="4" t="str">
        <f ca="1">IFERROR(__xludf.DUMMYFUNCTION("GOOGLETRANSLATE(B48,""en"",""es"")"),"Saldo giratorio de crédito total")</f>
        <v>Saldo giratorio de crédito total</v>
      </c>
    </row>
    <row r="49" spans="1:3" ht="14.25" customHeight="1" x14ac:dyDescent="0.25">
      <c r="A49" s="2" t="s">
        <v>96</v>
      </c>
      <c r="B49" s="3" t="s">
        <v>97</v>
      </c>
      <c r="C49" s="4" t="str">
        <f ca="1">IFERROR(__xludf.DUMMYFUNCTION("GOOGLETRANSLATE(B49,""en"",""es"")"),"La tasa de utilización de la línea giratoria, o la cantidad de crédito que el prestatario está utilizando en relación con todo el crédito giratorio disponible.")</f>
        <v>La tasa de utilización de la línea giratoria, o la cantidad de crédito que el prestatario está utilizando en relación con todo el crédito giratorio disponible.</v>
      </c>
    </row>
    <row r="50" spans="1:3" ht="14.25" customHeight="1" x14ac:dyDescent="0.25">
      <c r="A50" s="2" t="s">
        <v>98</v>
      </c>
      <c r="B50" s="3" t="s">
        <v>99</v>
      </c>
      <c r="C50" s="4" t="str">
        <f ca="1">IFERROR(__xludf.DUMMYFUNCTION("GOOGLETRANSLATE(B50,""en"",""es"")"),"Subgrado de préstamos asignado por LC")</f>
        <v>Subgrado de préstamos asignado por LC</v>
      </c>
    </row>
    <row r="51" spans="1:3" ht="14.25" customHeight="1" x14ac:dyDescent="0.25">
      <c r="A51" s="2" t="s">
        <v>100</v>
      </c>
      <c r="B51" s="3" t="s">
        <v>101</v>
      </c>
      <c r="C51" s="4" t="str">
        <f ca="1">IFERROR(__xludf.DUMMYFUNCTION("GOOGLETRANSLATE(B51,""en"",""es"")"),"El número de pagos en el préstamo. Los valores son en meses y pueden ser 36 o 60.")</f>
        <v>El número de pagos en el préstamo. Los valores son en meses y pueden ser 36 o 60.</v>
      </c>
    </row>
    <row r="52" spans="1:3" ht="14.25" customHeight="1" x14ac:dyDescent="0.25">
      <c r="A52" s="2" t="s">
        <v>102</v>
      </c>
      <c r="B52" s="3" t="s">
        <v>103</v>
      </c>
      <c r="C52" s="4" t="str">
        <f ca="1">IFERROR(__xludf.DUMMYFUNCTION("GOOGLETRANSLATE(B52,""en"",""es"")"),"El título del préstamo proporcionado por el prestatario")</f>
        <v>El título del préstamo proporcionado por el prestatario</v>
      </c>
    </row>
    <row r="53" spans="1:3" ht="14.25" customHeight="1" x14ac:dyDescent="0.25">
      <c r="A53" s="2" t="s">
        <v>104</v>
      </c>
      <c r="B53" s="3" t="s">
        <v>105</v>
      </c>
      <c r="C53" s="4" t="str">
        <f ca="1">IFERROR(__xludf.DUMMYFUNCTION("GOOGLETRANSLATE(B53,""en"",""es"")"),"El número total de líneas de crédito actualmente en el archivo de crédito del prestatario")</f>
        <v>El número total de líneas de crédito actualmente en el archivo de crédito del prestatario</v>
      </c>
    </row>
    <row r="54" spans="1:3" ht="14.25" customHeight="1" x14ac:dyDescent="0.25">
      <c r="A54" s="2" t="s">
        <v>106</v>
      </c>
      <c r="B54" s="3" t="s">
        <v>107</v>
      </c>
      <c r="C54" s="4" t="str">
        <f ca="1">IFERROR(__xludf.DUMMYFUNCTION("GOOGLETRANSLATE(B54,""en"",""es"")"),"Pagos recibidos hasta la fecha por el monto total financiado")</f>
        <v>Pagos recibidos hasta la fecha por el monto total financiado</v>
      </c>
    </row>
    <row r="55" spans="1:3" ht="14.25" customHeight="1" x14ac:dyDescent="0.25">
      <c r="A55" s="2" t="s">
        <v>108</v>
      </c>
      <c r="B55" s="3" t="s">
        <v>109</v>
      </c>
      <c r="C55" s="4" t="str">
        <f ca="1">IFERROR(__xludf.DUMMYFUNCTION("GOOGLETRANSLATE(B55,""en"",""es"")"),"Pagos recibidos hasta la fecha por la parte del monto total financiado por los inversores")</f>
        <v>Pagos recibidos hasta la fecha por la parte del monto total financiado por los inversores</v>
      </c>
    </row>
    <row r="56" spans="1:3" ht="14.25" customHeight="1" x14ac:dyDescent="0.25">
      <c r="A56" s="2" t="s">
        <v>110</v>
      </c>
      <c r="B56" s="3" t="s">
        <v>111</v>
      </c>
      <c r="C56" s="4" t="str">
        <f ca="1">IFERROR(__xludf.DUMMYFUNCTION("GOOGLETRANSLATE(B56,""en"",""es"")"),"Intereses recibidos hasta la fecha")</f>
        <v>Intereses recibidos hasta la fecha</v>
      </c>
    </row>
    <row r="57" spans="1:3" ht="14.25" customHeight="1" x14ac:dyDescent="0.25">
      <c r="A57" s="2" t="s">
        <v>112</v>
      </c>
      <c r="B57" s="3" t="s">
        <v>113</v>
      </c>
      <c r="C57" s="4" t="str">
        <f ca="1">IFERROR(__xludf.DUMMYFUNCTION("GOOGLETRANSLATE(B57,""en"",""es"")"),"Tarifas tardías recibidas hasta la fecha")</f>
        <v>Tarifas tardías recibidas hasta la fecha</v>
      </c>
    </row>
    <row r="58" spans="1:3" ht="14.25" customHeight="1" x14ac:dyDescent="0.25">
      <c r="A58" s="2" t="s">
        <v>114</v>
      </c>
      <c r="B58" s="3" t="s">
        <v>115</v>
      </c>
      <c r="C58" s="4" t="str">
        <f ca="1">IFERROR(__xludf.DUMMYFUNCTION("GOOGLETRANSLATE(B58,""en"",""es"")"),"Director recibido hasta la fecha")</f>
        <v>Director recibido hasta la fecha</v>
      </c>
    </row>
    <row r="59" spans="1:3" ht="14.25" customHeight="1" x14ac:dyDescent="0.25">
      <c r="A59" s="2" t="s">
        <v>116</v>
      </c>
      <c r="B59" s="3" t="s">
        <v>117</v>
      </c>
      <c r="C59" s="4" t="str">
        <f ca="1">IFERROR(__xludf.DUMMYFUNCTION("GOOGLETRANSLATE(B59,""en"",""es"")"),"URL para la página LC con datos de listado.")</f>
        <v>URL para la página LC con datos de listado.</v>
      </c>
    </row>
    <row r="60" spans="1:3" ht="14.25" customHeight="1" x14ac:dyDescent="0.25">
      <c r="A60" s="2" t="s">
        <v>118</v>
      </c>
      <c r="B60" s="2" t="s">
        <v>119</v>
      </c>
      <c r="C60" s="4" t="str">
        <f ca="1">IFERROR(__xludf.DUMMYFUNCTION("GOOGLETRANSLATE(B60,""en"",""es"")"),"Indica si el ingreso conjunto de los prestatarios fue verificado por LC, no verificado o si se verificó la fuente de ingresos")</f>
        <v>Indica si el ingreso conjunto de los prestatarios fue verificado por LC, no verificado o si se verificó la fuente de ingresos</v>
      </c>
    </row>
    <row r="61" spans="1:3" ht="14.25" customHeight="1" x14ac:dyDescent="0.25">
      <c r="A61" s="2" t="s">
        <v>120</v>
      </c>
      <c r="B61" s="2" t="s">
        <v>121</v>
      </c>
      <c r="C61" s="4" t="str">
        <f ca="1">IFERROR(__xludf.DUMMYFUNCTION("GOOGLETRANSLATE(B61,""en"",""es"")"),"Los primeros 3 números del código postal proporcionado por el prestatario en la solicitud de préstamo.")</f>
        <v>Los primeros 3 números del código postal proporcionado por el prestatario en la solicitud de préstamo.</v>
      </c>
    </row>
    <row r="62" spans="1:3" ht="14.25" customHeight="1" x14ac:dyDescent="0.25">
      <c r="A62" s="2" t="s">
        <v>122</v>
      </c>
      <c r="B62" s="2" t="s">
        <v>123</v>
      </c>
      <c r="C62" s="4" t="str">
        <f ca="1">IFERROR(__xludf.DUMMYFUNCTION("GOOGLETRANSLATE(B62,""en"",""es"")"),"Número de operaciones abiertas en los últimos 6 meses")</f>
        <v>Número de operaciones abiertas en los últimos 6 meses</v>
      </c>
    </row>
    <row r="63" spans="1:3" ht="14.25" customHeight="1" x14ac:dyDescent="0.25">
      <c r="A63" s="2" t="s">
        <v>124</v>
      </c>
      <c r="B63" s="2" t="s">
        <v>125</v>
      </c>
      <c r="C63" s="4" t="str">
        <f ca="1">IFERROR(__xludf.DUMMYFUNCTION("GOOGLETRANSLATE(B63,""en"",""es"")"),"Número de operaciones de cuotas actualmente activas")</f>
        <v>Número de operaciones de cuotas actualmente activas</v>
      </c>
    </row>
    <row r="64" spans="1:3" ht="14.25" customHeight="1" x14ac:dyDescent="0.25">
      <c r="A64" s="2" t="s">
        <v>126</v>
      </c>
      <c r="B64" s="2" t="s">
        <v>127</v>
      </c>
      <c r="C64" s="4" t="str">
        <f ca="1">IFERROR(__xludf.DUMMYFUNCTION("GOOGLETRANSLATE(B64,""en"",""es"")"),"Número de cuentas a plazos abiertos en los últimos 12 meses")</f>
        <v>Número de cuentas a plazos abiertos en los últimos 12 meses</v>
      </c>
    </row>
    <row r="65" spans="1:3" ht="14.25" customHeight="1" x14ac:dyDescent="0.25">
      <c r="A65" s="2" t="s">
        <v>128</v>
      </c>
      <c r="B65" s="2" t="s">
        <v>129</v>
      </c>
      <c r="C65" s="4" t="str">
        <f ca="1">IFERROR(__xludf.DUMMYFUNCTION("GOOGLETRANSLATE(B65,""en"",""es"")"),"Número de cuentas a plazos abiertos en los últimos 24 meses")</f>
        <v>Número de cuentas a plazos abiertos en los últimos 24 meses</v>
      </c>
    </row>
    <row r="66" spans="1:3" ht="14.25" customHeight="1" x14ac:dyDescent="0.25">
      <c r="A66" s="2" t="s">
        <v>130</v>
      </c>
      <c r="B66" s="2" t="s">
        <v>131</v>
      </c>
      <c r="C66" s="4" t="str">
        <f ca="1">IFERROR(__xludf.DUMMYFUNCTION("GOOGLETRANSLATE(B66,""en"",""es"")"),"Meses desde que se abrieron las cuentas a plazos más recientes")</f>
        <v>Meses desde que se abrieron las cuentas a plazos más recientes</v>
      </c>
    </row>
    <row r="67" spans="1:3" ht="14.25" customHeight="1" x14ac:dyDescent="0.25">
      <c r="A67" s="2" t="s">
        <v>132</v>
      </c>
      <c r="B67" s="2" t="s">
        <v>133</v>
      </c>
      <c r="C67" s="4" t="str">
        <f ca="1">IFERROR(__xludf.DUMMYFUNCTION("GOOGLETRANSLATE(B67,""en"",""es"")"),"Saldo actual total de todas las cuentas de cuotas")</f>
        <v>Saldo actual total de todas las cuentas de cuotas</v>
      </c>
    </row>
    <row r="68" spans="1:3" ht="14.25" customHeight="1" x14ac:dyDescent="0.25">
      <c r="A68" s="2" t="s">
        <v>134</v>
      </c>
      <c r="B68" s="2" t="s">
        <v>135</v>
      </c>
      <c r="C68" s="4" t="str">
        <f ca="1">IFERROR(__xludf.DUMMYFUNCTION("GOOGLETRANSLATE(B68,""en"",""es"")"),"Ratio del saldo actual total a alto límite de crédito/crédito en todo el acceso de instalación")</f>
        <v>Ratio del saldo actual total a alto límite de crédito/crédito en todo el acceso de instalación</v>
      </c>
    </row>
    <row r="69" spans="1:3" ht="14.25" customHeight="1" x14ac:dyDescent="0.25">
      <c r="A69" s="2" t="s">
        <v>136</v>
      </c>
      <c r="B69" s="2" t="s">
        <v>137</v>
      </c>
      <c r="C69" s="4" t="str">
        <f ca="1">IFERROR(__xludf.DUMMYFUNCTION("GOOGLETRANSLATE(B69,""en"",""es"")"),"Número de operaciones giratorias abiertas en los últimos 12 meses")</f>
        <v>Número de operaciones giratorias abiertas en los últimos 12 meses</v>
      </c>
    </row>
    <row r="70" spans="1:3" ht="14.25" customHeight="1" x14ac:dyDescent="0.25">
      <c r="A70" s="2" t="s">
        <v>138</v>
      </c>
      <c r="B70" s="2" t="s">
        <v>139</v>
      </c>
      <c r="C70" s="4" t="str">
        <f ca="1">IFERROR(__xludf.DUMMYFUNCTION("GOOGLETRANSLATE(B70,""en"",""es"")"),"Número de operaciones giratorias abiertas en los últimos 24 meses")</f>
        <v>Número de operaciones giratorias abiertas en los últimos 24 meses</v>
      </c>
    </row>
    <row r="71" spans="1:3" ht="14.25" customHeight="1" x14ac:dyDescent="0.25">
      <c r="A71" s="2" t="s">
        <v>140</v>
      </c>
      <c r="B71" s="2" t="s">
        <v>141</v>
      </c>
      <c r="C71" s="4" t="str">
        <f ca="1">IFERROR(__xludf.DUMMYFUNCTION("GOOGLETRANSLATE(B71,""en"",""es"")"),"Saldo actual máximo adeudado en todas las cuentas rotativas")</f>
        <v>Saldo actual máximo adeudado en todas las cuentas rotativas</v>
      </c>
    </row>
    <row r="72" spans="1:3" ht="14.25" customHeight="1" x14ac:dyDescent="0.25">
      <c r="A72" s="2" t="s">
        <v>142</v>
      </c>
      <c r="B72" s="2" t="s">
        <v>143</v>
      </c>
      <c r="C72" s="4" t="str">
        <f ca="1">IFERROR(__xludf.DUMMYFUNCTION("GOOGLETRANSLATE(B72,""en"",""es"")"),"Saldo a límite de crédito en todas las operaciones")</f>
        <v>Saldo a límite de crédito en todas las operaciones</v>
      </c>
    </row>
    <row r="73" spans="1:3" ht="14.25" customHeight="1" x14ac:dyDescent="0.25">
      <c r="A73" s="2" t="s">
        <v>144</v>
      </c>
      <c r="B73" s="2" t="s">
        <v>145</v>
      </c>
      <c r="C73" s="4" t="str">
        <f ca="1">IFERROR(__xludf.DUMMYFUNCTION("GOOGLETRANSLATE(B73,""en"",""es"")"),"Límite total de crédito/crédito de alto aumento giratorio")</f>
        <v>Límite total de crédito/crédito de alto aumento giratorio</v>
      </c>
    </row>
    <row r="74" spans="1:3" ht="14.25" customHeight="1" x14ac:dyDescent="0.25">
      <c r="A74" s="2" t="s">
        <v>146</v>
      </c>
      <c r="B74" s="2" t="s">
        <v>147</v>
      </c>
      <c r="C74" s="4" t="str">
        <f ca="1">IFERROR(__xludf.DUMMYFUNCTION("GOOGLETRANSLATE(B74,""en"",""es"")"),"Número de consultas de finanzas personales")</f>
        <v>Número de consultas de finanzas personales</v>
      </c>
    </row>
    <row r="75" spans="1:3" ht="14.25" customHeight="1" x14ac:dyDescent="0.25">
      <c r="A75" s="2" t="s">
        <v>148</v>
      </c>
      <c r="B75" s="2" t="s">
        <v>149</v>
      </c>
      <c r="C75" s="4" t="str">
        <f ca="1">IFERROR(__xludf.DUMMYFUNCTION("GOOGLETRANSLATE(B75,""en"",""es"")"),"Número de operaciones financieras")</f>
        <v>Número de operaciones financieras</v>
      </c>
    </row>
    <row r="76" spans="1:3" ht="14.25" customHeight="1" x14ac:dyDescent="0.25">
      <c r="A76" s="2" t="s">
        <v>150</v>
      </c>
      <c r="B76" s="2" t="s">
        <v>151</v>
      </c>
      <c r="C76" s="4" t="str">
        <f ca="1">IFERROR(__xludf.DUMMYFUNCTION("GOOGLETRANSLATE(B76,""en"",""es"")"),"Número de consultas de crédito en los últimos 12 meses")</f>
        <v>Número de consultas de crédito en los últimos 12 meses</v>
      </c>
    </row>
    <row r="77" spans="1:3" ht="14.25" customHeight="1" x14ac:dyDescent="0.25">
      <c r="A77" s="2" t="s">
        <v>152</v>
      </c>
      <c r="B77" s="2" t="s">
        <v>153</v>
      </c>
      <c r="C77" s="4" t="str">
        <f ca="1">IFERROR(__xludf.DUMMYFUNCTION("GOOGLETRANSLATE(B77,""en"",""es"")"),"El número de cuentas en las que el prestatario ahora es delincuente.")</f>
        <v>El número de cuentas en las que el prestatario ahora es delincuente.</v>
      </c>
    </row>
    <row r="78" spans="1:3" ht="14.25" customHeight="1" x14ac:dyDescent="0.25">
      <c r="A78" s="2" t="s">
        <v>154</v>
      </c>
      <c r="B78" s="2" t="s">
        <v>155</v>
      </c>
      <c r="C78" s="4" t="str">
        <f ca="1">IFERROR(__xludf.DUMMYFUNCTION("GOOGLETRANSLATE(B78,""en"",""es"")"),"Las cantidades totales de recolección se deben")</f>
        <v>Las cantidades totales de recolección se deben</v>
      </c>
    </row>
    <row r="79" spans="1:3" ht="14.25" customHeight="1" x14ac:dyDescent="0.25">
      <c r="A79" s="2" t="s">
        <v>156</v>
      </c>
      <c r="B79" s="2" t="s">
        <v>157</v>
      </c>
      <c r="C79" s="4" t="str">
        <f ca="1">IFERROR(__xludf.DUMMYFUNCTION("GOOGLETRANSLATE(B79,""en"",""es"")"),"Saldo actual total de todas las cuentas")</f>
        <v>Saldo actual total de todas las cuentas</v>
      </c>
    </row>
    <row r="80" spans="1:3" ht="14.25" customHeight="1" x14ac:dyDescent="0.25"/>
    <row r="81" spans="2:2" ht="14.25" customHeight="1" x14ac:dyDescent="0.25">
      <c r="B81" s="5" t="s">
        <v>158</v>
      </c>
    </row>
    <row r="82" spans="2:2" ht="14.25" customHeight="1" x14ac:dyDescent="0.25"/>
    <row r="83" spans="2:2" ht="14.25" customHeight="1" x14ac:dyDescent="0.25"/>
    <row r="84" spans="2:2" ht="14.25" customHeight="1" x14ac:dyDescent="0.25"/>
    <row r="85" spans="2:2" ht="14.25" customHeight="1" x14ac:dyDescent="0.25"/>
    <row r="86" spans="2:2" ht="14.25" customHeight="1" x14ac:dyDescent="0.25"/>
    <row r="87" spans="2:2" ht="14.25" customHeight="1" x14ac:dyDescent="0.25"/>
    <row r="88" spans="2:2" ht="14.25" customHeight="1" x14ac:dyDescent="0.25"/>
    <row r="89" spans="2:2" ht="14.25" customHeight="1" x14ac:dyDescent="0.25"/>
    <row r="90" spans="2:2" ht="14.25" customHeight="1" x14ac:dyDescent="0.25"/>
    <row r="91" spans="2:2" ht="14.25" customHeight="1" x14ac:dyDescent="0.25"/>
    <row r="92" spans="2:2" ht="14.25" customHeight="1" x14ac:dyDescent="0.25"/>
    <row r="93" spans="2:2" ht="14.25" customHeight="1" x14ac:dyDescent="0.25"/>
    <row r="94" spans="2:2" ht="14.25" customHeight="1" x14ac:dyDescent="0.25"/>
    <row r="95" spans="2:2" ht="14.25" customHeight="1" x14ac:dyDescent="0.25"/>
    <row r="96" spans="2:2"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B57"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pane ySplit="1" topLeftCell="A2" activePane="bottomLeft" state="frozen"/>
      <selection pane="bottomLeft" activeCell="B3" sqref="B3"/>
    </sheetView>
  </sheetViews>
  <sheetFormatPr baseColWidth="10" defaultColWidth="14.42578125" defaultRowHeight="15" customHeight="1" x14ac:dyDescent="0.25"/>
  <cols>
    <col min="1" max="1" width="28" customWidth="1"/>
    <col min="2" max="2" width="235.42578125" customWidth="1"/>
    <col min="3" max="5" width="8.7109375" customWidth="1"/>
    <col min="6" max="6" width="235.42578125" customWidth="1"/>
    <col min="7" max="26" width="8.7109375" customWidth="1"/>
  </cols>
  <sheetData>
    <row r="1" spans="1:2" ht="14.25" customHeight="1" x14ac:dyDescent="0.25">
      <c r="A1" s="6" t="s">
        <v>159</v>
      </c>
      <c r="B1" s="6" t="s">
        <v>1</v>
      </c>
    </row>
    <row r="2" spans="1:2" ht="14.25" customHeight="1" x14ac:dyDescent="0.25">
      <c r="A2" s="2" t="s">
        <v>160</v>
      </c>
      <c r="B2" s="2" t="s">
        <v>161</v>
      </c>
    </row>
    <row r="3" spans="1:2" ht="14.25" customHeight="1" x14ac:dyDescent="0.25">
      <c r="A3" s="2" t="s">
        <v>162</v>
      </c>
      <c r="B3" s="2" t="s">
        <v>153</v>
      </c>
    </row>
    <row r="4" spans="1:2" ht="14.25" customHeight="1" x14ac:dyDescent="0.25">
      <c r="A4" s="2" t="s">
        <v>163</v>
      </c>
      <c r="B4" s="2" t="s">
        <v>164</v>
      </c>
    </row>
    <row r="5" spans="1:2" ht="14.25" customHeight="1" x14ac:dyDescent="0.25">
      <c r="A5" s="2" t="s">
        <v>165</v>
      </c>
      <c r="B5" s="7" t="s">
        <v>3</v>
      </c>
    </row>
    <row r="6" spans="1:2" ht="14.25" customHeight="1" x14ac:dyDescent="0.25">
      <c r="A6" s="2" t="s">
        <v>6</v>
      </c>
      <c r="B6" s="2" t="s">
        <v>7</v>
      </c>
    </row>
    <row r="7" spans="1:2" ht="14.25" customHeight="1" x14ac:dyDescent="0.25">
      <c r="A7" s="2" t="s">
        <v>166</v>
      </c>
      <c r="B7" s="2" t="s">
        <v>5</v>
      </c>
    </row>
    <row r="8" spans="1:2" ht="14.25" customHeight="1" x14ac:dyDescent="0.25">
      <c r="A8" s="2" t="s">
        <v>8</v>
      </c>
      <c r="B8" s="2" t="s">
        <v>9</v>
      </c>
    </row>
    <row r="9" spans="1:2" ht="14.25" customHeight="1" x14ac:dyDescent="0.25">
      <c r="A9" s="2" t="s">
        <v>167</v>
      </c>
      <c r="B9" s="2" t="s">
        <v>168</v>
      </c>
    </row>
    <row r="10" spans="1:2" ht="14.25" customHeight="1" x14ac:dyDescent="0.25">
      <c r="A10" s="2" t="s">
        <v>169</v>
      </c>
      <c r="B10" s="2" t="s">
        <v>170</v>
      </c>
    </row>
    <row r="11" spans="1:2" ht="14.25" customHeight="1" x14ac:dyDescent="0.25">
      <c r="A11" s="2" t="s">
        <v>171</v>
      </c>
      <c r="B11" s="2" t="s">
        <v>172</v>
      </c>
    </row>
    <row r="12" spans="1:2" ht="14.25" customHeight="1" x14ac:dyDescent="0.25">
      <c r="A12" s="2" t="s">
        <v>173</v>
      </c>
      <c r="B12" s="2" t="s">
        <v>174</v>
      </c>
    </row>
    <row r="13" spans="1:2" ht="14.25" customHeight="1" x14ac:dyDescent="0.25">
      <c r="A13" s="2" t="s">
        <v>12</v>
      </c>
      <c r="B13" s="2" t="s">
        <v>13</v>
      </c>
    </row>
    <row r="14" spans="1:2" ht="14.25" customHeight="1" x14ac:dyDescent="0.25">
      <c r="A14" s="2" t="s">
        <v>175</v>
      </c>
      <c r="B14" s="2" t="s">
        <v>176</v>
      </c>
    </row>
    <row r="15" spans="1:2" ht="14.25" customHeight="1" x14ac:dyDescent="0.25">
      <c r="A15" s="2" t="s">
        <v>177</v>
      </c>
      <c r="B15" s="2" t="s">
        <v>15</v>
      </c>
    </row>
    <row r="16" spans="1:2" ht="14.25" customHeight="1" x14ac:dyDescent="0.25">
      <c r="A16" s="2" t="s">
        <v>178</v>
      </c>
      <c r="B16" s="2" t="s">
        <v>179</v>
      </c>
    </row>
    <row r="17" spans="1:2" ht="14.25" customHeight="1" x14ac:dyDescent="0.25">
      <c r="A17" s="2" t="s">
        <v>16</v>
      </c>
      <c r="B17" s="2" t="s">
        <v>17</v>
      </c>
    </row>
    <row r="18" spans="1:2" ht="14.25" customHeight="1" x14ac:dyDescent="0.25">
      <c r="A18" s="2" t="s">
        <v>18</v>
      </c>
      <c r="B18" s="2" t="s">
        <v>19</v>
      </c>
    </row>
    <row r="19" spans="1:2" ht="14.25" customHeight="1" x14ac:dyDescent="0.25">
      <c r="A19" s="2" t="s">
        <v>20</v>
      </c>
      <c r="B19" s="4" t="s">
        <v>21</v>
      </c>
    </row>
    <row r="20" spans="1:2" ht="14.25" customHeight="1" x14ac:dyDescent="0.25">
      <c r="A20" s="2" t="s">
        <v>180</v>
      </c>
      <c r="B20" s="2" t="s">
        <v>181</v>
      </c>
    </row>
    <row r="21" spans="1:2" ht="14.25" customHeight="1" x14ac:dyDescent="0.25">
      <c r="A21" s="2" t="s">
        <v>182</v>
      </c>
      <c r="B21" s="8" t="s">
        <v>183</v>
      </c>
    </row>
    <row r="22" spans="1:2" ht="14.25" customHeight="1" x14ac:dyDescent="0.25">
      <c r="A22" s="2" t="s">
        <v>26</v>
      </c>
      <c r="B22" s="8" t="s">
        <v>27</v>
      </c>
    </row>
    <row r="23" spans="1:2" ht="14.25" customHeight="1" x14ac:dyDescent="0.25">
      <c r="A23" s="2" t="s">
        <v>184</v>
      </c>
      <c r="B23" s="2" t="s">
        <v>185</v>
      </c>
    </row>
    <row r="24" spans="1:2" ht="14.25" customHeight="1" x14ac:dyDescent="0.25">
      <c r="A24" s="2" t="s">
        <v>186</v>
      </c>
      <c r="B24" s="2" t="s">
        <v>187</v>
      </c>
    </row>
    <row r="25" spans="1:2" ht="14.25" customHeight="1" x14ac:dyDescent="0.25">
      <c r="A25" s="2" t="s">
        <v>188</v>
      </c>
      <c r="B25" s="2" t="s">
        <v>189</v>
      </c>
    </row>
    <row r="26" spans="1:2" ht="14.25" customHeight="1" x14ac:dyDescent="0.25">
      <c r="A26" s="2" t="s">
        <v>190</v>
      </c>
      <c r="B26" s="2" t="s">
        <v>29</v>
      </c>
    </row>
    <row r="27" spans="1:2" ht="14.25" customHeight="1" x14ac:dyDescent="0.25">
      <c r="A27" s="2" t="s">
        <v>191</v>
      </c>
      <c r="B27" s="2" t="s">
        <v>31</v>
      </c>
    </row>
    <row r="28" spans="1:2" ht="14.25" customHeight="1" x14ac:dyDescent="0.25">
      <c r="A28" s="2" t="s">
        <v>192</v>
      </c>
      <c r="B28" s="2" t="s">
        <v>33</v>
      </c>
    </row>
    <row r="29" spans="1:2" ht="14.25" customHeight="1" x14ac:dyDescent="0.25">
      <c r="A29" s="2" t="s">
        <v>36</v>
      </c>
      <c r="B29" s="2" t="s">
        <v>37</v>
      </c>
    </row>
    <row r="30" spans="1:2" ht="14.25" customHeight="1" x14ac:dyDescent="0.25">
      <c r="A30" s="2" t="s">
        <v>193</v>
      </c>
      <c r="B30" s="2" t="s">
        <v>39</v>
      </c>
    </row>
    <row r="31" spans="1:2" ht="14.25" customHeight="1" x14ac:dyDescent="0.25">
      <c r="A31" s="2" t="s">
        <v>40</v>
      </c>
      <c r="B31" s="2" t="s">
        <v>41</v>
      </c>
    </row>
    <row r="32" spans="1:2" ht="14.25" customHeight="1" x14ac:dyDescent="0.25">
      <c r="A32" s="2" t="s">
        <v>194</v>
      </c>
      <c r="B32" s="2" t="s">
        <v>195</v>
      </c>
    </row>
    <row r="33" spans="1:2" ht="14.25" customHeight="1" x14ac:dyDescent="0.25">
      <c r="A33" s="2" t="s">
        <v>196</v>
      </c>
      <c r="B33" s="2" t="s">
        <v>43</v>
      </c>
    </row>
    <row r="34" spans="1:2" ht="14.25" customHeight="1" x14ac:dyDescent="0.25">
      <c r="A34" s="2" t="s">
        <v>197</v>
      </c>
      <c r="B34" s="4" t="s">
        <v>45</v>
      </c>
    </row>
    <row r="35" spans="1:2" ht="14.25" customHeight="1" x14ac:dyDescent="0.25">
      <c r="A35" s="2" t="s">
        <v>46</v>
      </c>
      <c r="B35" s="2" t="s">
        <v>47</v>
      </c>
    </row>
    <row r="36" spans="1:2" ht="14.25" customHeight="1" x14ac:dyDescent="0.25">
      <c r="A36" s="2" t="s">
        <v>198</v>
      </c>
      <c r="B36" s="2" t="s">
        <v>199</v>
      </c>
    </row>
    <row r="37" spans="1:2" ht="14.25" customHeight="1" x14ac:dyDescent="0.25">
      <c r="A37" s="2" t="s">
        <v>200</v>
      </c>
      <c r="B37" s="3" t="s">
        <v>51</v>
      </c>
    </row>
    <row r="38" spans="1:2" ht="14.25" customHeight="1" x14ac:dyDescent="0.25">
      <c r="A38" s="2" t="s">
        <v>201</v>
      </c>
      <c r="B38" s="2" t="s">
        <v>202</v>
      </c>
    </row>
    <row r="39" spans="1:2" ht="14.25" customHeight="1" x14ac:dyDescent="0.25">
      <c r="A39" s="2" t="s">
        <v>203</v>
      </c>
      <c r="B39" s="2" t="s">
        <v>65</v>
      </c>
    </row>
    <row r="40" spans="1:2" ht="14.25" customHeight="1" x14ac:dyDescent="0.25">
      <c r="A40" s="2" t="s">
        <v>204</v>
      </c>
      <c r="B40" s="2" t="s">
        <v>69</v>
      </c>
    </row>
    <row r="41" spans="1:2" ht="14.25" customHeight="1" x14ac:dyDescent="0.25">
      <c r="A41" s="2" t="s">
        <v>205</v>
      </c>
      <c r="B41" s="2" t="s">
        <v>206</v>
      </c>
    </row>
    <row r="42" spans="1:2" ht="14.25" customHeight="1" x14ac:dyDescent="0.25">
      <c r="A42" s="2" t="s">
        <v>207</v>
      </c>
      <c r="B42" s="2" t="s">
        <v>208</v>
      </c>
    </row>
    <row r="43" spans="1:2" ht="14.25" customHeight="1" x14ac:dyDescent="0.25">
      <c r="A43" s="2" t="s">
        <v>209</v>
      </c>
      <c r="B43" s="2" t="s">
        <v>210</v>
      </c>
    </row>
    <row r="44" spans="1:2" ht="14.25" customHeight="1" x14ac:dyDescent="0.25">
      <c r="A44" s="2" t="s">
        <v>211</v>
      </c>
      <c r="B44" s="2" t="s">
        <v>212</v>
      </c>
    </row>
    <row r="45" spans="1:2" ht="14.25" customHeight="1" x14ac:dyDescent="0.25">
      <c r="A45" s="2" t="s">
        <v>213</v>
      </c>
      <c r="B45" s="2" t="s">
        <v>214</v>
      </c>
    </row>
    <row r="46" spans="1:2" ht="14.25" customHeight="1" x14ac:dyDescent="0.25">
      <c r="A46" s="2" t="s">
        <v>72</v>
      </c>
      <c r="B46" s="2" t="s">
        <v>73</v>
      </c>
    </row>
    <row r="47" spans="1:2" ht="14.25" customHeight="1" x14ac:dyDescent="0.25">
      <c r="A47" s="2" t="s">
        <v>215</v>
      </c>
      <c r="B47" s="2" t="s">
        <v>216</v>
      </c>
    </row>
    <row r="48" spans="1:2" ht="14.25" customHeight="1" x14ac:dyDescent="0.25">
      <c r="A48" s="2" t="s">
        <v>217</v>
      </c>
      <c r="B48" s="2" t="s">
        <v>71</v>
      </c>
    </row>
    <row r="49" spans="1:2" ht="14.25" customHeight="1" x14ac:dyDescent="0.25">
      <c r="A49" s="2" t="s">
        <v>218</v>
      </c>
      <c r="B49" s="2" t="s">
        <v>75</v>
      </c>
    </row>
    <row r="50" spans="1:2" ht="14.25" customHeight="1" x14ac:dyDescent="0.25">
      <c r="A50" s="2" t="s">
        <v>219</v>
      </c>
      <c r="B50" s="2" t="s">
        <v>220</v>
      </c>
    </row>
    <row r="51" spans="1:2" ht="14.25" customHeight="1" x14ac:dyDescent="0.25">
      <c r="A51" s="2" t="s">
        <v>221</v>
      </c>
      <c r="B51" s="2" t="s">
        <v>222</v>
      </c>
    </row>
    <row r="52" spans="1:2" ht="14.25" customHeight="1" x14ac:dyDescent="0.25">
      <c r="A52" s="2" t="s">
        <v>223</v>
      </c>
      <c r="B52" s="2" t="s">
        <v>224</v>
      </c>
    </row>
    <row r="53" spans="1:2" ht="14.25" customHeight="1" x14ac:dyDescent="0.25">
      <c r="A53" s="2" t="s">
        <v>225</v>
      </c>
      <c r="B53" s="2" t="s">
        <v>226</v>
      </c>
    </row>
    <row r="54" spans="1:2" ht="14.25" customHeight="1" x14ac:dyDescent="0.25">
      <c r="A54" s="2" t="s">
        <v>227</v>
      </c>
      <c r="B54" s="2" t="s">
        <v>228</v>
      </c>
    </row>
    <row r="55" spans="1:2" ht="14.25" customHeight="1" x14ac:dyDescent="0.25">
      <c r="A55" s="2" t="s">
        <v>229</v>
      </c>
      <c r="B55" s="2" t="s">
        <v>230</v>
      </c>
    </row>
    <row r="56" spans="1:2" ht="14.25" customHeight="1" x14ac:dyDescent="0.25">
      <c r="A56" s="2" t="s">
        <v>231</v>
      </c>
      <c r="B56" s="2" t="s">
        <v>232</v>
      </c>
    </row>
    <row r="57" spans="1:2" ht="14.25" customHeight="1" x14ac:dyDescent="0.25">
      <c r="A57" s="2" t="s">
        <v>233</v>
      </c>
      <c r="B57" s="2" t="s">
        <v>234</v>
      </c>
    </row>
    <row r="58" spans="1:2" ht="14.25" customHeight="1" x14ac:dyDescent="0.25">
      <c r="A58" s="2" t="s">
        <v>235</v>
      </c>
      <c r="B58" s="2" t="s">
        <v>236</v>
      </c>
    </row>
    <row r="59" spans="1:2" ht="14.25" customHeight="1" x14ac:dyDescent="0.25">
      <c r="A59" s="2" t="s">
        <v>237</v>
      </c>
      <c r="B59" s="2" t="s">
        <v>238</v>
      </c>
    </row>
    <row r="60" spans="1:2" ht="14.25" customHeight="1" x14ac:dyDescent="0.25">
      <c r="A60" s="2" t="s">
        <v>239</v>
      </c>
      <c r="B60" s="2" t="s">
        <v>240</v>
      </c>
    </row>
    <row r="61" spans="1:2" ht="14.25" customHeight="1" x14ac:dyDescent="0.25">
      <c r="A61" s="2" t="s">
        <v>241</v>
      </c>
      <c r="B61" s="2" t="s">
        <v>242</v>
      </c>
    </row>
    <row r="62" spans="1:2" ht="14.25" customHeight="1" x14ac:dyDescent="0.25">
      <c r="A62" s="2" t="s">
        <v>243</v>
      </c>
      <c r="B62" s="2" t="s">
        <v>244</v>
      </c>
    </row>
    <row r="63" spans="1:2" ht="14.25" customHeight="1" x14ac:dyDescent="0.25">
      <c r="A63" s="2" t="s">
        <v>245</v>
      </c>
      <c r="B63" s="2" t="s">
        <v>246</v>
      </c>
    </row>
    <row r="64" spans="1:2" ht="14.25" customHeight="1" x14ac:dyDescent="0.25">
      <c r="A64" s="2" t="s">
        <v>247</v>
      </c>
      <c r="B64" s="2" t="s">
        <v>248</v>
      </c>
    </row>
    <row r="65" spans="1:2" ht="14.25" customHeight="1" x14ac:dyDescent="0.25">
      <c r="A65" s="2" t="s">
        <v>249</v>
      </c>
      <c r="B65" s="2" t="s">
        <v>250</v>
      </c>
    </row>
    <row r="66" spans="1:2" ht="14.25" customHeight="1" x14ac:dyDescent="0.25">
      <c r="A66" s="2" t="s">
        <v>251</v>
      </c>
      <c r="B66" s="2" t="s">
        <v>252</v>
      </c>
    </row>
    <row r="67" spans="1:2" ht="14.25" customHeight="1" x14ac:dyDescent="0.25">
      <c r="A67" s="2" t="s">
        <v>253</v>
      </c>
      <c r="B67" s="2" t="s">
        <v>254</v>
      </c>
    </row>
    <row r="68" spans="1:2" ht="14.25" customHeight="1" x14ac:dyDescent="0.25">
      <c r="A68" s="2" t="s">
        <v>255</v>
      </c>
      <c r="B68" s="2" t="s">
        <v>79</v>
      </c>
    </row>
    <row r="69" spans="1:2" ht="14.25" customHeight="1" x14ac:dyDescent="0.25">
      <c r="A69" s="2" t="s">
        <v>256</v>
      </c>
      <c r="B69" s="2" t="s">
        <v>257</v>
      </c>
    </row>
    <row r="70" spans="1:2" ht="14.25" customHeight="1" x14ac:dyDescent="0.25">
      <c r="A70" s="2" t="s">
        <v>258</v>
      </c>
      <c r="B70" s="2" t="s">
        <v>259</v>
      </c>
    </row>
    <row r="71" spans="1:2" ht="14.25" customHeight="1" x14ac:dyDescent="0.25">
      <c r="A71" s="2" t="s">
        <v>260</v>
      </c>
      <c r="B71" s="2" t="s">
        <v>261</v>
      </c>
    </row>
    <row r="72" spans="1:2" ht="14.25" customHeight="1" x14ac:dyDescent="0.25">
      <c r="A72" s="2" t="s">
        <v>262</v>
      </c>
      <c r="B72" s="2" t="s">
        <v>87</v>
      </c>
    </row>
    <row r="73" spans="1:2" ht="14.25" customHeight="1" x14ac:dyDescent="0.25">
      <c r="A73" s="2" t="s">
        <v>88</v>
      </c>
      <c r="B73" s="2" t="s">
        <v>89</v>
      </c>
    </row>
    <row r="74" spans="1:2" ht="14.25" customHeight="1" x14ac:dyDescent="0.25">
      <c r="A74" s="2" t="s">
        <v>263</v>
      </c>
      <c r="B74" s="2" t="s">
        <v>264</v>
      </c>
    </row>
    <row r="75" spans="1:2" ht="14.25" customHeight="1" x14ac:dyDescent="0.25">
      <c r="A75" s="2" t="s">
        <v>265</v>
      </c>
      <c r="B75" s="2" t="s">
        <v>266</v>
      </c>
    </row>
    <row r="76" spans="1:2" ht="14.25" customHeight="1" x14ac:dyDescent="0.25">
      <c r="A76" s="2" t="s">
        <v>267</v>
      </c>
      <c r="B76" s="2" t="s">
        <v>95</v>
      </c>
    </row>
    <row r="77" spans="1:2" ht="14.25" customHeight="1" x14ac:dyDescent="0.25">
      <c r="A77" s="2" t="s">
        <v>268</v>
      </c>
      <c r="B77" s="2" t="s">
        <v>97</v>
      </c>
    </row>
    <row r="78" spans="1:2" ht="14.25" customHeight="1" x14ac:dyDescent="0.25">
      <c r="A78" s="2" t="s">
        <v>269</v>
      </c>
      <c r="B78" s="2" t="s">
        <v>270</v>
      </c>
    </row>
    <row r="79" spans="1:2" ht="14.25" customHeight="1" x14ac:dyDescent="0.25">
      <c r="A79" s="2" t="s">
        <v>271</v>
      </c>
      <c r="B79" s="2" t="s">
        <v>99</v>
      </c>
    </row>
    <row r="80" spans="1:2" ht="14.25" customHeight="1" x14ac:dyDescent="0.25">
      <c r="A80" s="2" t="s">
        <v>272</v>
      </c>
      <c r="B80" s="2" t="s">
        <v>273</v>
      </c>
    </row>
    <row r="81" spans="1:2" ht="14.25" customHeight="1" x14ac:dyDescent="0.25">
      <c r="A81" s="2" t="s">
        <v>100</v>
      </c>
      <c r="B81" s="2" t="s">
        <v>101</v>
      </c>
    </row>
    <row r="82" spans="1:2" ht="14.25" customHeight="1" x14ac:dyDescent="0.25">
      <c r="A82" s="2" t="s">
        <v>102</v>
      </c>
      <c r="B82" s="2" t="s">
        <v>103</v>
      </c>
    </row>
    <row r="83" spans="1:2" ht="14.25" customHeight="1" x14ac:dyDescent="0.25">
      <c r="A83" s="2" t="s">
        <v>154</v>
      </c>
      <c r="B83" s="2" t="s">
        <v>155</v>
      </c>
    </row>
    <row r="84" spans="1:2" ht="14.25" customHeight="1" x14ac:dyDescent="0.25">
      <c r="A84" s="2" t="s">
        <v>156</v>
      </c>
      <c r="B84" s="2" t="s">
        <v>157</v>
      </c>
    </row>
    <row r="85" spans="1:2" ht="14.25" customHeight="1" x14ac:dyDescent="0.25">
      <c r="A85" s="2" t="s">
        <v>274</v>
      </c>
      <c r="B85" s="2" t="s">
        <v>275</v>
      </c>
    </row>
    <row r="86" spans="1:2" ht="14.25" customHeight="1" x14ac:dyDescent="0.25">
      <c r="A86" s="2" t="s">
        <v>276</v>
      </c>
      <c r="B86" s="2" t="s">
        <v>277</v>
      </c>
    </row>
    <row r="87" spans="1:2" ht="14.25" customHeight="1" x14ac:dyDescent="0.25">
      <c r="A87" s="2" t="s">
        <v>144</v>
      </c>
      <c r="B87" s="2" t="s">
        <v>145</v>
      </c>
    </row>
    <row r="88" spans="1:2" ht="14.25" customHeight="1" x14ac:dyDescent="0.25">
      <c r="A88" s="2" t="s">
        <v>278</v>
      </c>
      <c r="B88" s="2" t="s">
        <v>105</v>
      </c>
    </row>
    <row r="89" spans="1:2" ht="14.25" customHeight="1" x14ac:dyDescent="0.25">
      <c r="A89" s="2" t="s">
        <v>279</v>
      </c>
      <c r="B89" s="2" t="s">
        <v>280</v>
      </c>
    </row>
    <row r="90" spans="1:2" ht="14.25" customHeight="1" x14ac:dyDescent="0.25">
      <c r="A90" s="2" t="s">
        <v>281</v>
      </c>
      <c r="B90" s="2" t="s">
        <v>282</v>
      </c>
    </row>
    <row r="91" spans="1:2" ht="14.25" customHeight="1" x14ac:dyDescent="0.25">
      <c r="A91" s="2" t="s">
        <v>116</v>
      </c>
      <c r="B91" s="2" t="s">
        <v>117</v>
      </c>
    </row>
    <row r="92" spans="1:2" ht="14.25" customHeight="1" x14ac:dyDescent="0.25">
      <c r="A92" s="2" t="s">
        <v>118</v>
      </c>
      <c r="B92" s="2" t="s">
        <v>119</v>
      </c>
    </row>
    <row r="93" spans="1:2" ht="14.25" customHeight="1" x14ac:dyDescent="0.25">
      <c r="A93" s="9" t="s">
        <v>120</v>
      </c>
      <c r="B93" s="9" t="s">
        <v>121</v>
      </c>
    </row>
    <row r="94" spans="1:2" ht="14.25" customHeight="1" x14ac:dyDescent="0.25">
      <c r="A94" s="2" t="s">
        <v>122</v>
      </c>
      <c r="B94" s="2" t="s">
        <v>123</v>
      </c>
    </row>
    <row r="95" spans="1:2" ht="14.25" customHeight="1" x14ac:dyDescent="0.25">
      <c r="A95" s="2" t="s">
        <v>124</v>
      </c>
      <c r="B95" s="2" t="s">
        <v>125</v>
      </c>
    </row>
    <row r="96" spans="1:2" ht="14.25" customHeight="1" x14ac:dyDescent="0.25">
      <c r="A96" s="2" t="s">
        <v>126</v>
      </c>
      <c r="B96" s="2" t="s">
        <v>127</v>
      </c>
    </row>
    <row r="97" spans="1:2" ht="14.25" customHeight="1" x14ac:dyDescent="0.25">
      <c r="A97" s="2" t="s">
        <v>128</v>
      </c>
      <c r="B97" s="2" t="s">
        <v>129</v>
      </c>
    </row>
    <row r="98" spans="1:2" ht="14.25" customHeight="1" x14ac:dyDescent="0.25">
      <c r="A98" s="2" t="s">
        <v>130</v>
      </c>
      <c r="B98" s="2" t="s">
        <v>131</v>
      </c>
    </row>
    <row r="99" spans="1:2" ht="14.25" customHeight="1" x14ac:dyDescent="0.25">
      <c r="A99" s="2" t="s">
        <v>132</v>
      </c>
      <c r="B99" s="2" t="s">
        <v>133</v>
      </c>
    </row>
    <row r="100" spans="1:2" ht="14.25" customHeight="1" x14ac:dyDescent="0.25">
      <c r="A100" s="2" t="s">
        <v>134</v>
      </c>
      <c r="B100" s="2" t="s">
        <v>135</v>
      </c>
    </row>
    <row r="101" spans="1:2" ht="14.25" customHeight="1" x14ac:dyDescent="0.25">
      <c r="A101" s="2" t="s">
        <v>136</v>
      </c>
      <c r="B101" s="2" t="s">
        <v>137</v>
      </c>
    </row>
    <row r="102" spans="1:2" ht="14.25" customHeight="1" x14ac:dyDescent="0.25">
      <c r="A102" s="2" t="s">
        <v>138</v>
      </c>
      <c r="B102" s="2" t="s">
        <v>139</v>
      </c>
    </row>
    <row r="103" spans="1:2" ht="14.25" customHeight="1" x14ac:dyDescent="0.25">
      <c r="A103" s="2" t="s">
        <v>140</v>
      </c>
      <c r="B103" s="2" t="s">
        <v>141</v>
      </c>
    </row>
    <row r="104" spans="1:2" ht="14.25" customHeight="1" x14ac:dyDescent="0.25">
      <c r="A104" s="2" t="s">
        <v>142</v>
      </c>
      <c r="B104" s="2" t="s">
        <v>143</v>
      </c>
    </row>
    <row r="105" spans="1:2" ht="14.25" customHeight="1" x14ac:dyDescent="0.25">
      <c r="A105" s="2" t="s">
        <v>146</v>
      </c>
      <c r="B105" s="2" t="s">
        <v>147</v>
      </c>
    </row>
    <row r="106" spans="1:2" ht="14.25" customHeight="1" x14ac:dyDescent="0.25">
      <c r="A106" s="2" t="s">
        <v>148</v>
      </c>
      <c r="B106" s="2" t="s">
        <v>149</v>
      </c>
    </row>
    <row r="107" spans="1:2" ht="14.25" customHeight="1" x14ac:dyDescent="0.25">
      <c r="A107" s="2" t="s">
        <v>150</v>
      </c>
      <c r="B107" s="2" t="s">
        <v>151</v>
      </c>
    </row>
    <row r="108" spans="1:2" ht="14.25" customHeight="1" x14ac:dyDescent="0.25"/>
    <row r="109" spans="1:2" ht="14.25" customHeight="1" x14ac:dyDescent="0.25">
      <c r="B109" s="5" t="s">
        <v>158</v>
      </c>
    </row>
    <row r="110" spans="1:2" ht="14.25" customHeight="1" x14ac:dyDescent="0.25"/>
    <row r="111" spans="1:2" ht="14.25" customHeight="1" x14ac:dyDescent="0.25"/>
    <row r="112" spans="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B89" xr:uid="{00000000-0009-0000-0000-000001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1" width="20.7109375" customWidth="1"/>
    <col min="2" max="2" width="225.7109375" customWidth="1"/>
    <col min="3" max="26" width="8.7109375" customWidth="1"/>
  </cols>
  <sheetData>
    <row r="1" spans="1:2" ht="14.25" customHeight="1" x14ac:dyDescent="0.25">
      <c r="A1" s="10" t="s">
        <v>283</v>
      </c>
      <c r="B1" s="10" t="s">
        <v>1</v>
      </c>
    </row>
    <row r="2" spans="1:2" ht="14.25" customHeight="1" x14ac:dyDescent="0.25">
      <c r="A2" s="2" t="s">
        <v>284</v>
      </c>
      <c r="B2" s="2" t="s">
        <v>285</v>
      </c>
    </row>
    <row r="3" spans="1:2" ht="14.25" customHeight="1" x14ac:dyDescent="0.25">
      <c r="A3" s="2" t="s">
        <v>286</v>
      </c>
      <c r="B3" s="2" t="s">
        <v>287</v>
      </c>
    </row>
    <row r="4" spans="1:2" ht="14.25" customHeight="1" x14ac:dyDescent="0.25">
      <c r="A4" s="2" t="s">
        <v>288</v>
      </c>
      <c r="B4" s="3" t="s">
        <v>103</v>
      </c>
    </row>
    <row r="5" spans="1:2" ht="14.25" customHeight="1" x14ac:dyDescent="0.25">
      <c r="A5" s="2" t="s">
        <v>289</v>
      </c>
      <c r="B5" s="4" t="s">
        <v>290</v>
      </c>
    </row>
    <row r="6" spans="1:2" ht="14.25" customHeight="1" x14ac:dyDescent="0.25">
      <c r="A6" s="2" t="s">
        <v>291</v>
      </c>
      <c r="B6" s="3" t="s">
        <v>19</v>
      </c>
    </row>
    <row r="7" spans="1:2" ht="14.25" customHeight="1" x14ac:dyDescent="0.25">
      <c r="A7" s="2" t="s">
        <v>292</v>
      </c>
      <c r="B7" s="2" t="s">
        <v>121</v>
      </c>
    </row>
    <row r="8" spans="1:2" ht="14.25" customHeight="1" x14ac:dyDescent="0.25">
      <c r="A8" s="2" t="s">
        <v>293</v>
      </c>
      <c r="B8" s="2" t="s">
        <v>3</v>
      </c>
    </row>
    <row r="9" spans="1:2" ht="14.25" customHeight="1" x14ac:dyDescent="0.25">
      <c r="A9" s="2" t="s">
        <v>294</v>
      </c>
      <c r="B9" s="2" t="s">
        <v>185</v>
      </c>
    </row>
    <row r="10" spans="1:2" ht="14.25" customHeight="1" x14ac:dyDescent="0.25">
      <c r="A10" s="2" t="s">
        <v>295</v>
      </c>
      <c r="B10" s="3" t="s">
        <v>85</v>
      </c>
    </row>
    <row r="11" spans="1:2" ht="14.25" customHeight="1" x14ac:dyDescent="0.25"/>
    <row r="12" spans="1:2" ht="14.25" customHeight="1" x14ac:dyDescent="0.25">
      <c r="B12" s="5"/>
    </row>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B10" xr:uid="{00000000-0009-0000-0000-000002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LoanStats</vt:lpstr>
      <vt:lpstr>browseNotes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DEYNER</cp:lastModifiedBy>
  <dcterms:created xsi:type="dcterms:W3CDTF">2013-01-15T22:13:28Z</dcterms:created>
  <dcterms:modified xsi:type="dcterms:W3CDTF">2022-10-06T16:51:24Z</dcterms:modified>
</cp:coreProperties>
</file>